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379FAD43-46CF-4D84-8611-133489C960DE}"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559" i="2" l="1"/>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9155" i="1"/>
  <c r="J9154" i="1"/>
  <c r="J9153" i="1"/>
  <c r="J9152" i="1"/>
  <c r="J9151" i="1"/>
  <c r="J9150" i="1"/>
  <c r="J9149" i="1"/>
  <c r="J9148" i="1"/>
  <c r="J9147" i="1"/>
  <c r="J9146" i="1"/>
  <c r="J9145" i="1"/>
  <c r="J9144" i="1"/>
  <c r="J9143" i="1"/>
  <c r="J9142" i="1"/>
  <c r="J9141" i="1"/>
  <c r="J9140" i="1"/>
  <c r="J9139" i="1"/>
  <c r="J9138" i="1"/>
  <c r="J9137" i="1"/>
  <c r="J9136" i="1"/>
  <c r="J9135" i="1"/>
  <c r="J9134" i="1"/>
  <c r="J9133" i="1"/>
  <c r="J9132" i="1"/>
  <c r="J9131" i="1"/>
  <c r="J9130" i="1"/>
  <c r="J9129" i="1"/>
  <c r="J9128" i="1"/>
  <c r="J9127" i="1"/>
  <c r="J9126" i="1"/>
  <c r="J9125" i="1"/>
  <c r="J9124" i="1"/>
  <c r="J9123" i="1"/>
  <c r="J9122" i="1"/>
  <c r="J9121" i="1"/>
  <c r="J9120" i="1"/>
  <c r="J9119" i="1"/>
  <c r="J9118" i="1"/>
  <c r="J9117" i="1"/>
  <c r="J9116" i="1"/>
  <c r="J9115" i="1"/>
  <c r="J9114" i="1"/>
  <c r="J9113" i="1"/>
  <c r="J9112" i="1"/>
  <c r="J9111" i="1"/>
  <c r="J9110" i="1"/>
  <c r="J9109" i="1"/>
  <c r="J9108" i="1"/>
  <c r="J9107" i="1"/>
  <c r="J9106" i="1"/>
  <c r="J9105" i="1"/>
  <c r="J9104" i="1"/>
  <c r="J9103" i="1"/>
  <c r="J9102" i="1"/>
  <c r="J9101" i="1"/>
  <c r="J9100" i="1"/>
  <c r="J9099" i="1"/>
  <c r="J9098" i="1"/>
  <c r="J9097" i="1"/>
  <c r="J9096" i="1"/>
  <c r="J9095" i="1"/>
  <c r="J9094" i="1"/>
  <c r="J9093" i="1"/>
  <c r="J9092" i="1"/>
  <c r="J9091" i="1"/>
  <c r="J9090" i="1"/>
  <c r="J9089" i="1"/>
  <c r="J9088" i="1"/>
  <c r="J9087" i="1"/>
  <c r="J9086" i="1"/>
  <c r="J9085" i="1"/>
  <c r="J9084" i="1"/>
  <c r="J9083" i="1"/>
  <c r="J9082" i="1"/>
  <c r="J9081" i="1"/>
  <c r="J9080" i="1"/>
  <c r="J9079" i="1"/>
  <c r="J9078" i="1"/>
  <c r="J9077" i="1"/>
  <c r="J9076" i="1"/>
  <c r="J9075" i="1"/>
  <c r="J9074" i="1"/>
  <c r="J9073" i="1"/>
  <c r="J9072" i="1"/>
  <c r="J9071" i="1"/>
  <c r="J9070" i="1"/>
  <c r="J9069" i="1"/>
  <c r="J9068" i="1"/>
  <c r="J9067" i="1"/>
  <c r="J9066" i="1"/>
  <c r="J9065" i="1"/>
  <c r="J9064" i="1"/>
  <c r="J9063" i="1"/>
  <c r="J9062" i="1"/>
  <c r="J9061" i="1"/>
  <c r="J9060" i="1"/>
  <c r="J9059" i="1"/>
  <c r="J9058" i="1"/>
  <c r="J9057" i="1"/>
  <c r="J9056" i="1"/>
  <c r="J9055" i="1"/>
  <c r="J9054" i="1"/>
  <c r="J9053" i="1"/>
  <c r="J9052" i="1"/>
  <c r="J9051" i="1"/>
  <c r="J9050" i="1"/>
  <c r="J9049" i="1"/>
  <c r="J9048" i="1"/>
  <c r="J9047" i="1"/>
  <c r="J9046" i="1"/>
  <c r="J9045" i="1"/>
  <c r="J9044" i="1"/>
  <c r="J9043" i="1"/>
  <c r="J9042" i="1"/>
  <c r="J9041" i="1"/>
  <c r="J9040" i="1"/>
  <c r="J9039" i="1"/>
  <c r="J9038" i="1"/>
  <c r="J9037" i="1"/>
  <c r="J9036" i="1"/>
  <c r="J9035" i="1"/>
  <c r="J9034" i="1"/>
  <c r="J9033" i="1"/>
  <c r="J9032" i="1"/>
  <c r="J9031" i="1"/>
  <c r="J9030" i="1"/>
  <c r="J9029" i="1"/>
  <c r="J9028" i="1"/>
  <c r="J9027" i="1"/>
  <c r="J9026" i="1"/>
  <c r="J9025" i="1"/>
  <c r="J9024" i="1"/>
  <c r="J9023" i="1"/>
  <c r="J9022" i="1"/>
  <c r="J9021" i="1"/>
  <c r="J9020" i="1"/>
  <c r="J9019" i="1"/>
  <c r="J9018" i="1"/>
  <c r="J9017" i="1"/>
  <c r="J9016" i="1"/>
  <c r="J9015" i="1"/>
  <c r="J9014" i="1"/>
  <c r="J9013" i="1"/>
  <c r="J9012" i="1"/>
  <c r="J9011" i="1"/>
  <c r="J9010" i="1"/>
  <c r="J9009" i="1"/>
  <c r="J9008" i="1"/>
  <c r="J9007" i="1"/>
  <c r="J9006" i="1"/>
  <c r="J9005" i="1"/>
  <c r="J9004" i="1"/>
  <c r="J9003" i="1"/>
  <c r="J9002" i="1"/>
  <c r="J9001" i="1"/>
  <c r="J9000" i="1"/>
  <c r="J8999" i="1"/>
  <c r="J8998" i="1"/>
  <c r="J8997" i="1"/>
  <c r="J8996" i="1"/>
  <c r="J8995" i="1"/>
  <c r="J8994" i="1"/>
  <c r="J8993" i="1"/>
  <c r="J8992" i="1"/>
  <c r="J8991" i="1"/>
  <c r="J8990" i="1"/>
  <c r="J8989" i="1"/>
  <c r="J8988" i="1"/>
  <c r="J8987" i="1"/>
  <c r="J8986" i="1"/>
  <c r="J8985" i="1"/>
  <c r="J8984" i="1"/>
  <c r="J8983" i="1"/>
  <c r="J8982" i="1"/>
  <c r="J8981" i="1"/>
  <c r="J8980" i="1"/>
  <c r="J8979" i="1"/>
  <c r="J8978" i="1"/>
  <c r="J8977" i="1"/>
  <c r="J8976" i="1"/>
  <c r="J8975" i="1"/>
  <c r="J8974" i="1"/>
  <c r="J8973" i="1"/>
  <c r="J8972" i="1"/>
  <c r="J8971" i="1"/>
  <c r="J8970" i="1"/>
  <c r="J8969" i="1"/>
  <c r="J8968" i="1"/>
  <c r="J8967" i="1"/>
  <c r="J8966" i="1"/>
  <c r="J8965" i="1"/>
  <c r="J8964" i="1"/>
  <c r="J8963" i="1"/>
  <c r="J8962" i="1"/>
  <c r="J8961" i="1"/>
  <c r="J8960" i="1"/>
  <c r="J8959" i="1"/>
  <c r="J8958" i="1"/>
  <c r="J8957" i="1"/>
  <c r="J8956" i="1"/>
  <c r="J8955" i="1"/>
  <c r="J8954" i="1"/>
  <c r="J8953" i="1"/>
  <c r="J8952" i="1"/>
  <c r="J8951" i="1"/>
  <c r="J8950" i="1"/>
  <c r="J8949" i="1"/>
  <c r="J8948" i="1"/>
  <c r="J8947" i="1"/>
  <c r="J8946" i="1"/>
  <c r="J8945" i="1"/>
  <c r="J8944" i="1"/>
  <c r="J8943" i="1"/>
  <c r="J8942" i="1"/>
  <c r="J8941" i="1"/>
  <c r="J8940" i="1"/>
  <c r="J8939" i="1"/>
  <c r="J8938" i="1"/>
  <c r="J8937" i="1"/>
  <c r="J8936" i="1"/>
  <c r="J8935" i="1"/>
  <c r="J8934" i="1"/>
  <c r="J8933" i="1"/>
  <c r="J8932" i="1"/>
  <c r="J8931" i="1"/>
  <c r="J8930" i="1"/>
  <c r="J8929" i="1"/>
  <c r="J8928" i="1"/>
  <c r="J8927" i="1"/>
  <c r="J8926" i="1"/>
  <c r="J8925" i="1"/>
  <c r="J8924" i="1"/>
  <c r="J8923" i="1"/>
  <c r="J8922" i="1"/>
  <c r="J8921" i="1"/>
  <c r="J8920" i="1"/>
  <c r="J8919" i="1"/>
  <c r="J8918" i="1"/>
  <c r="J8917" i="1"/>
  <c r="J8916" i="1"/>
  <c r="J8915" i="1"/>
  <c r="J8914" i="1"/>
  <c r="J8913" i="1"/>
  <c r="J8912" i="1"/>
  <c r="J8911" i="1"/>
  <c r="J8910" i="1"/>
  <c r="J8909" i="1"/>
  <c r="J8908" i="1"/>
  <c r="J8907" i="1"/>
  <c r="J8906" i="1"/>
  <c r="J8905" i="1"/>
  <c r="J8904" i="1"/>
  <c r="J8903" i="1"/>
  <c r="J8902" i="1"/>
  <c r="J8901" i="1"/>
  <c r="J8900" i="1"/>
  <c r="J8899" i="1"/>
  <c r="J8898" i="1"/>
  <c r="J8897" i="1"/>
  <c r="J8896" i="1"/>
  <c r="J8895" i="1"/>
  <c r="J8894" i="1"/>
  <c r="J8893" i="1"/>
  <c r="J8892" i="1"/>
  <c r="J8891" i="1"/>
  <c r="J8890" i="1"/>
  <c r="J8889" i="1"/>
  <c r="J8888" i="1"/>
  <c r="J8887" i="1"/>
  <c r="J8886" i="1"/>
  <c r="J8885" i="1"/>
  <c r="J8884" i="1"/>
  <c r="J8883" i="1"/>
  <c r="J8882" i="1"/>
  <c r="J8881" i="1"/>
  <c r="J8880" i="1"/>
  <c r="J8879" i="1"/>
  <c r="J8878" i="1"/>
  <c r="J8877" i="1"/>
  <c r="J8876" i="1"/>
  <c r="J8875" i="1"/>
  <c r="J8874" i="1"/>
  <c r="J8873" i="1"/>
  <c r="J8872" i="1"/>
  <c r="J8871" i="1"/>
  <c r="J8870" i="1"/>
  <c r="J8869" i="1"/>
  <c r="J8868" i="1"/>
  <c r="J8867" i="1"/>
  <c r="J8866" i="1"/>
  <c r="J8865" i="1"/>
  <c r="J8864" i="1"/>
  <c r="J8863" i="1"/>
  <c r="J8862" i="1"/>
  <c r="J8861" i="1"/>
  <c r="J8860" i="1"/>
  <c r="J8859" i="1"/>
  <c r="J8858" i="1"/>
  <c r="J8857" i="1"/>
  <c r="J8856" i="1"/>
  <c r="J8855" i="1"/>
  <c r="J8854" i="1"/>
  <c r="J8853" i="1"/>
  <c r="J8852" i="1"/>
  <c r="J8851" i="1"/>
  <c r="J8850" i="1"/>
  <c r="J8849" i="1"/>
  <c r="J8848" i="1"/>
  <c r="J8847" i="1"/>
  <c r="J8846" i="1"/>
  <c r="J8845" i="1"/>
  <c r="J8844" i="1"/>
  <c r="J8843" i="1"/>
  <c r="J8842" i="1"/>
  <c r="J8841" i="1"/>
  <c r="J8840" i="1"/>
  <c r="J8839" i="1"/>
  <c r="J8838" i="1"/>
  <c r="J8837" i="1"/>
  <c r="J8836" i="1"/>
  <c r="J8835" i="1"/>
  <c r="J8834" i="1"/>
  <c r="J8833" i="1"/>
  <c r="J8832" i="1"/>
  <c r="J8831" i="1"/>
  <c r="J8830" i="1"/>
  <c r="J8829" i="1"/>
  <c r="J8828" i="1"/>
  <c r="J8827" i="1"/>
  <c r="J8826" i="1"/>
  <c r="J8825" i="1"/>
  <c r="J8824" i="1"/>
  <c r="J8823" i="1"/>
  <c r="J8822" i="1"/>
  <c r="J8821" i="1"/>
  <c r="J8820" i="1"/>
  <c r="J8819" i="1"/>
  <c r="J8818" i="1"/>
  <c r="J8817" i="1"/>
  <c r="J8816" i="1"/>
  <c r="J8815" i="1"/>
  <c r="J8814" i="1"/>
  <c r="J8813" i="1"/>
  <c r="J8812" i="1"/>
  <c r="J8811" i="1"/>
  <c r="J8810" i="1"/>
  <c r="J8809" i="1"/>
  <c r="J8808" i="1"/>
  <c r="J8807" i="1"/>
  <c r="J8806" i="1"/>
  <c r="J8805" i="1"/>
  <c r="J8804" i="1"/>
  <c r="J8803" i="1"/>
  <c r="J8802" i="1"/>
  <c r="J8801" i="1"/>
  <c r="J8800" i="1"/>
  <c r="J8799" i="1"/>
  <c r="J8798" i="1"/>
  <c r="J8797" i="1"/>
  <c r="J8796" i="1"/>
  <c r="J8795" i="1"/>
  <c r="J8794" i="1"/>
  <c r="J8793" i="1"/>
  <c r="J8792" i="1"/>
  <c r="J8791" i="1"/>
  <c r="J8790" i="1"/>
  <c r="J8789" i="1"/>
  <c r="J8788" i="1"/>
  <c r="J8787" i="1"/>
  <c r="J8786" i="1"/>
  <c r="J8785" i="1"/>
  <c r="J8784" i="1"/>
  <c r="J8783" i="1"/>
  <c r="J8782" i="1"/>
  <c r="J8781" i="1"/>
  <c r="J8780" i="1"/>
  <c r="J8779" i="1"/>
  <c r="J8778" i="1"/>
  <c r="J8777" i="1"/>
  <c r="J8776" i="1"/>
  <c r="J8775" i="1"/>
  <c r="J8774" i="1"/>
  <c r="J8773" i="1"/>
  <c r="J8772" i="1"/>
  <c r="J8771" i="1"/>
  <c r="J8770" i="1"/>
  <c r="J8769" i="1"/>
  <c r="J8768" i="1"/>
  <c r="J8767" i="1"/>
  <c r="J8766" i="1"/>
  <c r="J8765" i="1"/>
  <c r="J8764" i="1"/>
  <c r="J8763" i="1"/>
  <c r="J8762" i="1"/>
  <c r="J8761" i="1"/>
  <c r="J8760" i="1"/>
  <c r="J8759" i="1"/>
  <c r="J8758" i="1"/>
  <c r="J8757" i="1"/>
  <c r="J8756" i="1"/>
  <c r="J8755" i="1"/>
  <c r="J8754" i="1"/>
  <c r="J8753" i="1"/>
  <c r="J8752" i="1"/>
  <c r="J8751" i="1"/>
  <c r="J8750" i="1"/>
  <c r="J8749" i="1"/>
  <c r="J8748" i="1"/>
  <c r="J8747" i="1"/>
  <c r="J8746" i="1"/>
  <c r="J8745" i="1"/>
  <c r="J8744" i="1"/>
  <c r="J8743" i="1"/>
  <c r="J8742" i="1"/>
  <c r="J8741" i="1"/>
  <c r="J8740" i="1"/>
  <c r="J8739" i="1"/>
  <c r="J8738" i="1"/>
  <c r="J8737" i="1"/>
  <c r="J8736" i="1"/>
  <c r="J8735" i="1"/>
  <c r="J8734" i="1"/>
  <c r="J8733" i="1"/>
  <c r="J8732" i="1"/>
  <c r="J8731" i="1"/>
  <c r="J8730" i="1"/>
  <c r="J8729" i="1"/>
  <c r="J8728" i="1"/>
  <c r="J8727" i="1"/>
  <c r="J8726" i="1"/>
  <c r="J8725" i="1"/>
  <c r="J8724" i="1"/>
  <c r="J8723" i="1"/>
  <c r="J8722" i="1"/>
  <c r="J8721" i="1"/>
  <c r="J8720" i="1"/>
  <c r="J8719" i="1"/>
  <c r="J8718" i="1"/>
  <c r="J8717" i="1"/>
  <c r="J8716" i="1"/>
  <c r="J8715" i="1"/>
  <c r="J8714" i="1"/>
  <c r="J8713" i="1"/>
  <c r="J8712" i="1"/>
  <c r="J8711" i="1"/>
  <c r="J8710" i="1"/>
  <c r="J8709" i="1"/>
  <c r="J8708" i="1"/>
  <c r="J8707" i="1"/>
  <c r="J8706" i="1"/>
  <c r="J8705" i="1"/>
  <c r="J8704" i="1"/>
  <c r="J8703" i="1"/>
  <c r="J8702" i="1"/>
  <c r="J8701" i="1"/>
  <c r="J8700" i="1"/>
  <c r="J8699" i="1"/>
  <c r="J8698" i="1"/>
  <c r="J8697" i="1"/>
  <c r="J8696" i="1"/>
  <c r="J8695" i="1"/>
  <c r="J8694" i="1"/>
  <c r="J8693" i="1"/>
  <c r="J8692" i="1"/>
  <c r="J8691" i="1"/>
  <c r="J8690" i="1"/>
  <c r="J8689" i="1"/>
  <c r="J8688" i="1"/>
  <c r="J8687" i="1"/>
  <c r="J8686" i="1"/>
  <c r="J8685" i="1"/>
  <c r="J8684" i="1"/>
  <c r="J8683" i="1"/>
  <c r="J8682" i="1"/>
  <c r="J8681" i="1"/>
  <c r="J8680" i="1"/>
  <c r="J8679" i="1"/>
  <c r="J8678" i="1"/>
  <c r="J8677" i="1"/>
  <c r="J8676" i="1"/>
  <c r="J8675" i="1"/>
  <c r="J8674" i="1"/>
  <c r="J8673" i="1"/>
  <c r="J8672" i="1"/>
  <c r="J8671" i="1"/>
  <c r="J8670" i="1"/>
  <c r="J8669" i="1"/>
  <c r="J8668" i="1"/>
  <c r="J8667" i="1"/>
  <c r="J8666" i="1"/>
  <c r="J8665" i="1"/>
  <c r="J8664" i="1"/>
  <c r="J8663" i="1"/>
  <c r="J8662" i="1"/>
  <c r="J8661" i="1"/>
  <c r="J8660" i="1"/>
  <c r="J8659" i="1"/>
  <c r="J8658" i="1"/>
  <c r="J8657" i="1"/>
  <c r="J8656" i="1"/>
  <c r="J8655" i="1"/>
  <c r="J8654" i="1"/>
  <c r="J8653" i="1"/>
  <c r="J8652" i="1"/>
  <c r="J8651" i="1"/>
  <c r="J8650" i="1"/>
  <c r="J8649" i="1"/>
  <c r="J8648" i="1"/>
  <c r="J8647" i="1"/>
  <c r="J8646" i="1"/>
  <c r="J8645" i="1"/>
  <c r="J8644" i="1"/>
  <c r="J8643" i="1"/>
  <c r="J8642" i="1"/>
  <c r="J8641" i="1"/>
  <c r="J8640" i="1"/>
  <c r="J8639" i="1"/>
  <c r="J8638" i="1"/>
  <c r="J8637" i="1"/>
  <c r="J8636" i="1"/>
  <c r="J8635" i="1"/>
  <c r="J8634" i="1"/>
  <c r="J8633" i="1"/>
  <c r="J8632" i="1"/>
  <c r="J8631" i="1"/>
  <c r="J8630" i="1"/>
  <c r="J8629" i="1"/>
  <c r="J8628" i="1"/>
  <c r="J8627" i="1"/>
  <c r="J8626" i="1"/>
  <c r="J8625" i="1"/>
  <c r="J8624" i="1"/>
  <c r="J8623" i="1"/>
  <c r="J8622" i="1"/>
  <c r="J8621" i="1"/>
  <c r="J8620" i="1"/>
  <c r="J8619" i="1"/>
  <c r="J8618" i="1"/>
  <c r="J8617" i="1"/>
  <c r="J8616" i="1"/>
  <c r="J8615" i="1"/>
  <c r="J8614" i="1"/>
  <c r="J8613" i="1"/>
  <c r="J8612" i="1"/>
  <c r="J8611" i="1"/>
  <c r="J8610" i="1"/>
  <c r="J8609" i="1"/>
  <c r="J8608" i="1"/>
  <c r="J8607" i="1"/>
  <c r="J8606" i="1"/>
  <c r="J8605" i="1"/>
  <c r="J8604" i="1"/>
  <c r="J8603" i="1"/>
  <c r="J8602" i="1"/>
  <c r="J8601" i="1"/>
  <c r="J8600" i="1"/>
  <c r="J8599" i="1"/>
  <c r="J8598" i="1"/>
  <c r="J8597" i="1"/>
  <c r="J8596" i="1"/>
  <c r="J8595" i="1"/>
  <c r="J8594" i="1"/>
  <c r="J8593" i="1"/>
  <c r="J8592" i="1"/>
  <c r="J8591" i="1"/>
  <c r="J8590" i="1"/>
  <c r="J8589" i="1"/>
  <c r="J8588" i="1"/>
  <c r="J8587" i="1"/>
  <c r="J8586" i="1"/>
  <c r="J8585" i="1"/>
  <c r="J8584" i="1"/>
  <c r="J8583" i="1"/>
  <c r="J8582" i="1"/>
  <c r="J8581" i="1"/>
  <c r="J8580" i="1"/>
  <c r="J8579" i="1"/>
  <c r="J8578" i="1"/>
  <c r="J8577" i="1"/>
  <c r="J8576" i="1"/>
  <c r="J8575" i="1"/>
  <c r="J8574" i="1"/>
  <c r="J8573" i="1"/>
  <c r="J8572" i="1"/>
  <c r="J8571" i="1"/>
  <c r="J8570" i="1"/>
  <c r="J8569" i="1"/>
  <c r="J8568" i="1"/>
  <c r="J8567" i="1"/>
  <c r="J8566" i="1"/>
  <c r="J8565" i="1"/>
  <c r="J8564" i="1"/>
  <c r="J8563" i="1"/>
  <c r="J8562" i="1"/>
  <c r="J8561" i="1"/>
  <c r="J8560" i="1"/>
  <c r="J8559" i="1"/>
  <c r="J8558" i="1"/>
  <c r="J8557" i="1"/>
  <c r="J8556" i="1"/>
  <c r="J8555" i="1"/>
  <c r="J8554" i="1"/>
  <c r="J8553" i="1"/>
  <c r="J8552" i="1"/>
  <c r="J8551" i="1"/>
  <c r="J8550" i="1"/>
  <c r="J8549" i="1"/>
  <c r="J8548" i="1"/>
  <c r="J8547" i="1"/>
  <c r="J8546" i="1"/>
  <c r="J8545" i="1"/>
  <c r="J8544" i="1"/>
  <c r="J8543" i="1"/>
  <c r="J8542" i="1"/>
  <c r="J8541" i="1"/>
  <c r="J8540" i="1"/>
  <c r="J8539" i="1"/>
  <c r="J8538" i="1"/>
  <c r="J8537" i="1"/>
  <c r="J8536" i="1"/>
  <c r="J8535" i="1"/>
  <c r="J8534" i="1"/>
  <c r="J8533" i="1"/>
  <c r="J8532" i="1"/>
  <c r="J8531" i="1"/>
  <c r="J8530" i="1"/>
  <c r="J8529" i="1"/>
  <c r="J8528" i="1"/>
  <c r="J8527" i="1"/>
  <c r="J8526" i="1"/>
  <c r="J8525" i="1"/>
  <c r="J8524" i="1"/>
  <c r="J8523" i="1"/>
  <c r="J8522" i="1"/>
  <c r="J8521" i="1"/>
  <c r="J8520" i="1"/>
  <c r="J8519" i="1"/>
  <c r="J8518" i="1"/>
  <c r="J8517" i="1"/>
  <c r="J8516" i="1"/>
  <c r="J8515" i="1"/>
  <c r="J8514" i="1"/>
  <c r="J8513" i="1"/>
  <c r="J8512" i="1"/>
  <c r="J8511" i="1"/>
  <c r="J8510" i="1"/>
  <c r="J8509" i="1"/>
  <c r="J8508" i="1"/>
  <c r="J8507" i="1"/>
  <c r="J8506" i="1"/>
  <c r="J8505" i="1"/>
  <c r="J8504" i="1"/>
  <c r="J8503" i="1"/>
  <c r="J8502" i="1"/>
  <c r="J8501" i="1"/>
  <c r="J8500" i="1"/>
  <c r="J8499" i="1"/>
  <c r="J8498" i="1"/>
  <c r="J8497" i="1"/>
  <c r="J8496" i="1"/>
  <c r="J8495" i="1"/>
  <c r="J8494" i="1"/>
  <c r="J8493" i="1"/>
  <c r="J8492" i="1"/>
  <c r="J8491" i="1"/>
  <c r="J8490" i="1"/>
  <c r="J8489" i="1"/>
  <c r="J8488" i="1"/>
  <c r="J8487" i="1"/>
  <c r="J8486" i="1"/>
  <c r="J8485" i="1"/>
  <c r="J8484" i="1"/>
  <c r="J8483" i="1"/>
  <c r="J8482" i="1"/>
  <c r="J8481" i="1"/>
  <c r="J8480" i="1"/>
  <c r="J8479" i="1"/>
  <c r="J8478" i="1"/>
  <c r="J8477" i="1"/>
  <c r="J8476" i="1"/>
  <c r="J8475" i="1"/>
  <c r="J8474" i="1"/>
  <c r="J8473" i="1"/>
  <c r="J8472" i="1"/>
  <c r="J8471" i="1"/>
  <c r="J8470" i="1"/>
  <c r="J8469" i="1"/>
  <c r="J8468" i="1"/>
  <c r="J8467" i="1"/>
  <c r="J8466" i="1"/>
  <c r="J8465" i="1"/>
  <c r="J8464" i="1"/>
  <c r="J8463" i="1"/>
  <c r="J8462" i="1"/>
  <c r="J8461" i="1"/>
  <c r="J8460" i="1"/>
  <c r="J8459" i="1"/>
  <c r="J8458" i="1"/>
  <c r="J8457" i="1"/>
  <c r="J8456" i="1"/>
  <c r="J8455" i="1"/>
  <c r="J8454" i="1"/>
  <c r="J8453" i="1"/>
  <c r="J8452" i="1"/>
  <c r="J8451" i="1"/>
  <c r="J8450" i="1"/>
  <c r="J8449" i="1"/>
  <c r="J8448" i="1"/>
  <c r="J8447" i="1"/>
  <c r="J8446" i="1"/>
  <c r="J8445" i="1"/>
  <c r="J8444" i="1"/>
  <c r="J8443" i="1"/>
  <c r="J8442" i="1"/>
  <c r="J8441" i="1"/>
  <c r="J8440" i="1"/>
  <c r="J8439" i="1"/>
  <c r="J8438" i="1"/>
  <c r="J8437" i="1"/>
  <c r="J8436" i="1"/>
  <c r="J8435" i="1"/>
  <c r="J8434" i="1"/>
  <c r="J8433" i="1"/>
  <c r="J8432" i="1"/>
  <c r="J8431" i="1"/>
  <c r="J8430" i="1"/>
  <c r="J8429" i="1"/>
  <c r="J8428" i="1"/>
  <c r="J8427" i="1"/>
  <c r="J8426" i="1"/>
  <c r="J8425" i="1"/>
  <c r="J8424" i="1"/>
  <c r="J8423" i="1"/>
  <c r="J8422" i="1"/>
  <c r="J8421" i="1"/>
  <c r="J8420" i="1"/>
  <c r="J8419" i="1"/>
  <c r="J8418" i="1"/>
  <c r="J8417" i="1"/>
  <c r="J8416" i="1"/>
  <c r="J8415" i="1"/>
  <c r="J8414" i="1"/>
  <c r="J8413" i="1"/>
  <c r="J8412" i="1"/>
  <c r="J8411" i="1"/>
  <c r="J8410" i="1"/>
  <c r="J8409" i="1"/>
  <c r="J8408" i="1"/>
  <c r="J8407" i="1"/>
  <c r="J8406" i="1"/>
  <c r="J8405" i="1"/>
  <c r="J8404" i="1"/>
  <c r="J8403" i="1"/>
  <c r="J8402" i="1"/>
  <c r="J8401" i="1"/>
  <c r="J8400" i="1"/>
  <c r="J8399" i="1"/>
  <c r="J8398" i="1"/>
  <c r="J8397" i="1"/>
  <c r="J8396" i="1"/>
  <c r="J8395" i="1"/>
  <c r="J8394" i="1"/>
  <c r="J8393" i="1"/>
  <c r="J8392" i="1"/>
  <c r="J8391" i="1"/>
  <c r="J8390" i="1"/>
  <c r="J8389" i="1"/>
  <c r="J8388" i="1"/>
  <c r="J8387" i="1"/>
  <c r="J8386" i="1"/>
  <c r="J8385" i="1"/>
  <c r="J8384" i="1"/>
  <c r="J8383" i="1"/>
  <c r="J8382" i="1"/>
  <c r="J8381" i="1"/>
  <c r="J8380" i="1"/>
  <c r="J8379" i="1"/>
  <c r="J8378" i="1"/>
  <c r="J8377" i="1"/>
  <c r="J8376" i="1"/>
  <c r="J8375" i="1"/>
  <c r="J8374" i="1"/>
  <c r="J8373" i="1"/>
  <c r="J8372" i="1"/>
  <c r="J8371" i="1"/>
  <c r="J8370" i="1"/>
  <c r="J8369" i="1"/>
  <c r="J8368" i="1"/>
  <c r="J8367" i="1"/>
  <c r="J8366" i="1"/>
  <c r="J8365" i="1"/>
  <c r="J8364" i="1"/>
  <c r="J8363" i="1"/>
  <c r="J8362" i="1"/>
  <c r="J8361" i="1"/>
  <c r="J8360" i="1"/>
  <c r="J8359" i="1"/>
  <c r="J8358" i="1"/>
  <c r="J8357" i="1"/>
  <c r="J8356" i="1"/>
  <c r="J8355" i="1"/>
  <c r="J8354" i="1"/>
  <c r="J8353" i="1"/>
  <c r="J8352" i="1"/>
  <c r="J8351" i="1"/>
  <c r="J8350" i="1"/>
  <c r="J8349" i="1"/>
  <c r="J8348" i="1"/>
  <c r="J8347" i="1"/>
  <c r="J8346" i="1"/>
  <c r="J8345" i="1"/>
  <c r="J8344" i="1"/>
  <c r="J8343" i="1"/>
  <c r="J8342" i="1"/>
  <c r="J8341" i="1"/>
  <c r="J8340" i="1"/>
  <c r="J8339" i="1"/>
  <c r="J8338" i="1"/>
  <c r="J8337" i="1"/>
  <c r="J8336" i="1"/>
  <c r="J8335" i="1"/>
  <c r="J8334" i="1"/>
  <c r="J8333" i="1"/>
  <c r="J8332" i="1"/>
  <c r="J8331" i="1"/>
  <c r="J8330" i="1"/>
  <c r="J8329" i="1"/>
  <c r="J8328" i="1"/>
  <c r="J8327" i="1"/>
  <c r="J8326" i="1"/>
  <c r="J8325" i="1"/>
  <c r="J8324" i="1"/>
  <c r="J8323" i="1"/>
  <c r="J8322" i="1"/>
  <c r="J8321" i="1"/>
  <c r="J8320" i="1"/>
  <c r="J8319" i="1"/>
  <c r="J8318" i="1"/>
  <c r="J8317" i="1"/>
  <c r="J8316" i="1"/>
  <c r="J8315" i="1"/>
  <c r="J8314" i="1"/>
  <c r="J8313" i="1"/>
  <c r="J8312" i="1"/>
  <c r="J8311" i="1"/>
  <c r="J8310" i="1"/>
  <c r="J8309" i="1"/>
  <c r="J8308" i="1"/>
  <c r="J8307" i="1"/>
  <c r="J8306" i="1"/>
  <c r="J8305" i="1"/>
  <c r="J8304" i="1"/>
  <c r="J8303" i="1"/>
  <c r="J8302" i="1"/>
  <c r="J8301" i="1"/>
  <c r="J8300" i="1"/>
  <c r="J8299" i="1"/>
  <c r="J8298" i="1"/>
  <c r="J8297" i="1"/>
  <c r="J8296" i="1"/>
  <c r="J8295" i="1"/>
  <c r="J8294" i="1"/>
  <c r="J8293" i="1"/>
  <c r="J8292" i="1"/>
  <c r="J8291" i="1"/>
  <c r="J8290" i="1"/>
  <c r="J8289" i="1"/>
  <c r="J8288" i="1"/>
  <c r="J8287" i="1"/>
  <c r="J8286" i="1"/>
  <c r="J8285" i="1"/>
  <c r="J8284" i="1"/>
  <c r="J8283" i="1"/>
  <c r="J8282" i="1"/>
  <c r="J8281" i="1"/>
  <c r="J8280" i="1"/>
  <c r="J8279" i="1"/>
  <c r="J8278" i="1"/>
  <c r="J8277" i="1"/>
  <c r="J8276" i="1"/>
  <c r="J8275" i="1"/>
  <c r="J8274" i="1"/>
  <c r="J8273" i="1"/>
  <c r="J8272" i="1"/>
  <c r="J8271" i="1"/>
  <c r="J8270" i="1"/>
  <c r="J8269" i="1"/>
  <c r="J8268" i="1"/>
  <c r="J8267" i="1"/>
  <c r="J8266" i="1"/>
  <c r="J8265" i="1"/>
  <c r="J8264" i="1"/>
  <c r="J8263" i="1"/>
  <c r="J8262" i="1"/>
  <c r="J8261" i="1"/>
  <c r="J8260" i="1"/>
  <c r="J8259" i="1"/>
  <c r="J8258" i="1"/>
  <c r="J8257" i="1"/>
  <c r="J8256" i="1"/>
  <c r="J8255" i="1"/>
  <c r="J8254" i="1"/>
  <c r="J8253" i="1"/>
  <c r="J8252" i="1"/>
  <c r="J8251" i="1"/>
  <c r="J8250" i="1"/>
  <c r="J8249" i="1"/>
  <c r="J8248" i="1"/>
  <c r="J8247" i="1"/>
  <c r="J8246" i="1"/>
  <c r="J8245" i="1"/>
  <c r="J8244" i="1"/>
  <c r="J8243" i="1"/>
  <c r="J8242" i="1"/>
  <c r="J8241" i="1"/>
  <c r="J8240" i="1"/>
  <c r="J8239" i="1"/>
  <c r="J8238" i="1"/>
  <c r="J8237" i="1"/>
  <c r="J8236" i="1"/>
  <c r="J8235" i="1"/>
  <c r="J8234" i="1"/>
  <c r="J8233" i="1"/>
  <c r="J8232" i="1"/>
  <c r="J8231" i="1"/>
  <c r="J8230" i="1"/>
  <c r="J8229" i="1"/>
  <c r="J8228" i="1"/>
  <c r="J8227" i="1"/>
  <c r="J8226" i="1"/>
  <c r="J8225" i="1"/>
  <c r="J8224" i="1"/>
  <c r="J8223" i="1"/>
  <c r="J8222" i="1"/>
  <c r="J8221" i="1"/>
  <c r="J8220" i="1"/>
  <c r="J8219" i="1"/>
  <c r="J8218" i="1"/>
  <c r="J8217" i="1"/>
  <c r="J8216" i="1"/>
  <c r="J8215" i="1"/>
  <c r="J8214" i="1"/>
  <c r="J8213" i="1"/>
  <c r="J8212" i="1"/>
  <c r="J8211" i="1"/>
  <c r="J8210" i="1"/>
  <c r="J8209" i="1"/>
  <c r="J8208" i="1"/>
  <c r="J8207" i="1"/>
  <c r="J8206" i="1"/>
  <c r="J8205" i="1"/>
  <c r="J8204" i="1"/>
  <c r="J8203" i="1"/>
  <c r="J8202" i="1"/>
  <c r="J8201" i="1"/>
  <c r="J8200" i="1"/>
  <c r="J8199" i="1"/>
  <c r="J8198" i="1"/>
  <c r="J8197" i="1"/>
  <c r="J8196" i="1"/>
  <c r="J8195" i="1"/>
  <c r="J8194" i="1"/>
  <c r="J8193" i="1"/>
  <c r="J8192" i="1"/>
  <c r="J8191" i="1"/>
  <c r="J8190" i="1"/>
  <c r="J8189" i="1"/>
  <c r="J8188" i="1"/>
  <c r="J8187" i="1"/>
  <c r="J8186" i="1"/>
  <c r="J8185" i="1"/>
  <c r="J8184" i="1"/>
  <c r="J8183" i="1"/>
  <c r="J8182" i="1"/>
  <c r="J8181" i="1"/>
  <c r="J8180" i="1"/>
  <c r="J8179" i="1"/>
  <c r="J8178" i="1"/>
  <c r="J8177" i="1"/>
  <c r="J8176" i="1"/>
  <c r="J8175" i="1"/>
  <c r="J8174" i="1"/>
  <c r="J8173" i="1"/>
  <c r="J8172" i="1"/>
  <c r="J8171" i="1"/>
  <c r="J8170" i="1"/>
  <c r="J8169" i="1"/>
  <c r="J8168" i="1"/>
  <c r="J8167" i="1"/>
  <c r="J8166" i="1"/>
  <c r="J8165" i="1"/>
  <c r="J8164" i="1"/>
  <c r="J8163" i="1"/>
  <c r="J8162" i="1"/>
  <c r="J8161" i="1"/>
  <c r="J8160" i="1"/>
  <c r="J8159" i="1"/>
  <c r="J8158" i="1"/>
  <c r="J8157" i="1"/>
  <c r="J8156" i="1"/>
  <c r="J8155" i="1"/>
  <c r="J8154" i="1"/>
  <c r="J8153" i="1"/>
  <c r="J8152" i="1"/>
  <c r="J8151" i="1"/>
  <c r="J8150" i="1"/>
  <c r="J8149" i="1"/>
  <c r="J8148" i="1"/>
  <c r="J8147" i="1"/>
  <c r="J8146" i="1"/>
  <c r="J8145" i="1"/>
  <c r="J8144" i="1"/>
  <c r="J8143" i="1"/>
  <c r="J8142" i="1"/>
  <c r="J8141" i="1"/>
  <c r="J8140" i="1"/>
  <c r="J8139" i="1"/>
  <c r="J8138" i="1"/>
  <c r="J8137" i="1"/>
  <c r="J8136" i="1"/>
  <c r="J8135" i="1"/>
  <c r="J8134" i="1"/>
  <c r="J8133" i="1"/>
  <c r="J8132" i="1"/>
  <c r="J8131" i="1"/>
  <c r="J8130" i="1"/>
  <c r="J8129" i="1"/>
  <c r="J8128" i="1"/>
  <c r="J8127" i="1"/>
  <c r="J8126" i="1"/>
  <c r="J8125" i="1"/>
  <c r="J8124" i="1"/>
  <c r="J8123" i="1"/>
  <c r="J8122" i="1"/>
  <c r="J8121" i="1"/>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<sst xmlns="http://schemas.openxmlformats.org/spreadsheetml/2006/main" count="83493" uniqueCount="23911">
  <si>
    <t>Índice onomástico anual · Gacetas oficiales de 1811</t>
  </si>
  <si>
    <t>Del 1 de enero al 31 de diciembre de 1811 · Gaceta de Madrid, Gazeta de la Regencia de España e Indias</t>
  </si>
  <si>
    <t>Aviso: índice generado a partir del OCR de facsímiles históricos. Las grafías y lecturas dudosas deben cotejarse con la página enlazada.</t>
  </si>
  <si>
    <t>9149 menciones · 555 archivos oficiales · 2894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</si>
  <si>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</si>
  <si>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</si>
  <si>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</si>
  <si>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</si>
  <si>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</si>
  <si>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</si>
  <si>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</si>
  <si>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</si>
  <si>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</si>
  <si>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</si>
  <si>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</si>
  <si>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 Antonio</t>
  </si>
  <si>
    <t>Antonio A</t>
  </si>
  <si>
    <t>Operaciones o servicios militares</t>
  </si>
  <si>
    <t>Noticias y disposiciones</t>
  </si>
  <si>
    <t>Gazeta de la Regencia de España e Indias n.º 120</t>
  </si>
  <si>
    <t>4</t>
  </si>
  <si>
    <t>Lectura automática dudosa; cotejar el facsímil</t>
  </si>
  <si>
    <t>apitán I). Manuel María Vanherk y D. Rafael Valcarcel, alféreces de id.; I). Luía Postillón y D. Juan Dieste , tenientes de voluntarios de la Patria: D. Antonio A malte , subteniente de imperiales de Toledo : D. Francisco Oliver y T&gt; %T■ i), ene as Salazar , capitanes del batallón de cazadores : capitán D. Carlos Ciery , se u…</t>
  </si>
  <si>
    <t>Revisar OCR</t>
  </si>
  <si>
    <t>A, Birtololné</t>
  </si>
  <si>
    <t>Birtololné A</t>
  </si>
  <si>
    <t>Mención en noticia o disposición</t>
  </si>
  <si>
    <t>Gazeta de la Regencia de España e Indias n.º 114</t>
  </si>
  <si>
    <t>15</t>
  </si>
  <si>
    <t>pararse de la poblaoioa , adelantando páifi-Jas de guerrilla, y destacando fuerzas á los Castillos.y ermita de S. Ro­ que. Mi caballería, mandada por D Birtololné A ior ,,?ikbia hecho un movimiento ^ón él intentó de interponerse entré la coíktoñ^L ei^éíuiga y la ciudad; pero lo engañoso del terreno , cqriáHo de afí n ras y ba…</t>
  </si>
  <si>
    <t>A, D</t>
  </si>
  <si>
    <t>D A</t>
  </si>
  <si>
    <t>Gazeta de la Regencia de España e Indias n.º 54</t>
  </si>
  <si>
    <t>424</t>
  </si>
  <si>
    <t>¿os G azules, con un reo prófugo de la cárcel de Aígeciras que aprehendió igualmente. — Añ ide el gober­ nador en el parte que da con fecha de! 9 al brigadier D A••■tonio Begines de ios Rio*; í’ Araba de pasarse un trompeta francés. Como to­ dos declaran que se halUti á media ración, y se ve ip techa dos á bus­ car eí .W£tetT…</t>
  </si>
  <si>
    <t>A, Eraclio</t>
  </si>
  <si>
    <t>Eraclio A</t>
  </si>
  <si>
    <t>Nombramiento o servicio público</t>
  </si>
  <si>
    <t>Gazeta de la Regencia de España e Indias n.º 48</t>
  </si>
  <si>
    <t>1811</t>
  </si>
  <si>
    <t>délos excreíros el empleo de ayudan e, general á D, Luis Muda Ba­ lanza: : los de ayudanrts primeros á D. Francisco del Rey , D. S.n* tos de Allende, D. Eraclio A:aiz &gt; D. Manuel de Tena, D. Emeteriu Velar de, D. Francisco Pablo de la Peña, D. Juan Morales y</t>
  </si>
  <si>
    <t>A, Francisco</t>
  </si>
  <si>
    <t>Francisco A</t>
  </si>
  <si>
    <t>Gazeta de la Regencia de España e Indias n.º 86</t>
  </si>
  <si>
    <t>6</t>
  </si>
  <si>
    <t>en las partidas avanzadas , á loa capi­ tanes ele Toluca D. Angel Casa val y D. Joaquín Mondragon; al ayu­ dante D. Joaquín Loaiza ; á I03 tenientes D. Francisco A cal, D. Jo­ sé de Tejada, D. Luis Aguirre y D. Joaquín Suarez, ytá los subte­ nientes D. José Tabeada y D. Manuel Capetillo: al teniente del real jueroo de artille…</t>
  </si>
  <si>
    <t>Gazeta de la Regencia de España e Indias n.º 162</t>
  </si>
  <si>
    <t>3</t>
  </si>
  <si>
    <t>v&amp;s y D José Pared ? : y subtenencias &amp; Bou •Joaquín De?gádo y Díaz y .0. José de Alorará: en el de míVmteda ligera primero de cazadores, compañías á D. Francisco A ib:: zuza y D. Francisco de Paula Ardízone; tenencias á D. José Veaimtrgnia y D. José Celestino Fernandez de Cusía; y subtmercias á D. Podro Gutiérrez, D. Ciprian…</t>
  </si>
  <si>
    <t>A, Ha</t>
  </si>
  <si>
    <t>Ha A</t>
  </si>
  <si>
    <t>Gaceta de Madrid n.º 263</t>
  </si>
  <si>
    <t>88</t>
  </si>
  <si>
    <t>nciano Andriani coi» ona división de 5© hombres atacó i AVISO. Amposta y las Salinas de la embocadura del Ebro; pero saliendo de Tortosa contra di el general Ha­ A virtud de providencia del Sr. D. León de Sagasr cer» al frente de Seo hombres del 47. y quaren- ta, dada el 17 del corriente, se ha mandado volverá ta coraceros, l…</t>
  </si>
  <si>
    <t>A, J</t>
  </si>
  <si>
    <t>J A</t>
  </si>
  <si>
    <t>Gaceta de Madrid n.º 237</t>
  </si>
  <si>
    <t>PDF p. 2</t>
  </si>
  <si>
    <t>. Devriíí. dieron para justificar semejante violencia los apo. Augusta, capitán J. M Knnsh. legistas de la traición y del furor, esos hombres Amalia, capitán J A. Wa'cher. que hoi predican ia continuación de la guerra? Minerva, capitán C. H. Lutke. ¿Qué razones ? Que las naciones no deben cr es* Providencia, capitán P. Aschen…</t>
  </si>
  <si>
    <t>A, Jacoho</t>
  </si>
  <si>
    <t>Jacoho A</t>
  </si>
  <si>
    <t>Gazeta de la Regencia de España e Indias n.º 97</t>
  </si>
  <si>
    <t>PDF p. 5</t>
  </si>
  <si>
    <t>edro Taboada. D. Juan Echáis. D. Sebaptiun Conejo. D. Manuel María Lanza sorta. Lie. D. Jcsé Marín Chicc. D. Luis Msrcles. Lie. D. José María Letona. D. Jacoho A rctdo, teniente coronel. D. Luis Malo, coronel. D. José María Segura, car» . genio-mayor. D. Francisco Mmacarenascoronel. D. Luis Lara, te­ nis nte coronel Nú-ja. 2.…</t>
  </si>
  <si>
    <t>A, Jasé Canga</t>
  </si>
  <si>
    <t>Jasé Canga A</t>
  </si>
  <si>
    <t>Actividad económica o mercantil</t>
  </si>
  <si>
    <t>1364</t>
  </si>
  <si>
    <t>ord i fiarías desíte su ir l alación en 24 de seiiambr? a;-5. iSlO hasta - igual f jcha de 1811. — Uú tomo en 4.°, á 30. rs« Memoria &amp; las Cortes por D. Jasé Canga A^giDdes, secretario interino doJ&amp;--.ciend&amp; de España, s©bre las rentas y gas­ tos de hí corona antes y después del movimiento gxmroso de la na­ ción , y da las rt…</t>
  </si>
  <si>
    <t>A, Jcsé</t>
  </si>
  <si>
    <t>Jcsé A</t>
  </si>
  <si>
    <t>tenienra de rey de ella el corone i D. Agustín E;paiz£5 al sargento mayor interino de la misma, y rapi-an del re­ gimiento Úú infantería de Ni^vaira D. Jcsé A.b'o.d© Rodríguez» al brigadier D. Pablo de la Hoya, cromardai.de del batallón de infante­ ría ligera de Marida, al coronel y comandante de - artillen*, D. Al­ fonso Die…</t>
  </si>
  <si>
    <t>A, Joaquín BJak</t>
  </si>
  <si>
    <t>Joaquín BJak A</t>
  </si>
  <si>
    <t>Gazeta de la Regencia de España e Indias n.º 149</t>
  </si>
  <si>
    <t>1248</t>
  </si>
  <si>
    <t>la sathfaceion ds su libertad, y que no s»\ juguete de U tuerte. Hoy tsnciMOS algunos muertos y hsr&gt;dos. O V. E. — Luis María Andriani. — Exemo. Sr. D. Joaquín BJak A las 4 de la tarda ha emprendido ©1 enemigo otm asalto coa mayor empeño que esta mañana, pu;s qu« ha llegado á estar ea la misma brecha. Es admirable el eniudasm…</t>
  </si>
  <si>
    <t>A, José</t>
  </si>
  <si>
    <t>José A</t>
  </si>
  <si>
    <t>Gazeta de la Regencia de España e Indias n.º 42</t>
  </si>
  <si>
    <t>319</t>
  </si>
  <si>
    <t>dél-Barrio , D. Miguel S.mtillana y D. Ignacio O ovas: á capitanes á los tenientes D Juan Manuel Carmen/, D José Montes y Fíores, D. Pedro Bringas , D. José A*uirfe, ’D José Segoyia j D Bartolomé'A nat VD. Mariano A bo , Den Frahc rco Lope# , *£); 'Miguel AUier y D Francisco Re nirez : y á te• rijéntés' á ¡os stob’téiíiéhtés …</t>
  </si>
  <si>
    <t>A, José Cansa</t>
  </si>
  <si>
    <t>José Cansa A</t>
  </si>
  <si>
    <t>Publicación o actividad intelectual</t>
  </si>
  <si>
    <t>Gazeta de la Regencia de España e Indias n.º 148</t>
  </si>
  <si>
    <t>240</t>
  </si>
  <si>
    <t>limiento. — Gal ,'d Ciscar, presidente— Au­ sente D. Joaquín Blake coa permiso d« tas Cor*-:?. — Pedro de Agar.— En Cáaiz á 4 de setiembre de 1811.—A D. José Cansa A‘"i^usiies. •• n i» O £ D. Fernando vi i , por la gracia de Dios, rey de España jr de las Lidias, y en su ausencia y cauvividad el Consejo de Regencia, autorizado…</t>
  </si>
  <si>
    <t>A, Jósef Rainon</t>
  </si>
  <si>
    <t>Jósef Rainon A</t>
  </si>
  <si>
    <t>Gaceta de Madrid n.º 223</t>
  </si>
  <si>
    <t>1</t>
  </si>
  <si>
    <t>Castañar, y el fin de fies­ ta Ja Discreta y Ja Boba. Actores en la comedia. Seño­ Quinto batallón ras García, Torres y Baus. Señores Mniqucz, Porce, D. Jósef Rainon A guiar, teniente, á capitaa Caprara, Avecilla , Suarez, Contador, Ca.anova y kbiani. de lh quinta compañía , én reemplazo de D. Ma­ Nota. Mañana lúnes te ejecut…</t>
  </si>
  <si>
    <t>A, Juan</t>
  </si>
  <si>
    <t>Juan A</t>
  </si>
  <si>
    <t>Gazeta de la Regencia de España e Indias n.º 102</t>
  </si>
  <si>
    <t>000. 1). Juan Dmiec , 300. Ei señor E E. V, 1000. D. Gaspar Aguado , 400. D. Francisco de Punía ligarte, 200. COoña Clara Aspillaga de Miranda, 1000. D. Juan A vites, 500. Sres. Castéiló, .hermanos, 500. Cónsules del real consulado, 500. Conde de Sta. Colonia, líiOO, D. Francisco Basil, 200. D. Clemente Fernandez de Elias , 1…</t>
  </si>
  <si>
    <t>Á, Juan Bautista Goi</t>
  </si>
  <si>
    <t>Juan Bautista Goi Á</t>
  </si>
  <si>
    <t>Gaceta de Madrid n.º 351</t>
  </si>
  <si>
    <t>1430</t>
  </si>
  <si>
    <t>rencias con el clero; sus relaciones con los em­ D. Luis Elizdde por mano de su pleados públicos, tos sabios y los artistas ; y sus visitas apoderado D. Juan Bautista Goi* Á varios museos', monumentos de artes, manufacturas tia............... 36131 3 y establecimientos de beneficencia, y. por último su sa­ D. Francisco Fernan…</t>
  </si>
  <si>
    <t>A, Manuel</t>
  </si>
  <si>
    <t>Manuel A</t>
  </si>
  <si>
    <t>Noticia política o diplomática</t>
  </si>
  <si>
    <t>España</t>
  </si>
  <si>
    <t>Gazeta de la Regencia de España e Indias n.º 24</t>
  </si>
  <si>
    <t>196</t>
  </si>
  <si>
    <t>per Jos Pedroches de Córdoba. . r . : Cádiz 22 de febrero. Hoy ha fondeado en este puerto la fragata^ del rey Aspeen , ai mando deí alférez, de navio D. Manuel A:b z 1 , pro-1 cedente del Callao de Lima, de donde sFió el E4-.de' novie obre? g_,n. Í73D pesos fuertes para el rey;:y particulares, ?fd..quinta'es áe [ovara, cacao …</t>
  </si>
  <si>
    <t>Gazeta de la Regencia de España e Indias n.º 141</t>
  </si>
  <si>
    <t>1190</t>
  </si>
  <si>
    <t>miento de infantería de la Ua on; compañías á Don José María Freyre, D. Jóse García y D. Juan Astorga; ayudantía á D. Estanislao Gautier; tenencias á D. Manuel A!arcon, D Pablo la Cuesta, D. José Mariño, D. Juan Aguado, D. Manuel Diz &gt; Don Benito Yarela y D. Pablo del B J ; subtenencias á D. F ¿ruando Yara, D. Antonio Barbeir…</t>
  </si>
  <si>
    <t>A, Matías</t>
  </si>
  <si>
    <t>Matías A</t>
  </si>
  <si>
    <t>Gazeta de la Regencia de España e Indias n.º 33</t>
  </si>
  <si>
    <t>PDF p. 3</t>
  </si>
  <si>
    <t>iéndose recomendables por su celo los comandantes de escuadrón D Juan Pesquera, D. Martin Collado, D. F^ancicco Or rancia , D. Manuel Oviedo y Cosío, D. Matías A í;u ir­ re, D. Ramón Cardona, D. Francisco Goyenechey D José Gabriel Armijo. El Sr. mayor general de caballería coronel D. Diego Garda Con­ de , y el de infantería t…</t>
  </si>
  <si>
    <t>A, Miguel</t>
  </si>
  <si>
    <t>Miguel A</t>
  </si>
  <si>
    <t>Gazeta de la Regencia de España e Indias n.º 67</t>
  </si>
  <si>
    <t>33</t>
  </si>
  <si>
    <t>general, y en particular contra va­ rias, personas., á quienes se condenó, á prisión, multas , confisca iones ?/ arrestos. El comisario de ' guerra' D. Miguel A!ciña , acusado de i&gt;dt Agencia con los ge fes españoles, filé sentenciado á muerte, que sufrió, en el gfasis de Barcelona el 10 de abril , 8 ó 9 horas driles de la lo…</t>
  </si>
  <si>
    <t>Actuación administrativa o judicial</t>
  </si>
  <si>
    <t>Gaceta de Madrid n.º 353</t>
  </si>
  <si>
    <t>144</t>
  </si>
  <si>
    <t>stro decreto' dé- 9 de sunió ílé’ í 812.9. ’ 6 D. Francisco Bouligni......... V . 54DO . art. iii. Nuestro mini&gt;tró''dé'Hafcienda ijuéda' encargí-j 6 D. Miguel A nronio Oqiiendo........... ." .495° 1 do de la execuciou del presente decreto. = Firmado :=YOj 6 D. Josef Montero dé-la Concha....... 44^6 EL REI. = Pór S. M., el mi…</t>
  </si>
  <si>
    <t>A, Pablo</t>
  </si>
  <si>
    <t>Pablo A</t>
  </si>
  <si>
    <t>Gazeta de la Regencia de España e Indias n.º 113</t>
  </si>
  <si>
    <t>25</t>
  </si>
  <si>
    <t>Se ha divulgado estar nombrados para realizar la exacción dU la contribución do granos el marques áe Almenara con respecto á To­ ledo y la Mancha, y D. Pablo A"?ibas á Avila y Segovia y demás puntos de Calilla, íi uniendo salido aquel el 28. Una partida de patriotas apresó un correo militar con su escolta de 50 dragones poca …</t>
  </si>
  <si>
    <t>A, Pedro</t>
  </si>
  <si>
    <t>Pedro A</t>
  </si>
  <si>
    <t>Gazeta de la Regencia de España e Indias n.º 98</t>
  </si>
  <si>
    <t>20</t>
  </si>
  <si>
    <t>te. D. José Churracr., infantería de León , idetñ, D. Juan Maroto, primero de .Badajos, ídem. - D. Vicente S. Pedro, io fas feria de T.obera , í-Enn. D. Pedro A!varez , ir.fanfnín. drl Príncipe, ídem. T). 3 aan Vare*a , primóse ¡fe Sevilla, subí v'iefee. D. Tomas Galarraga, de Caofabría, i fue. Don José Aguib? , bifai'tcríc-,…</t>
  </si>
  <si>
    <t>Gaceta de Madrid n.º 269</t>
  </si>
  <si>
    <t>111</t>
  </si>
  <si>
    <t>o hai innume­ opcion ni destino, y concluida una cort:; tempora­ rables quiebras. Cada semana se publican en las ga­ da , que empleó con su compañero D Pedro A ritas 40 ó jo. La mayor parte de los bancos han nal en sacar diseños de los pavimentos y antigüe-</t>
  </si>
  <si>
    <t>A, Vicente</t>
  </si>
  <si>
    <t>Vicente A</t>
  </si>
  <si>
    <t>Suplemento</t>
  </si>
  <si>
    <t>Gaceta de Madrid n.º 226 (suplemento)</t>
  </si>
  <si>
    <t>...................................... . 2200 01 res , en Galicia, residente en Iolcdo, por.... 2100 D. Udef my&gt; Fernandez de Vargas, natural y resi­ D. Vicente A.enj &gt; , natural de Cislero, en J.eon, dente en Idem....................................................... 2 3CO reddeute en su pueblo, por.........................…</t>
  </si>
  <si>
    <t>Aaiórní, Juan</t>
  </si>
  <si>
    <t>Juan Aaiórní</t>
  </si>
  <si>
    <t>Gazeta de la Regencia de España e Indias n.º 64</t>
  </si>
  <si>
    <t>510</t>
  </si>
  <si>
    <t>Nombre detectado automáticamente; cotejar si se va a citar</t>
  </si>
  <si>
    <t>, pero se to­ maron al enemigo algunos fusiles y moch’.ks, matándoles algunos sol­ dados, sin haber perdido Fábrega mas que un hombre. — Eü mismo ¿iá D. Juan Aaiórní, Ocmandaété dvi puntó der L^ori , cogió:al; enemig 1 480 carneros en las inmediacibnes -de .Sai y Santa Eugenia, pue­ bles i Urdirte? á la Ciudad de Getóra. !:. …</t>
  </si>
  <si>
    <t>Lectura OCR</t>
  </si>
  <si>
    <t>Aáseb</t>
  </si>
  <si>
    <t>Gazeta de la Regencia de España e Indias n.º 138</t>
  </si>
  <si>
    <t>1162</t>
  </si>
  <si>
    <t>epes de ia izquierda del cxército, situadas tn la parte infe­ rior del rio Azava: la sexta dVigíen y !s* brigada de c» ballena róatíábáu por el mayo? general Aáseb écifp^bTÍ^á -EspejaCarpió y Mr-' jrialva.&amp;c/— El tn&amp;riscái dé centbo ’íí)\ Gallos; España observaba Ja parte inferior del Agueda con M cabaUeAié infantería de D. J…</t>
  </si>
  <si>
    <t>Aatonio</t>
  </si>
  <si>
    <t>Noticias militares</t>
  </si>
  <si>
    <t>Gaceta de Madrid n.º 335</t>
  </si>
  <si>
    <t>osef), capitán del regimiento de To­ Urbioa (D. Luis de), coronel del regimiento 3.0 ledo, 2.° de infantería de línea. de cazadores á caballo. Brun ( D. Aatonio), comandante de batallón de Urquíjo (D. Rafael de) , encargado de Negocios en infantería. Berlín. Cabrera (*D. Antonio), comisario ordenador , é in­ Várgas (D. Franci…</t>
  </si>
  <si>
    <t>Aba, Francisco Xavier</t>
  </si>
  <si>
    <t>Francisco Xavier Aba</t>
  </si>
  <si>
    <t>Gazeta de la Regencia de España e Indias n.º 116</t>
  </si>
  <si>
    <t>9</t>
  </si>
  <si>
    <t>iente proclama: Individuos del sexto exéreito : eí digno general, que hace dias anuncié-debía mandarnos,-acaba -de Huírsenos. Ei mariscal da cam. pe» D. Francisco Xavier Aba lía, será ei caudillo que desde hsy en adelante nos dirigirá y conducirá i la Hd; sui crédito, su talento y virtudes militares nos aseguran prósperos suc…</t>
  </si>
  <si>
    <t>Abad, Dionisio López</t>
  </si>
  <si>
    <t>Dionisio López Abad</t>
  </si>
  <si>
    <t>Gaceta de Madrid n.º 268 (suplemento)</t>
  </si>
  <si>
    <t>d., residente Doña María Antonia García de León, id., en Alcalá de Henares, por...................... 3200 por.................................. 2200 D. Dionisio López Abad , ¡d., residente Doña Josefa Espinosa, ex-agustina reco­ en S. Martin de la Vega, por............... 2200 leta del convento de Santa Isabel, por. 2200 D. …</t>
  </si>
  <si>
    <t>Abad, Francisco</t>
  </si>
  <si>
    <t>Francisco Abad</t>
  </si>
  <si>
    <t>Gazeta de la Regencia de España e Indias n.º 104</t>
  </si>
  <si>
    <t>A DE ESPAÑA É INDIAS DEL SABADO 10 DE AGOSTO DE 1811. ESPAÑA. Elche de la Sierra 8 de jtimo. — Parte que á esta junta supei'ior de la Mancha comunica D. Francisco Abad, comandante de la partí* da de su nombre. í6Excmo. Sr.: con la mayor satisfacción noticio á V. E. las veatajas conseguidas por los patriotas de mi mando en ?a …</t>
  </si>
  <si>
    <t>Gazeta de la Regencia de España e Indias n.º 155</t>
  </si>
  <si>
    <t>1301</t>
  </si>
  <si>
    <t>a/ Por .la parte del T¿ jo fortifican también el puerto de M ir*; vete, para lo cual exi­ gen ti £ bajadores á los pueblos yecincs. . . El.partidario D. Francisco Abad (Chaleco) ha cogido 48 drago­ nes franceses en Sta. Cruz de Múdela, y otros tantos juramentados de Ciudad-Real. .&lt; Escribían de Sevilla con fecha de 17 del pas…</t>
  </si>
  <si>
    <t>Abad, Genaro</t>
  </si>
  <si>
    <t>Genaro Abad</t>
  </si>
  <si>
    <t>Gaceta de Madrid n.º 302</t>
  </si>
  <si>
    <t>2</t>
  </si>
  <si>
    <t>cera compañía, e:i reemplazo de miento del arco de triunfo, y este monumento iic- D. Gabrl 1 Sobrado. gi ya á una uretra parte de la elevación que ha D. Genaro Abad , sargento primero , á subte­ ele tener. niente de la ocr-iva compañía, eo la vacante de También siguen abriéndose con suma activi­ D. Jorge Francisco Escudero. d…</t>
  </si>
  <si>
    <t>Abades, Josef María</t>
  </si>
  <si>
    <t>Josef María Abades</t>
  </si>
  <si>
    <t>Gaceta de Madrid n.º 257</t>
  </si>
  <si>
    <t>PDF p. 4</t>
  </si>
  <si>
    <t>a expresión siguiente: te de la novena compañía. hasta fin de febrero de este año. Segundo batallón. Lo que se avisa al público para que se halle en­ D. Josef María Abades, subteniente, á tenica- terado de que los efectos cancelados en el acto de que se da noticia han sido recogidos en la época te d* ia novena compañía. que m…</t>
  </si>
  <si>
    <t>rco , carrera de S. Gerónimo. Quarto batallón. D. Josef Domínguez , sargento primero, á sub­ teniente de ¡a quinta compañía, en reemplazo de TEATROS. D. Josef María Abades. D. Eugenio Perez, sargento primero, ¿ aban­ En el del Príncipe , á las siete de la noche, se re­ presentará por la compañía española el drama en cinco der…</t>
  </si>
  <si>
    <t>Abadía</t>
  </si>
  <si>
    <t>Gaceta de Madrid n.º 251</t>
  </si>
  <si>
    <t>1024</t>
  </si>
  <si>
    <t>bispo de P-vía, el patriarca de Ve­ cia que quisieron hacer resistencia fueron acuchi­ rtía ? y los obispos de Placencia, de Evreux, de llados , y el general Abadía se retiró á Astorga Nantes v de Tréveris salieron ayer para Italia. con la mayor precipitación. Sus Ernas, los cárdena es Dugruni , Rovere- F.l exército francés e…</t>
  </si>
  <si>
    <t>Gazeta de la Regencia de España e Indias n.º 125</t>
  </si>
  <si>
    <t>1019</t>
  </si>
  <si>
    <t>í 25 del pasado un exército francés se presentó á atacar el nues­ tro con el obj eto de batirlo y dispersarlo; mas nuestras tropas, manda­ das por el general Abadía, maniobraron á presencia del enemigo, y con marchas rápidas y precisas, supieron atraerlo ¿ la línea en que querían combatir, y allí le esperaron con la confianza…</t>
  </si>
  <si>
    <t>1167</t>
  </si>
  <si>
    <t>Con objeto de socorrer’á Ciudad-Rodrigo había reu­ nido el enemigo el exército del JVorte, que hizo venir del at.-que que había principiado contra el general Abadía en Galicia. Este exército se componía de 22 bat-illonf.-s de lá guardia imperial, y de la divi­ sión de'infantería del general Souham , que son tropas recien veni…</t>
  </si>
  <si>
    <t>Gazeta de la Regencia de España e Indias n.º 158</t>
  </si>
  <si>
    <t>1321</t>
  </si>
  <si>
    <t>rofeo en la capilla de! glorkso patrón de España (1). (1) Añádase esta circunstancia á la relación, publicada en nuestro nú­ mero 123, pág. 1005, del general Abadía sobre la jornada d-d 27 de agos­ to, en que nuestras trocas, después de haber defendido cm sumo valor y</t>
  </si>
  <si>
    <t>1322</t>
  </si>
  <si>
    <t>or de Galicia el oficio que se insertó en la gaceta de la Regencia del 19 de setiembre , pág. 987. Cotéjese la relación tan juiciosa como modesta del general Abadía con la superficial y arrogante, que dió sobre el mismo suceso el general ene­ migo Dorsenne , y publicaron de oficio los periódicos franceses. Después de haber re…</t>
  </si>
  <si>
    <t>Gaceta de Madrid n.º 349</t>
  </si>
  <si>
    <t>s turcos á bayonetazos, y se Las noticias que llegan del exéceito son que apoderó en un momento de este puesto, a-pesar los franceses han obligado al general Abadía ¿re­ del terrible fuego de los enemigos. Los turcos acu­ tirarse á toda priesa, y que el enemigo espera re­ dieron á socorrer á los suyos en 22 barcos; pero fuerz…</t>
  </si>
  <si>
    <t>Abarrategui, Juan Agustín</t>
  </si>
  <si>
    <t>Juan Agustín Abarrategui</t>
  </si>
  <si>
    <t>Noticias extranjeras</t>
  </si>
  <si>
    <t>Gaceta de Madrid n.º 346</t>
  </si>
  <si>
    <t>generación en generación y de siglo en presidente de la insinuada junta criminal de Mála­ siglo, ha resistido siempre y resiste todavía á los ga ; á D. Juan Agustín Abarrategui, alcalde mas caprichos de la inconstaufe fortuna. Siempre que antiguo del mismo tribunal de Granada , para la ha habido en Francia un gobierno ilustra…</t>
  </si>
  <si>
    <t>Abascal, Vicente</t>
  </si>
  <si>
    <t>Vicente Abascal</t>
  </si>
  <si>
    <t>Gaceta de Madrid n.º 73</t>
  </si>
  <si>
    <t>y los caractéres zoológicos de las conchas que encierran : ha hecho ver que on grao Décimo batallón. número de estas conchas, aunque pertenecen á gé­ D. Vicente Abascal, sargento primero , á sub­ neros conocidos, y ciertamente de agua dulce, teniente de la quarta compañía en reemplazo de son sin embargo de especies desconocid…</t>
  </si>
  <si>
    <t>Abascil, José</t>
  </si>
  <si>
    <t>José Abascil</t>
  </si>
  <si>
    <t>Gazeta de la Regencia de España e Indias n.º 45</t>
  </si>
  <si>
    <t>PDF p. 6</t>
  </si>
  <si>
    <t>con 2 cánones; pero no se atrevieron, ¿acometer, y huyeron á la madrugada, siguiente. Se distinguieron en esta o rasión el teniente D Pió María Ruiz, D. José Abascil, D. José Antonio de Ascguinolaza, comandante de lanceros de S. Nicolás ¿ el sargento segundo de infáat.ría de México José Chavez, que quitó ai enemigo uno de sus…</t>
  </si>
  <si>
    <t>Abáselo, Mariano</t>
  </si>
  <si>
    <t>Mariano Abáselo</t>
  </si>
  <si>
    <t>'brigadier. D. José Salios Villa, coíenel. D. Pedro Leen, m^yor de plaza. D. Ignacio Garuargo, mariscal. U. Mariano Hidalgo. D. Agus­ tín Marroquin. D. Mariano Abáselo, mariscal. I&gt;. Luis Merelts, csroncl • :</t>
  </si>
  <si>
    <t>Abasólo, Mariano</t>
  </si>
  <si>
    <t>Mariano Abasólo</t>
  </si>
  <si>
    <t>776</t>
  </si>
  <si>
    <t>es. D. Ignacio Jo*é Allende, generalísimo. D. Mariano Xiroenez, capitán general. D. Juan de Aldama, teniente general. D; Manuel Smta María, mariscal. D. Mariano Abasólo, mariscal. D. Ignacio Camargo, mariscal. D. Nicolás Zapata, mariscal. Don Francisco I^nragorta, mariscal. D. Vicente Valencia, director de ingenieros.- B Mana…</t>
  </si>
  <si>
    <t>Abbc</t>
  </si>
  <si>
    <t>Gazeta de la Regencia de España e Indias n.º 35</t>
  </si>
  <si>
    <t>smo tiempo el dia 24, las primeras sobre Monreal en donde se hallaba la división de Kliski de 2000 infantes y 200 caballos, y la segunda sobre la del general Abbc de 1500 infantes y 6o caballos , situada en Teruel. La reunión de Kliski con Abbe paralizó este proyecto , viéndose el gene­ ral Villacampa atacado en su posición, …</t>
  </si>
  <si>
    <t>Abbé</t>
  </si>
  <si>
    <t>Gaceta de Madrid n.º 47</t>
  </si>
  <si>
    <t>300</t>
  </si>
  <si>
    <t>s$ apoderaban cogidas del xió.°y del j.° ligero, y los arrojó has­ de la posición del Coll de Alba , las otras iban mar­ ta ei pie de ia muralla. E! general Abbé, coman­ chando en semicírculo, apoyándose en el Ebro por dante de L trinchera, y el coronel del 44.0 Lafosenrima v por debaxo de la plaza. El enemigo fue se marcharo…</t>
  </si>
  <si>
    <t>Gaceta de Madrid n.º 229</t>
  </si>
  <si>
    <t>936</t>
  </si>
  <si>
    <t>del estado mayor general, = Saint-Cir Nugues. Mathieu, venia por Esparraguera á apostarse ea Bruch y Cobalto. Madrid 16 de agosto. Hoi ai amanecer el general Abbé ha marchado El REI nuestro Señor ha celebrado hoi conse­ á reconocer y atacar esta posición formidable, cu­ jo de miaistroi. yas dilatadas y difíciles avenidas serp…</t>
  </si>
  <si>
    <t>Abdlcntc, Roqae</t>
  </si>
  <si>
    <t>Roqae Abdlcntc</t>
  </si>
  <si>
    <t>Gazeta de la Regencia de España e Indias n.º 164</t>
  </si>
  <si>
    <t>137</t>
  </si>
  <si>
    <t>onio Basoeo , 25000. D. Juan Diaz González , 3000, F&lt;1 mar­ ques de 8. Juan de Pavas, 1000. D. Sebastian do lleras, por sí , su esposa ^'hijós,'4000. D. Roqae Abdlcntc , D. Gregorio Saenz de Sicilia y D. Ra­ món Santos Valiente, 3000. El capitán D, Manuel Urquiaga, 1000. D. José</t>
  </si>
  <si>
    <t>Abercombrie</t>
  </si>
  <si>
    <t>Gazeta de la Regencia de España e Indias n.º 76</t>
  </si>
  <si>
    <t>602</t>
  </si>
  <si>
    <t>edor á todo elogio, y tengo mucho sentimiento en verme privado por algún tiempo de sus servicios á causa de la he­ rida que ha recibido. El honorable teniente coronel Abercombrie, comandante de la segunda brigada de la segunda división, y el mayor T E.trange dei tercer regimiento merecen mención particular y nada puede aventa…</t>
  </si>
  <si>
    <t>Abercrnmbi, John</t>
  </si>
  <si>
    <t>John Abercrnmbi</t>
  </si>
  <si>
    <t>Gaceta de Madrid n.º 80</t>
  </si>
  <si>
    <t>29</t>
  </si>
  <si>
    <t>navios de S. M. empleados en el Cabo de Bue­ lia por otra* muchas de un mérito extraordinario. na-Esperanza y en los mares vecinos, y por el teniente general John Abercrnmbi, comandante REINO DE ITALIA. de las fuerzas de S. M., y Martin Vandrnavesen, general de división, miembro de la legión de Ho­ Milán 12 de febrero. nor , …</t>
  </si>
  <si>
    <t>Abercrombí</t>
  </si>
  <si>
    <t>7</t>
  </si>
  <si>
    <t>extensos sohre una obra inglesa que hasta la Isla Rodríguez, me dirigí á este último trata de la Siilia, escrita por Mr. Leckie, que ha punto con el general Abercrombí, comandante en vivido mucho tiempo en aquella isla. El objeto de gefe de las tropas, que se hallaba á bordo de la1 ejta obra es h^cer ver al pueblo ingles los …</t>
  </si>
  <si>
    <t>la división de Bengala escoltada por el Ilustre. art. v. Este coflvoi irá equipado por lo» ba­ Entonces el general Abercrombí y yo fuimos de ques convenientes con las provisiones y municio­ pireccr que era mejor no dexar fondear esta divi­ nes necesarias á expensas del gobierno británico, sión , sino marchar con ella á la Isl…</t>
  </si>
  <si>
    <t>Abercrombry</t>
  </si>
  <si>
    <t>Gazeta de la Regencia de España e Indias n.º 55</t>
  </si>
  <si>
    <t>427</t>
  </si>
  <si>
    <t>las divisiones. En. la noche, deí 21 recibí aviso de- que se hebia avistado la división de Bengala, escobada por el Ilustre $ entonces resolvimos el general Abercrombry y yo, que. sin mas detención se emprendiese e! ataque de la Isla de Francia sin esperar las rrop.\s del CEbo. A51 pues toda la división se hizo á la vela, é h…</t>
  </si>
  <si>
    <t>Abercromhy</t>
  </si>
  <si>
    <t>55</t>
  </si>
  <si>
    <t>de guerra impuestas por Bonaparta al Aus­ tria se exigen con un rigor extraordinario. Oficios relalizos á la toma de la Isla de Francia. I. Del mayor general Abercromhy , comandante de .las fuerzas terrestres al lord Minio , gobernador general. “ Port-Louis, Isla de Francia , Tde diciembre de 1810. — Tuve la,;hpnra de. inform…</t>
  </si>
  <si>
    <t>Abhé</t>
  </si>
  <si>
    <t>Gaceta de Madrid n.º 31</t>
  </si>
  <si>
    <t>durante el dia 15 , y estrechando na inmediata cita viera moi temprano en el Coll la plaza eo los tres dias siguientes de manera que del Alba , y al general Abhé con el 114.0 y el 115.® no quedara fuera de ella ni una guardia ni un fac­ i la Roqueta, á fin de relevar ana parte de la pri­ cionario, mediante las fatigas del señ…</t>
  </si>
  <si>
    <t>Abifezm, José</t>
  </si>
  <si>
    <t>José Abifezm</t>
  </si>
  <si>
    <t>Gazeta de la Regencia de España e Indias n.º 163</t>
  </si>
  <si>
    <t>1372</t>
  </si>
  <si>
    <t>á O. Cirios Rtd&amp;itra, D. Cesáreo Hsrían y D. José Alonso: ayudantías á D. José Mariano Ccsaus y D. Pedro Hernández : empízios de capitanes segundes á D. José Abifezm, D. Manuel Navarro, I), Vicente jdferde? j I?. Rodrigo Flores Picón: (esencias á D. Juan B *yona O. Mariano Caballé**, D. Pedro Alcántara GaÍindo, O. Juan Kamen …</t>
  </si>
  <si>
    <t>Abollo, Andre</t>
  </si>
  <si>
    <t>Andre Abollo</t>
  </si>
  <si>
    <t>1191</t>
  </si>
  <si>
    <t>mualdo Cortazar y D. José Alguacil Car­ rasco; los de teniente á D. Ramón Herveila, D. José de las Hera?, D. AN’xandro Rab’ej, D. Celestino' Cuella , D. Andre» Abollo, Don José Cubilar, D. Anselmo Muiré, D. José María Garza, í). «Fosé Navajas y D. Verdura Mosquera; los de subteniente á D José González Amigo, D. José Montes, D…</t>
  </si>
  <si>
    <t>Abrahamson</t>
  </si>
  <si>
    <t>Gaceta de Madrid n.º 133</t>
  </si>
  <si>
    <t>53</t>
  </si>
  <si>
    <t>A. Copenhague jj de abril. Dresde 8 de abril. Están ocupados tres literatos mui distinguidos, Se está formando actualmente en esta capital que son el capitán Abrahamson, y ios profesores una guardia nacional, que se.compondrá de dos Nirup y Rahbeck, en formar una colección selec­ batallones de infantería, de á 800 hombres cad…</t>
  </si>
  <si>
    <t>Abrantv-s</t>
  </si>
  <si>
    <t>Gaceta de Madrid n.º 322</t>
  </si>
  <si>
    <t>finito y magnitud aparente, has­ lo destruyen, nos hallaremos cortados de nuestros ta que se oculte ud todo. A fines de noviembre inmensos almacenes d Abrantv-s. Ayer recibimos estará distante de la tierra ci doble de lo que está orden deenvirr los enfermos á lo interior del pais, el sol. y de tomar raciones de galleta y arro…</t>
  </si>
  <si>
    <t>Abril, Juan</t>
  </si>
  <si>
    <t>Juan Abril</t>
  </si>
  <si>
    <t>Gazeta de la Regencia de España e Indias n.º 99</t>
  </si>
  <si>
    <t>792</t>
  </si>
  <si>
    <t>drid, y á hs 12 del dia de hoy aun procuran que ignore el público su llegada, de lo que se infiere que no ha traído nuevas favorables. La partida de D. Juan Abril ha cogido ea las cercanías de Totlelodones 7 salteadores, que de algún tiempo á esta parte robabas á cuantos iban y venían de Castilla; á 3, mandó pasar por las arm…</t>
  </si>
  <si>
    <t>28</t>
  </si>
  <si>
    <t>e patriotas, mas ó menos numerosas: entre las cuales ron las mas nom­ bradas las de D- Gerónimo Saornil, D. Torras P.-íici , D. Fran­ cisco Castilla, D. Juan Abril, Marlgucla, Morales , S dechero, Or­ tega, Fuente, Campillo, el Mé lico, el Cocinero &amp;c. Si á esto se agregan la división navarra del coronel Espoz y Mi a , y la? …</t>
  </si>
  <si>
    <t>66</t>
  </si>
  <si>
    <t>os unos 30'juramentados, muriendo uu capitán A anees del 55 de linea que la mandaba: las guerrillas tuvieren un herido. Djs soldados de la partida de D. Juan Abril cogieron el 10 de eetnbre eja las viñas del Mora!pueblo dala provincia, de Madrid, á 10 franceses qus Labian entrado á comer uvas, después de al­ guna resistencia …</t>
  </si>
  <si>
    <t>Abrisguieta, Andrés</t>
  </si>
  <si>
    <t>Andrés Abrisguieta</t>
  </si>
  <si>
    <t>438</t>
  </si>
  <si>
    <t>44 1 D. Rafael Rodrigues.......................... 2888 2 D. Ped ro del Campo, por su apode­ 6 D. Angel Gerónimo Alvart-z............... 63r7 *7 rado D. Andrés Abrisguieta.......... 1444 1 D. Domingo Antonio de Herrero...,,. - 180 17 2 Doña Manuela Ibarrola...................... 433 2 i D. Manuel Luron.................. .....…</t>
  </si>
  <si>
    <t>Ace, Domingo</t>
  </si>
  <si>
    <t>Domingo Ace</t>
  </si>
  <si>
    <t>Gazeta de la Regencia de España e Indias n.º 83</t>
  </si>
  <si>
    <t>656</t>
  </si>
  <si>
    <t>656 En el regimiento de infantería, primero de Burgos, Ira conferido el Consejo de Regencia compañías á los tenientes D. Francisco do Oña, D. Domingo Ace vedo, D. Juan Recio, D. Antonio Hida'go y D. José Soldes, y al ayudante D. Valentín Alegre; ayudan tí i al teniente D Joaquín Henriquez ; tenencias í los subtenientes D. J *…</t>
  </si>
  <si>
    <t>Ace, Pedro</t>
  </si>
  <si>
    <t>Pedro Ace</t>
  </si>
  <si>
    <t>sia- .metropolitana de México , &gt;un anillo de un- sólo diamante que so valuó en 1209: El ?vl. E. arzobispo, 30000. E! cabildo, 2.Ü-000. 131 coro­ nel D. Pedro Ace verlo , 300. El mariscal de Castilla , 4000. .1). -Antonio Pi­ nero, D. Antonio García y IX José Sagarraga, 25000. El conde de Iícgla, 4000. D. Eustaquio de la Cues…</t>
  </si>
  <si>
    <t>Acereda, Josef Perez</t>
  </si>
  <si>
    <t>Josef Perez Acereda</t>
  </si>
  <si>
    <t>Gaceta de Madrid n.º 334</t>
  </si>
  <si>
    <t>1382</t>
  </si>
  <si>
    <t>ia, habilitado. Para el del Cubo de la Sierra, vacante por Para el de Almarza,'vacante por muerte de muerte de D. Gregorio Náxera , sin los anexos de D. Josef Perez Acereda ,. á D. Juan Fernando Vi­ Sepúlveda y Matute, al ex carmelita descalzo Don cente, cura de Gallinero. Francisco Iñiguez. Para el de Dcrroñadas y el Royo su…</t>
  </si>
  <si>
    <t>Acevedo, Juan</t>
  </si>
  <si>
    <t>Juan Acevedo</t>
  </si>
  <si>
    <t>13</t>
  </si>
  <si>
    <t>prima. rías mas ó menos considerables, y el mutilé ha Para el curato de Torieg hindo , vacante por padecido mucho. muerte de D Manuel de * Puerta , a D. Juan 1 Acevedo , presentero cx-premostratense. Cherbttrgo 30 de octubre. Para el Oe las Cuevas, vacante por promoción de D. Gaspar Me'ino al de á D. AleAyer entró el corsario…</t>
  </si>
  <si>
    <t>Aciden</t>
  </si>
  <si>
    <t>Gazeta de la Regencia de España e Indias n.º 169</t>
  </si>
  <si>
    <t>1415</t>
  </si>
  <si>
    <t>elante da Calais coa 13 velas do la famosa es madrina france­ sa , y el resultado ha sido aproar una prama de 16 cañones de á 18. El 14 de octubre el capitán Aciden quemé cerca de Rose H ad al corsario francés ia Golondrina ch 6 cañones y 30 hombres; era de Stiraisund, y venia de Dastzi k. E-* la tarde del propio día apresó e…</t>
  </si>
  <si>
    <t>Aconta, Antevio</t>
  </si>
  <si>
    <t>Antevio Aconta</t>
  </si>
  <si>
    <t>Gazeta de la Regencia de España e Indias n.º 165</t>
  </si>
  <si>
    <t>enci&amp;tguido escuadro® de lanceros de Utrera, y D. J^.qtFn F-useca, nrp:c--i.s,éo al do Colatrava.; &amp;¿nd£)¿fiasá bis te&amp;i«’- tea gu-uiuades ¿e capltan D. Antevio Aconta, d* drág&amp;ans ét Vil j v co-ua, y .O. Lázaro de Sierra, d:l citaste de Móntela; teñeseis* o ü. J-,.:é E'í.4íVc.r, teñirá te ck-1 ufsiiuo de Utrera, y ú ios &amp;lfé…</t>
  </si>
  <si>
    <t>Acosta, Lorenzo</t>
  </si>
  <si>
    <t>Lorenzo Acosta</t>
  </si>
  <si>
    <t>Gazeta de la Regencia de España e Indias n.º 160</t>
  </si>
  <si>
    <t>1348</t>
  </si>
  <si>
    <t>bella, 4. Francisco Reyes , 13 y l. Ramón Manzano , li y 2. Doctcr D. José Gutieri ez de Arroyo , 250. Doctor I&gt;. Miguel de Andino, 214. Pres­ bítero D. Lorenzo Acosta, 250. Id. I). Pascual González, 114 y 3. Id. D .n José Andrés Pena, 15. Varios individuos retirados que han sérvalo en el re­ gimiento de milicias de infanterí…</t>
  </si>
  <si>
    <t>Acosta, Pedro</t>
  </si>
  <si>
    <t>Pedro Acosta</t>
  </si>
  <si>
    <t>Gazeta de la Regencia de España e Indias n.º 87</t>
  </si>
  <si>
    <t>696</t>
  </si>
  <si>
    <t>ado en 2 meses, 18. Ei teniente de miliciasB. Juan Paredes, por el de uno id. en 4 meses , 36. B. Juan Martínez , garzón del batallón de Pardos , 18. D. Pedro Acosta , 204. El teniente coronel B. Pedro Val verde , por mi­ tad de su oferta en cada año, 50. D. Nicolás Peñalver y Cárdenas, co­ mo curador del marques de Areos D. …</t>
  </si>
  <si>
    <t>Acroia, Jostf María</t>
  </si>
  <si>
    <t>Jostf María Acroia</t>
  </si>
  <si>
    <t>Gaceta de Madrid n.º 365</t>
  </si>
  <si>
    <t>vacan­ se habían ahogado enfrente de Zandvoorr. Va­ te por muerte dt D. Josef Hidalgo, al p.esbítero rios cadáveres de otros han sido arrojados des­ D. Jostf María Acroia. pees por las olas á la playa. Todos los que han Para el de Aic..z¿r y Barpces, vac-mte por fa­ logrado arribar y escapar del naufragio, han sido llecimient…</t>
  </si>
  <si>
    <t>Acton</t>
  </si>
  <si>
    <t>Gaceta de Madrid n.º 308</t>
  </si>
  <si>
    <t>27</t>
  </si>
  <si>
    <t>IMPERIO FRANCES. ,, N.ípoles ig de setiembre. Acaba de recibirse aquí la noticia de haber fa­ Coblentza g de octubre. . llecido en Palermo el famoso general Acton. Sn Inmed'atamentt q.e su. o este departamento I* funeral, que era magnífico, ha sido perturbado por latida de b. M. el Emperador, solicitó por media m accidente si…</t>
  </si>
  <si>
    <t>Gaceta de Madrid n.º 330</t>
  </si>
  <si>
    <t>136</t>
  </si>
  <si>
    <t>7 del mes pasado. En aquella isla se creia que rosamente el sitio de aquella plaza. la saiida repentina del lord Bentiock para la Ingla­ La viuda de! general Acton, ministro de Sici­ terra era eon el objeto de tomar las medidas cor­ lia, saldrá, según se dice, con su familia de aque­ respondientes para la ocupación de la Sici…</t>
  </si>
  <si>
    <t>Acuña, Esmeraido</t>
  </si>
  <si>
    <t>Esmeraido Acuña</t>
  </si>
  <si>
    <t>Gazeta de la Regencia de España e Indias n.º 58</t>
  </si>
  <si>
    <t>460</t>
  </si>
  <si>
    <t>n Sigiienza, D Matías Te­ resa, D. Juan González , D Manuel Calvantes, D. Jé Mora, Don Juan Morgaez, D Alfonso Gírela, D. JranGamez , D. L *&gt;n Acnña, D. Esmeraido Acuña, D. José Correa Ioañez,D. Ramón Salas y Don Julián Retana. Buques que han recogido correspondencia en la administración de correos de Cddtz durante la semana …</t>
  </si>
  <si>
    <t>Ada</t>
  </si>
  <si>
    <t>Gazeta de la Regencia de España e Indias n.º 38</t>
  </si>
  <si>
    <t>70</t>
  </si>
  <si>
    <t>tria) ha: llegado á Burgos con muy poca escolta: dicen unos que va á relevar á Massena., otros q ie viene á gobernar esta provincia, y otros que pasa d Ada dridv . ,j Valencia 22 de febrero;:El-coronel I); Francisco. Espozsy Midi ha dirigid) a la junta de esta ciudad el pslrte siguiente: « Exctno Sr. Me cabe el honor de poner…</t>
  </si>
  <si>
    <t>Adames, Francisco de Paula</t>
  </si>
  <si>
    <t>Francisco de Paula Adames</t>
  </si>
  <si>
    <t>Gazeta de la Regencia de España e Indias n.º 158 (suplemento)</t>
  </si>
  <si>
    <t>eda, D. Jasé Capilla, D. Joaquín Covisa, D. Ramón Lodares y D. Salvador d® Les; ayudantía á D. Francis­ co de la Torre; tenencias á D. Manuel Medina, D. Francisco de Paula Adames, B. Rafael del Rio y D. Pedro Aguila? A vala; y subtenencias i. D. José Mateo, D. Ramón Hernández, D. Mariano Chuliz, D. Matías Farras, D. Modesto d…</t>
  </si>
  <si>
    <t>Adan, Antonio</t>
  </si>
  <si>
    <t>Antonio Adan</t>
  </si>
  <si>
    <t>Gaceta de Madrid n.º 78</t>
  </si>
  <si>
    <t>312</t>
  </si>
  <si>
    <t>nuel), individuo de nuestra guar­ Ríos (D. Pedro), cabo primero del regimiento de dia de honor de Sevilla. Toledo, 2.° de infantería de línea. Yarza (D. Antonio Adan de), vecino de Bilbao. Riva y Coca (D. Benito de la), administrador de Ibañet (D. Miguel), secretario y contador de nues­ • correos de Salamanca. \ tra montería …</t>
  </si>
  <si>
    <t>Adelaida, María Francisca</t>
  </si>
  <si>
    <t>María Francisca Adelaida</t>
  </si>
  <si>
    <t>Gaceta de Madrid n.º 318</t>
  </si>
  <si>
    <t>D. Manuel Barbería.................... . 1670a 17 D. Luis Germán de Soxo.............. D. Juan Seitre....... ......................... 3294 66622 10 Doña María Francisca Adelaida £1 duque de Cotadilla................... 9615a t Sf Rouyer....................... ................ 19440 D. Josef Vasallo...........;...............…</t>
  </si>
  <si>
    <t>Adlercreutz</t>
  </si>
  <si>
    <t>Gaceta de Madrid n.º 109</t>
  </si>
  <si>
    <t>433</t>
  </si>
  <si>
    <t>sde que es­ que van destinadas á dichas ferias. te último se ha declarado aotor de ciertos escritos ART. 11. ,,De consiguiente quedan abolidos los el general Adlercreutz guarda un profaudo si­ derechos que se cobraban por razón de dichas es­ lencio. coltas , y en adelante solamente se exigirán los de­ El antiguo almirante Cro…</t>
  </si>
  <si>
    <t>Adlerkreutz</t>
  </si>
  <si>
    <t>Gaceta de Madrid n.º 101</t>
  </si>
  <si>
    <t>da en todos tiempos por loa prusiano ha mandado salir pa^jl Tabor dos regi­ vecinos y paisanos. mientos de infantería y dos de caballería, y pare­ El general Adlerkreutz ofreció inmediatamente ce que ya se ha restablecido el orden en aquella un premio de too escudos al que le descubriese cL provincia. autor del escrito anónim…</t>
  </si>
  <si>
    <t>Adolfo, Gustavo</t>
  </si>
  <si>
    <t>Gustavo Adolfo</t>
  </si>
  <si>
    <t>Fallecimiento, herencia o memoria</t>
  </si>
  <si>
    <t>Gazeta de la Regencia de España e Indias n.º 152</t>
  </si>
  <si>
    <t>imea. Éi deseo de ver á un hermano suyo le había movido á venir á Ber­ lín, su patria, donde ha fallecido de edad de 70 años. El conde de Gottorp (el rey Gustavo Adolfo) después de haber permanecido bastante tiempo arrestado en Tonningen , ha consegui­ do licencia para ir á Suiza, y ha llegado el 24 de setiembre á Ba­ stís a …</t>
  </si>
  <si>
    <t>Adran, Temas</t>
  </si>
  <si>
    <t>Temas Adran</t>
  </si>
  <si>
    <t>Gazeta de la Regencia de España e Indias n.º 128</t>
  </si>
  <si>
    <t>1047</t>
  </si>
  <si>
    <t>i ; tenencias i D. Francisco Gramari, D. Felipe Caballero,D. Vicente Mosquera , D. Anselmo UUoa y á D. M .miel Parta; subtenencias á D. José Gonzauz, D. Temas Adran, D. José Gar­ cía, D. Silvestre Ibarra, I). Cayetano Várela, D. José -Cernadas, y á D. Manuel Sánchez Mayoral; sugbtenencia- de ~~ a Don Ignacio Parada.</t>
  </si>
  <si>
    <t>Adver</t>
  </si>
  <si>
    <t>Gaceta de Madrid n.º 271</t>
  </si>
  <si>
    <t>1121</t>
  </si>
  <si>
    <t>u último sueño crin el HUNGRIA. valienre , cuyo dia postrimero ha sido alumbrado por la victoria ? Semlin ¡2 de agosto. Extracto del Reper tari y del general Adver tiser Se presóme q le el gran visir atacará á los ser­ del viémes 12. de julio vios antes de intentar el paso del Danubio. Los turcos y los rusos respetan con la m…</t>
  </si>
  <si>
    <t>Aecverlo, Joaquín</t>
  </si>
  <si>
    <t>Joaquín Aecverlo</t>
  </si>
  <si>
    <t>Gazeta de la Regencia de España e Indias n.º 25</t>
  </si>
  <si>
    <t>19</t>
  </si>
  <si>
    <t>a , 15. D. IVIarliut "Flores , 500. D. José Fernandez , 200. D. Antonio Palacio, director de. la venta del tabaco , 100. D. José Luis Calderón , 300. D. Joaquín Aecverlo 309. K! real tribunal clel- consulado , del fondo de averías y contrib'uewiPde boletas que han ctíbido eifeste año al comercio, 15;226.1&gt;. An­ tonio Camus , …</t>
  </si>
  <si>
    <t>Agar, Pedro</t>
  </si>
  <si>
    <t>Pedro Agar</t>
  </si>
  <si>
    <t>851</t>
  </si>
  <si>
    <t>José -Socaparte llegó á Madrid el 15 del pasado. ARTICULO DE OFICIO. Habiendo espirado el 8 del cemente los 4 meses de la presidencia del Excm©. Sr. D. Pedro Agar, individuo del Consejo de Regencia, le ha sucedido en este importante cargo el Serme.. Sr. D. Gabriel Ciscar, según Ies términos prevenidos en el reglamento. Nota d…</t>
  </si>
  <si>
    <t>Agár, Pedro</t>
  </si>
  <si>
    <t>Pedro Agár</t>
  </si>
  <si>
    <t>Gazeta de la Regencia de España e Indias n.º 129</t>
  </si>
  <si>
    <t>23</t>
  </si>
  <si>
    <t>. IX José Bautista Pau, 20Q. .D. Pedro Sorel-a, 200, D..Francisco. Matali40. ©. Bartolomé Mayfot,- 200., ,Q|.; Rampq - Valiente, 1000. E! Sr: Regente D. Pedro Agár, 16^0 y'ÍO nirs/É! Sr. Regente Don Gabriel Ciscar, 16980 y 10 mrs.</t>
  </si>
  <si>
    <t>Agnado, Pedro</t>
  </si>
  <si>
    <t>Pedro Agnado</t>
  </si>
  <si>
    <t>as. Para el de Monasterio, vacante por promoción Para ei de Villar de! Ala, vacante por promo­ * de D. Antonio Poza al de Miño, al ex-premos- ción de D. Pedro Agnado a! de Alconabar, al ex­ tratense D. Raimundo Míreles. franciscano D. Francisco García. Para el de la Losilla , vacante por promoción Para el de Aldea el Pozo y V…</t>
  </si>
  <si>
    <t>Agniriano, Máximo</t>
  </si>
  <si>
    <t>Máximo Agniriano</t>
  </si>
  <si>
    <t>Gaceta de Madrid n.º 34</t>
  </si>
  <si>
    <t>y las que obran por teniente de la quinfa compañía. medio de poleas de comunicación ó de trócolas. El movimiento rectilíneo continuo, bien tenga una D. Máximo Agniriano, subteniente, á abande­ velocidad uniforme, ó bien una velocidad variable se­ rado. gún una leí dada, se puede mudar en circular continuo, Octavo batallan. qq…</t>
  </si>
  <si>
    <t>Agnsrn, Mauricio</t>
  </si>
  <si>
    <t>Mauricio Agnsrn</t>
  </si>
  <si>
    <t>Gaceta de Madrid n.º 329</t>
  </si>
  <si>
    <t>......................... 3700 su nombramiento por el ministerio á que corros- El señor barón Nardor........... ................. 66 18 ponda. El Sr. D. Mauricio Agnsrn.................... 80 art. iv. Los provistos entrarán al goce de sn Los Sres. D. Basilio y D Josef Sa.ccsueldo desde el dia que se presenten en su destino. d…</t>
  </si>
  <si>
    <t>Agnst</t>
  </si>
  <si>
    <t>Francisco Perez de Armijo. nandez , Justo Mas y Camas. Para el de Qüertar, vacante por ascenso de En el de la Cruz, á las quatro déla tarde, se ext­ D. Agnst’in Xcrez al de Huerqr Cajar, al presbí­ ernará la comedia en tre- actos titulada Si una vez lle­ tero D. Josef Gómez, cura ecónomo de aquella ga á querer la mas firme es…</t>
  </si>
  <si>
    <t>Agostía, Juan</t>
  </si>
  <si>
    <t>Juan Agostía</t>
  </si>
  <si>
    <t>Gaceta de Madrid n.º 214</t>
  </si>
  <si>
    <t>74</t>
  </si>
  <si>
    <t>a Badajoz otra cosa que la Vergii iiza de Echaniz (D. Antonio de), alcalde de Azpeitia. trabar emprendid» inútilmente estas dos operacio­ Ezterripa ( D. Juan Agostía). nes. La pérdida dé ios ingleses en una y otra ha M.rtinez ( D. J 'Sef), cónsul en Dunquerqae. sido de 8® hombres por lo menos de sus propias Martínez ( D. Lore…</t>
  </si>
  <si>
    <t>Agreil</t>
  </si>
  <si>
    <t>Gaceta de Madrid n.º 204</t>
  </si>
  <si>
    <t>831</t>
  </si>
  <si>
    <t>nme­ sodichas de la monarquía ninguna espacie de mer­ diaciones de esta ciudad una f ran revista. cancías de algodón selladas ó no sel ada*, y ba­ £1 consejero Agreil va á salir de un dia á otro xo qualquier denominación que sea. Li s contra­ para Túnez, a fin de tratar de paz con aquel a re­ ventores serán castigados con la …</t>
  </si>
  <si>
    <t>Aguacil, Antonio</t>
  </si>
  <si>
    <t>Antonio Aguacil</t>
  </si>
  <si>
    <t>Gaceta de Madrid n.º 361</t>
  </si>
  <si>
    <t>147</t>
  </si>
  <si>
    <t>titulada Blanca, ó los Venecianos, y el sai­ juntas se formarán tres compañías. nete el Duende fingido. D. JosefCustodio queda nombrado comandan­ te; D. Antonio Aguacil ayudante, y D. Antonio En el mismo teatro, á las siete de la noche, se eje­ Gutiérrez abanderado. cutará la comedia de figurón en tres actos titulada El Asimi…</t>
  </si>
  <si>
    <t>Aguado, Bernardo Díaz</t>
  </si>
  <si>
    <t>Bernardo Díaz Aguado</t>
  </si>
  <si>
    <t>ticos y de Hacienda quedan encargados del cumplimien­ descalzo, residente en Valdeolmos, por 2200 to del presente decreto. = Firmado YO EL REI = Por D. Bernardo Díaz Aguado, id- , residen­ 5 M., el ministro secretario de Estado as Firmados Ma­ te en Fuensalida, por................................. 2 2C9 riano Luís de Urquijo.…</t>
  </si>
  <si>
    <t>Aguado, Gaspar</t>
  </si>
  <si>
    <t>Gaspar Aguado</t>
  </si>
  <si>
    <t>conde’ de Motcjjvima, en una letra sobre Lorea , 3000 El •provisor t&gt;. Mariano Martin Esperanza , 3000. 1). Juan Dmiec , 300. Ei señor E E. V, 1000. D. Gaspar Aguado , 400. D. Francisco de Punía ligarte, 200. COoña Clara Aspillaga de Miranda, 1000. D. Juan A vites, 500. Sres. Castéiló, .hermanos, 500. Cónsules del real consul…</t>
  </si>
  <si>
    <t>Aguado, Jmé</t>
  </si>
  <si>
    <t>Jmé Aguado</t>
  </si>
  <si>
    <t>Gliraent, y D.. Nicolás Eseríbé: en el del infante D. Cérlos, com­ pañías á D. Nicolao Bolea , D, Francisco García y D. José Quin­ tana : ayudantía á D. Jmé Aguado: tenencias á D. R araos Nave-, Ha, D. Vicente Jasen, D. Fernando María, D. Ramón Laraz, D;*n Fatiga, D. Nícoiafí Franco y D. Joaquín Fuentes: en @1 de "Ba­ dajoz, …</t>
  </si>
  <si>
    <t>Aguado, José</t>
  </si>
  <si>
    <t>José Aguado</t>
  </si>
  <si>
    <t>Gazeta de la Regencia de España e Indias n.º 110</t>
  </si>
  <si>
    <t>880</t>
  </si>
  <si>
    <t>coronel del real cuerpo de ingenieros; de Ayudantes primeros al segundo D. Cayetano D gres, y .al sargen­ to mayor del mismo cuerpo ¿te 11 gen teros D. José Aguado ; y el de ayudantes segundos á D. Agustín Otermin, D. Jote María Pa­ nlagua y D. Rafael Sánchez 8 ravia, capitanes riel batallón de in' fantería ligera de Mérida, …</t>
  </si>
  <si>
    <t>Aguado, Juan</t>
  </si>
  <si>
    <t>Juan Aguado</t>
  </si>
  <si>
    <t>María Freyre, D. Jóse García y D. Juan Astorga; ayudantía á D. Estanislao Gautier; tenencias á D. Manuel A!arcon, D Pablo la Cuesta, D. José Mariño, D. Juan Aguado, D. Manuel Diz &gt; Don Benito Yarela y D. Pablo del B J ; subtenencias á D. F ¿ruando Yara, D. Antonio Barbeira, D. Lorenzo Lema, D. Juan Duran, D. Luis Antonio Frei…</t>
  </si>
  <si>
    <t>Aguado, Julián Sandalio</t>
  </si>
  <si>
    <t>Julián Sandalio Aguado</t>
  </si>
  <si>
    <t>Gazeta de la Regencia de España e Indias n.º 144</t>
  </si>
  <si>
    <t>12</t>
  </si>
  <si>
    <t>, 00, D. Bernardo Martin , U)b. D. Pascual Gulez y T i n, 820. D. Ciríaco Carvajal, 1000. D. José María de Roxas, 120 D Gerón mo Diego Sánchez , 20. D. Julián Sandalio Aguado , 20 D. Baltasar Martin?., de Ari/a, 60. D. Segundo García Cid, 100. Los oficiales de la secretaría del con­ sejo y cámara de Castilla ,513. D.. Manuel …</t>
  </si>
  <si>
    <t>Aguado, Pedro</t>
  </si>
  <si>
    <t>Pedro Aguado</t>
  </si>
  <si>
    <t>Gazeta de la Regencia de España e Indias n.º 106</t>
  </si>
  <si>
    <t>852</t>
  </si>
  <si>
    <t>al ayudante primero D José María La nar, y á ayudantes primeros A los segundos Don Pedro Eguia y D. Rafael Bovílle, y ha conferido el mismo empleo A D. Pedro Aguado, sargento mayor del real cuerpo de ingenieros, y D. Francisco Serrano, comandante de escuadrón del regimiento de caballería de cazadores de Olí vencía, y el de ay…</t>
  </si>
  <si>
    <t>Aguado, Roque</t>
  </si>
  <si>
    <t>Roque Aguado</t>
  </si>
  <si>
    <t>Gazeta de la Regencia de España e Indias n.º 115</t>
  </si>
  <si>
    <t>la R:al isla da León. Se despacharán las cédulas de esta rifa en Cádiz en la tienda de D. Eduardo José de Truxilío, calle Ancha, núra. 72; en casa de D. Roque Aguado, frente ei León de las des Castillas : en la calle de S. Francisco nú«n. 56, tienda de instrumentos de D. Joaquín de los I!, yes. y ort la isla de- León en los p…</t>
  </si>
  <si>
    <t>Agudo, Ignacio</t>
  </si>
  <si>
    <t>Ignacio Agudo</t>
  </si>
  <si>
    <t>los jurados. El procurador general 9 D. Josef Badan..................................... 11761 de la corona ha mandado citar al lord Fiagall , y á 39 D. Ignacio Agudo................................ 46208 los quatro señores ILrnewal!, por haber presidido 24 D. Manuel Martínez de Novales...... 13898 17 las asambleas de ¡os cat…</t>
  </si>
  <si>
    <t>Agudo, Ignacio Martin</t>
  </si>
  <si>
    <t>Ignacio Martin Agudo</t>
  </si>
  <si>
    <t>como tutor de D. Bernardo Iriarte.............. ......... 35641 19 D. Manuel Estébaq Catatan...... I4883 22 D. Miguel Antonio Oquendo....... 4696 ¿4 D. Ignacio Martin Agudo.............. 10200 Doña Rafaela Ortiz de Rosas, mar­ D. Domingo de Arangoiti............. 8505 quesa del Socorro......................... 10849 32§ Doña …</t>
  </si>
  <si>
    <t>Agüero, Fulgencio de la Riva</t>
  </si>
  <si>
    <t>Fulgencio de la Riva Agüero</t>
  </si>
  <si>
    <t>simo señor prefecto d? teniente de la sexta compañía en reemplazo de esta provincia. Madrid 11 de marzo de 1811. D. Julián Gancedo. 'Tercer batallón. D. Fulgencio de la Riva Agüero, capitán, i Continuación de la análisis de las memorias de Idayudante primero en la vacante del conde de Cau- clase de ciencias matemáticas y fíti…</t>
  </si>
  <si>
    <t>Aguiar, José Alfaro</t>
  </si>
  <si>
    <t>José Alfaro Aguiar</t>
  </si>
  <si>
    <t>Gazeta de la Regencia de España e Indias n.º 60</t>
  </si>
  <si>
    <t>480</t>
  </si>
  <si>
    <t>ez , 10. D. Jo­ sé María Godoy , 10. Don Angel Alfaro, 10. Don José Palmer, 25. Nicolás Trejo , 6. Don Simón Montes de Oca , 20. Don José Alfaro, SO. D. José Alfaro Aguiar, 25. D. Joaquín Medina, 10. Matías Montes de Oca, 10. D. José Sierra, 2. D. Francisco Romero, 5. D. Salvador Arabich, 10. D. José Francisco Alfaro, 5. D. B…</t>
  </si>
  <si>
    <t>Aguiar, Juan Bautista</t>
  </si>
  <si>
    <t>Juan Bautista Aguiar</t>
  </si>
  <si>
    <t>Gazeta de la Regencia de España e Indias n.º 10</t>
  </si>
  <si>
    <t>8</t>
  </si>
  <si>
    <t>icia de V. S. para su&gt; conocimiento; Dios guarde á V. S.. muchos años. Ra­ banal del Camino 16 dé diciembre dé 181Q.—Enlomo de J urgas Machuca. — Sr. D. Juan Bautista Aguiar. — Lo que comunico á V. S. para que le sirva de satisfacción la bizarría de los oficiales y tropa de esta vanguardia que tengo el honor dé mandar &amp;c. Cua…</t>
  </si>
  <si>
    <t>Aguila, Pedro</t>
  </si>
  <si>
    <t>Pedro Aguila</t>
  </si>
  <si>
    <t>Lodares y D. Salvador d® Les; ayudantía á D. Francis­ co de la Torre; tenencias á D. Manuel Medina, D. Francisco de Paula Adames, B. Rafael del Rio y D. Pedro Aguila? A vala; y subtenencias i. D. José Mateo, D. Ramón Hernández, D. Mariano Chuliz, D. Matías Farras, D. Modesto de la Torre y D. Antonio Loma. Muques que ¡ion reco…</t>
  </si>
  <si>
    <t>Aguilar, Agustín</t>
  </si>
  <si>
    <t>Agustín Aguilar</t>
  </si>
  <si>
    <t>Gazeta de la Regencia de España e Indias n.º 1</t>
  </si>
  <si>
    <t>PDF p. 7</t>
  </si>
  <si>
    <t>zquez , 20. D. Bernabé Escobosa , 6. D. José Banga, 100. Don Nicolás Gaxioía , Í26y2rs. D, Ventura Vatiz ,. 10. D. ManueT González, 100. El ensayador D. Agustín Aguilar , 100. Su teniente D. Fernando Escu- * dero , 50. D. Miguel ítoncal , 5. — IMaioya. El cura D. Isidro Camacho , 10. El subdelegado D._ Francisco Padilla , 20.…</t>
  </si>
  <si>
    <t>Aguilar, Antonio</t>
  </si>
  <si>
    <t>Antonio Aguilar</t>
  </si>
  <si>
    <t>36</t>
  </si>
  <si>
    <t>Siñt' ; primara Tenencia de granaderos, al de fusileros D. Jo­ sé. O i ve; pn meras tenencias de cazadores á los de fusilercs D, .Fede­ rico Liñ.n y D. Antonio Aguilar, marques de Vega Armijo, y al se­ gundo teniente D Jy é Montero; primeras tenencias de fusileros á los segundes tenientes D. Indalecio de ia Torre, D. José R f…</t>
  </si>
  <si>
    <t>Aguílar, Juan</t>
  </si>
  <si>
    <t>Juan Aguílar</t>
  </si>
  <si>
    <t>rancisco Ignacio Mar?. ídem , -¿i &gt;00. D. Francisco Noguer , ídem, 5U0. D. M. L., ídem , 320. ú. J. i), id, ídem, 100. IX Mariano Mata! i, ídem, 800. D. Juan Aguílar, úícrn, SOOO. Señores Do»res y CanadeSl, ídem , 4-000. D. Ramón Molefc, idem , 1000. D. Segismundo Moret, ídem , 1000. D. Juan Serra , ídem, 1000. i). Francisco …</t>
  </si>
  <si>
    <t>Aguilar, Lorenzo</t>
  </si>
  <si>
    <t>Lorenzo Aguilar</t>
  </si>
  <si>
    <t>Gazeta de la Regencia de España e Indias n.º 2</t>
  </si>
  <si>
    <t>10</t>
  </si>
  <si>
    <t>rincipios de noviembre discurrían por Castilla la Vieja las par­ tidas de D. Tomas Príncipe, D. Gerónimo Fomel, los curas Meri­ no, Tupia y Violado , D. Lorenzo Aguilar, D. Agustín Cerezo, Don Vicente Olivera , Afórales, D. Julián Sánchez , y otras menos cono­ cidas.^ Las gacetas de Córdoba del mes de noviembre dan noticia de…</t>
  </si>
  <si>
    <t>Aguilera, Benito</t>
  </si>
  <si>
    <t>Benito Aguilera</t>
  </si>
  <si>
    <t>Gaceta de Madrid n.º 206</t>
  </si>
  <si>
    <t>342</t>
  </si>
  <si>
    <t>batallón. D. Miguel Gómez á subteniente en reemplazo de D. Ahtonio Fuentes, teniente, á espitan de la sép­ D. Manuel Bernardo Roldan. tima compañía. D. Benito Aguilera á subteniente en la vacante d« D. Gerónimo Sobrado, subteniente, á teniente de D. Pedro Rodríguez del Castillo. la quinta compañía. D. Mateo de la Cavaleda á s…</t>
  </si>
  <si>
    <t>Aguilera, Niceto</t>
  </si>
  <si>
    <t>Niceto Aguilera</t>
  </si>
  <si>
    <t>Gaceta de Madrid n.º 343</t>
  </si>
  <si>
    <t>39</t>
  </si>
  <si>
    <t>odas las personas instruidas y de Décimo batallón. buena fe reconocen la ventaja y utilidad de la capa hidrostdtica, y que aun suponiendo que otro la D. Niceto Aguilera, sargento \.°, á subtenien­ haya ideado anteriormente, es indudable que él ia te de la segunda compañía. ha perfeccionado en samo grado. art. 11. Nuestro mini…</t>
  </si>
  <si>
    <t>Aguillo, Santiago</t>
  </si>
  <si>
    <t>Santiago Aguillo</t>
  </si>
  <si>
    <t>nchez Navarro........... 361 D. Casimiro Antón Montero y Do­ El marques del Norte.................... 902 *7 ña María del Carmen Meló....... 20521 12 D. Santiago Aguillo....................... 5595 17 D. Antonio Valcarcel Pió de Sa­ D. Josef Agustín de Fatiregui....... 1263 *7 baya , marques de Castel-Ro­ D. Andrés de Abrisqu…</t>
  </si>
  <si>
    <t>Aguirre, Andrés</t>
  </si>
  <si>
    <t>Andrés Aguirre</t>
  </si>
  <si>
    <t>Gazeta de la Regencia de España e Indias n.º 149 (suplemento)</t>
  </si>
  <si>
    <t>os, D Luis Ma­ riano Espinosa, D. Jo3¿ García Saez, D. Bernardo González'y D. Ramón Luciano de Villamaríin; y cu el dei segundo de Soria, ayudantía á D. Andrés Aguirre; tenencias á D. Vicente Olmos, Don Francisco Rica Tillaren!, D. Marcelino Morales, D. Nerbsrto Flo­ res, D. Fernando dei R:o, D. Ramón Pi aillos y D. Antonio P…</t>
  </si>
  <si>
    <t>Aguirre, Francisco</t>
  </si>
  <si>
    <t>Francisco Aguirre</t>
  </si>
  <si>
    <t>Gazeta de la Regencia de España e Indias n.º 3</t>
  </si>
  <si>
    <t>PDF p. 8</t>
  </si>
  <si>
    <t>nuel Alcalá, 5..D. Miguel de -Rumayor , 20. D. Toribio Alcalá , 5. D. Nepomuceno Váleles , 8. D. Juan de Aguirre , 10. D. Cristóbal Domín­ guez , 25. D. Francisco Aguirre, 15. D. Pedro Valdes, 10. Eos veci­ nos pobres de toda la jurisdicción , 186 y 5 rs. D. Francisco Pereyra, 50. D. José Lobo y su yerno, 40. D. Román Letona,…</t>
  </si>
  <si>
    <t>Aguirre, Inocencio</t>
  </si>
  <si>
    <t>Inocencio Aguirre</t>
  </si>
  <si>
    <t>Gaceta de Madrid n.º 265</t>
  </si>
  <si>
    <t>5</t>
  </si>
  <si>
    <t>en la misma provincia , va­ oido nuestro miaistro de Negocios eclesiásticos* cante por desistimiento del último nombrado, al nombramos ; ex-dominico D. Inocencio Aguirre. Para la vicaría de Villarnbias , vacante por Para el que se halla vacante en el concejo de muerte de D. Francisco Martin* al presbítero JUon Zalla, correspo…</t>
  </si>
  <si>
    <t>Aguirre, Josef</t>
  </si>
  <si>
    <t>Josef Aguirre</t>
  </si>
  <si>
    <t>rio D. Juan Bautista Garmendia , por mano de descalzo, residente en esta corte, por 2200 D. Juan Bautista Iribarren....................... 106653.. 4 D. Josef Aguirre, ex-franciscano, porv.. 2200 Doña Joaquina Vicuña , por mano de Don D. Cándido Nuñez, ex-frantiscano, re­ Josef Antonio Rendon................................. …</t>
  </si>
  <si>
    <t>Agullar, Juan Djego</t>
  </si>
  <si>
    <t>Juan Djego Agullar</t>
  </si>
  <si>
    <t>rovee de armas y de D. Pedro Chacón. medios de destrucción, á sos amigos, á sus aliados Subtenientes. y á sus enemigos, quando estos son poco numero­ D. Juan Djego Agullar. sos, y solo pueden hacer una resistencia inútil. D. Salvador Guipado. Todos esos miserables caerán tarde ó temprano en D. Manuel Criado. manos de la justi…</t>
  </si>
  <si>
    <t>Agus</t>
  </si>
  <si>
    <t>Gazeta de la Regencia de España e Indias n.º 56 (suplemento)</t>
  </si>
  <si>
    <t>444</t>
  </si>
  <si>
    <t>y confiscación de bienes” El Consejo de Regencia ha concedido en el regimiento de reales guardias Waiemas, compañías á los primeros ayudantes mayores D. Agus­ tín barón de Roissin, y D Antonio Desmaissieres marques de la Mo­ rilla , y al primer teniente D. Bernardo María de Guindulaín; empleo de primer ayudante mayor , al pri…</t>
  </si>
  <si>
    <t>. Juan B iribú Carrasco, 'brigadier. D. José Salios Villa, coíenel. D. Pedro Leen, m^yor de plaza. D. Ignacio Garuargo, mariscal. U. Mariano Hidalgo. D. Agus­ tín Marroquin. D. Mariano Abáselo, mariscal. I&gt;. Luis Merelts, csroncl • :</t>
  </si>
  <si>
    <t>Edición extraordinaria</t>
  </si>
  <si>
    <t>Gazeta de la Regencia de España e Indias n.º 132 (extraordinaria)</t>
  </si>
  <si>
    <t>11</t>
  </si>
  <si>
    <t>Santibañ***,- D. Manuel de Vargas y ü. Joan Dow.de Brizo; y subtenencias á D. Diego Pacheco, Don Ramón Sancho, D. Juan Estraus, D. Máximo - Reynoso, D. Agus­ tín O e ti veros, D. Miguel de las Meras, y D. -Joaquín Robín. Tarnbien se ha dignado Goacedcr los eraplaofi ele ayudantes se­ gundos en el esta la mayor de! exércií© á …</t>
  </si>
  <si>
    <t>Agustín</t>
  </si>
  <si>
    <t>Gazeta de la Regencia de España e Indias n.º 7</t>
  </si>
  <si>
    <t>particularmente á todos los sargentos de mi regí miento , pues no hubo quien se se­ parase de sus compañías , dando un ejemplo singular. El teniente D. Agustín de í túrbido, que estuvo á mis órdenes, cum­ plió con tino y honor quanfo le previne, no separándose de mi in­ mediación en toda la retirada : y asimismo mandé ál teni…</t>
  </si>
  <si>
    <t>Gaceta de Madrid n.º 100</t>
  </si>
  <si>
    <t>contrapeso, conocen la mecánica aplicada, y saben apreciarla, y que está fuera del fluido; hallar la corva, que verán en esta parte de la memoria de D. Agustín debe de correr el centro de gravedad del contra­ de Betanconrt, unida á ios medios mas sencillos y peso para que el sistema esté en equilibrio en to­ expeditos, la mas…</t>
  </si>
  <si>
    <t>Gaceta de Madrid n.º 151 (suplemento)</t>
  </si>
  <si>
    <t>e Piníllos, compuesta de ' 23 aranzadas, ei rodo de' Once aranzadas de tierra plan-: viña y algunos olivos, ar­ tadas de viña y olivar, si­ rendada a D. Agustín del ; tuada en el partido de Es­ Pino......................................' oo 39600 lava , término de dicha cía-:. Una haza de tierra calma/le dad, arrendada áijuau…</t>
  </si>
  <si>
    <t>con­ dad ¿e Araccna, que con otros documentos relativos á testablemente el año de su fallecimiento, como por no Arias Montano nos ha comunicado l Sr. D. Agustín haber sido conocida ni citada hasta ahora en ningún es­ Muñóse. A Ivare z, catedrático de latinidad en el colegio crito ni documento relativo á Arias Montano. de S. M…</t>
  </si>
  <si>
    <t>Gaceta de Madrid n.º 227</t>
  </si>
  <si>
    <t>Dantezac ( D. Alexandro), papitao del regimiento Parts 1 $ de julio. Real Extrangero. Las cartas que se reciben de los departamento* Díaz de Arcaya (D. Agustín), chantre de la in­ anuncian que será abundantísima este año U cose­ signe iglesia colegial de Vitoria. cha de granos de toda especie en todo el imperio. Dueña* y Vilc…</t>
  </si>
  <si>
    <t>no D. Francisco García. Para el de la Losilla , vacante por promoción Para el de Aldea el Pozo y Valdegeña su ane­ de D. Manuel Bahun, al ex-dominico D. Agustín xo, vacante por muerte de D. Juan Ignacio BorFolgnera. degé, á D. Pedro la Horra, ex-franciscano. Para el de Terradillos, vacante por muerte de Para el de Valcavado, …</t>
  </si>
  <si>
    <t>Agustín, Josef</t>
  </si>
  <si>
    <t>Josef Agustín</t>
  </si>
  <si>
    <t>Gaceta de Madrid n.º 288</t>
  </si>
  <si>
    <t>92</t>
  </si>
  <si>
    <t>l seminario hicieron de la villa de Motrico , en la provincia de Gui­ de diáconos, subiiáconos, acólitos 8cc. En medio púzcoa , vacante por muerte de D. Josef Agustín de la iglesia había un magnífico catafalco, y enci­ de Osoro, al presbítero ex-regnlar D. Martin de ma un gran pabellón, que lucia un excelente efec­ Elorza , m…</t>
  </si>
  <si>
    <t>Agustín, Mariano</t>
  </si>
  <si>
    <t>Mariano Agustín</t>
  </si>
  <si>
    <t>-capuchino, residente D. Joset Rodríguez........................................... 3000 en Chinchón, por....................................... 2200 D. Mariano Agustín.......................................... 1192..10 D. Toribio López, ex-gerónimo, residen­ Doña Ma.ia del Carmen Herranz, por sí te en Cienpozuelos, por......…</t>
  </si>
  <si>
    <t>Agustina</t>
  </si>
  <si>
    <t>Gaceta de Madrid n.º 181</t>
  </si>
  <si>
    <t>18</t>
  </si>
  <si>
    <t>l, y otros de los quales la sobreviven tres ; Uno de ello* pres­ dos generales heridos. Mil ingleses han sido hechos bítero, de 82 años cumplidos. La Doña Agustina prisioneros» y aunque a’gbnos han escapado» to­ ha gozado hasta estos dos últimos años de una ta­ davía conservamos en el dia 800 de ellos: también lud robusta. En…</t>
  </si>
  <si>
    <t>Agutlar</t>
  </si>
  <si>
    <t>Gaceta de Madrid n.º 20</t>
  </si>
  <si>
    <t>mas ea aquella grandes alborotos y conmociones que han ocurrido capital. en Buenos-Aires y eni las provincias inmediatas. El buque español Luisa , su capitán Agutlar, procedente de las islas Canarias y de Santa Cata­ Un buqne americano qae acaba de llegar á lina , y destinados Buenos-Aires, entró el dia 13 Portsmoutb trae not…</t>
  </si>
  <si>
    <t>Ahbé</t>
  </si>
  <si>
    <t>s. To'-osa de Guipúzcoa l.° de octubre. — Extract de. una carta in• terc* ptada de D, Juan Sibas, comandante de bafal &gt;n á O. Gonzalo O-Farriil. — El general Ahbé llegó de Cataluña á Pamplona el 24 de s tteintre, y aseguran que iba á reemplazar &gt;! gobernador de Navarra: lo cierto es que una brigada de la 'división del conde I…</t>
  </si>
  <si>
    <t>Ahercombrie</t>
  </si>
  <si>
    <t>60</t>
  </si>
  <si>
    <t>as órdenes del mayor general Hiugliton. La conducta de esta bri­ gada fué heroica , y no lo fué menos la de la segunda brigada ai cargo de! honorable teniente coronel Ahercombrie. El mayor general. EUughton, en el momento que animaba á su brigada á que cargase, cayó muerto de sus heridas.—Aunque el ataque principal del enemi­…</t>
  </si>
  <si>
    <t>Aiam, Carlos</t>
  </si>
  <si>
    <t>Carlos Aiam</t>
  </si>
  <si>
    <t>Gazeta de la Regencia de España e Indias n.º 80</t>
  </si>
  <si>
    <t>629</t>
  </si>
  <si>
    <t>stancia de camino real que conduce á Tortosa, al mismo tiempo que las fuerzas sutiles combi­ nadas , al mando del eapiían del cavío ingles Invencible D. Carlos Aiam , se aproximaban á batir la torre de freste. A pesar de vues­ tro fuego, que biso callar al de la artillería enemiga , de haber de-embarcado el comandante ingles …</t>
  </si>
  <si>
    <t>Aideo, José</t>
  </si>
  <si>
    <t>José Aideo</t>
  </si>
  <si>
    <t>Gazeta de la Regencia de España e Indias n.º 91</t>
  </si>
  <si>
    <t>731</t>
  </si>
  <si>
    <t>á 1 s e cnadiones de )a 1 gi©r;.— Nuestra pérdida se reduxo á vn hombre n u iío, algunos heridos y 3 caballos muertos. — Rscomien a Mter al teniente D. José Aideo* na, ai subteniente D, Antonio Mantecón, á D. Valentín Escuroá D. Minué' B dmaseda, ¿ los soldados Jo?é Rapo!ler, Antonio Sa­ ludes y Joí.éB mal, que recibió '&amp;. he…</t>
  </si>
  <si>
    <t>Aideo, Pascual Casal</t>
  </si>
  <si>
    <t>Pascual Casal Aideo</t>
  </si>
  <si>
    <t>arriezo, D. Juan Piñeiro, D. Publo Ibero, D. Pascual de la Calle, D. Ignacio Piñena y D. Angel García Salcedo; los de uniente á£&gt;. José Ramón Rodil*, D. Pascual Casal Aideo, D. An­</t>
  </si>
  <si>
    <t>Aíexandro</t>
  </si>
  <si>
    <t>eal Ojesro Moreno (D. Antonio), comandante de la Extrangero. milicia cívica de Santander. Kost ( D. Francisco), teniente del mismo cnerpo. C-Donuell (D. Aíexandro), comandante de bata­ Labartha (D, Aíexandro), capitán del 3.0 regi­ llón del regimiento Josef Napoleón. miento de cazadores á caballo. O iivier ( D. Teodoro), capi…</t>
  </si>
  <si>
    <t>Aiexandro</t>
  </si>
  <si>
    <t>419</t>
  </si>
  <si>
    <t>rección deben llevar otros ¿coco que saldrán dé lo interior de Francia, dando por motivo el descontento de Bohaparte por los tratados que ha hecho el emperador Aiexandro con otra3 po­ tencias. Un edecán de Bessieres ha añadido que la guerra seria contra Rusia, y tal vez centra la Puerta y Prusia, y que el Austria ayudará á Bo…</t>
  </si>
  <si>
    <t>Gazeta de la Regencia de España e Indias n.º 117</t>
  </si>
  <si>
    <t>34</t>
  </si>
  <si>
    <t>á P/rtsraburgo la noticia de la batalla de la Albu­ hera y de iá victoria conseguida el 19-de mayo por. el exército alia­ do, había gran parada, y el emperador Aiexandro estaba pasando revísta á sus tropas : la noticia corrió por ías filas , y hubo.5mucho9 ■vivas y aplauso», y después sé dt^rocé con este motivo funciones y ba…</t>
  </si>
  <si>
    <t>Aigremont</t>
  </si>
  <si>
    <t>Gaceta de Madrid n.º 12</t>
  </si>
  <si>
    <t>40</t>
  </si>
  <si>
    <t>o para empeñarle ai combate , había encar- gio particular de los generales Boussart y Montado al gcoeral de división Musoier le atraxera i marie, del coronel Aigremont, del gefe de esqua­ t Hldecooa, y maniobrara en aquel parage- En uno y otro tuvo este general el ¿sito mas feliz. El a6 dron Saint- Georges y del coronel Estev…</t>
  </si>
  <si>
    <t>Aii-bei</t>
  </si>
  <si>
    <t>Gaceta de Madrid n.º 29</t>
  </si>
  <si>
    <t>su­ Los señores Milchelson y Benedik , plateros de pieron esta noticia echaron lucra de la ciudad al oro de la corte, estar» ocupados actualmente en gobernador Aii-bei. hacer das condecoraciones mui primorosas de la órden d* los Serafines, y una vaxilla de oro que RUSIA. S. M. piensa regalar á S. A. R. el día de año nuevo. Pe…</t>
  </si>
  <si>
    <t>Aíitad, Ana</t>
  </si>
  <si>
    <t>Ana Aíitad</t>
  </si>
  <si>
    <t>1620</t>
  </si>
  <si>
    <t>0 Una bodega en la cerca del Una casa, plaza de la Yerba, convento de Santo Domin­ núm. 30............................... 25 5 5 20440 go , que ocupa Doña Ana Aíitad de otra casa en la pía00 Díaz.................... ................. 660 5280 za del Mercado, núm. 55... tu 6600 Otra en id. id., que ocupa Otra casa calle de la …</t>
  </si>
  <si>
    <t>Aillon, Pedro López</t>
  </si>
  <si>
    <t>Pedro López Aillon</t>
  </si>
  <si>
    <t>200</t>
  </si>
  <si>
    <t>de la Mancha , residente EX- CAKTUXO. en la Puebla de Moritalvan, por............................ 2200 D. Antero Aquilino Fernandez , natural de To­ D. Pedro López Aillon , natural de la villa de ledo, donde reside, por.......................................... 2200 Orgaz, provincia de Toledo, residente alli , por 2200 EX-ACO…</t>
  </si>
  <si>
    <t>Aimurza, Francisco Borja</t>
  </si>
  <si>
    <t>Francisco Borja Aimurza</t>
  </si>
  <si>
    <t>tos-', 13. E! del anexo D José Carrillo , 12 El recaudador de tributos D. Luis de Onmoo ha entregado 1)9pesos y ofre­ ce dar en fin de aña otros 109. D Francisco Borja Aimurza, 12. Di­ ña Bartolina Montalvo, 12. D.^Anielma Drigado , 12. Varios espantes del anexo , 51. — Cuvahu'isi. La comunidad de indios y su anexo , 253. I).…</t>
  </si>
  <si>
    <t>Aisa, Joaquín</t>
  </si>
  <si>
    <t>Joaquín Aisa</t>
  </si>
  <si>
    <t>Gaceta de Madrid n.º 89</t>
  </si>
  <si>
    <t>batallón. el príncipe Eugenio Napoleón , virei de Italia. art. v. En el batallón de milicia cívica de Guadalaxara quedan promovidos Serenísimo Señor: D. Joaquín Aisa á capitán de la quárta com­ ,,He visto con el mayor placer el zelo que el pañía. cabildo metropolitano de la catedral de París ha D. Ramón Viejo á subteniente de…</t>
  </si>
  <si>
    <t>Aiten</t>
  </si>
  <si>
    <t>164</t>
  </si>
  <si>
    <t>r otro regimiento de dragones enemigos qne fué re­ chazado por el regimiento túm. 77, al mismo tiempo que los 3 es­ cuadrones de la brigada del mayor general Aiten «argaron diferentes vsé~s á varios cuerpos enemigos qne subieron á la aitura déla iz­ quierda , en qne estaban les 2 expresados regimientos de infantería británica…</t>
  </si>
  <si>
    <t>Aivarcz, Josef</t>
  </si>
  <si>
    <t>Josef Aivarcz</t>
  </si>
  <si>
    <t>, cura de S. Clemente de Talavera. REINO DE ÑAPOLES. Para el de Móstóles, vacante por muerte dé ; ' . I * -, C, \ . # /' . Eh Juan Ximenez Madueñó, á D. Josef Aivarcz. Qtrantogí,de julio. t Vázquez. Acaban-de llegar de la- isla de Corfú tj buques Para el de Foensalída, vacante por muerte de con la noticia de haber entrado en …</t>
  </si>
  <si>
    <t>Aja, Alaría JosefaCimhro y Moña</t>
  </si>
  <si>
    <t>Alaría JosefaCimhro y Moña Aja</t>
  </si>
  <si>
    <t>Gazeta de la Regencia de España e Indias n.º 153</t>
  </si>
  <si>
    <t>1280</t>
  </si>
  <si>
    <t>¿ V..S. mu­ chos años. Toluca 10 de julio, de 1811..—Nicolaü,£x&amp;l¡erre%. rm Se­ ñor b-cgndie.r conde de Ateatr.».” ; ' A - b, Del mismo .corregidor á Doña Alaría JosefaCimhro^ y{Moña Aja* ría luoreto Velasco y San llaman. —‘:l^&gt;btoaó hdy^a:el</t>
  </si>
  <si>
    <t>AJeiung</t>
  </si>
  <si>
    <t>Gaceta de Madrid n.º 280</t>
  </si>
  <si>
    <t>e los que suponen las naciones menor dificultad. americanas como indígenas de aquella parte del El conde Beust, nombrado por so Soberano el mundo. El consejero AJeiung, de Petersburgo, grao duque de Francfort su enviado extraordina­ ha comprado tas inmensas colecciones que Brac- rio cerca de nuestra corte y de la de Prnsia ac…</t>
  </si>
  <si>
    <t>Ajero, Joaquín</t>
  </si>
  <si>
    <t>Joaquín Ajero</t>
  </si>
  <si>
    <t>Gaceta de Madrid n.º 258</t>
  </si>
  <si>
    <t>allase la raiz del Tenientes. mal en los vicios de nuestra educación; y ¿ quién D. Miguel de FrLs. sabe si á fuerza de meditar llegaría á descubrirse D. Joaquín Ajero. que lo que ahora , por exemplo , cretnms ona en­ D. Juan Sarriet. fermedad del día , es un achaque mui antiguo, que Subtenientes. «n tiempos mui remotos se lla…</t>
  </si>
  <si>
    <t>Aklom</t>
  </si>
  <si>
    <t>Gazeta de la Regencia de España e Indias n.º 127</t>
  </si>
  <si>
    <t>1035</t>
  </si>
  <si>
    <t>isleta contigua desem­ barcaron á las órdenes del teniente Curdy 200 hombres con artillelinfa, y echaron el bergantín á pique. El 30 del mismo mes el capitán Aklom, comandante de la cor­ beta Ranger, hizo igual operación cerca de Rose-head con un cor­ sario francés de 4 cañones y 30 hombres de tripulación. El 14 de junio la l…</t>
  </si>
  <si>
    <t>Al, Pedro</t>
  </si>
  <si>
    <t>Pedro Al</t>
  </si>
  <si>
    <t>1186</t>
  </si>
  <si>
    <t>rmino de Osuna. La del Bolsero en el de Lacena. La de Tambarían en Posadas. La de los Moyas en los alrededores de Córdoba. En el reyno de Jaén, la de D. Pedro Al­ calde, que después de asesinado aquel gefe por los franceses, sigue al mando de sus tenientes. La de la Cruzada. La de Roda, escribano de Antequera. La de D. Juan F…</t>
  </si>
  <si>
    <t>Alaba, Luis</t>
  </si>
  <si>
    <t>Luis Alaba</t>
  </si>
  <si>
    <t>Gazeta de la Regencia de España e Indias n.º 29</t>
  </si>
  <si>
    <t>aquí para pruebi, y después c*&gt;n los primeros envíos hechos desde Cun­ ee c'on, ha resultado una pólvora de excelente calidad. El inteniente de Chile D Luis Alaba ha protegido con zelo tan útil empresa, y en breve se esperan remesas abundantes de este ingrediente tan necesario. Por manera , que lejos de ser temible su falta, …</t>
  </si>
  <si>
    <t>Alabes, Manuel</t>
  </si>
  <si>
    <t>Manuel Alabes</t>
  </si>
  <si>
    <t>Gazeta de la Regencia de España e Indias n.º 154</t>
  </si>
  <si>
    <t>1295</t>
  </si>
  <si>
    <t>dé 3 dias de sitio. — Todas ías tropas han contraí­ do en esta oca*ion un mérito muy particular. — Ei espitan de arti­ llería recomienda al teniente D. Manuel Alabes por lo bien que se portó en el suministro de las municiones y custodia de ellas , cru­ zando á cada memento por los fuegos enemigos ; al sargento segando I defoa…</t>
  </si>
  <si>
    <t>Alaix, Serafín</t>
  </si>
  <si>
    <t>Serafín Alaix</t>
  </si>
  <si>
    <t>.Domingo Gual, 500. DrAntonio Pizano , 200. D. Benito Picnrdo, 1000. IX- Francisco Escudero, 500. D. Ramón Eguilus, 300. Sres. Somera Hermanos,.500.. D. Serafín Alaix , 300. D. Claudio Itoioero, 500, D. Ramón Romero, ¿00. D. Juan Antonio de Criarte, 500. I). Juan Ma­ ría de Inarte , 500. D. José Romero Campo, 400. D. Paulo La…</t>
  </si>
  <si>
    <t>Alarcon, Manuel</t>
  </si>
  <si>
    <t>Manuel Alarcon</t>
  </si>
  <si>
    <t>lo -y su anexo , 71. —Abane ay. El alcalde mayor' D. Juan Antonio Gu'invez, 12. Doña M iría del C armen Ocampo „ 109. D J osé Antonio Berraondo , 23. D Manuel Alarcon , 25 El presbítero D. Marianb Castro , 12. D. Juan García de los Ríos*, 16. D. Lorenzo Miranda , 12. D José de la Quintana, 12. D. Gregorio de la Quintana , 13.…</t>
  </si>
  <si>
    <t>Alard</t>
  </si>
  <si>
    <t>Gaceta de Madrid n.º 150</t>
  </si>
  <si>
    <t>597</t>
  </si>
  <si>
    <t>dias y riñas, y ha hecho arrestar á al­ dente del Príncipe Real de Suecia Mr. Decatnp gunos de los mas revoltosos, que son por la ma­ Livinad, con su secretario Alard. yor parte extrangeros, y se habian venido de El teniente Buhl, qne mandaba ttna de las lan­ aquella ciudad k refugiarse aquí. chas camineras apresadas por los …</t>
  </si>
  <si>
    <t>Alario, Gregorio</t>
  </si>
  <si>
    <t>Gregorio Alario</t>
  </si>
  <si>
    <t>Gaceta de Madrid n.º 324</t>
  </si>
  <si>
    <t>cios á, la Inglaterra, tenemos otros medios al consejero de E.tado D. Benito de la Mata Linade recompensarlos; y el comercio tiene presente el res, á D. Gregorio Alario , cura párroco de S. Jus­ acta de navegación de los ingleses, t.iti favorable to, á D. Pedro Sainsere , á D. Ignacio Luzmiaga, 4 sus iutereses mercantiles , c…</t>
  </si>
  <si>
    <t>Alba, Antonio</t>
  </si>
  <si>
    <t>Antonio Alba</t>
  </si>
  <si>
    <t>22</t>
  </si>
  <si>
    <t>blico deberá satisfacer á cada en Salamanca, por...... ................................. 2200 uno de los individuos comprehendidos en el anterior ar­ D. Antonio Alba , id., residente en id., por 2 200 ticulo la pensión que le va señalada, mientras no gocé*, D. Sergio Rodríguez , ex-carmelita des­ otra renta ó sueldo equivalen…</t>
  </si>
  <si>
    <t>Albarran, Josef</t>
  </si>
  <si>
    <t>Josef Albarran</t>
  </si>
  <si>
    <t>Gaceta de Madrid n.º 1</t>
  </si>
  <si>
    <t>xaminadores de la. misma Cicoltaj Don . Señor: &gt; Matee lo- - Reboto, D. Antonio Dámaso. Torrecilla^ ,, EL sciiado ha oído coa el mas vivo placer !a y D. Josef Albarran supernumerario. . lectura ¡déla carta de V. M. I; y R. . art. 111. Nuestro ministro de lo Interior que­ ,,La Francia ve ya cumplidos sus votos; y da encargado …</t>
  </si>
  <si>
    <t>Albelo, Manuel</t>
  </si>
  <si>
    <t>Manuel Albelo</t>
  </si>
  <si>
    <t>Gaceta de Madrid n.º 59</t>
  </si>
  <si>
    <t>Ignacio Pablo Camarlengo, canónigo. D. Francisco Mauricio , subteniente, i teniente de Florencia 16 de enero de 1811.” la séptima compañía. Del 2 8. D. Manuel Albelo,'sargento primero, i subtenien­ te de la tercera compañía. S. E. el duque de Vicence, embaxador da D. Joaquín Ferrer, sargento primero, i subtenien­ Francia en P…</t>
  </si>
  <si>
    <t>Albertina</t>
  </si>
  <si>
    <t>Gaceta de Madrid n.º 75</t>
  </si>
  <si>
    <t>97</t>
  </si>
  <si>
    <t>aficionados. tos últimos. El sábado próximo serio recibidos en la orden Carta de Lisboa del 19 de enero. de Amaranto SS. AA. la Princesa heredera, la princesa Albertina y el príncipe Oscar. ,,Siento tener que comunicaros qne ei 30 del mes pasado tuvo el general Silveira , cerca de TronGRAN BRETAÑA. coso, un choque desgraciado…</t>
  </si>
  <si>
    <t>Albo, Juiiau</t>
  </si>
  <si>
    <t>Juiiau Albo</t>
  </si>
  <si>
    <t>Gaceta de Madrid n.º 314</t>
  </si>
  <si>
    <t>coronel, cabañero de D. Gabriel Priego. la Orden Real de España, acompañado del coman­ art. ni. fcn ia villa de Espíe!, de la misma dante de batallón D. Juiiau Albo, y de los 2pro­ prefectura de Córdoba, se formarán dos compa­ fesores el capitán D. Diego Rejón de Silva, y el ñías. uniente D. Eugenio Roldan. Quedan nombrados p…</t>
  </si>
  <si>
    <t>Albuir</t>
  </si>
  <si>
    <t>Gazeta de la Regencia de España e Indias n.º 37</t>
  </si>
  <si>
    <t>e la guarnición de Ta­ ra neón habla quedado muy disminuida , mándó el brigadier D. Juan Martin qtie nuestra caballería , á las órdenes del insinuado capitán Albuir, pasase en teda diligencia á atacarle. Así lo verificó ; ptro co­ mo les enemigos se hallan fcbjtifi cades en la vida, y con artillería, hubiera sido una temerida…</t>
  </si>
  <si>
    <t>Albuír</t>
  </si>
  <si>
    <t>279</t>
  </si>
  <si>
    <t>prbDcior». El fruto de este ataque es - 8 prisioneros con caballos y armas , igual número de. muertos , y mucho mayor de he­ ridos , que no señala el capitán Albuír , quien recomienda á los ofi­ ciales , sargentos , cab, s y soldados por lo bien que han llenado sus 'deberes. Este suceso fuá el'dia 18. ; Los cnuiifg s fubsist …</t>
  </si>
  <si>
    <t>Albuir, Saturnino</t>
  </si>
  <si>
    <t>Saturnino Albuir</t>
  </si>
  <si>
    <t>Gazeta de la Regencia de España e Indias n.º 17</t>
  </si>
  <si>
    <t>re Jas armas á toda la tropa que se hallaba en la ciudad,-y consistía en .2 compañías; de á caballo al mando de los capistanes D, Viceiite, Sardina-y D. Saturnino Albuir, y en 500 infantes que componen el batallón de (tiradores .idas órdenes de D. Nicolás de isidros caballeríavsalió á^encontrarse con éhenemigo hasta cerca de …</t>
  </si>
  <si>
    <t>Alburquerque, Ramón</t>
  </si>
  <si>
    <t>Ramón Alburquerque</t>
  </si>
  <si>
    <t>Gazeta de la Regencia de España e Indias n.º 143</t>
  </si>
  <si>
    <t>120</t>
  </si>
  <si>
    <t>o á recomendarle á V. E. al coronel.D. Jayrac Batid por la precisión y energía con que obedeció las órdenes que se le dieron , y al de la misma clase D. Ramón Alburquerque , por la bi­ zarría con que coóduxo i ios ataques ios valerosos tiradores reuni­ dos: 400 patriotas de *a Sierra han tenido parte en esta o as ion y son di…</t>
  </si>
  <si>
    <t>Alcalá, Manuel</t>
  </si>
  <si>
    <t>Manuel Alcalá</t>
  </si>
  <si>
    <t>lizondo, 20. Varios indivi­ duos, 15.— Villa del Saltillo. D. Francisco Antonio Farias , 50. Don Cristóbal Rodríguez, 5. D. Juan Bautista Chacón, 25. D. Manuel Alcalá, 5..D. Miguel de -Rumayor , 20. D. Toribio Alcalá , 5. D. Nepomuceno Váleles , 8. D. Juan de Aguirre , 10. D. Cristóbal Domín­ guez , 25. D. Francisco Aguirre, …</t>
  </si>
  <si>
    <t>Alcalá, Toribio</t>
  </si>
  <si>
    <t>Toribio Alcalá</t>
  </si>
  <si>
    <t>Saltillo. D. Francisco Antonio Farias , 50. Don Cristóbal Rodríguez, 5. D. Juan Bautista Chacón, 25. D. Manuel Alcalá, 5..D. Miguel de -Rumayor , 20. D. Toribio Alcalá , 5. D. Nepomuceno Váleles , 8. D. Juan de Aguirre , 10. D. Cristóbal Domín­ guez , 25. D. Francisco Aguirre, 15. D. Pedro Valdes, 10. Eos veci­ nos pobres de …</t>
  </si>
  <si>
    <t>Alcalde, Pedro</t>
  </si>
  <si>
    <t>Pedro Alcalde</t>
  </si>
  <si>
    <t>277</t>
  </si>
  <si>
    <t>rca de Cullar con las francesas, á quienes primero encerraron en el pueblo y después obligaron á eva­ cuarlo. — Las partidas patrióticas de C¿zorla y D. Pedro Alcalde los trien inquietos» por la pane de Huesear , para donde salieron el 15 ▼arios des ací ment es de Caniles y Zujar , coa motivo de haber conse­ guido algu ,as ve…</t>
  </si>
  <si>
    <t>Alcobendas, Francisco</t>
  </si>
  <si>
    <t>Francisco Alcobendas</t>
  </si>
  <si>
    <t>........ 28333 5 T979 7 por 2 D. Manuel Sixto Espioosa.............. 3241 16I 1 Doña Marga rita Macarthi..........'......... 9204 *3 13660 18 7 P°r 3 D. Francisco Alcobendas............... J2 166829 14 159645 28 35. Libramientos lié réditos de vitalicio al por xoo. Total... 2.730940 7{1 Libramientos'. " ' " , . Que 5 una suma…</t>
  </si>
  <si>
    <t>Aldama, Juan</t>
  </si>
  <si>
    <t>Juan Aldama</t>
  </si>
  <si>
    <t>•Nava.- D. Antonio Ruiz. Di Antonio Belan.-D. Ignacio Hidalgo. Seculares. D. Ignacio José Alteado,-generalísimo. D. Müña’ao Ximenez, capitán general. D. Juan Aldama, teniente genera?. Don Pedro Anuida, mariscal.’ D. Manuel Sasta M-ría,.mariscal. D. Frarrebeo L^nzagorta, mariscal. D. Vicente Valencia, director de 'in­ genieros…</t>
  </si>
  <si>
    <t>Aldamar</t>
  </si>
  <si>
    <t>Gazeta de la Regencia de España e Indias n.º 156</t>
  </si>
  <si>
    <t>1510</t>
  </si>
  <si>
    <t>imo punto y el mas fuerte se asegura debe ser atacado hoy mismo, y con efecto hay'di­ visiones da tropas españolas en todas sús inmediaciones. EI Sr. intendente Aldamar ha vuelto á escribirnos desde Potes con ficha dé! 14 : faé sacado de allí el! dia 5 , y Übre solo de los griüo.y y’ hierros con que le teman preso para ser at…</t>
  </si>
  <si>
    <t>Aldana, José</t>
  </si>
  <si>
    <t>José Aldana</t>
  </si>
  <si>
    <t>Gazeta de la Regencia de España e Indias n.º 101</t>
  </si>
  <si>
    <t>810</t>
  </si>
  <si>
    <t>te y D. José María Rubion, tenientes de fragata, y á sus segundos D. José Argandóña y D. Toribio Pasalagua, alférez de ídem ; y á los de los faluchos D. José Aldana, alfeíez de navio, y D. Joaqun Tosquella, ídem de fragata, me ponen en la honrosa obligación de recomendarlos á V. E., así como i lós oficiales de ar­ tillería de…</t>
  </si>
  <si>
    <t>Aldao, Francisco</t>
  </si>
  <si>
    <t>Francisco Aldao</t>
  </si>
  <si>
    <t>Gazeta de la Regencia de España e Indias n.º 124</t>
  </si>
  <si>
    <t>1013</t>
  </si>
  <si>
    <t>Labrada ; en geometría elemental y. trigonometría plana, D. Nicolás Fernandez y D. Francisco Prftbsn; en geometría elemen­ tal y trigonometría plana, D Francisco Aldao; en geometría elemen­ tal , D. Vicenta Salgado; y en geografía y navegación, D. Eustaquio Noriega y D. Pedro Martin? z; habiendo merecido la aplicación de todo…</t>
  </si>
  <si>
    <t>Aldeanueva, Manuel</t>
  </si>
  <si>
    <t>Manuel Aldeanueva</t>
  </si>
  <si>
    <t>Gaceta de Madrid n.º 17</t>
  </si>
  <si>
    <t>villa de Torija se formará una Del 10 de diciembre. compañía. Para capitán de esta compañía queda ,,S. M. está tan bien como ayer, aunque ha nombrado D. Manuel Aldeanueva; para teniente «dormido poco esta noche.” D. Clemente Márquez, y para subteniente Don Dicese que si S. M. no estuviese bastante res­ Gabriel García. tableci…</t>
  </si>
  <si>
    <t>Alderete, Ramón</t>
  </si>
  <si>
    <t>Ramón Alderete</t>
  </si>
  <si>
    <t>Gazeta de la Regencia de España e Indias n.º 118</t>
  </si>
  <si>
    <t>943</t>
  </si>
  <si>
    <t>pesos que han ofrecido, 100. El capitán D. Antonio de Castro Palomin, subinspector del batallón de Pardos, por el prest de 2 soldados en un mes , 18. D. Ramón Alderete , capitán del regimien­ to de infantería cíe Milicias, por el de un soldado en 3 meses , 27. D. Antonio Arsila, capitán del partido del. Horcon , por oferta me…</t>
  </si>
  <si>
    <t>Aldobrandíni</t>
  </si>
  <si>
    <t>Gaceta de Madrid n.º 182</t>
  </si>
  <si>
    <t>princesa de Neuf- Seguidos de los grandes oficiales y oficiales, Fueron chatel; á ocupar su trono en el co'o para la ceremonia del El capillo por la princesa Aldobrandíni; bautismo; la comitiva estiba colocada al rededor El salero por la condesa de Beauveau ; del trono en los mismos términos que al rededor Los del pidrino y m…</t>
  </si>
  <si>
    <t>Aldrete, Julián</t>
  </si>
  <si>
    <t>Julián Aldrete</t>
  </si>
  <si>
    <t>Gazeta de la Regencia de España e Indias n.º 19</t>
  </si>
  <si>
    <t>156</t>
  </si>
  <si>
    <t>lla desde el fallecimiento de su padre existente todo en la villa del* Costro , valle de Valdeorrás, reyno de Galicia. El teniente co­ ronel graduado D. Julián Aldrete , sargento mayor , tiene ya ofrecidos á en­ tregar en .España , (&gt;000 pesos. Capitanes. D. Pedro Santana , 100. D. José An­ tonio Remón , 100. D. Francisco Aro…</t>
  </si>
  <si>
    <t>Alegre, Anselmo</t>
  </si>
  <si>
    <t>Anselmo Alegre</t>
  </si>
  <si>
    <t>n­ fundir en los montañeses la confianza necesaria por medio de prontas operaciones, reunió á sus fuerzas las partidas de D. Francisco Mon¿ tardit, y D. Anselmo Alegre, alias el Cantarero, y disponiendo que D. Antonio La Oliva átacase á Graus , marchó en seguida sobre Be­ nabarre , que defendían 53 infantes y 57 caballos. Los…</t>
  </si>
  <si>
    <t>ban en -Pamplona otra expedición' para perseguirle , compuesta ée 4000 hombres. Los franceses del otro lado del Ebro han desenterrado el cadá­ ver de D. Anselmo Alegre, muerto en Sigmn ,on el campo del ho­ nor , paro exccutar en él Ja pena de horca. Ddmestrscioa tan ridicu­ la como bárbara del impotente furor que exciten cu. …</t>
  </si>
  <si>
    <t>Alegre, Josef</t>
  </si>
  <si>
    <t>Josef Alegre</t>
  </si>
  <si>
    <t>Gaceta de Madrid n.º 257 (suplemento)</t>
  </si>
  <si>
    <t>ayeta............................ 8953..22 Morndillo.............. ............................ 14801 D. Fernando Martínez de Huete.......... 3476-28 D. Josef Alegre........................................ 2075-25!</t>
  </si>
  <si>
    <t>Alegre, Manuel</t>
  </si>
  <si>
    <t>Manuel Alegre</t>
  </si>
  <si>
    <t>Gazeta de la Regencia de España e Indias n.º 131</t>
  </si>
  <si>
    <t>1104</t>
  </si>
  <si>
    <t>as inmediaciones; pero lejos de? ccnseguiríe, perdió 30 hombres que le cogieron los patriotas, y fueron pasados á cu h tío. **■ Utiel 7 de setiembre. D. Manuel Alegre, por otro nombre Cantare­ ro ? hermano de ©tros 2 que durante la presente revolución han muer-</t>
  </si>
  <si>
    <t>Alegre, Valentín</t>
  </si>
  <si>
    <t>Valentín Alegre</t>
  </si>
  <si>
    <t>ejo de Regencia compañías á los tenientes D. Francisco do Oña, D. Domingo Ace vedo, D. Juan Recio, D. Antonio Hida'go y D. José Soldes, y al ayudante D. Valentín Alegre; ayudan tí i al teniente D Joaquín Henriquez ; tenencias í los subtenientes D. J *só Fierra , D. José María Cejaibo, D. José Márquez y D. P dro Bi­ en; y subt…</t>
  </si>
  <si>
    <t>Alejandro</t>
  </si>
  <si>
    <t>Gazeta de la Regencia de España e Indias n.º 103</t>
  </si>
  <si>
    <t>100</t>
  </si>
  <si>
    <t>ura que la corte de Pcter.burgo ha hecho notificar ai cuerpo diplomático residente en Rusia, que el suevo embaxador de Francia Laurkton habia dado al emperador Alejandro seguridades de la ainistaxl de Eonaparie. Añade ñvilmen­ te que se han renovado las negociaciones entre turcos y rusos. El rey de Suecia Gustavo Adolfo se ha…</t>
  </si>
  <si>
    <t>caída de este ministro, cabeza y principal apoyo del partido francés en aquella corte, irá acompañada de la paz con la puerta Otomana. Añaden que el emperador Alejandro cede desús preten­ siones á Moldavia y Valaquia, que hasta ahora han sido Í03 mayores obstáculos para la negociación de Turquía, y qus el comandante del exérc…</t>
  </si>
  <si>
    <t>Alende</t>
  </si>
  <si>
    <t>expediciones por mar y por tierra. La proceso, y los declaró culpables. D. Santiago Li- primera se ha dirigido hacia el Mediodía con el de­ niers, el coronel Alende, el gobernador de Cór­ signio de doblar el cabo de Hornos, atravesar el doba Concha, el asesor Rodríguez, y el ofici/l mar Pacífico, y llegar á las orillas ¿el Co…</t>
  </si>
  <si>
    <t>Alerón</t>
  </si>
  <si>
    <t>Gazeta de la Regencia de España e Indias n.º 78</t>
  </si>
  <si>
    <t>615</t>
  </si>
  <si>
    <t>o José , quienes n« pasa dia que no hagan conocer á Ies satélites dei ¿mino dé la Eu­ ropa, lo qus puede un paisano español resuelto á matar 6 morir. Cura Alerón también por su pai te los tiradores de mi mando y va­ rios individuos del somaten. — Dios guarde &lt;&amp;c. — Jayme Patera.~ Exorno Sr. presidente y vocales de la junta su…</t>
  </si>
  <si>
    <t>Alexandio</t>
  </si>
  <si>
    <t>Gaceta de Madrid n.º 228</t>
  </si>
  <si>
    <t>embarcaciones ioglesas apoderarse de varios barcos •El coronel ruso Nikitsch ha recibido de parte mercantes dinamarqueses que estaban en Biunen- del Emperador Alexandio un sable mui hermoso sea; pero las medidas vigorosas que tomó inmedia­ y uti regalo de iS) rublos. tamente el mayor Leyonoljerne, comandante de la Hace algún …</t>
  </si>
  <si>
    <t>Alexandro</t>
  </si>
  <si>
    <t>Gaceta de Madrid n.º 39</t>
  </si>
  <si>
    <t>os dos exércitns puede acercarse al otro. Los fran­ dor, al salir del consejo de Estado, cartas del ceses cargan con todos los víveres, y con todo lo Emperador Alexandro. S. M. ha estado hablando que algo vale. con él mas de uua hora. „ Estamos mal y mui cansados. No hallamos en todo este pais ca*a con puertas ni ver tanas. E…</t>
  </si>
  <si>
    <t>Gaceta de Madrid n.º 77</t>
  </si>
  <si>
    <t>enderlas nóp&lt; lis pidiendo que se les envíen mochas reme­ de las invasiones de los turcos. Estas tropas serán sas de géueros. mantenidas por S. M. el Emperador Alexandro, RUSIA. sin que los servios esren obligados á ninguoa re­ tribución. Vetersburgo 22 de enero de j8íí. ALEMANIA. Aunque el incendio» que ha reducido á cenizas…</t>
  </si>
  <si>
    <t>Gaceta de Madrid n.º 82</t>
  </si>
  <si>
    <t>ependen inme­ Añaden que los rusos tienen muchos partidarios en la Servia, que piden y desean que aquella pro­ vincia se ponga bixo la'proteccion del Emperador Alexandro. diatamente del Soberano, ó de los cabildos ó con­ ventos en los paises situados en la parte superior £ inferior del Enns, que presenten en el término de sei…</t>
  </si>
  <si>
    <t>), comandante de batallón estas presas, biz a presente al comisario de marina - de artillería. su intención de salir en busca del enemigo para Bocme (D. Alexandro), sargento primero del re­ quitárselas. El comisario conociendo el valor 6 in­ gimiento Reai Extrangero. trepidez del capitán Daieoso, el qual á pesar de Cárter (D.…</t>
  </si>
  <si>
    <t>Gaceta de Madrid n.º 285</t>
  </si>
  <si>
    <t>de S. M. , la qual» según pare­ Todas las cartas de la Valaquia dicen que en ce , está fixada decididamente para el ió de este el instante en que ,el Emperador Alexandro supo la mes. Se dice,que S. M. piensa pasar 3 meses en retirada de los rusos á la orilla derecha del Da­ Varsovia.</t>
  </si>
  <si>
    <t>Gazeta de la Regencia de España e Indias n.º 167</t>
  </si>
  <si>
    <t>98</t>
  </si>
  <si>
    <t>misarios ruaos , han sido despreciadas en ei cuartel general del gran V'isír, por ei maligno infiüxo áü los emisarios francés e?. -Era natural que el emperador Alexandro esperase para df el? raí se, á que la paz hubiera firmado en las orillas del Danubio, í. fin de peder emplear en esta ocasión todas Isa fuerzas del imperio r…</t>
  </si>
  <si>
    <t>Alexar</t>
  </si>
  <si>
    <t>Gaceta de Madrid n.º 175</t>
  </si>
  <si>
    <t>Turquía. DINAMARCA. El general en gete conde K.menski se encuen­ tra ya en disposición de poder hacer su viage i Bheneur 13 de mayo. Rusia. S». M. el Emperador Alexar.dro le ha ase­ Ayer saüerou de l-andscrona seis lanchas caño- gurado que le confiará otra vez el mando dei exér— Oeras suecas» é hicierou algunas evoluciones en…</t>
  </si>
  <si>
    <t>Alexaudro</t>
  </si>
  <si>
    <t>s gera. artiqulp 1. ,,Nofnbratnoj caballeros de Ja Olive (D. Josef María), comisario de guerra de Ordeii lfce,! 4e Espaóí i. segunda clase. Aguado ( D. Alexaudro), comandante de escua­ Falazuelos (D. Claudio Antonio ), corregidor de drón. ‘ Sasamoa*</t>
  </si>
  <si>
    <t>Alexsndro</t>
  </si>
  <si>
    <t>Gaceta de Madrid n.º 169</t>
  </si>
  <si>
    <t>689</t>
  </si>
  <si>
    <t>una Essen'á tomar posesión de su comandancia. carta mui afectuosa escrita de mano de su Sobe­ El marte* último lia sido, condecorado con la rano. El Emperador Alexsndro manifiesta 3I con­ cruz da la orden de la Estrella polar el barón Ni- de lo apreciable que le es sn salud; le convida á coiai, encargado por ia corte de Rusia…</t>
  </si>
  <si>
    <t>Alfaro, José Francisco</t>
  </si>
  <si>
    <t>José Francisco Alfaro</t>
  </si>
  <si>
    <t>, SO. D. José Alfaro Aguiar, 25. D. Joaquín Medina, 10. Matías Montes de Oca, 10. D. José Sierra, 2. D. Francisco Romero, 5. D. Salvador Arabich, 10. D. José Francisco Alfaro, 5. D. Buenaventura Vefazqtiez , 2 D. Francis­ co Sierra, 2. José Sixto Caravajal, 5. José Eusebio Cetina , 3. Juan de la Luz Gómez , 5. Felipe Díaz , 6…</t>
  </si>
  <si>
    <t>Alfieri, Víctor</t>
  </si>
  <si>
    <t>Víctor Alfieri</t>
  </si>
  <si>
    <t>Gaceta de Madrid n.º 56</t>
  </si>
  <si>
    <t>323</t>
  </si>
  <si>
    <t>­ extrañar, atendidas las circunstancias en que nos sultado de la ociosidad en que estaban acostum­ hallábamos en tiempos pasados. brados á vivir. El conde Víctor Alfieri, que por su ingenio y Concluidas que sean todas estas obras, se em­ talento ha dado nueva celebridad á un nomb'e ya prenderán otras ruevas que están ya proy…</t>
  </si>
  <si>
    <t>Alfonso</t>
  </si>
  <si>
    <t>rompañi.2R á -D. Jusú-Ufeiña, D. Andrés Perez, D. Francisco Mogollen y D. Pablo Senderos : ayudantía á D Jo -é Otero ; tenencias á D. Joan Rodríguez, D. Alfonso. Tercero, D. Tomas Manzanar-?, D. Jocó Yszquez Rdova, D. Juan Amar, D. Francisco García, Dan Mu» tía Arrute ? D Juan García, D. Antonio Salgado. D. Pascual Be caria, …</t>
  </si>
  <si>
    <t>Alfonso, Andrés</t>
  </si>
  <si>
    <t>Andrés Alfonso</t>
  </si>
  <si>
    <t>sco), sargento segundo de poco rato se vió obligada í rendirse la lancha ene­ artillería. ’ miga , que pertenecía á un xabeque ingles , armado Choya (D. Andrés Alfonso), alcalde de corte, y de nueve piezas de artillería y 60 hombres de tri­ juez de la junta criminal extraordinaria 4% pulación » el qual fqe apresado al dia sig…</t>
  </si>
  <si>
    <t>Alfonso, Juan Vicente</t>
  </si>
  <si>
    <t>Juan Vicente Alfonso</t>
  </si>
  <si>
    <t>Gazeta de la Regencia de España e Indias n.º 53 (suplemento)</t>
  </si>
  <si>
    <t>416</t>
  </si>
  <si>
    <t>de Estrada, 100. D. Juan Brioso , 50. D. Cenon Sastre, 50. Alexo Fncalada , 50. D. Juan González , 50. D. José Sirarola, 50. Don Joaquín Casares, 50. D. Juan Vicente Alfonso , 50. D. Pedro Delgado, 50. D. D iego Ríos Carta, 50. D. Martin Yerobi, 50. D. Juan Bautista Yerobi, 50. D. Francisco Batllé , 50. D. Cristóbal Sansón , …</t>
  </si>
  <si>
    <t>Alfranca, Juaa José</t>
  </si>
  <si>
    <t>Juaa José Alfranca</t>
  </si>
  <si>
    <t>á estos é hizo 6 prisioneros, que presentó á la junta al mismo tiempo que el parte. Se ha interceptado una carta que desde Teruel dirigía á taragoza D. Juaa José Alfranca, gobernador afrancesado del obispad© de Te­ ruel : en ella se queja de que las tropas españolas del exército de Ara­ gón no solo se has llevado lo? corderos…</t>
  </si>
  <si>
    <t>Algarotti</t>
  </si>
  <si>
    <t>Gaceta de Madrid n.º 66</t>
  </si>
  <si>
    <t>264</t>
  </si>
  <si>
    <t>rá. 5 lúmen del año 1 809. La teoría de la doble refracción de Mr. Malus, nom­ LIBRO. brado poco há miembro del instituto en la sección de Cartas del conde Algarotti sobre la Rusia, traduci­ física general en lugar de Mr. Montgolfier, consta de dos partes: la una contiene la teoría general de la óp­ das por D. Ramón Tamayo. E…</t>
  </si>
  <si>
    <t>Algarrobal, Pedro</t>
  </si>
  <si>
    <t>Pedro Algarrobal</t>
  </si>
  <si>
    <t>ranceses, sigue al mando de sus tenientes. La de la Cruzada. La de Roda, escribano de Antequera. La de D. Juan Fernandez, alcalde de Ontivar. Y ¿a de D. Pedro Algarrobal. — Las 4 últimas pasan, de 300plazas, y la de Algarrobal de 500. — No se habla del apellido ó levantamiento en masa de la serranía de Ronda, donde desde el p…</t>
  </si>
  <si>
    <t>Alguacil, Gregorio</t>
  </si>
  <si>
    <t>Gregorio Alguacil</t>
  </si>
  <si>
    <t>cha, residente en su pueblo, por ....................................................... 2200 art. ir. El tesoro público deberá satisfacer á cndi uno D. Gregorio Alguacil, natural y residente en la de los individuos contenidos en el anterior artículo la pen­ misma villa , por...................................................…</t>
  </si>
  <si>
    <t>Ali-Ponzom, Fabio</t>
  </si>
  <si>
    <t>Fabio Ali-Ponzom</t>
  </si>
  <si>
    <t>12.° N. y .27.° 16/ de longitud occiden­ tal de Cádiz, deducida délas observadas tres dias ¿ntas por distan­ cias lunares. « S.° E teniente de navio D. Fabio Ali-Ponzom comunica desde Veracruz lo siguiente. El dia 11 de abril de 1805 á las 11¿ de la mañana , hallándose la fragata particular la Flecha, su capitán Don José Mcri…</t>
  </si>
  <si>
    <t>Alicante</t>
  </si>
  <si>
    <t>Gazeta de la Regencia de España e Indias n.º 119</t>
  </si>
  <si>
    <t>e poner en incomunicación y acordonada dicha villa; y con fechas de 20,21 y 22 siguientes me dieron parte aquella junta de sanidad , su ayuntamiento, gobernador Alicante y corregidor de G jo ia de cuanto habían practicado oara indagar el grado de pro* habilidad de los referidos rumores. En cuya vista, no apareciendo claro hac…</t>
  </si>
  <si>
    <t>Alicante, Vrftt'VflJttL</t>
  </si>
  <si>
    <t>Vrftt'VflJttL Alicante</t>
  </si>
  <si>
    <t>Gazeta de la Regencia de España e Indias n.º 4</t>
  </si>
  <si>
    <t>alor! ¡ Odio , execración eterna á los egoístas , pabilosos, intrigan­ tes y cobardes! Cuartel general de Cascante 20 de noviembre de 1810.—. ■Ti * J D Vrftt'VflJttL Alicante 15 de diciembre. El día 13 del carríente prestaron el go­ bierno , ilustre ayuntamiento y pueblo de esta plaza el solemne jura­ mento de fidelidad y obe…</t>
  </si>
  <si>
    <t>AlJaraira, Juan</t>
  </si>
  <si>
    <t>Juan AlJaraira</t>
  </si>
  <si>
    <t>tian Salado, D: Felipe Treus,D Santos San­ martín, D. José Mosco30, D. José Ruiz Rodríguez , D. Fidel GaÍoso, D. Francisco Bnrmudez, D. Angel Fraile, D. Juan AlJaraira, í. Fa-no' Varela, D. Toma?/ Rea!, D. Pedro Benito Gárrulo, Don Faínian Blanco, D. Filioe Uíloa, D. Leandro García, D. Antonio G.:.t. ? Herraros y D. Francisco…</t>
  </si>
  <si>
    <t>Almaci</t>
  </si>
  <si>
    <t>Gaceta de Madrid n.º 154</t>
  </si>
  <si>
    <t>junio de 1808 , y otras guado estos primeros movimientos, gra.i.s á la varLs órdenes pos te riotes, igualmente rigurosas, actividad y vigilancia del conde Almaci, comisa­ loda especie de comercio con la Inglaterra, ha te­ rio de S. M. nido 3 bien repetir y recordar á sus fieles snhdi* BAVIERA. tos, al tiempo de volverse á abr…</t>
  </si>
  <si>
    <t>Almaiua, Josef Moraleda</t>
  </si>
  <si>
    <t>Josef Moraleda Almaiua</t>
  </si>
  <si>
    <t>artin de Urda, ex-carmeiita dente en Ciudad Real, por..................... 2209 calzado, por.................................................. . 2200 D. Josef Moraleda Almaiua , id., residen­ D. Juan de Pablo Puerta , ex-mínimo, por 2209 te en Almagro, por..................................... 2200 D. Manuel Galvez, ex-hospita…</t>
  </si>
  <si>
    <t>Almansa, Nicolás</t>
  </si>
  <si>
    <t>Nicolás Almansa</t>
  </si>
  <si>
    <t>Donativo, suscripción o relación nominal</t>
  </si>
  <si>
    <t>Gazeta de la Regencia de España e Indias n.º 9</t>
  </si>
  <si>
    <t>e de 1810. Juan del Castillo y Carroz Donativos de la provincia d$ Tiyas , una de las internas de UsutvaEspaiia. Compañía de Sta. Fe. Primer teniente D. Nicolás Almansa, 50 pe­ sos fuertes. Segundo teniente D. Ignacio Sotello, 50. Alférez D. .fo­ sé María Arce, 20. Idem 1). Manuel Portillo, 10. Capellán Fr. Fran­ cisco de Oci…</t>
  </si>
  <si>
    <t>Almcaya, Pedro</t>
  </si>
  <si>
    <t>Pedro Almcaya</t>
  </si>
  <si>
    <t>14</t>
  </si>
  <si>
    <t>ntabria , Don D ogo Peynado , cadete del batallón de cazadores de Carmena, D. José ds la Infanta, subteniente graduado y cadete de Ordenes millíares, D. Pedro Almcaya, cadete del segundo de Madrid; los cuatro alumnos de la academia militar de ia Ida de León, D. Juan Monzoi, sargento primer® del citado batallen,: D. Francisco …</t>
  </si>
  <si>
    <t>Almiron, Francisco Jurado</t>
  </si>
  <si>
    <t>Francisco Jurado Almiron</t>
  </si>
  <si>
    <t>isio Castro. Tenientes. PLAZA DE MADRID. BOLSA. DIA 9 DE NOVIEMBRE HB l8ll. D. Juan Román Cerezo. D. Fernando Moreno. Subtenientes. Efectos públicos. D. Francisco Jurado Almiron. Vales reales...................................... 9‘i Cédulas hipotecarias......................... y: i D. Juan Antonio Moreno. art. v. En U villa…</t>
  </si>
  <si>
    <t>Alon</t>
  </si>
  <si>
    <t>an-Castellanos, D. Casimiro Fue­ llo , D. Miguel -DuranD. José Morales, D. Luis Valderas, Don Juan Extrémela , D. José Romas»nta , D. Diego Malfeito, D. Alon­ so Perez, D. Pedro Santiso, D. Manuel Morgade, D. José Moreno García, D. José Gil Malfeito y D. José Muñiz; subtenencia de bandera á D. Francisco Zívihí-ano.- En el reg…</t>
  </si>
  <si>
    <t>Alonso</t>
  </si>
  <si>
    <t>D. Antonio), húsar de nuestra guardia del regimiento da Madrid, t.° de infantería da real. línea. j Guincheneuf (D. Santiago), tirador de idem. Mesa (D. Alonso), cabo del regimiento de Tole­ Gutiérrez de Santa Clara (D. Angel), canóaigo do, 2.0 de infantería de línea. de S. Isidro el Reai de Madrid. Molas (D. Luis), sargento …</t>
  </si>
  <si>
    <t>an de gozar los ex-regulares; vista la :D. Pedro Tellez, id., residente en id. , por 2 200 exposición de nuestro ministro de Negocios eclesiásticos, ,D. Alonso de Madrid, id-, residente en id., y oido nuestro consejo de Estado, hemos decretado y _Por............................................................. ;•••■ 2200 decr…</t>
  </si>
  <si>
    <t>Gaceta de Madrid n.º 276</t>
  </si>
  <si>
    <t>bo trabajo risprudencia comparable con la que se concluyó con todos los otros códices , y se notaron al pie de en Castilla b 1x0 la dirección del Rei D. Alonso, l*s leyes Ls variantes que resultaron de este cote­ llamado el Sabio. El jurisconsulto, el filósofo y el jo. Asi la academia, después de haber continuado literato se …</t>
  </si>
  <si>
    <t>documentos de justificación que lo acredi­ fue de la orden de Cárlos m. ten ante S. S. , por la sscribania de provincia de D. Ma­ Holgado y Motezuma (D. Alonso), maestre de nuel López de Ribas, en el término de 30 dias conta­ ceremonias. dos desde la fecha de dicho auto, que por último y pe­ rentorio se Ies concede; pasados l…</t>
  </si>
  <si>
    <t>Alonso, Antonio</t>
  </si>
  <si>
    <t>Antonio Alonso</t>
  </si>
  <si>
    <t>...................... 21294..17 go de Osma, por........................................ lio® D. Antonio Mariano (Gil Delgado............... 26408.32 D. Antonio Alonso, ex-capuchino, le­ El hospital y congregación de S. Pedro de go, por.......................................................... 1100 clérigos naturales de Madri…</t>
  </si>
  <si>
    <t>Alonso, Jaré</t>
  </si>
  <si>
    <t>Jaré Alonso</t>
  </si>
  <si>
    <t>Gazeta de la Regencia de España e Indias n.º 96</t>
  </si>
  <si>
    <t>766</t>
  </si>
  <si>
    <t>cab alies &amp;-c. 5 J ~ -y ?„ '.'ó ‘ eos que les qucdebaüy habiendo perdido ?^C!0“ ’|S el campo quedaron mas de 500 enemigas ro.ucLt.^5. . ; • Noticioso D. Jaré Alonso, comandante -teolv citó &lt;M brigadier D. F¿U* Calleja, &lt;H bcíd^e! 27 fortificados en el puerto del Gcd.ineio, sano en ^ * or~ei de febrero de la hacienda ce la Err…</t>
  </si>
  <si>
    <t>Alonso, José</t>
  </si>
  <si>
    <t>José Alonso</t>
  </si>
  <si>
    <t>D. Manuel Riaño, 100. D. Félix García , IO0. D. Pe­ dro García dejos Ríos, 100. D. Manuel Mancina, 100. D. José Perez, 100. L. Manuel Rodríguez, 100. D. José Alonso, 100. D. Marcos de los Ríos, 100. L. Antonio Gómez de la Madrid, 100. D. Estanislao de Hoyos , 100. L. Juan</t>
  </si>
  <si>
    <t>Alonso, Marcelino</t>
  </si>
  <si>
    <t>Marcelino Alonso</t>
  </si>
  <si>
    <t>ión de 3333 rs. y n mrs. por ascenso de D. Silvestre Gajate á ración de la impuesta sobre los feutos de dicha rectoría. misma catedral, al ex-regular D. Marcelino Alonso. Nuestro ministro de Negocios eclesiásticos que­ Para el beneficio de Aldea del Obispo * vacan­ da encargado del cumplimiento de este decrcto.= te por muerte…</t>
  </si>
  <si>
    <t>Alonso, Patricio</t>
  </si>
  <si>
    <t>Patricio Alonso</t>
  </si>
  <si>
    <t>80</t>
  </si>
  <si>
    <t>comandante de la compañía de tiradores de Ma­ rina y de aquellas fuerzas reunidas,. cuyo contenido es el siguiente: “Ayer al sol puesto tuve aviso:de D. Patricio Alonso, comandante de la partida de húsares dé Galicia , de hallarse en Val de abaxo 120 de infantería con 6 dragonea enemigos y que convendría ata­ carlos, paralo q…</t>
  </si>
  <si>
    <t>del alférez del mismo cuerpo D. ílodri&lt;ro Sánchez de Arjona, que con su partida se hallaba en comisión y se brindó á acompañarme, y la caballería de D. Patricio Alonso, subteniente de húsares. — A las 8 de la noche llegué á Val de Es­ pino , en donde supe que los enemigos que se hallaban en el Val estelan metidos en- la igles…</t>
  </si>
  <si>
    <t>Alonso, Tomas Martínez</t>
  </si>
  <si>
    <t>Tomas Martínez Alonso</t>
  </si>
  <si>
    <t>Gaceta de Madrid n.º 61</t>
  </si>
  <si>
    <t>807</t>
  </si>
  <si>
    <t>ambién la noticia de la toma de Ha- ascenso de D Francisco Aparicio al de Fernán Ca­ laguer, fuerte situado sobre una colina , á poca dis­ ballero, á D. Tomas Martínez Alonso, cura te— tancia det mar, en el camino real que va de Tor­ oienre del Boonaí y Aijon. io» á Tarragona. Nuestro ministro de Negocios eclesiásticos que­ E…</t>
  </si>
  <si>
    <t>Alonso, Vicente Diaz</t>
  </si>
  <si>
    <t>Vicente Diaz Alonso</t>
  </si>
  <si>
    <t>Iribarren.................... j682i,.3¡ zuelos , por......................................... .......... 2200 D. Francisco Ignacio Muxica , por mano D. Vicente Diaz Alonso, id., por./,........ 2200 de D. Juan Bautista de Iribarren....... 4ÓQ2..2¡ D. Pedro Celestino de la Rion, ex-mer- Doña María Josefa Vildosoia , por mano ce…</t>
  </si>
  <si>
    <t>Alteado, Ignacio José</t>
  </si>
  <si>
    <t>Ignacio José Alteado</t>
  </si>
  <si>
    <t>ano Ba­ ilesa y teniente- general retirado. D. Francisco Olmedo. D. Nicoi&amp;s •Nava.- D. Antonio Ruiz. Di Antonio Belan.-D. Ignacio Hidalgo. Seculares. D. Ignacio José Alteado,-generalísimo. D. Müña’ao Ximenez, capitán general. D. Juan Aldama, teniente genera?. Don Pedro Anuida, mariscal.’ D. Manuel Sasta M-ría,.mariscal. D. Fr…</t>
  </si>
  <si>
    <t>Alten</t>
  </si>
  <si>
    <t>77 formaban un cuadro, y el regimiento portugués nú­ mero 21 formaba otro, protegidos ambos pof el pequeño cuerpo de caballería del mando del raay or general Alten y por la artillería por­ tuguesa. — La caballería enemiga que vio que estos cuadros se pu­ sieron en movimiento, inmediatamente te arrojó sobre la nuestra,.que tuv…</t>
  </si>
  <si>
    <t>65</t>
  </si>
  <si>
    <t>la forma si­ guiente : la quinta división sobre la derecha en Aldea Vieja ; la cuarta de línea, la división ligera de infantería y la caballería del general Alten en el convento de Saca parte , enfrente de Aifayates; el cuerpo que mandaba el teniente general Gratara formaba to iz­ quierda en Bismuto, tejiendo su vanguardia sí…</t>
  </si>
  <si>
    <t>1166</t>
  </si>
  <si>
    <t>nfantería enemiga, lo que n«; daba-dierapo'*á*'*qué'xa- me uniesen las tropas que • yo había mandado vawir «asruaxtiio de las que peleaban. El mayor' general Alten y los ce&gt;Ku«ifees ?Cu¿nnaing y Areatschild, así como les demos ¿éi-dales 'de esto&amp;'fegiíniénfes se disnifisíando^su coo3í.umb--:ad&amp;.búarxia— En ia acción Aldea de …</t>
  </si>
  <si>
    <t>Alton</t>
  </si>
  <si>
    <t>Gaceta de Madrid n.º 137</t>
  </si>
  <si>
    <t>, se entreguen i nición de esta ciudad, estuvieron scbre Jas armas las partes interesadas á petición suya, con la obli­ desde por la mañana. S. E. el general Alton dio por gación de dar á sati-facción de los Estados-U.üla noche uu baile magnifico, al que concurrieron dos una fianza por una suma igual al valor de ios los ofici…</t>
  </si>
  <si>
    <t>taque sobre nuestra derecha: y me­ recen ser mencionadas igualmente las brigadas portuguesas del gene­ ral Fon seca y Archibaldo Campbell. « El mayor general Alton y la excelente brigada de sil mando son acreedores á muchos elogios : y aseguro á Y. S. con gran placer qué la excelente y bizarra conducta de todos los cuerpos y …</t>
  </si>
  <si>
    <t>Gaceta de Madrid n.º 278</t>
  </si>
  <si>
    <t>150</t>
  </si>
  <si>
    <t>eros,' en Villaviciosa sus propietarios gravísimos ¡nctrbvenientes y pérdi­ y Barba. das incalculables. En el caso , mui probable , de un Brigada del general Alton: 2.0 de húsares ale­ asalto, y de la toma de la ciudad por los sitiado­ manes, 14.0 de dragones ligeros, en Rodondo y res , todas las propiedades de los ingleses e…</t>
  </si>
  <si>
    <t>Alvares</t>
  </si>
  <si>
    <t>920</t>
  </si>
  <si>
    <t>acaudillaba el lego Villerias, quedando este muerto en la acción. Con igual objeto capitanean otras partidas D. Diego Vean, cura del Armadillo ,„y el cura Alvares ; siendo notorios los servicios que en esta materia han contraído ios virtuosos y beneméritos curas de Si* lao y León desde los principios de los desórdenes. Si e3t…</t>
  </si>
  <si>
    <t>Alvares, Felipe</t>
  </si>
  <si>
    <t>Felipe Alvares</t>
  </si>
  <si>
    <t>Gazeta de la Regencia de España e Indias n.º 89 (suplemento)</t>
  </si>
  <si>
    <t>elchor Váleles, hermanos y compañía, 510. Lorenzo Betancourt, mayoral del ingenio la Concepción, 100. Juan Fabre, garzón del batallón de Morenos, 18. D. Felipe Alvares, escribano de! juzgado de di­ funtos , por el prest de un soldado en un mes durante la guerra, 9. D. Juan Rafael de Aljovin , cura de Qaivican, por entrega de …</t>
  </si>
  <si>
    <t>Alvares, Pedro González</t>
  </si>
  <si>
    <t>Pedro González Alvares</t>
  </si>
  <si>
    <t>Gaceta de Madrid n.º 102</t>
  </si>
  <si>
    <t>Piasencia. berán exigir en las expresadas ciudades mas que Por decreto de 8 del corriente el REI se ha uu qua&gt;v&gt; amueblado y cama. dignado nombrar á D. Pedro González Alvares ,, Los oficiales alojados en todos los demas pue­ fiscal de las juntas de negocios contenciosos de es­ blos continuarán hasta nueva orden en el derecha …</t>
  </si>
  <si>
    <t>Alvares, Pssdro</t>
  </si>
  <si>
    <t>Pssdro Alvares</t>
  </si>
  <si>
    <t>io Salgado. D. Pascual Be caria, v ÍJ. José Y^zquez Yarela; subtenencias á D. Manuel de los Ríos, D. Pío Tona, D. Juan Medrana, D. Cristóbal Sánchez, D. Pssdro Alvares:,.D. Cipriano V'dal., .D. Salvador Mora, D. Tomas de Sindc, D. José fereyra , D. D’ego Blanco y D. José Delgado; subtenencia de bandera á D. José Muñoz. En el …</t>
  </si>
  <si>
    <t>AlVarez, Agustín Muñoz</t>
  </si>
  <si>
    <t>Agustín Muñoz AlVarez</t>
  </si>
  <si>
    <t>manuscrito existía en el archivo de dicha cartuja, tras­ ladado i este real ale azar, y del que nos ha comuni­ TEATRO. cado copia el mjnc¡ana,io Sr. D. Agustín Muñoz AlVarez, en lo r’lativo á Arias Montano, sacada de En el del Príncipe, á las ocho de la roche, se re­ otra original del P. FV. Pedro Garrido, biblioteca­ present…</t>
  </si>
  <si>
    <t>Alvarez, Alonso</t>
  </si>
  <si>
    <t>Alonso Alvarez</t>
  </si>
  <si>
    <t>para capitanes y oficiales de ellas los sugetos que á continuación se expieian: LIBROS. Capitanes. Salustio, traducido en castellano por el caballero D. Alonso Alvarez. Manuel Sueiro, con las 4 oraciones que pronunció Ci­ ID. Sebastian Pcrez. cerón contra Catalina, traducidas por el célebre s-rgoviano Andrés Laguna ; tercera …</t>
  </si>
  <si>
    <t>Alvarez, Bernardo</t>
  </si>
  <si>
    <t>Bernardo Alvarez</t>
  </si>
  <si>
    <t>Gazeta de la Regencia de España e Indias n.º 11</t>
  </si>
  <si>
    <t>90</t>
  </si>
  <si>
    <t>.compañía, sin otras varias alhajas que cogieron los de la otra partida. Por nuestra parte hubo uno herido. Las municiones que sé cogieron me suplicó D. Bernardo Alvarez las repartiese con él, por ha­ llarse su partida con pocas; por lo que le he dado unu carga. — Dios guarde á V. S. muchos años. Huyeres y- noviembre 25 de 18…</t>
  </si>
  <si>
    <t>Alvarez, Felipe</t>
  </si>
  <si>
    <t>Felipe Alvarez</t>
  </si>
  <si>
    <t>... . 12003 28 Rs. de vn. D. Gaspar García........................... 3500 D. Luis Gabaldon y López por 270 a5f D. Domingo Antonio García........ 400 D. Felipe Alvarez.......................... 541 17 D. Pablo de Pinedo........... ............ 27254 26 D. Livinio Stuyek y Vandergoten. 1173 8f D. Andrés de Abrisqneta..........…</t>
  </si>
  <si>
    <t>Alvarez, Francisco</t>
  </si>
  <si>
    <t>Francisco Alvarez</t>
  </si>
  <si>
    <t>ado , 1. D. Mi­ guel Román , portero , 1. D. José de la Rosa , oficial primero de la tesorería, 2. D. Matias de Castro Palomino , oficial segundo, 1. D. Francisco Alvarez, reconocedor primero, 3. D. Nicolás Ceca, id. segundo , 3. D. José Hernández de Acosta , id. agregado , 1. D. Juan Remi, peón de confianza , 1. D. Félix ¡Sá…</t>
  </si>
  <si>
    <t>Alvarez, José</t>
  </si>
  <si>
    <t>José Alvarez</t>
  </si>
  <si>
    <t>o , 1. D. Pablo de la Guardia, oficial sexto , 3. D. Antonio Marcelino García , oficial séptimo, 1 y 4 rs. D. Juan Bautista Ríos , oficial octavo, 1. D. José Alvarez , escri­ biente primero , 1. D. Juan Manuel de Oroe , id. ¡segundo , 1. D. Miguel Nu­ dez , id. tercero, 1. D. Tomas González Camero, oficial agregado , 1. D. Mi…</t>
  </si>
  <si>
    <t>Alvarez, José García</t>
  </si>
  <si>
    <t>José García Alvarez</t>
  </si>
  <si>
    <t>Gazeta de la Regencia de España e Indias n.º 133</t>
  </si>
  <si>
    <t>1120</t>
  </si>
  <si>
    <t>io de la capitanía general, por el prest de 4 soldatios en 3 meses, 103., El teniente coronel D. Lucas Alvarez , por el de un soldado en 3 meses , 27 D. José García Alvarez , por resto de mayor caos por mes de dragones";, a cuánta de%!s--ofertas* d-e 4os;gef.?s-:; oficiales y tropa de este cuérpo , 5.50. Doña Josefa Relia, S …</t>
  </si>
  <si>
    <t>Alvarez, Josef</t>
  </si>
  <si>
    <t>Josef Alvarez</t>
  </si>
  <si>
    <t>compañía , en la vacante de D. An­ das combinaciones. Las quadVilbs que han espar­ tonio Fabeirac. cido por las provincias p va aumenta* lar calami­ D. Josef Alvarez, sargento primero, á subte­ dades bien pronto serán dispersadas. Sevilla 9 de niente de la novena compañía, en la vacante de julio de j8ii. = EI general en gefe …</t>
  </si>
  <si>
    <t>Alvarez, Juan</t>
  </si>
  <si>
    <t>Juan Alvarez</t>
  </si>
  <si>
    <t>Gazeta de la Regencia de España e Indias n.º 52</t>
  </si>
  <si>
    <t>402</t>
  </si>
  <si>
    <t>. Valerio Gome* y D. Juan Palacios $ el ayudante mayor D. Cos­ me Martínez j los alféreces JD. Lucas Molbaedo, D. Ju n Caníbn, Don José Rodríguez , y D. Juan Alvarez, los porta-estindartes , D. Hilario Echevarría , y D. Angel M:riño, el padre capellán D. Domingo Guvsal, el sargento primero Juan Seroquel, el cabo primero Manue…</t>
  </si>
  <si>
    <t>Alvarez, Juan Fnncisco</t>
  </si>
  <si>
    <t>Juan Fnncisco Alvarez</t>
  </si>
  <si>
    <t>en su nombre su apoderado Don ' co actos titulada Blanca, ó los Venecianos, y el sainete Estdban Pciron y Merino........... 12150 el Marido sofocado. D. Juan Fnncisco Alvarez , y en Kn el de Ja Cruz, .á las quatro déla tarde, se exesu nombre sn apoderado D. Juan cutará la comedia en tres actos titulada Eduardo y Antonio de Au…</t>
  </si>
  <si>
    <t>Alvarez, Manuel</t>
  </si>
  <si>
    <t>Manuel Alvarez</t>
  </si>
  <si>
    <t>Gaceta de Madrid n.º 90</t>
  </si>
  <si>
    <t>. Rafael de Lucena. nos, ni puede haberla mientras que subsista la ac­ D. R f.e! Caballero y Escovar. tuó administración inglesa, cuyos principios de D. Manuel Alvarez. guerra perpetua son bien notorios y públicos en D. Miguel de Barcia. toda la Europa. El viage di Mr. 1-abouchere es D. Francisco de Paula Valvero. re a ivo a …</t>
  </si>
  <si>
    <t>Alvarez, María Ramona</t>
  </si>
  <si>
    <t>María Ramona Alvarez</t>
  </si>
  <si>
    <t>osef Guillen, ex-capuchino , residen­ dolfi, id., por............................................. 2200 te en Torrejon de Velasco , por......... 2200 Doña María Ramona Alvarez, ex-fran­ D. Manuel Brea y Velados ,¡d., residente ciscana del mismo convento, por........... 2200 en Parla , por......................................…</t>
  </si>
  <si>
    <t>Alvaro, Cristóbal</t>
  </si>
  <si>
    <t>Cristóbal Alvaro</t>
  </si>
  <si>
    <t>uinet©, D. íhdegria Msliana , D. Podro Pascual del Castillo, D„ Antonio Elers, D. Melchor Moya, D. José Matras, D. Aarustin Scrra, D. Antonio Quircó, D. Cristóbal Alvaro, Don José Torreas, D. José María Cazarla, D. Vícente Crosal. D, Ma­ nuel Dorado, D. Francisco Colmenero, D. Juan B anco, D.. Miguel Albert, D. Antonio José R…</t>
  </si>
  <si>
    <t>Alvaro, Félix</t>
  </si>
  <si>
    <t>Félix Alvaro</t>
  </si>
  <si>
    <t>erón, vacante por de D. Bernardo Isla, á D. Ignacio Ramiro, clé­ promoción de D. Narciso Calvo á un curato del rigo de prima. obispado de Palencia, á D. Félix Alvaro, cura de Y para el de Mosarejos y su anexo GdapaMartealai. gaves, vacante por promoción de D.. Nicolás Pas­ Para el de Muriel Viejo, vacante por pro­ cual á una …</t>
  </si>
  <si>
    <t>Alvart-z, Angel Gerónimo</t>
  </si>
  <si>
    <t>Angel Gerónimo Alvart-z</t>
  </si>
  <si>
    <t>mendauo......................................270 25I 1444 1 D. Rafael Rodrigues.......................... 2888 2 D. Ped ro del Campo, por su apode­ 6 D. Angel Gerónimo Alvart-z............... 63r7 *7 rado D. Andrés Abrisguieta.......... 1444 1 D. Domingo Antonio de Herrero...,,. - 180 17 2 Doña Manuela Ibarrola...............…</t>
  </si>
  <si>
    <t>AlveráSoler, Pedro</t>
  </si>
  <si>
    <t>Pedro AlveráSoler</t>
  </si>
  <si>
    <t>i' res PonD. Antonio Hebras, subteniente, á teniente de ce, Caprara, Avecilla, Cristian!, Suarcz , Casañera jr la tercera compañía , en la vacante de D. Pedro AlveráSoler. En el de la Cruz, á las quatro y media de la tarde, D. Mariano Calderón, subteniente, á teniente se executaiá la comedia en tres act&lt; s titulada Si una de …</t>
  </si>
  <si>
    <t>Alverols, Es'éban Corones</t>
  </si>
  <si>
    <t>Es'éban Corones Alverols</t>
  </si>
  <si>
    <t>i..................... ..... 54i 27 articulo i. „Se declara acreedores del estado por ré­ 2 D. Jorge Galbatt, por su apoderado daos de vales reales á D. Es'éban Corones Alverols........ 3249 Recibos. Re.' Mrs. 2 D. Alonso Contreras............................ 24187 5 D. Antonio, Doña M«ríi Gar&lt;.és y 2 D. Juan de Llagona......…</t>
  </si>
  <si>
    <t>ALxandr</t>
  </si>
  <si>
    <t>Gazeta de la Regencia de España e Indias n.º 89</t>
  </si>
  <si>
    <t>21</t>
  </si>
  <si>
    <t>Suecia y Alemania hablan en términos que indican la proximidad de una guerra entre Francia y Rusia. No tardará mucho- en realizarse, sino- accede el emperador ALxandr® á las demandas hechas por Socaparte. El dia 10 llegó á asegurarse , pero sin señalar el fundamento , qué nuestro gobierno había recibido de -parte "de Aíéxandr…</t>
  </si>
  <si>
    <t>Amadeo</t>
  </si>
  <si>
    <t>t (D. Miguel), secretario y contador de nues­ • correos de Salamanca. \ tra montería mayor. Rober (D. Ramón), secretario de nuestra real ca­ Ingaldo (D. Amadeo), teniente del tercer regi­ pilla. miento de cazadores á caballo. Rodríguez (D. Angel), alabardero de nuestra Irabien de Urquljo (D. Francisco), corregidor de guardia …</t>
  </si>
  <si>
    <t>Amales, Calixto</t>
  </si>
  <si>
    <t>Calixto Amales</t>
  </si>
  <si>
    <t>Gazeta de la Regencia de España e Indias n.º 105</t>
  </si>
  <si>
    <t>840</t>
  </si>
  <si>
    <t>de la acción; * Acciones distinguidas en la acción de 15 de julio al frente de Astorga. Ei distinguido de húsarea de Galicia graduado de subteniente D. Calixto Amales, que mandaba una guerrilla de 8 caballos, se ade­ lantó con estos atacando á 40 dragones, que puso en huida dexaado 4 en el campo y heridos gravemente á varios.…</t>
  </si>
  <si>
    <t>Amalia</t>
  </si>
  <si>
    <t>Gaceta de Madrid n.º 95</t>
  </si>
  <si>
    <t>te sus facultades, y exirccr su iodustria , sin Escriben de Lintz que ha llegado á aquella que nadie pueda impedírselo arbitrariamente. To­ ciudad la princesa Amalia. Li esperamos aquí para dos dtb;n llevar con ¡auuidad las cargas del esta­ el 27, y está ya preparado un alojamiento en el do. Todos los ciudadanos son iguales d…</t>
  </si>
  <si>
    <t>Gaceta de Madrid n.º 232</t>
  </si>
  <si>
    <t>s cartas de Petersburgo, y de algu­ Ahora se asegnra mas que nunca el matrimonio nas otras plazas de comercio de Rusia, confirman próximo de S. A. la princesa Amalia, hermana del las noticias que se habían esparcido hace algún gran duque, con S. A. I el archiduque Cáelos de tiempo relativas á que el ukase que prohibía toda Au…</t>
  </si>
  <si>
    <t>Amanta, Antonio</t>
  </si>
  <si>
    <t>Antonio Amanta</t>
  </si>
  <si>
    <t>de la quarta comp'ñía. está fixa, y que sea el tornillo el que gire* este tendrá Décimo batallón. un movimiento compuesto de rotación y de Traslación D. Antonio Amanta, subteniente, á teniente en línea recta. De este medio se usa para taladrar les de la primera compañía. cuerpos duros, para juntarlos ó reunirlos entre sí, par…</t>
  </si>
  <si>
    <t>Amar, Juan</t>
  </si>
  <si>
    <t>Juan Amar</t>
  </si>
  <si>
    <t>len y D. Pablo Senderos : ayudantía á D Jo -é Otero ; tenencias á D. Joan Rodríguez, D. Alfonso. Tercero, D. Tomas Manzanar-?, D. Jocó Yszquez Rdova, D. Juan Amar, D. Francisco García, Dan Mu» tía Arrute ? D Juan García, D. Antonio Salgado. D. Pascual Be caria, v ÍJ. José Y^zquez Yarela; subtenencias á D. Manuel de los Ríos, …</t>
  </si>
  <si>
    <t>Amat, Francitco</t>
  </si>
  <si>
    <t>Francitco Amat</t>
  </si>
  <si>
    <t>Gazeta de la Regencia de España e Indias n.º 46</t>
  </si>
  <si>
    <t>rsien para que reunidas las guer­ rillas al mundo del capitán de dragones de México. D. Juan de Di as de Cos, y del teniente del regimiento de Toluca D. Francitco Amat, ata asen los puntos y artillería avanzada del enemigo $ el cual ebsirví trio este movimiento, emprendió precipitadamente sil fuga hacia Va-» 11 addi i. Nuestr…</t>
  </si>
  <si>
    <t>Ambire, Joaquín</t>
  </si>
  <si>
    <t>Joaquín Ambire</t>
  </si>
  <si>
    <t>Ramos, id. id., en CienpoenAlmodovar del Campo, por.............. 2200 zuelos, por..................... 2200 ■ Antonio Torre , id., residente en Al­ D. Joaquín Ambire, ex-gerónimo, resi­ i egro, por...................................................... 2200 dente en Pezuela de las Torres, por... 2200 |n Juan Barba , id. , res…</t>
  </si>
  <si>
    <t>Ambrosio</t>
  </si>
  <si>
    <t>980</t>
  </si>
  <si>
    <t>s ce?; te. Dios guarde i V. S. muchos salas. Cuartel general del Corojo da Yao\iaz; 8 de ages lo de 1811 i tas 4 de la mañana. — Manuel Freyre. — Sr. D. Ambrosio efe- la Cuadra. — Pozr-b^lcon. Núííí. B.° Copia de una carta de O Donnell. -—Agosto 8 á medio dia, Vado de Mauza&amp;cs.— Amigo Cuadra ; aquí me encontró, dos hora? hs''…</t>
  </si>
  <si>
    <t>933</t>
  </si>
  <si>
    <t>que el fin que dexo expresado. — Dios guar­ de á; y. S. muchos años. Quartel general del cortijo de Yaquez 8 de agosto de 181L — Manuel Freyre. — Sr. D. Ambrosio de ía Cua­ dra.”— Añora 17 de agoste de 1S11. —Ambrosio dé la Cuadra. Itinerario de la cuesta de la izquierda del GnadalenVm sobre el Fozo«halcón á la redonda.. Dé l…</t>
  </si>
  <si>
    <t>Amelle, Carlos</t>
  </si>
  <si>
    <t>Carlos Amelle</t>
  </si>
  <si>
    <t>D. Manuel Martínez Sta. Coloma , 1000. ,p. Pomingo-DenzeS-, 400, •‘Condesa, duquesa de Benavente, 1280. Marques, de Saks, 500. D, Narciso Cuyas, 100, D. Carlos Amelle»’, 500. i). Jayuvc Cn ux , diputado en Cortes por Cataluña , SUO. P. José &lt;¡iore, 160. U. Pedro Zuhmta , ÍOOO. .D. Juan José Burin , 30U. ¡Jopa Moría del Rosari…</t>
  </si>
  <si>
    <t>Amengua, Juan</t>
  </si>
  <si>
    <t>Juan Amengua</t>
  </si>
  <si>
    <t>Gazeta de la Regencia de España e Indias n.º 161</t>
  </si>
  <si>
    <t>1853</t>
  </si>
  <si>
    <t>s peto una r sta de ban­ dera , ¿oRite se han tremolado la española y ía inglesa, y de la muger del comandaste de la artillería de nuestra izqturca , D. Juan Amengua!, que se dhiarte en dar fuego k bis pú-zM. L:cs islas re­ ciben abundantes socorros de previsioses, y hay suficientes parsges á prueba para hombres y almacenes. …</t>
  </si>
  <si>
    <t>Amestoi, Francisco Xivier</t>
  </si>
  <si>
    <t>Francisco Xivier Amestoi</t>
  </si>
  <si>
    <t>espacha P. Antoni-- Muía Perez; y se advierte, que para el remate da dicha can Tercer batallón. se ha señalado el día 4 de noviembre próximo, á las u D. Francisco Xivier Amestoi, subteniente, á de la mañana, en la audiencia de su señoría. Los Añalejos de Madrid y del arzobispado para loe teniente de ia octava compañía, en la …</t>
  </si>
  <si>
    <t>Amezcua, Josef</t>
  </si>
  <si>
    <t>Josef Amezcua</t>
  </si>
  <si>
    <t>1064</t>
  </si>
  <si>
    <t>Espinosa.................... 1684..31 D. Anselmo Revenga............................... 180.. 17 D. Jacinto García de la Parra............... 561..2X D. Josef Amezcua.................................... 270.-251 D. Santiago Sedaño.................................... 247*-. 7 D. Hipólito Pedros»................................…</t>
  </si>
  <si>
    <t>Amigo, José González</t>
  </si>
  <si>
    <t>José González Amigo</t>
  </si>
  <si>
    <t>no' Cuella , D. Andre» Abollo, Don José Cubilar, D. Anselmo Muiré, D. José María Garza, í). «Fosé Navajas y D. Verdura Mosquera; los de subteniente á D José González Amigo, D. José Montes, D. Miguel Revor^do, D. An­ gel CAbalo, B. Juan Genaro Viñuela, D. Vicente Gomtz, Doq Bírnardino López, D. Santiago Ncvoa, D. Felipe López,…</t>
  </si>
  <si>
    <t>Amilj, Ramón</t>
  </si>
  <si>
    <t>Ramón Amilj</t>
  </si>
  <si>
    <t>Gazeta de la Regencia de España e Indias n.º 41</t>
  </si>
  <si>
    <t>rnanda Becerra, y por la de Benavente las compañías de tiradores y volante di mírica, gra­ naderos y cazadores de C impóstela, a! roa ado del caplian D. Ramón Amilj los que á pesar de la resistencia que hallaron de pme de los enemigos, que estaban timados á espaldas de las puertas y en Ks parapetos, lograron forzarlas, derrib…</t>
  </si>
  <si>
    <t>Amíoíiío</t>
  </si>
  <si>
    <t>arracin 25 de diciembre" de 1810.— Carvajal” ..... Huerta-Hernundo g de enero. Las compañías de caballería del man­ do de los tenientes L). Dámaso. y D. Amíoíiío. Martin, entraron: el 30 del pasado á las 1 o de la mañana en TT.rancori ¿ .y acuehillarotífhi­ rieron y. mataron algunos franceses (en las; calleé:Nó habían quedado…</t>
  </si>
  <si>
    <t>Amo, José</t>
  </si>
  <si>
    <t>José Amo</t>
  </si>
  <si>
    <t>Gazeta de la Regencia de España e Indias n.º 21</t>
  </si>
  <si>
    <t>25. D„ Vicente Solanilla, sacristán mayor , 4. D Francisco Xavier ttuiz , presbítero ,• 10. 1). Tomas Yangucz , id. , 4. D. José María Pmsonid , 25. D José Amo­ nio Masias , id., 4. Fr. Domingo Sampelayo , prior del convento de Sun Juan de Dios , 10. D. Antonio Cipriano Jaén , cura de Antón , 25. D. Ma­ nuel Palacios , cura i…</t>
  </si>
  <si>
    <t>Amoaio</t>
  </si>
  <si>
    <t>Gazeta de la Regencia de España e Indias n.º 145</t>
  </si>
  <si>
    <t>1215</t>
  </si>
  <si>
    <t>olución, hice poner la tropa sob^e las armas ü la una de la n?cli3 del 12 al 13, conociendo que si G rard salía aque­ lla misma noche de las Casas de D. Amoaio, donde se h í aba , podía estar en Cace res el 13 muy temprano ; hice doblar mis puestos avan­ zados , dando orden para que el pequeño cuerpo de ti adores les sirviese…</t>
  </si>
  <si>
    <t>Amonio</t>
  </si>
  <si>
    <t>Gaceta de Madrid n.º 225</t>
  </si>
  <si>
    <t>on que estamos de vuelta de labras , el respetable jnntero roe hizo ver que mi Cioiz , D. Antonio? tio bebía las noticias en un pilón de agua puerca, D. Amonio. ¡Qué quiere vmd.! ya estoiharto y que yo estaba mui cerca de la horca, de que de o-mer naranjas, v Vf g ' á ver qué viento so­ venia huyendo. Ahorro a vmd. el enterne…</t>
  </si>
  <si>
    <t>Amor, Bartolomé</t>
  </si>
  <si>
    <t>Bartolomé Amor</t>
  </si>
  <si>
    <t>Gazeta de la Regencia de España e Indias n.º 111</t>
  </si>
  <si>
    <t>887</t>
  </si>
  <si>
    <t>crificándose en obsequio y bien de la patria. Todos ios oficiales se han distinguido también, llenando sus deberes , y el co~| mandante de caballería D. Bartolomé Amor, que hizo el servicio do infantería á las veces, por exigirlo así las circunstancias , fué un exemplo y modelo digno de imitación, ja batiéndose como soldado, …</t>
  </si>
  <si>
    <t>910</t>
  </si>
  <si>
    <t>la valerosa división qué-teogo el honor de mandar ; pero señaladamente el de los sujeto* cuya relación acompaña : el del co­ mandante déla caballeril D. Bartolomé Amor, del comandante del batallón de Numantinos D. R+c nn Antentas, de mis dos ayudantes de campo D. 'Hilario Arnedo y D Rodrigo Castañon; y fioalmente del comisari…</t>
  </si>
  <si>
    <t>sultar con los gefes, el teniente coronel D. Ramón Antentas, comandante del batallón de Numandnos, el de igual clase, comandante de la caba­ llería', D. Bartolomé Amor, y el capitán D. Antonio Hernández, quie­ nes aprobaron mi plan en todas sus partes. A consecuencia ¿ sali .de Tsrrijo á las (3 de la tarde del día 23, y mandé…</t>
  </si>
  <si>
    <t>Amor, Biitolomé</t>
  </si>
  <si>
    <t>Biitolomé Amor</t>
  </si>
  <si>
    <t>Gazeta de la Regencia de España e Indias n.º 139</t>
  </si>
  <si>
    <t>75</t>
  </si>
  <si>
    <t>que íe fia pasado D. J ?é Duran, comandante grneral déla provincia de Soria. “Excmo. Sr.: el cora-andante ¿e ía ca ballena de la división de mi mando D. Biitolomé Amor, con fecha de 17 de setiembre, ccsdeia villa de Trévago, me dice lo siguiente : — Lleno de gloria, á'conse­ cuencia de haber derrotado completamente en 23 dd p…</t>
  </si>
  <si>
    <t>Amor, Uyitolomé</t>
  </si>
  <si>
    <t>Uyitolomé Amor</t>
  </si>
  <si>
    <t>114</t>
  </si>
  <si>
    <t>dí la marcha en. el momento, porque tenia antecedentes de que iba á atacarme la guarnición de Soria* pero di orden ^ al cov mandante de la caballería D. Uyitolomé Amor, para que si á las 4 ? de la mañana no hubiese habido novedad, se dbigieie.al lugar deT Huerta, donde yo le. esperarla coa la infantería.'¿ Así se verificó, y …</t>
  </si>
  <si>
    <t>Amoraga, Bonifacio</t>
  </si>
  <si>
    <t>Bonifacio Amoraga</t>
  </si>
  <si>
    <t>Gaceta de Madrid n.º 312</t>
  </si>
  <si>
    <t>129</t>
  </si>
  <si>
    <t>Benigno Wislow, y sostuvo el honor de este brado fiscal de la junta criminal extraordinaria de r.ombre tan respetado por todos los médicos. Córdoba á D. Bonifacio Amoraga, juez de la de Se sabe quan incómodas son en general to­ Málaga ; y para la plaza que resulta vacante á Don das las chimeneas á causa del humo, y quan difíc…</t>
  </si>
  <si>
    <t>Amoros, Francisco</t>
  </si>
  <si>
    <t>Francisco Amoros</t>
  </si>
  <si>
    <t>439</t>
  </si>
  <si>
    <t>1444 48 El marques de Peñañorida.............. 79781 Recibos. 1 Doña Feliciana Fernandez................. 2527 2 ©oña Francisca Xaviera de Gü?met, 2 D. Francisco Amoros............... 541 su apoderado D. Estéban Corones. 17099 29 j-,6 , 1.P39210 7 2 D. Trifon Joliau Cabeza.......... ......... 7181 22 1 rec.&gt; D. Niuolas Biazco…</t>
  </si>
  <si>
    <t>Ampliáis, Pedro Medina y Don Valentín</t>
  </si>
  <si>
    <t>Pedro Medina y Don Valentín Ampliáis</t>
  </si>
  <si>
    <t>818</t>
  </si>
  <si>
    <t>sargento mayor de brigada al espitan gra­ duado de teniente coronel D. Felino de Arco Agüero;. á capitanea, á I03 tenientes D. Juan X i menea Donor©, D. Pedro Medina y Don Valentín Ampliáis: á tenientes, á los subtenientes D. Franc s :o Pr-yricr y Moreno , graduado de teniente , D. José Seguido Iz­ quierdo, D. Pedro Colmenare…</t>
  </si>
  <si>
    <t>Amus</t>
  </si>
  <si>
    <t>Gazeta de la Regencia de España e Indias n.º 136</t>
  </si>
  <si>
    <t>n carabinero real , heridos.— El coronel L). Luis Miaría Vala&amp;zat, el ayudante adicto al estado mayor D. Jacobo María Espinosa , mí ayudante de campo D. Amus­ tia Psrez de Guzmnn . el teniente coronel de ingenieros D. Maria­ no Seímanat, corno igualmente todos los gefes , oficiales y soldados de les cuerpos que se hallaron en…</t>
  </si>
  <si>
    <t>An, José</t>
  </si>
  <si>
    <t>José An</t>
  </si>
  <si>
    <t>co­ ronel graduado D. Julián Aldrete , sargento mayor , tiene ya ofrecidos á en­ tregar en .España , (&gt;000 pesos. Capitanes. D. Pedro Santana , 100. D. José An­ tonio Remón , 100. D. Francisco Arosemona , 100. D. José deFábrega , ade­ mas del sueldo que le está asignado por castellano interino de Chagre todo el tiempo que sir…</t>
  </si>
  <si>
    <t>An, Juan</t>
  </si>
  <si>
    <t>Juan An</t>
  </si>
  <si>
    <t>Gaceta de Madrid n.º 23</t>
  </si>
  <si>
    <t>siere hacer postura á dichas fincas lo podrá verificar perjudicial que las limosnas pecuniarias dadas á ios acudiendo á la escribanía de provincia de D. Juan An­ pobres sin distinción ni discernimiento. La esperan­ tonio Zamácola; en inteligencia de que se han de cu­ za de este socorro fomenta la mendiguez, y sin brir en metá…</t>
  </si>
  <si>
    <t>Ana</t>
  </si>
  <si>
    <t>Gaceta de Madrid n.º 105</t>
  </si>
  <si>
    <t>os las clases de comerciantes y fa­ los dias de carnav.il con los jóvene» granefes duques bricante* de e*te pos, y los males á que están ex­ y la prm duquesa Ana, quienes volverán el di* 9 puestos, y para buscar el mejor medio que puede á Gatcbina. apúcá se'es en las circun t.ncias actuales , despees Sesenta señoritas nobles …</t>
  </si>
  <si>
    <t>Gaceta de Madrid n.º 158</t>
  </si>
  <si>
    <t>64</t>
  </si>
  <si>
    <t>os por onza , hasta &lt;¡ schelines 1 i£ dine­ grado en el reinado de Guillermo lil y en tiempo ros ; siendo asi que desde marzo de 1782 hasta di­ de la Reina Ana, durante cierto periodo de la ciembre del mismo año que u ron reducidos los guerra de siete años y de la de América , y duran­ billetes de banco de 9.1 be© libras este…</t>
  </si>
  <si>
    <t>Gaceta de Madrid n.º 255</t>
  </si>
  <si>
    <t>l capitán Bricton, ha estado fondeado en Nue.dieron motivo á Jos .estatutos de Guillermo m y dje la va-Yorck, entraron en este puerto varias embarca­ Reina Ana, en virtud de los quales el parlamento exis­ ciones americanas procedentes de Liverpool, Bristente debe continuar- 6 meses después de la muerte del tol éIrlanda con mu…</t>
  </si>
  <si>
    <t>Ana, María</t>
  </si>
  <si>
    <t>María Ana</t>
  </si>
  <si>
    <t>Gaceta de Madrid n.º 249</t>
  </si>
  <si>
    <t>ex­ pondrán sus cabezas al público sobie un palo. Los Tires de 18 de julio. simples robos cometidos por estos vagamundos se­ Acaba de saberle que. la princesa María Ana de rán castigados con 10 años de prisión, por lo me­ Saxonia, hermana de nuestro Soberano, se ha vis­ nos, en ana casa de corrección. También se manJa to en p…</t>
  </si>
  <si>
    <t>Anchori, Ramón Eduardo</t>
  </si>
  <si>
    <t>Ramón Eduardo Anchori</t>
  </si>
  <si>
    <t>Gazeta de la Regencia de España e Indias n.º 168</t>
  </si>
  <si>
    <t>412</t>
  </si>
  <si>
    <t>ente Gordillo, 25; D. .Sebastian de Ugarriza , en cada un año de los que* dure la guerra,500. El VI R. arzobispo 1). Bartolomé' de las Heras, I-0000. D. Ramón Eduardo Anchori , presbítero, 1(K). I). Antonio y D. José Matías E'lizalde, 4000. E¡ cirujano D. José de Avi­ la , 200. Ei conde de S. Isidro , 500. D. Antonio Bedoya ,…</t>
  </si>
  <si>
    <t>Andalo, José</t>
  </si>
  <si>
    <t>José Andalo</t>
  </si>
  <si>
    <t>Blas María Sola, D. Jo?é Carrasco, D. Nmroírío Cor­ vino, D. Biitoiomé Wüitt, D. José Wüitt, D. Manuel Vago, Don Simón d&amp; la Greta, D. Ramón Lanctoy, D. José Andalo, D. José García, D. Francisco Gómez, B. Antonio Díaz, D. Juan Sánchez y D. Gregorio Vázquez; y subtenencias á D. Francisco Rafael, D. Manuel Taquinet©, D. íhdegri…</t>
  </si>
  <si>
    <t>Andalucía</t>
  </si>
  <si>
    <t>Gazeta de la Regencia de España e Indias n.º 71</t>
  </si>
  <si>
    <t>563</t>
  </si>
  <si>
    <t>, y el dia 20 llegó á Yelves con .12000 hombres : oper avien ce que Gvi7tn esperarse / los resultados mes favorables y decisivos para fa rcconqm"ísi d Andalucía : como igualmente c. * deí movimiento del y cer exército mandado por el general 'J/reyre 9 as quien se asegura po­ sitivamente que ha entrado en d rey no de Jaeh3 int…</t>
  </si>
  <si>
    <t>Andoj, Juan</t>
  </si>
  <si>
    <t>Juan Andoj</t>
  </si>
  <si>
    <t>Gaceta de Madrid n.º 33</t>
  </si>
  <si>
    <t>ticado «n otra*.ocasiones; qae de consiguiente el. D. Pedro lístala. parUmeoto podía elegir entre estos dos pted¡Q9r: D. Juan Andoj^r. adoptando el quede-parezca mas conveniente en las D. Francisco Marina. actuales circunstancias. No obstante* en quanto ai D. Manuel Ñarganes y Posada. bilí le parece que es;el.camino mas l</t>
  </si>
  <si>
    <t>Andrade</t>
  </si>
  <si>
    <t>Gazeta de la Regencia de España e Indias n.º 94</t>
  </si>
  <si>
    <t>755</t>
  </si>
  <si>
    <t>los franceses salieron á hacer paja á las eras inmedia­ tas cea buena escolta, y Val irjo les estuvo ayudando á cargarlas. Con el aviso que dió á su comandante Andrade de la posición y fue?.zas de ios enemigos, determinó este atacarlos, situada toda sil fuerza, que consistía en 12 hombres , en la huerta del Jardar, en el cami…</t>
  </si>
  <si>
    <t>Andrade, Antonio</t>
  </si>
  <si>
    <t>Antonio Andrade</t>
  </si>
  <si>
    <t>án D. José Loredo, 100. El alférez LE Eduardo García, 96. El capitán D. Mariano Urrca , 200. El alférez D. José Mena , 10, Don José María Sopeña, 25. D. Antonio Andrade , 5. D. Manuel Rodríguez, G. D. José Buelna , 20. D. Xavier Díaz , 25. D. Ignacio León , 25. D. Ignacio Serrano, 10. D. Tomas Valencia, 10. D. José López, 20.…</t>
  </si>
  <si>
    <t>Andrés</t>
  </si>
  <si>
    <t>stro palacio de Madrid á n de marzo Castillo (D. Josef Atanasio del), corregidor da .de 1811. Jaén. Don Joséf Napoleón por la gracia de Dios y Cayet (D. Andrés), soldado de caballería ligera pot la constitución del estado» REI de las Espa­ de nuestra guardia real. das y de las Indias. Cesáreo ( D. Matías ), capitán de (a mili…</t>
  </si>
  <si>
    <t>L&gt;re la cu'r.iinn jurídica del bilí» mandó leer este Alonso (D. Mariano), jaez de la» junta» de negó-1 por ia tercera vez. cios contenciosos. Aogel (D. Andrés), granadero, del regimiento de IMPERIO FRANCES. Castilla r i.u de infantería ligera. Augustin (El general conde D. Antonio), ex­ Turitt 8 de julio. presidente de la rep…</t>
  </si>
  <si>
    <t>Gazeta de la Regencia de España e Indias n.º 109</t>
  </si>
  <si>
    <t>erra de los fondos públicos , 2700. I). Pablo Auí curio Eeíaneourt y Agüero , regidor al fe re 2 real de la villa de Puerto Prínci­ pe. pov rníjio de D. Andrés ele Jáuregui , alcalde ordinario de esta ciudad, düC-. í). Francisco de dales Izquierdo, vecino de la villa de Santiago, 100. I&gt;. ¿ c, n Rafael Aljovin, cura beneficia…</t>
  </si>
  <si>
    <t>Andrés, Antonia</t>
  </si>
  <si>
    <t>Antonia Andrés</t>
  </si>
  <si>
    <t>1S. 1 1 D. Francisco López Lisperguer, por l D. Domingo de Urrotia............ ........ 5242 16 sus sueldos en diferentes destinos;. . 18049 5 9904 t Doña Antonia Andrés, por real or­ den de 22 de agosto de 1807 , por vía de la viudedad de 5 rs. diarios. 1090 Libramientos de réditos de vitalicio al interes 1 Doña María Antoni…</t>
  </si>
  <si>
    <t>Andrés, Antonio María San</t>
  </si>
  <si>
    <t>Antonio María San Andrés</t>
  </si>
  <si>
    <t>1016</t>
  </si>
  <si>
    <t>fusileros D. Manuel San Llórente; y empleos de alféreces ¿ los cadetes D. Juan Nepomuceno de Mancebo, D. Juan Esteban de Mancebo, D. José Me rejón, y D. Antonio María San Andrés. Ei Consejo de Regencia se ha servido conferir el empleo de co­ ronel á D Francisco Dionisio Vives, comandante del primer bata­ llón de voluntarios d…</t>
  </si>
  <si>
    <t>Andrés, Josef</t>
  </si>
  <si>
    <t>Josef Andrés</t>
  </si>
  <si>
    <t>, sargento primero , á art ix. Nuestro ministro de la Guerra que­ subteniente de la séptima compañía. da encargado de la execucion de este decreto.=s D. Josef Andrés Madrid, sargento primero, á sub­ Firmados YO EL REI.= Por S. M. , el ministro teniente de la décima compañía. secretario de Estado = Firmado =Mar¡auo Luis de Urq…</t>
  </si>
  <si>
    <t>Andrés, Juan</t>
  </si>
  <si>
    <t>Juan Andrés</t>
  </si>
  <si>
    <t>........ 8100 D- Josef Antonio Rodríguez......... 720 D. Antonio Ruiz de C-stilIa......... 433 17 D. Juan Andureo............................ 5945 16 D. Juan Andrés ríe Loutbid.i.......... 833 25 D. Domingo Ortiz de Sintioste.... 5507 27 D. Francisco Fernandez de Santos. 13115 20 Doña Juana Tomasa Sánchez del D. Antonio Ruiz …</t>
  </si>
  <si>
    <t>Andrés, Saturnino</t>
  </si>
  <si>
    <t>Saturnino Andrés</t>
  </si>
  <si>
    <t>el pañía. cabildo metropolitano de la catedral de París ha D. Ramón Viejo á subteniente de la misma. manifestado en sn representación á S. M. I. y R. D. Saturnino Andrés á teúiénte de la tercera para la defensa y conservación de las libertades de compañía. aquella ilustre iglesia galicana, laqaai, sin apar­ D Ventura Gaona á …</t>
  </si>
  <si>
    <t>Andriani</t>
  </si>
  <si>
    <t>o? del castillo da S. Fernando de Sagunto. La.guarnición se formó en la batería- de S. Fe rnando, y ií su presen­ cia y la de todos los empleados, el coronel Andriani pre¿tó juramen­ te solemne de mantener la fortaleza en uombre del it.-y, y no entre­ garía ni rendirla hasta morir, haciendo en razón de cao pierio ko¿ raenagA …</t>
  </si>
  <si>
    <t>Andriani, D Luis María</t>
  </si>
  <si>
    <t>D Luis María Andriani</t>
  </si>
  <si>
    <t>30</t>
  </si>
  <si>
    <t>ximamente.. Los enemigos no han h cho movím enío desdé el 24, ni reconocimiento sobre nuestros puestos siarzsdbs defarté de eí-ta ciudad. ” Parte d(í coronel D\ Luis María Andriani al capitán general I). Joaquín Biabe con fecha de $9 de setiembre. ‘•Excmo. Sí. : Ei enemigo asaltó este candió- de Sbguato i las 2 de ia madrugad…</t>
  </si>
  <si>
    <t>Andriani, Luía María</t>
  </si>
  <si>
    <t>Luía María Andriani</t>
  </si>
  <si>
    <t>ju fl ly i GACETA EXTRAORDINARIA v*. DE LA REGENCIA ©EL LUNES 14 DE OCTUBRE DE 1811. ESPAÑA. Valencia 1.® de octubre. El 16 del mes pasado el córese! D. Luía María Andriani,'ayudante general ds estado m&amp;vc?, temó pCscsíoa d« su X5srgo de gobernado? del castillo da S. Fernando de Sagunto. La.guarnición se formó en la batería- …</t>
  </si>
  <si>
    <t>Anduaga, Vicente</t>
  </si>
  <si>
    <t>Vicente Anduaga</t>
  </si>
  <si>
    <t>Gaceta de Madrid n.º 234 (suplemento)</t>
  </si>
  <si>
    <t>............ 13125 Doña Angela Clara de Pineda. 2 3 207.. 2 2 D. Pedro Ferrer................ . 2 2.2872.21 El conde de Casa^ Valencia.. 3 3 311.. 17 D. Vicente Anduaga.......... 10547..32 El patronato de D, Pedro D. Santiago Gavirati........... 3867..17 Sttarez de ToleJojr y Do­ D. Josef de Le- 7680 } ña Leonor de Estrado...…</t>
  </si>
  <si>
    <t>Andurco, Juan</t>
  </si>
  <si>
    <t>Juan Andurco</t>
  </si>
  <si>
    <t>Madrid^ 17 de agos­ D. Pedro Pablo Pastor.......... 4929..1 a to de 181 x. D. Francisco López Nuñez. 525o Don Josef Napoleón por la gracia d .-.Dios D. Juan Andurco................... 54.. 18 y por la constitución del estado, REI de las D. Pedro Meruendano........ 5 53°-- 4 Españas y de las Indias. D. Josef Clemente de Luxá. …</t>
  </si>
  <si>
    <t>Andureo, Juan</t>
  </si>
  <si>
    <t>Juan Andureo</t>
  </si>
  <si>
    <t>........... 3360 D. Pedro de la Serna....................... 8100 D- Josef Antonio Rodríguez......... 720 D. Antonio Ruiz de C-stilIa......... 433 17 D. Juan Andureo............................ 5945 16 D. Juan Andrés ríe Loutbid.i.......... 833 25 D. Domingo Ortiz de Sintioste.... 5507 27 D. Francisco Fernandez de Santos. 131…</t>
  </si>
  <si>
    <t>Angel</t>
  </si>
  <si>
    <t>de infantería da real. línea. j Guincheneuf (D. Santiago), tirador de idem. Mesa (D. Alonso), cabo del regimiento de Tole­ Gutiérrez de Santa Clara (D. Angel), canóaigo do, 2.0 de infantería de línea. de S. Isidro el Reai de Madrid. Molas (D. Luis), sargento primero.del Real ExGuzman (D. Cirios Tomas), capita» retirado, trang…</t>
  </si>
  <si>
    <t>yor. Rober (D. Ramón), secretario de nuestra real ca­ Ingaldo (D. Amadeo), teniente del tercer regi­ pilla. miento de cazadores á caballo. Rodríguez (D. Angel), alabardero de nuestra Irabien de Urquljo (D. Francisco), corregidor de guardia real. Burgos. Rodríguez (D. Bonifacio), alcalde mayor de San­ Itnrribarria (D. Francisc…</t>
  </si>
  <si>
    <t>varro........................... 2C035..17 D. F rancisco Villalba y Cortés'.......... 1534- 8 i|H Extracto de las minutas de la secretaría de Estado. D. Angel deUrruchi.................................... 6588- 8 Hk 13. Josef del Corral................................. 13627-25 ¡ En nuestro palacio de Madrid á ó de setiembre …</t>
  </si>
  <si>
    <t>Angel, Josef</t>
  </si>
  <si>
    <t>Josef Angel</t>
  </si>
  <si>
    <t>D. Esteban), corregidor de Puerto Real. TEATROS. Moreno (D. Joaquín ), alférez de navio. Kn el del Príncipe , á las siete de la noche, se re­ Moreno (D. Josef Angel), comisario de guerra presentará por la compañía española la comedia de fi­ de segunda clase. gurón de D. Agustín Moreto en tres actos titulada el Panchudo García…</t>
  </si>
  <si>
    <t>Angela</t>
  </si>
  <si>
    <t>............. 16335 üí Josef Gamboa.............. 6859 1 D. Gregorio de los Tueros......... . 1805 2 D. Juan Bautista Condestable........... 545 17 1 Doña Angela Imperial........................ 18c j 1 Doña Alfonsa Chavarría.................... 185 17 I D. Josef Jesús García, por su apo­ 2 D. Andrés Tarancon.................…</t>
  </si>
  <si>
    <t>Anguio, Francisco</t>
  </si>
  <si>
    <t>Francisco Anguio</t>
  </si>
  <si>
    <t>Gaceta de Madrid n.º 325</t>
  </si>
  <si>
    <t>1346</t>
  </si>
  <si>
    <t>ribas............... 5C0 derechura á Leiden. El Excmo. Sr. marques de Aimenara...... . 500 El Emperador visitó las esclusas de Catwick, El Excmo. Sr. D. Francisco Anguio......... 5^0 V después fae á la playa, desde donde fue á Lei­ El Excmo. Sr. conde de L. fjrcsr............... ¿co den á buscar á la Emperatriz, y salieron ju…</t>
  </si>
  <si>
    <t>Angulo, Antonio</t>
  </si>
  <si>
    <t>Antonio Angulo</t>
  </si>
  <si>
    <t>Gaceta de Madrid n.º 356</t>
  </si>
  <si>
    <t>ado, haciéndole el honor de nombrar­ D. Josef Caparrds, D. Joaquín Marques, D. Juan le su proveedor ó mayordomo, trocando asi las funcio­ del Mármol, D. Antonio Angulo , D. Cirios del nes de ambos; pues al fin el uno peleaba mientras el Castillo, D. Andrés Guerra y D. Josef María Ga- otro se hallaba en Cádiz en las delicias d…</t>
  </si>
  <si>
    <t>Angulo, Francisco</t>
  </si>
  <si>
    <t>Francisco Angulo</t>
  </si>
  <si>
    <t>Gaceta de Madrid n.º 256 (suplemento)</t>
  </si>
  <si>
    <t>47</t>
  </si>
  <si>
    <t>lanzas y medias anaias, se reunieron de urden del dice Bitnfj n.tr¡on.:!rs debaxo de ia tilma del último endoso, poExcino. Sr. ministro de, Hacienda D. Francisco Angulo en la casa niend’i á continvscbn la palabra , con ia lecha del día, de Ja dirección genera tedi bienes nacionales, en el día ¡p de ju­ y finalmente .ipujeriur…</t>
  </si>
  <si>
    <t>Angulo, Manuel</t>
  </si>
  <si>
    <t>Manuel Angulo</t>
  </si>
  <si>
    <t>Gaceta de Madrid n.º 336</t>
  </si>
  <si>
    <t>37</t>
  </si>
  <si>
    <t>er eternamente grabados en él, nos mostró con Sr. D.............. Mari Durnisseau........... . 50 ternura á sns dos bienhechores; mas en lugar de Sr. D. Manuel Angulo............................... 100 decir Sicard, Itard, ne pudo pronunciar sino Ti­ Sr. D. Francisco Bouligni......................... 60 ca, lea. Es pues indud…</t>
  </si>
  <si>
    <t>Angulo, Pedro</t>
  </si>
  <si>
    <t>Pedro Angulo</t>
  </si>
  <si>
    <t>es de zapados. El'muestro p- rt ;g ;cs . vecino de Cádiz.., 12 pares de zapato? y lí güi ros. D José L n o ínciart-/, un par de pistolas y 2 fusiles. D. Pedro Angulo.2 pistolas y un euel&gt; lio. I). Pedro Martínez Moreno, 12 camisas. Doña M. G. B 4 camisas. .Ora TV.lipe de Arando, 12 camisas. Una patriota, 6 camisas. 1). Juan B…</t>
  </si>
  <si>
    <t>Anlestía, Miguel</t>
  </si>
  <si>
    <t>Miguel Anlestía</t>
  </si>
  <si>
    <t>segundos H D. Paulino Vicente j espitan del de dragones de la Rey na, Don Agustín de Jáuregui, que lo es del de caballería de voluntarios do Madrid, D. Miguel Anlestía, que lo es del de infantería primero d« Burgos, -O. José Bernmdez de Catiro, que lo es del de infantería del general del quinto exército, D. Pedro Br ingas y D…</t>
  </si>
  <si>
    <t>Année</t>
  </si>
  <si>
    <t>Gaceta de Madrid n.º 188</t>
  </si>
  <si>
    <t>miento; pero esta propuesta descubri­ el día 6 el puesto de Monb’anch en el camino de rá claramente el carácter de la cámara baxa. ( Kcn- Lérida ; el comandante Année , que mandaba 300 tich-chronicle.) hombres del 14.“ de linea , los recibió con tal se­ CAMARA ALTA. renidad y firmeza , que tuvieron que retirarse á to­ da pris…</t>
  </si>
  <si>
    <t>de esquadron de artillería mente el 23 por todos los miqueletes y somatenes Duchamp manifestó en esta operación mucha ac­ reunidos; pero el valeroso .comandante Année los tividad y valor. A las ocho de la tarde del 29 recibo con su acostumbrada firmeza y serenidad. quatro cañonazos á metralla dieron la señal del El g neral Ft…</t>
  </si>
  <si>
    <t>Anneñdarsz, Joaquín</t>
  </si>
  <si>
    <t>Joaquín Anneñdarsz</t>
  </si>
  <si>
    <t>420</t>
  </si>
  <si>
    <t>O. El Consejo de Regencia se ha servido .conferir en el estado ma­ yor de ios exérci’os, empleos' de ayudantes generales ti los prima­ reis ayudantes D. Joaquín Anneñdarsz, O. Francisco Piasen cía, D. Prancisco Hiitart y D. Rafael Goicoe^hea, éste gradando de coro­ nel ; y empleos de ayudantes primeros á ios segundos ,D. F.: …</t>
  </si>
  <si>
    <t>Ansel, Manuel</t>
  </si>
  <si>
    <t>Manuel Ansel</t>
  </si>
  <si>
    <t>y Valle , 100. D, An­ tonio de Estrada , 100. D. José Buenaventura Batllé , 100. D. Vicente Ta­ layera, 100. D. Buenaventura Oliver y Barquez , 100. D. Manuel Ansel­ mo López Carta, 100. D. Cristóbal Rieart, 100. D. Andrés Sauri , 100. D. Salvio Garbo y compañía, 100. D. José de la Rosa Manzanilla, 100. D. Francisco de Estrad…</t>
  </si>
  <si>
    <t>Anselmo</t>
  </si>
  <si>
    <t>o (D. Josef), sargento de húsares de nuestra Collado (D. Diego), tirador del regimiento de guardia real. Toledo, 2.0 de infauteiía de línea. Aivarez (D. Anselmo), sargento segando del re­ Cnbells ( D. Tadeo), capitap agregado at estado gimiento de Madrid, i.c de infantería delinea. mayor de la plaza de Madrid. Aivarez de Fari…</t>
  </si>
  <si>
    <t>xad-is por esta orden, otra tercera parte snas de telmi, de la villa de Marchena , y á D. Anselmo estas gratificaciones para luz y lumbre, y no de­ Laveria , de la ciudad de Piasencia. berán exigir en las expresadas ciudades mas que Por decreto de 8 del corriente el REI se ha uu qua&gt;v&gt; amueblado y cama. dignado nombrar á D. P</t>
  </si>
  <si>
    <t>903</t>
  </si>
  <si>
    <t>ga de g*ndarmas de caba­ llería , matando á II de elloa y haciendo á otro prisionero; jsero con la desgracia de hjíber muerto en la acción su hermano D. Anselmo, que llevado de su excesiva intrepidez, acometió solo ¿.5 de Ws-ene-</t>
  </si>
  <si>
    <t>Ansó</t>
  </si>
  <si>
    <t>Gazeta de la Regencia de España e Indias n.º 62</t>
  </si>
  <si>
    <t>mue res, 2 heridos y 4 pri­ sioneros. Aunque todos mis soldadcs han llenado su deber y mis de­ seos; no puedo menos de recomeniar particularmente al capitán Ansó, al teniente graduado de capitán D. Joaquín Vizcaíno y ai aiferez Don Juan Martin Cortés, del regimiento de dragones deí Rey , al cabo pri­ mero Marcelino González, …</t>
  </si>
  <si>
    <t>Anson</t>
  </si>
  <si>
    <t>.0 y 4.0 de drago­ en él á la fuerza , estarán necesariamente expues­ nes, en Evora. tos á las mismas calamidades y á sufrir iguales pri­ Brigada del general Anson: 13.0 de dragones vaciones; y si después de una navegación larga y ligeros , en Assenor y Montefort: 16.0 de dragones penosa se les obliga , como se ha hecho ya co…</t>
  </si>
  <si>
    <t>; después de lo cual volvió 4 ocupar su a ate-» rior posición. — Ei teniente, general.Grabara quedó .ii*uy sati&amp;UauQ de la conducía de la brigada del general Anson, y este general ítacq mención particular de i teniente coronel Harvey y tj&lt;*l capitau Brod Trien del Víi-gímierito 14 , é igualmente del capitán Hay y del mayor Co…</t>
  </si>
  <si>
    <t>Ansuategui, Ambrosio</t>
  </si>
  <si>
    <t>Ambrosio Ansuategui</t>
  </si>
  <si>
    <t>360. D. Juan Manuel de Urriola, 100. D. An­ tonio Ximenez, 100. D. Manuel de Ortiz, 200. D. Juan Andrés de Gaviria, 40. X). Luis de la Barrera, 100. D. Ambrosio Ansuategui, 100. D. Francisco de Argote , en plata labrada y en pasta, 450. Be los fondos de propios del mismo cabildo , 400. — Administración principal de tabacos. E…</t>
  </si>
  <si>
    <t>Antayo, Mariana</t>
  </si>
  <si>
    <t>Mariana Antayo</t>
  </si>
  <si>
    <t>s vecinos del partido de Jesús del Monte, 102. D. Diego José de Aguiar , meritorio con goce del tri­ bunal de cuentas, por 2 meses de su oferta , 20. Doña Mariana Antayo , 35. D. Francisco López del Pulgar , por el prest de un soldado de caballería en 5. meses , 90. Doña Rosalía Penal ver , por el de 5 soldados en 2 meses, 90…</t>
  </si>
  <si>
    <t>Antesaná, Vicente</t>
  </si>
  <si>
    <t>Vicente Antesaná</t>
  </si>
  <si>
    <t>y José María legarte , 12. D. Isidro Dábalos y D. Domingo León , 12. E&gt;. Ignacio Martínez' y P. Juan 'Otazo , 12. D. Andrés y D. Narciso Lleréna , 12 D. Vicente Antesaná , 12.--Varios-españ oles"-t 170. Entregado por mano del coronel del regimiento , 277 y 3 rs. — Total, 5030 pesos y 3 rs. GADIZ : EN LA IMPRENTA REAL.</t>
  </si>
  <si>
    <t>Antillon, Guadalupe</t>
  </si>
  <si>
    <t>Guadalupe Antillon</t>
  </si>
  <si>
    <t>Gazeta de la Regencia de España e Indias n.º 123</t>
  </si>
  <si>
    <t>1003</t>
  </si>
  <si>
    <t>i un herido &amp;c.” De resultas de estes sucesos y de las providencias tomadas para continuar el restablecimiento del orden, imploró y obtuvo el indulto D. Guadalupe Antillon, que con título de coronel estaba reuniendo insurgentes en el Leoncito, y amenazaba á la tranquilidad dé los lu­ gares del Cedral y Matehuala. En todo aque…</t>
  </si>
  <si>
    <t>Antillon, Isidoro</t>
  </si>
  <si>
    <t>Isidoro Antillon</t>
  </si>
  <si>
    <t>Gaceta de Madrid n.º 295</t>
  </si>
  <si>
    <t>ecido en la imprenta rea?. neral de aduanas, los condes de Lobau y Hogen- Mapa del mar Mediterráneo entre Europa, Asia y Africa. Baxo la dirección de D. Isidoro Antillon, ano dorp, edecanes de S. M.; los condes Praslin y de 1804. Se publica en 181 t.crNoticias ycogr íicas Gornelissen, caballerizos de S. M.; el barón Cos- del …</t>
  </si>
  <si>
    <t>Anto</t>
  </si>
  <si>
    <t>enes I)on Pedro Obarrio , 100. El fiel de la real fábrica, de cigarros D. Sebastian Saldivar, 20, Varios vecinos por mano de D. Silvestre Ramos, 206. D. Anto­ nio Maraver , 1251. Entregado por mano de un sacerdote en oro en pol­ vo y pelota, 372. El doctor D. Joaquín Cabrejo , teniente Gobernador, audi­ tor de guerra y asesor…</t>
  </si>
  <si>
    <t>Gaceta de Madrid n.º 240</t>
  </si>
  <si>
    <t>931</t>
  </si>
  <si>
    <t>ra: si se la Avila por nuestro decreto de este dia ; para presi­ dan facultades , no metódicamente, sino eo los dente ¿n comisión el alcaide de corte D. Anto­ grandes apa ros y agonías, es fácil que se le dé una nio Cortes , conservando aquella plaza; para fiscal faerza mal combinada, dictada mas bien por el te­ D. Baltasar V…</t>
  </si>
  <si>
    <t>cuadrón de la Romana. La par­ tida de Clavijo. La del cura Lobillo. La de López. La de Gómez9 alias PanchÜo. La de Santaella. La de Valderrama. La de D. Anto • nio de Laque. La del capitán I). Antonio Caballero. La de Rodríguez, La de JJ. José Ruiz Falcon, alias Juan Soldado. La del cura de CasaBermeja. La de D. Pedro Zaldiva…</t>
  </si>
  <si>
    <t>Anto, José</t>
  </si>
  <si>
    <t>José Anto</t>
  </si>
  <si>
    <t>1204</t>
  </si>
  <si>
    <t>colea, D. Gaspar Aguado y D. Fran­ cisco Noguer; tenencias á D. Mauricio de L -rgacha, D. Jo é Per­ noto , D. José deGaiilenea, D. Esteban S. Miguel, D. José Anto­ nio Romero, D. Ram&amp;n de Larrieta, D. Manuel Sanz, D. Domin­ go Cierto, I). Antonio Vallaría© y D. Sebastian Peñasco; y subte­ nencias á D. Diego Blanco, D. Manuel …</t>
  </si>
  <si>
    <t>Anto, Josef</t>
  </si>
  <si>
    <t>Josef Anto</t>
  </si>
  <si>
    <t>a de Zapa­ dores. MUSICA. Asimismo por decretos de 4 y 18 del mismo Pasto)«la al Hijo de Dios: por D, M. P. Véndese mes se ha servido S. M. nombrar á D. Josef Anto­ en las librerías de Perez, calle de las Carretas; Minunio Connesa , D. Pedro Celestino de los Arcos , Don tria , calle de Toledo, y Villa , plazuela de Santo Do­ …</t>
  </si>
  <si>
    <t>Antoi, Franciseo</t>
  </si>
  <si>
    <t>Franciseo Antoi</t>
  </si>
  <si>
    <t>....... 5I44” 8í les y cinco ir,ara vedis de vellón. La casa de Goicocbea y Arcchaga, art. 11. Se entregarán á estos interesados las cor­ por mano de D. Franciseo Antoi.io respondientes cédulas hipotecarias, en confermidad al del Corral..................................... . 11x91 aiticulo m de nuestro decreto de 9 de junio d…</t>
  </si>
  <si>
    <t>Antón</t>
  </si>
  <si>
    <t>antería de Mure&amp;a; ¿capitanes, á D. Teeiosio Vico, ayudante •mayar dul-exprsflada ie?inti»nto, ©. Pedro Fernandez Palacios, teniente'del-de- Sevilla, D. Antón!® Frías, capitán segundo déla segunda sección catalana, D. Antonio E chozada, teniente de Or­ denes, militares, y D; Ambrosio Saiazar, alférez de reales guardia» de inf…</t>
  </si>
  <si>
    <t>Antón, Petronila</t>
  </si>
  <si>
    <t>Petronila Antón</t>
  </si>
  <si>
    <t>Jo-ef Gouzalez............. 605 4840 Palma, nútn. 13 5............... 880 7040 Una casa calle de la Pólvora, Otra, calle del Corral de San que ocupan Doña Petronila Antón, nútn. 202............... 720 5760 Barrios y Estéban Casanova. 3407..17 27260 Otra, calle de Arcos, númeOtra, calle de Sevilla, nú- ro 1215.................…</t>
  </si>
  <si>
    <t>Antoneli</t>
  </si>
  <si>
    <t>Gazeta de la Regencia de España e Indias n.º 32</t>
  </si>
  <si>
    <t>mi intento, Al efecto dispuse que un cuerpo de caballería , compuesto de z es­ cuadrones de México , con sus comandantes Don Francisco Astudiilo y el barón Antoneli, otro de España mandado por el capitán D. Gabriel Martines , 2 compañías de es»opeteros y patriotas dé S u Luis, al cargo del teniente coronel D. Juan Nepomueeno …</t>
  </si>
  <si>
    <t>Antonia</t>
  </si>
  <si>
    <t>ia de honor de Sevilla. de Arjona. Boodia (D. Henriqoe ), tirador de . nuestra gaar- Escribano (D. Blas ) , soldado de artillería dia real. Falqués ( D. Antonia), comandante de batallón del Bougard ( D. Pedro), soldado de caballería ligera regimiento de Madrid, i.°de infantería de linea. de nuestra guardia real. Fernandez ( D…</t>
  </si>
  <si>
    <t>1040</t>
  </si>
  <si>
    <t>Montalvo, por el prest de 2 sol­ dados en 5 meses, 90. í). Luis de Chaves, regente de la real audiencia, por mano de D. Tomas de la Cruz Muñoz , 500. Doña Antonia jCuvbelo, por sí y tres hermanas pobres, 12. Doña Catalina Montado ,. viuda, 50. (Se continuará.) ______ ____________ u l - ................. . tiinrn - — ---------…</t>
  </si>
  <si>
    <t>Antonio</t>
  </si>
  <si>
    <t>Gazeta de la Regencia de España e Indias n.º 22</t>
  </si>
  <si>
    <t>orden de D. Manuel de Godoy en 2$ de febrero de 1808, y el segundo por disposición de la junta ae estado, presidida por el se­ renísimo señor infante D. Antonio en 27 de abril, fueron á pre­ venir al capitán general de Cataluña entregase á los franceses los fuertes de Barcelona: y con presencia de quanto expuso el supremo con…</t>
  </si>
  <si>
    <t>. Josef), secretario del vireinato de Na­ método de este agrónomo. varra. Carrion ( D. Patricio Antonio), regidor de VelezESPAÑA- Málaga. Casanoves ( D. Antonio ), teniente, de tiradores Madrid j8 de rnarzt. - del regimiento Josef Napoleón. Gran cancüleria de la Orden Real de España. Calseca ( D. Antonio), prefecto de Salaman…</t>
  </si>
  <si>
    <t>e del regimiento Garrido (D. Zacarías Josef). de Toledo, 2.0 de infantería de línea. Gayarre ( D. Francisco), cabo de artillería. Martínez Tornamira (D. Antonio), comisario de Gimbernat (D. Antonio), miembro del consejo guerra de primera clase. supremo de sanidad pública. Mateas (D. Santiago), subteniente de granaderos Girard…</t>
  </si>
  <si>
    <t>s eclesiásticos. PLAZA DE MADRID. BOLSA. Sansot (D. Josef), capitán de granaderos del regi­ DÍA. l8 DE MARZO DE l8ll. miento Josef Napoleón. Schmith (D. Antonio), granadero de nuestra guar. día real. Curso de los cambios. Schonmacher (D. Pedro), soldado del regimiento jo ds. 60 ds. pe .ds. Real Irlandés. Seguí (D..Juan), sarg…</t>
  </si>
  <si>
    <t>eres. Actores en la comedia. Señoras María García, medía compañía. Rosario García, Virg y Torres. Señores Maáquez, PonQueda nombrado teniente de ella D. Antonio ce, Caprara, Casanova, Contador, Suarez, Fabiani y de lo« Reyes. Justo Mas. art. xi. En la villa de Villanueva de Córdo­ En el de la Cruz, á las quatro y media de la …</t>
  </si>
  <si>
    <t>Gaceta de Madrid n.º 110</t>
  </si>
  <si>
    <t>ndable por su patrio­ Nombramos para comandante de esta milicia á tismo y gallardía , el qnal llevaba sus banderas, D. Antonio Polo; para ayudantes á D. Antonio del que debian bendecirse aquel dia mismo. Rio y D. Antonio Vargas, y para abanderado á A la hora señalada, en medio de la alegría de D. Lorenzo de Burgos. nn pueblo …</t>
  </si>
  <si>
    <t>Gazeta de la Regencia de España e Indias n.º 59</t>
  </si>
  <si>
    <t>as de! honor con que acost mbran ciníportarse ; y r sí no puedo me??os de recomendarlos a V E.,. V en particular á les tenientes enróñeles graduados, D. Antonio: R-nten, f"). 'Marcos Antonio Iglesias , éapicamJD,; • PedroídMexíi, al de lanceros D. P iéro GMcob*,' y á todos lo$’'£ótmtédantesr y. • demns individuos de las guerr…</t>
  </si>
  <si>
    <t>rbalan 2800 infantes y SGO caballos fran­ ceses , quedando solamente en !a ciudad unos 360 hombres, m lu­ sos 60 gendarmaa, coa el intruso corregidor D. Antonio Y&amp;zqucz. El dia 22 se acercó á la ciudad el capitán Orúi con 80 tiradores, llegando basta el convento de carmelitas : los franceses se encerra­ ron inmediatamente en …</t>
  </si>
  <si>
    <t>c3 generales y extraordinarias y el supremo Consejo de Regencia ; y teniendo !a mayor c®alianza en el carácter, calo é ins­ trucción que concurren en D. Antonio de Dios , arcediano de Cáiachilla , dignidad de esta santa iglesia, ha tenido á bien nombrarles inspector de los que en el dia hay en esta capital, y de los que en la…</t>
  </si>
  <si>
    <t>tima expedición á Extremadura y d.* mi ata­ Des-Essarts {D. Josef), canónigo de Santiago. que contra Badajoz otra cosa que la Vergii iiza de Echaniz (D. Antonio de), alcalde de Azpeitia. trabar emprendid» inútilmente estas dos operacio­ Ezterripa ( D. Juan Agostía). nes. La pérdida dé ios ingleses en una y otra ha M.rtinez ( …</t>
  </si>
  <si>
    <t>fue, deXindome en la mayor confusión. En dos pa­ D. Ruperto. ¿Con que estamos de vuelta de labras , el respetable jnntero roe hizo ver que mi Cioiz , D. Antonio? tio bebía las noticias en un pilón de agua puerca, D. Amonio. ¡Qué quiere vmd.! ya estoiharto y que yo estaba mui cerca de la horca, de que de o-mer naranjas, v Vf g…</t>
  </si>
  <si>
    <t>ún ami­ reparar las imprudencias de su difunto atr.iyo, y go de la tertulia están en lista----- T&gt;. R. ¡ PL a ro­ ha logrado una honrosa colocación á D. Antonio. ñes! Nos escriben que quieren darnos un abrazo: D. Ruperto confiesa c&lt; n sumo do or que cin­ ¡cáspital para ahogarnos. Dexemos esto que turba tra su voluntad ha cont…</t>
  </si>
  <si>
    <t>binete ae Historia natural. y conde de Beirbcrana. dGlutz ( D. Víctor), teoiénte del regimieoto Real Caballerizos Extrangeio. ~r •Gómez de ia Torre ( D. Antonio ), intendente de A Ips señores cqnde de Galvez, P-Alexan- Asturias. dro Moñval, comandantes de esquadron ; y Don González Alvares (D. Pedro), fiscal de las junta* Ant…</t>
  </si>
  <si>
    <t>Gaceta de Madrid n.º 231</t>
  </si>
  <si>
    <t>bles deberían haber previsto que no lo S. Miguel de la ciudad de Antequera al ex-carserian sin un trono y un monarca ; que el honor y melita descalzo D. Antonio lluiz Navarrete; ob­ la nobleza son la máxima fundamental de la mo­ servándose en quanto á su pensión lo prevenido ea narquía : los facciosos que los desprecian y han…</t>
  </si>
  <si>
    <t>nto mayor á D. José Muñoz de te Torre: ea el de Almería, el de comandante á D. Juan dte Pulgar y Pulgar: en el segundo de Saboya, el de co«laúdente á D. Antonio : en ei de Gerona, el de teniente co­ ronel a D. Tomas García, y el de .sargento mayor á D. Félix Molió» Igualmente ha.-conferido S. A. la sargentía mayor del segundo…</t>
  </si>
  <si>
    <t>1112</t>
  </si>
  <si>
    <t>tar de ciertos puntos ha nombrado á D. Francisco del Valle regidor de preliminares, y que no puede pasar adelante has­ la municipalidad de Madrid : á D. Antonio de ta que vengan nuevas instrucciones de Inglaterra. Ojesto secretario general de la prefectura de San­ Serrnrier ha sabido sin duda quanto ha pasado tander; y á D. J…</t>
  </si>
  <si>
    <t>Gaceta de Madrid n.º 316</t>
  </si>
  <si>
    <t>Ultimamente pidió con vehemen­ Sesión de las cortes de ayer ig. cia que se adoptasen medidas tximordinaiias; que se Se leyó un oficio de! ex-regente D. Antonio do estableciese un sistema fixo, allanando los estorbos que Escaño, en el que expresaba ia sorpresa que Je había entorpecen los mejores deseos del gobierno, y las pro­…</t>
  </si>
  <si>
    <t>caballero que fue de Alcántara. gimiento de Toledo , a.* de infantería de línea. Saravia (D. Manuel de), juez de las juntas de Ne* Andeiro y Aldao ( D. Antonio), oidor de la cban- godos contenciosos. «illería de Valladolid. Sesma (D. Gaudioso), administrador de bienes na­ Araiz ( D. Mariano), capitán de infantería. cionales d…</t>
  </si>
  <si>
    <t>poderado daos de vales reales á D. Es'éban Corones Alverols........ 3249 Recibos. Re.' Mrs. 2 D. Alonso Contreras............................ 24187 5 D. Antonio, Doña M«ríi Gar&lt;.és y 2 D. Juan de Llagona........................... 1173 8§ Doña Crispina Guches , herederos 6 D. Francisco de Paula Des-essart, por de D. Manuel Ga…</t>
  </si>
  <si>
    <t>r dul-exprsflada ie?inti»nto, ©. Pedro Fernandez Palacios, teniente'del-de- Sevilla, D. Antón!® Frías, capitán segundo déla segunda sección catalana, D. Antonio E chozada, teniente de Or­ denes, militares, y D; Ambrosio Saiazar, alférez de reales guardia» de infantería española; á tenientes, á D. Sebastian Díaz, D. Do­ mingo …</t>
  </si>
  <si>
    <t>Antonio, Claudio</t>
  </si>
  <si>
    <t>Claudio Antonio</t>
  </si>
  <si>
    <t>Ja Olive (D. Josef María), comisario de guerra de Ordeii lfce,! 4e Espaóí i. segunda clase. Aguado ( D. Alexaudro), comandante de escua­ Falazuelos (D. Claudio Antonio ), corregidor de drón. ‘ Sasamoa*</t>
  </si>
  <si>
    <t>Antonio, Don Juan</t>
  </si>
  <si>
    <t>Don Juan Antonio</t>
  </si>
  <si>
    <t>tido, y les fue menos difícil vencer la resistencia que se les opuso, y les costó mas de 800 hom­ bres. Murieron 70 de los defensores, entre ellos el intendente Don Juan Antonio íliaño. El 1S de ortubre se apoderaron los amotinados de la ciudad de Y aliad olid. El regimiento de infantería del mismo nombre, el de ca­ ballería …</t>
  </si>
  <si>
    <t>Antonio, José</t>
  </si>
  <si>
    <t>José Antonio</t>
  </si>
  <si>
    <t>Gazeta de la Regencia de España e Indias n.º 122</t>
  </si>
  <si>
    <t>1000</t>
  </si>
  <si>
    <t>oyos, ‘’OO. D. Pantaleoa y D. Severo Merino , 240. D. Antonio Diez riel Olmo, 200. D. Antonio Diaz Tagle, 160. D. Antonio González de Columbres, 160. D. José Antonio de la forre , 120. D. Antonio García Tcraa, 120. D. Pedro de Teran, 120. D. Bernardo García de los Ríos, 120. I). Tomas del Corral, 130. D. Manuel Tornero y D. A…</t>
  </si>
  <si>
    <t>Antonio, Josef</t>
  </si>
  <si>
    <t>Josef Antonio</t>
  </si>
  <si>
    <t>VaideUna huerta de riego, cerca-* Alanes, compuesto de 14 do de tapias y arbolado, de aranzadas de olivar, arren­ 13 celemines de tierra, con­ dado á D. Josef Antonio tigua al ex-convento de de AgnUar........................... 1100 13200 Carmelitas descalzos de di­ Una casería compuesta de 93§ cha ciudad.....................…</t>
  </si>
  <si>
    <t>s que le dexará su padre dan de renta I D. Baltasar Pelaez...................... .......... . 1083 73© fibras esterlinas, ademas de un capital de 80. D. Josef Antonio de .Cuide, por 25c©. £1 total de sus rentas ascenderá á 90© li­ mano de so apoderado D. Manuel bras esterlinas, esto es , amas de. 8 millones y me­ Martínez de …</t>
  </si>
  <si>
    <t>Antonio, Juan</t>
  </si>
  <si>
    <t>Juan Antonio</t>
  </si>
  <si>
    <t>Gazeta de la Regencia de España e Indias n.º 67 (suplemento)</t>
  </si>
  <si>
    <t>, 1. Ceferino Basó , 1. José Mena, 4. Siiverio Pina , 1. Francisco Mendoza, 1. D. Pedro Arguelles , 150. B. Juau Totosans , 150. D. Pablo Gual, 100. D. Juan Antonio. Ferreiro , 50. D, Francisco Moreno , 50. D. Juan Diaz , 40. D. Jorge Montero , 25. Don Domingo'Mosqueira, 25. D. Aiidres Pumar , 25. Jóse Antonio Perez, 15. Sant…</t>
  </si>
  <si>
    <t>Antonio, Manuel</t>
  </si>
  <si>
    <t>Manuel Antonio</t>
  </si>
  <si>
    <t>Mariano), grabador. Seudellis (D. Dionisio), cabo de granaderos de Sobre las provincias del reino. nuestra guardia real. d la v. 8 ds. po ds. Sierra (D. Manuel Antonio), teniente de cora de S. Ildefonso de Madrid. Sevilla......... ....... efectivo. 8 Tablada (D. Josef María), caballero que fue de Málaga......... ....... efect…</t>
  </si>
  <si>
    <t>Antonio, Patricio</t>
  </si>
  <si>
    <t>Patricio Antonio</t>
  </si>
  <si>
    <t>real. gran número de alumnos que quieren aprender el Carrillo ( D. Josef), secretario del vireinato de Na­ método de este agrónomo. varra. Carrion ( D. Patricio Antonio), regidor de VelezESPAÑA- Málaga. Casanoves ( D. Antonio ), teniente, de tiradores Madrid j8 de rnarzt. - del regimiento Josef Napoleón. Gran cancüleria de la…</t>
  </si>
  <si>
    <t>Antonio, Pedro</t>
  </si>
  <si>
    <t>Pedro Antonio</t>
  </si>
  <si>
    <t>el Baso, jiovtero, 4. D. Juan Alonso Pere&gt;;, portero del rastrillo do la factoría , 4, -— Total de donativos por xpia vez ,542pesos. Mcnsuahnente,-r~ D. Pedro Antonio de. Gamón , administrador general, •18. X). Francisco Jacot, tesorero genera! de. la factoría, para la manuten­ ción de un soldado , 9. D, Jgnaeio Alvares , dir…</t>
  </si>
  <si>
    <t>1574</t>
  </si>
  <si>
    <t>pero visnio que á ps&amp;ar de su apro* xh&amp;acion los- revoltosos continuaban voxaneé á Ico moradores *quo se mantenían pacíficos, dió orden á su segundo D. Pedro Antonio , Mac! era, capitán del mismo regimiento 7 para que con la división de su mando viniere del pueblo'de ZaquaUipan á reunirseie «m Mol&amp;ngo. Juntas entrambas divisi…</t>
  </si>
  <si>
    <t>Antonio, Tomas</t>
  </si>
  <si>
    <t>Tomas Antonio</t>
  </si>
  <si>
    <t>a. dia real. Rousrel (D. Simón), tirador de nuestra guardia Zayas (D. Francisco), subteniente de tiradores real. del regimiento Josef Napoleón. Ruiz (D. Tomas Antonio ) , corregidor de Alcalá ART. ir. Nuestros gran canciller y gran tesore­ la Rea!. • ro de la Orden Real, cad,a uno en la p.,rte que le Ruiz Gil (D. Francisco), …</t>
  </si>
  <si>
    <t>Anxo, Facundo</t>
  </si>
  <si>
    <t>Facundo Anxo</t>
  </si>
  <si>
    <t>n número de muertos y heridos y 300 prisioneros. Por nuestra parte tuvimos muertos los capitanes Chefino é Inchaústi, el cabo de voluntarios europeos D. Facundo Anxo* nio de Otero y 12 lanceros, y heridos á los oficiales D. Juan José Echarte, D. Franeisc3 Terricabra , D. Ignacio Unquite, el P. Fr. Aiseímo Ocotor, del orden de…</t>
  </si>
  <si>
    <t>Aogel</t>
  </si>
  <si>
    <t>Gaceta de Madrid n.º 297</t>
  </si>
  <si>
    <t>1230</t>
  </si>
  <si>
    <t>géneros en el tráfico con D. Francisco Bustamsnte, D. Ildefonso Ruiz del las provincias disidentes. Agrégase i todo esto las Rio, D Luis Ciarg'illo , D. Aogel dv Irribarren, crecidas contribuciones y empréstitos forzados que D. Joan Larrieta , D. Martin de lrignyen , D. Jose han exigido de .los comerciantes de esta plaza sef …</t>
  </si>
  <si>
    <t>Aotoine, Suchet</t>
  </si>
  <si>
    <t>Suchet Aotoine</t>
  </si>
  <si>
    <t>Gaceta de Madrid n.º 321</t>
  </si>
  <si>
    <t>40 , sin mas pérdida por octubre de 1-811. = El gefe de esquadron ayudan­ nuestra parte que la de 3 dragones ligeramente he­ te de campo de S. E. el conde Suchet = Aotoine. ridos , uno muerto, y un soldado del regimiento En el campo al frente d«l castillo de Sagun- de Castilla que tuvo igual suerte. to 26 de octubre de 1811. …</t>
  </si>
  <si>
    <t>Aparicio, Francisco</t>
  </si>
  <si>
    <t>Francisco Aparicio</t>
  </si>
  <si>
    <t>tin.' que el conde Sucher ganó en esta plaza. Y para el de Zorita de lo Canes , vacante por Ha traído también la noticia de la toma de Ha- ascenso de D Francisco Aparicio al de Fernán Ca­ laguer, fuerte situado sobre una colina , á poca dis­ ballero, á D. Tomas Martínez Alonso, cura te— tancia det mar, en el camino real que v…</t>
  </si>
  <si>
    <t>Aparicio, Joaquín</t>
  </si>
  <si>
    <t>Joaquín Aparicio</t>
  </si>
  <si>
    <t>e Funes , 200. Ayudante , el teniente de navjo D. Luis de Albu­ ra , 20. D. Ramón Canelas , id., 20. El contador D. Mariano Cortés , 20. El escribano D. Joaquín Aparicio , 20. — Ministerio de real hacienda El conta­ dor D. Pedro Baranda; ademas de 25 ps. mensuales que ha ofrecido durante la guerra , 500. El tesorero D. Franci…</t>
  </si>
  <si>
    <t>Apodaca</t>
  </si>
  <si>
    <t>y Harrmvby: también estuvieron en la capilla el honorable Mr. R. Dund£S‘S¿under3 pies lores Hriíand, Castlereagh, Darnley, G. Grenville y . otros. El general Apodaca había convidado á los ministros de S. M., á les embaxadores , nobleza y españoles de distinción. El accmpañamicnto-iba del módo siguiente: ,s Un piqueré de cabal…</t>
  </si>
  <si>
    <t>Apodaca-con</t>
  </si>
  <si>
    <t>reverendo M. Ganioíphy, el muy reve­ rendo Mr. Cappuey el Dr. Colitiscapellán kbrrorarío. Seguía; el co­ che del difunto duque con 6 caballos. El del general Apodaca-con. 4&gt; Los de los ministros del rey con loa de los SS- lord Canciller $ conde Camden , conde de Westmoreland, marques de . Wellesley, conde de Liverpool, conde …</t>
  </si>
  <si>
    <t>Aqueronte</t>
  </si>
  <si>
    <t>pérdidas, sus dirruías y su degradación. La marina inglesa continúa señalándose, come siempre, enfa­ dos los mares. Loa botes solos de ía corbeta del rey Aqueronte han apresado ea el Mediterráneo un convoy escoltado por 3 cañoneras, y compuesto de 28 velas cargadas de granos y de provisiones, de las que 10 fueron quemadas. La…</t>
  </si>
  <si>
    <t>Arabich, Salvador</t>
  </si>
  <si>
    <t>Salvador Arabich</t>
  </si>
  <si>
    <t>Oca , 20. Don José Alfaro, SO. D. José Alfaro Aguiar, 25. D. Joaquín Medina, 10. Matías Montes de Oca, 10. D. José Sierra, 2. D. Francisco Romero, 5. D. Salvador Arabich, 10. D. José Francisco Alfaro, 5. D. Buenaventura Vefazqtiez , 2 D. Francis­ co Sierra, 2. José Sixto Caravajal, 5. José Eusebio Cetina , 3. Juan de la Luz G…</t>
  </si>
  <si>
    <t>Aragón, Félix</t>
  </si>
  <si>
    <t>Félix Aragón</t>
  </si>
  <si>
    <t>Para e! de Borox, vacante por muerte de Don Séptimo batallón. Antonio Montes Amarillo, á D. Félix Aragón.- D. Cárlos García, sargento primero, á subte­ Para el de Recas, vacante por mueite de Don niente de ia tercera compañía. Jo?ef Toribio CalUja, á D. Juan Josef Estéoan Yañez. Octavo batalló</t>
  </si>
  <si>
    <t>Aragón, Gregorio</t>
  </si>
  <si>
    <t>Gregorio Aragón</t>
  </si>
  <si>
    <t>Gaceta de Madrid n.º 289</t>
  </si>
  <si>
    <t>stos y pagos los del exército, da D. híiguel Antonio Tejida director del cole­ &lt;5 no se ha cumplido con esta orden , ó, lo que es gio de Avapies; y á D. Gregorio Aragón capellán mas cierto, que las entradas de caudales han sido de la real casa de Caridad de la ciudad de To­ tan escasas, que no habrá sido posible atender á ei-…</t>
  </si>
  <si>
    <t>Aragón, Manuel</t>
  </si>
  <si>
    <t>Manuel Aragón</t>
  </si>
  <si>
    <t>e Cór­ Subtenientes. doba ; para ayudantes D. Josef Vázquez y D. Ra­ fael Fernandez , y para abanderados á D. Vicente D. Mariano Pineda. Fernande z y D. Manuel Aragón. D. Josef Ladrón. Admismo quedan nombrados para capitanes y D. Josef Cisneros. oficiales de las doce compañías, inclusos los que D. Gerónimo Castellano. lo esta…</t>
  </si>
  <si>
    <t>Aragón, Máximo</t>
  </si>
  <si>
    <t>Máximo Aragón</t>
  </si>
  <si>
    <t>intacto, no será en lo sucesivo el úni­ de Don Josef Celedonio de Cea al de Va! hermoso co monumento que cause la admiración universal. de Tajuña, á D. Máximo Aragón,cura de Horcajuelo de la Sierra. Para el de Fuente el Saz, vacante por ascenso IMPERIO FRANCES. de D. Joaquín Alonso Wroa a! de Perales de Ta­ París 3_9 de enero…</t>
  </si>
  <si>
    <t>Aranda, Cristóbal</t>
  </si>
  <si>
    <t>Cristóbal Aranda</t>
  </si>
  <si>
    <t>Gaceta de Madrid n.º 230</t>
  </si>
  <si>
    <t>TO DB l8ll. D. Francisco Santaella. Subtenientes. Efectos públicos. D. Francisco González. Vales reales......................................... 9 3i D. Cristóbal Aranda. Cédulas hipotecarlas......................... 94Í Certificaciones del tesoro público. 78 s'í D. Luis Extremera. Oro español contra plata................ art…</t>
  </si>
  <si>
    <t>Aranda, Manuel</t>
  </si>
  <si>
    <t>Manuel Aranda</t>
  </si>
  <si>
    <t>, D. José María Cejaibo, D. José Márquez y D. P dro Bi­ en; y subtenencias á los sargentos primeros D. Jo é M up y Doa Jorge García, y á los cadetes D. Manuel Aranda, D. Pedro Lillo y D. Felipe Gordon. igualmente ha conferido S. A. la sargentía mayor del regimiento ds infantería de Guadakxara al teniente coronel O. Francisco …</t>
  </si>
  <si>
    <t>Arango, Mariano</t>
  </si>
  <si>
    <t>Mariano Arango</t>
  </si>
  <si>
    <t>1092</t>
  </si>
  <si>
    <t>de Sta. Clara , por mano de su síndico, 1250. El coronel D. Juan Francisco del Castillo, á cuenta de su oferta de 4 soldados durante la guerra, 378. D. Mariano Arango, 100. El teniente coroné! D. Rafael Móntalvo, por el prest de 2 soldados en 3 me • ses, 36. D. Domingo de la Madrid . subteniente y habilitado del regimiento de…</t>
  </si>
  <si>
    <t>Aranzivia, Francisco</t>
  </si>
  <si>
    <t>Francisco Aranzivia</t>
  </si>
  <si>
    <t>pelayo , prior del convento de Sun Juan de Dios , 10. D. Antonio Cipriano Jaén , cura de Antón , 25. D. Ma­ nuel Palacios , cura interino de Oía , 8. D. Francisco Aranzivia , cura inte­ rino de San Carlos de.Chirú , por sí y su sacristán ,7 y í rs I) Marcos del Pino, cura del Calobre , 25. D. Eduardo Rivera , cura de Santa Ma…</t>
  </si>
  <si>
    <t>Araujo, Antouio</t>
  </si>
  <si>
    <t>Antouio Araujo</t>
  </si>
  <si>
    <t>de la séptima compañía. D. Luis Calas, sargento primero, á subtenien­ PLAZA DE MADRID. BOLSA. te de la quarta compañía. DIA 13 DE SETIEMBRE DE l8ll. D. Antouio Araujo, sargento primero, á sub­ teniente de la sexta compañía. Efectos públicos. Quarto batallón. Vales reales................... ................... 94$ «. D. Manuel…</t>
  </si>
  <si>
    <t>Arbiol, Vicente</t>
  </si>
  <si>
    <t>Vicente Arbiol</t>
  </si>
  <si>
    <t>.. D. F ermin de Zelayeta.................... ....... 3J OOO D. Adrián Marcos Martínez................... 3158..2jf D. Juan Manuel Perez Herrero, por D. Vicente Arbiol................................ . 3429..17 mano de D. Pedro Pablo Perez de D. Matías Duran.............. ..........,.............. 207J..25I Arruta............…</t>
  </si>
  <si>
    <t>Arcayos, Juan Bautista Varea</t>
  </si>
  <si>
    <t>Juan Bautista Varea Arcayos</t>
  </si>
  <si>
    <t>Torres, por............................ 2200 zo, residente en Almagro, por................ 2200 D. Vicente Cuenca, id., por..................... 2200 D. Juan Bautista Varea Arcayos, id., re­ D. FranciscoGabaidon , id., residente en sidente en Ciudad R-éal, por..................... 2200 Madrid, por.............................…</t>
  </si>
  <si>
    <t>Archenholtz</t>
  </si>
  <si>
    <t>Gaceta de Madrid n.º 45</t>
  </si>
  <si>
    <t>77</t>
  </si>
  <si>
    <t>asta la primavera. PRÜSIA. Del 18. Perlin 28 de diciembre. El 6 de noviembre un destacamento del cuer­ po del general Worcnzow atacó á 500 turcos, El capitán Archenholtz , escritor periódico mui que estaban bien atrincherados entre las montañis conocido en Alemania, ha trasladado su domicilio que hai cerca de la aldea de Scha…</t>
  </si>
  <si>
    <t>Arcilla, Antonio</t>
  </si>
  <si>
    <t>Antonio Arcilla</t>
  </si>
  <si>
    <t>836</t>
  </si>
  <si>
    <t>ayudante mayor de las brigadas del real cuerpo de 'artillería, por oferta de las compañías de Pardos y Morenos de la misma ar­ tillería, 225 y 4 rs. D. Antonio Arcilla, capitán del partido dei Horcon, por su oferta mensual , 10. Doña Antonia Josefa Barca, 18. D. Gregorio Diaz, ve­ cino del partido de Buena Ventura, 102. El Dr…</t>
  </si>
  <si>
    <t>Arcos, Josef López</t>
  </si>
  <si>
    <t>Josef López Arcos</t>
  </si>
  <si>
    <t>6- 8f tado, hemos decretado y decretamos lo siguiente: Doña Bernarda Cortarramont................ 10469 articulo 1. „Se declaran acreedores del esta- D. Josef López Arcos.......... ................... 31587-17 ^ Rs. vn. Mrs. D. Ambrosio Martínez Negrece............ 7129-25! D. Josef Corral.....................................…</t>
  </si>
  <si>
    <t>Ardenne, Josef Antonio</t>
  </si>
  <si>
    <t>Josef Antonio Ardenne</t>
  </si>
  <si>
    <t>mar­ titud; pero habiendo querido hacer llegar hasta quesa viuda de Montehermoso............. jqo su corazón dos nombres que la gratitud debe te­ Sr. D Josef Antonio Ardenne................. 40 ner eternamente grabados en él, nos mostró con Sr. D.............. Mari Durnisseau........... . 50 ternura á sns dos bienhechores; ma…</t>
  </si>
  <si>
    <t>Ardízone, Francisco de Paula</t>
  </si>
  <si>
    <t>Francisco de Paula Ardízone</t>
  </si>
  <si>
    <t>btenencias &amp; Bou •Joaquín De?gádo y Díaz y .0. José de Alorará: en el de míVmteda ligera primero de cazadores, compañías á D. Francisco A ib:: zuza y D. Francisco de Paula Ardízone; tenencias á D. José Veaimtrgnia y D. José Celestino Fernandez de Cusía; y subtmercias á D. Podro Gutiérrez, D. Cipriano González, D. Lorenzo Gril…</t>
  </si>
  <si>
    <t>Ardrel</t>
  </si>
  <si>
    <t>teatro, tendría probablemente motivo con 2 Doña María Josefa de Alcibar, por el casamiento del Príncipe para continuar. Las ri­ m.nc 'dc su apoderado D. Ardrel quezas de la señorita Tilney-Long son inmensas. de Abruguieta.................................. *9223 8;| Las haciendas que le dexará su padre dan de renta I D. Baltas…</t>
  </si>
  <si>
    <t>Arecha, Isidro</t>
  </si>
  <si>
    <t>Isidro Arecha</t>
  </si>
  <si>
    <t>D. Juan Bautista Yerobi, 50. D. Francisco Batllé , 50. D. Cristóbal Sansón , 50. D. Miguel Lanz, 40. D. Rafael Bailester, 25. D. Gaspar Machín , 25. D. Isidro Arecha,25. D. Nicolás Soriano, 25. D. Pedro í«opea , 35. D. Ignacio Cantarcy , 25. D. Bartolomé Rusconi , 25. D. Joan Villaseca, 25. D. Pablo Soler , 25. Don José Bobos…</t>
  </si>
  <si>
    <t>Arechav-ala, Manuel</t>
  </si>
  <si>
    <t>Manuel Arechav-ala</t>
  </si>
  <si>
    <t>e Soto, al alférez de fragata D. Francisco de Sevilla, al alférez de na­ vio í). Palio Miélico, y á I03 de fragata D. Alonso Butrón, ü. Jo­ sé Mozo y D. Manuel Arechav-ala, por su firmeza y valor en el ata­ que, c on la circunstancia de qu e el últisao ( A rechava!a ) hallándose enfermo y casi sin poder andar, no solo asistió…</t>
  </si>
  <si>
    <t>Aregkaudeau</t>
  </si>
  <si>
    <t>el cabildo patriarcal de Trene~ cía d S. A. I. el príncipe Eugenio Napoleón, EL corsario llamado Duque de Dantzick, man­ virei de Italia. dado por el capitán Aregkaudeau, salió de la ría de este puerto el 8 de octabre de 1810, y ha vuel­ Serenísimo Señor: to á él el 26 de febrero útimo. ,, El cabildo y el vicario diputado por…</t>
  </si>
  <si>
    <t>Arenillas, Toma</t>
  </si>
  <si>
    <t>Toma Arenillas</t>
  </si>
  <si>
    <t>la novena compañía. neral del problema y del recíproco; esto es, del circu­ Naverno batallón. lar continuo en rectilíneo continuo. Es inúlil dar mas D. Toma* Arenillas, teniente, ¿ capitán de la pormenores de un medio tan conocido y tan usado. primera compañía. a.° Substituyendo á la cuerda del movimiento pre­ D. Mauricio Pal…</t>
  </si>
  <si>
    <t>Arenstchfdt</t>
  </si>
  <si>
    <t>Gazeta de la Regencia de España e Indias n.º 49</t>
  </si>
  <si>
    <t>1311</t>
  </si>
  <si>
    <t>inmediata mente con la división ligera enfrente del exé coito enemigo , se distinguieron en esta ocasión en el ataque que dieron baxo ias órdenes dei coronel Arenstchfdt. Un destacamento de dragones núm. 16, mancado por el teniente Wegland, que Labia estado en observación del enemigo cerca de Lsim, híz© prisionero á un destac…</t>
  </si>
  <si>
    <t>Argc, Ignacio</t>
  </si>
  <si>
    <t>Ignacio Argc</t>
  </si>
  <si>
    <t>usos los que D. Gerónimo Castellano. lo estaban para el primer batallón, los individuo* siguientes: De la compañía de caballería. Capitanes. Capitán. D. Ignacio Argc te. D. b vderico mií. D. Francisco Perez de Algava. D. Rodrigo de Mesa. Teniente. D. lLmor. F.ores. I). Rafael Orive. D. Josef Goztnan. D. Ramón Ncgtete. Subteni…</t>
  </si>
  <si>
    <t>Argii</t>
  </si>
  <si>
    <t>Gaceta de Madrid n.º 220</t>
  </si>
  <si>
    <t>898</t>
  </si>
  <si>
    <t>e irrisión de ios mismos so­ de cortes se decía no hd muchos dias. Llegó ai bre quienes presumen «tercer una autoridad sobe­ colmo (exdam.ba en éi el diputado Argii.-ur-. ha­ rana : su miserable dominación cada dia v.» redu­ blando con las cortes) el desprecio que se hace ds ciéndose a mas estrechos limites: los afligidos pue…</t>
  </si>
  <si>
    <t>Argitalks, José Canga</t>
  </si>
  <si>
    <t>José Canga Argitalks</t>
  </si>
  <si>
    <t>Gazeta de la Regencia de España e Indias n.º 150</t>
  </si>
  <si>
    <t>umplimiento. — Batirle! car, presidente. — D. Joaquín ausente con permiso de las Cortes. — Pedro de Agae±-r- En Cíydíz Á 29 ds setiembre de 1811.*. A D. José Canga Argitalks, , ’ . , Él. geta dei esta do mayor del querpa espodieiouano« dea&lt;?e Va* lencia remite el 15 del corriente , d? ór«*n *deál.Ex¿mó.'Sr. D. Joa­ quín B ; k…</t>
  </si>
  <si>
    <t>Argos, Antonio</t>
  </si>
  <si>
    <t>Antonio Argos</t>
  </si>
  <si>
    <t>!&gt;¿*Mannel Quinte, ^.Valentín de 3á Infanta y :Di .José- de la 'Iñfakfei. Eh eí dé infantería de 'Africa tariliieá'sé b'a.séT¿h3ó-' promoví? menté 4' D. Antonio Argos, y i. subtenientes á IX San virgo Cazad* y D..Pudro Alonso, sargentos..primeros del aniamo cuerpo, y Á Daa Nicolás Muñoz, D~ Luis Villarr D. Francisco Guerrero …</t>
  </si>
  <si>
    <t>Arguelles, Agustín</t>
  </si>
  <si>
    <t>Agustín Arguelles</t>
  </si>
  <si>
    <t>Gazeta de la Regencia de España e Indias n.º 16</t>
  </si>
  <si>
    <t>128</t>
  </si>
  <si>
    <t>es y extraordinarias del lleyno ; y salieron nom­ brados los Sres. D. José María Queypo de Llano, conde de Toreno y alférez mayor de este principado; D. Agustín Arguelles, aboga­ do de los uvales consejos , suplente ya en Cortes por el misino; el Dr. I). Pedro Inguauzo Rivcro , canónigo doctoral de la san­ ta iglesia de Ovied…</t>
  </si>
  <si>
    <t>Arguelles, José Canga</t>
  </si>
  <si>
    <t>José Canga Arguelles</t>
  </si>
  <si>
    <t>D. Fernando vii por la gracia de Dios , rey de España y de las Indias , y en su ausencia y cautividad el Consejo de Regencia, se ha servido nombrar á D. José Canga Arguelles para servir inte­ rinamente la secretaría de estado y del despacho universal de ha­ cienda de España en atención á las circunstancias que en él con­ curr…</t>
  </si>
  <si>
    <t>Arguelles, Pedro</t>
  </si>
  <si>
    <t>Pedro Arguelles</t>
  </si>
  <si>
    <t>rez y Comis, Francisco García , 2. Angel Palomo , 2. Pantaleon Peralta , 1. Ceferino Basó , 1. José Mena, 4. Siiverio Pina , 1. Francisco Mendoza, 1. D. Pedro Arguelles , 150. B. Juau Totosans , 150. D. Pablo Gual, 100. D. Juan Antonio. Ferreiro , 50. D, Francisco Moreno , 50. D. Juan Diaz , 40. D. Jorge Montero , 25. Don Dom…</t>
  </si>
  <si>
    <t>Argüello, Liocente</t>
  </si>
  <si>
    <t>Liocente Argüello</t>
  </si>
  <si>
    <t>ida; los empleos de ayudante á D. José Florez Galan y D. Juan Sánchez del Pezo; los de capitán segundo á D. Juan Vivas, D. Calixto Gar­ cía Buj.anda, D. Liocente^Argüello, y D. Juan Antonio Tostado; los deteniente á D. Ignacio Perez, D. Vicente Descalz,D. Juan Hi­ dalgo Chacón, D. José Carrasco, D. . Ra r on González y D. Ra­…</t>
  </si>
  <si>
    <t>Argumeda, Juan de Cebados</t>
  </si>
  <si>
    <t>Juan de Cebados Argumeda</t>
  </si>
  <si>
    <t>00. D. Manuel Velez Campa, 100. D. Santiago García, 100. D. José García del Barrio , 100, D. Alexaudro Marina , lOÍ). D. Juan García del Barno , 100. D. Juan de Cebados Argumeda , 100. D. Antonio Sobaron, 100. B. José Escalante, 100. D, Ramón de Renedo , 100. I). José de la Campa* 100. D. José Mancina, 100. D. Vicente Gutiérr…</t>
  </si>
  <si>
    <t>Argumedo, Felipe</t>
  </si>
  <si>
    <t>Felipe Argumedo</t>
  </si>
  <si>
    <t>10Q. D. Antonio Gómez Porras, 100. D. Joaquín Sánchez, 1.09 D. José Vela Mesones, 100. D. Manuel Sán­ chez de la Torre, 100. D. Carlos de Hoyos, 100. D. Felipe Argumedo , 100. D. Manuel Vciez de Villa, 100. Di José M uñoz , 100. D. Antonio Ruiz , 100. D. Nicolás Molleda , 100. D. José González 5 100. D. Francisco Fernandez, 1…</t>
  </si>
  <si>
    <t>Arhuthnot</t>
  </si>
  <si>
    <t>604</t>
  </si>
  <si>
    <t>ombinada, del brigadier general Lemas, y de los oficiales de mi particular estado ma­ yor. Les estoy muy obligado por su asistencia, como asimismo al teniente coronel Arhuthnot, mayor al servicio de S. M.: es el que lle­ va esta á Y. S., muy capaz de dar cualquiera ilustración mayo» que pueda necesitar V. S., y muy digno de l…</t>
  </si>
  <si>
    <t>Arias, Juan Pablo</t>
  </si>
  <si>
    <t>Juan Pablo Arias</t>
  </si>
  <si>
    <t>Gaceta de Madrid n.º 363</t>
  </si>
  <si>
    <t>-Skilias.) tillo, del mismo órden. Para la de Murtas y Mecina de Jedel á Don IMPERIO FRANCES. Manuel Bueno , ex-agustino calzado. Para la de Narila á D. Juan Pablo Arias, exHamburgo zS de noviembre. tnercenarió calzado. Para la de Juiles á D. Francisco Duarte, ex­ Los ingleses no cesan de hacer continuamente capuchino. tentat…</t>
  </si>
  <si>
    <t>Arias, Mánuél López</t>
  </si>
  <si>
    <t>Mánuél López Arias</t>
  </si>
  <si>
    <t>n. Sobre las provincias del reino. D. Antonio Molina, sargento primero, i sub­ teniente de la sexta compañía, en reemplazo de á la v. 6 u ds. [90 ds. D. Mánuél López Arias. Búrgos....................... efectivo. D. AtrtOnlo Mohjardin , sargento primero, á Vitoria.......... .......... efectivo. subteniente de la .'¿prima comp…</t>
  </si>
  <si>
    <t>Arias, Santiago</t>
  </si>
  <si>
    <t>Santiago Arias</t>
  </si>
  <si>
    <t>Gaceta de Madrid n.º 341</t>
  </si>
  <si>
    <t>31</t>
  </si>
  <si>
    <t>ejos de guerra permanentes y uno de Los individuos que componen estos consejos son revisión en esta capital, ha verificado boi de or­ los siguientes: D. Santiago Arias. = D. Vicente den del REI nuestro Señor su instalación el exce- Martorell. r= D. Ra morí García del Postigo. = Don lentímo señor D. Gonzalo O-Farril,,ministro …</t>
  </si>
  <si>
    <t>ji 8 3000 9 Sor Isabel María de Jesús, por su 3 D. Sebastian Sempere.......................... 541 17 apoderado D. Felipe Blanco....;...'. 3049 14 13 D. Santiago Arias, por medio de su 1 D. Josef Felices................................... apoderado D. Manuel Josef Anun­ 900 1 D. Antonio Castejon.......................... 292 …</t>
  </si>
  <si>
    <t>Ariza, Josef</t>
  </si>
  <si>
    <t>Josef Ariza</t>
  </si>
  <si>
    <t>co, id., Reales vellón. por.. ...................... ............................. 2200 I). Josef Rodríguez.................................... . 200 D. Josef Ariza, ex mercenario calzado, D. Francisco Fernandez de Santos.......... 261920. .t¡&gt; residente en Camarina de Esteruelas, por 2200 D. Francisco Garmendia , por mano de…</t>
  </si>
  <si>
    <t>Arizaga, Joaquín</t>
  </si>
  <si>
    <t>Joaquín Arizaga</t>
  </si>
  <si>
    <t>nto ds infantería de Guadakxara al teniente coronel O. Francisco Oloiaa, capiíaa de granaderos del primero de Burgos „ y la de este últi­ mo cuerpo á D. Joaquín Arizaga, capitán d i de Gaadalaxara. Animismo se ha servido conceder grado de coronel al teniente co­ ronel D. Domingo Antonio Loriga, capitari que era del regimiento…</t>
  </si>
  <si>
    <t>Arjona, Manuel</t>
  </si>
  <si>
    <t>Manuel Arjona</t>
  </si>
  <si>
    <t>Gazeta de la Regencia de España e Indias n.º 79</t>
  </si>
  <si>
    <t>nto, un cabo y 6 soldados muertos , y en 3 sargentos , 2 ca­ bos y 23 soldados heridos. Los oficiales muertos son *i capitán de ílmí'Tíics de Madrid. D. Manuel Arjona y el subteniente de Galicia J). L!ííd Pimienta , y el herido es el subteniente da dragones de Ma­ drid. D. Manuel Herrera. Hay ademas heridos los primeros ayuda…</t>
  </si>
  <si>
    <t>Armagjnac, D</t>
  </si>
  <si>
    <t>D Armagjnac</t>
  </si>
  <si>
    <t>308</t>
  </si>
  <si>
    <t>uerza ignoramos) con dirección ’á Guadalaxara, y con ellos debía reunirse el destacamento de 80 hom­ bres de caballería, con que ha salido de aquí el general D’ Armagjnac. Ayer á las 2 de la madrugada recibió Belliard un pliego de Torrejan de Ardor , el cual ha hecho acelerar la salida de Dr Armagnat* y han entrado 30 carros …</t>
  </si>
  <si>
    <t>Armagxac, D</t>
  </si>
  <si>
    <t>D Armagxac</t>
  </si>
  <si>
    <t>691</t>
  </si>
  <si>
    <t>ica (Drouet) para que apresure su marcha y venga á unirse coi Y. E. No obstante cono estas topas podrían ser del exército del centro, mandadas por el general D’Armagxac, le escribo también para que se ponga en marcha á iucorpcrarse con Y. E. Contesto al capitán Le-Normant, y le digo que habiéndose uni­ do al exército el mayor…</t>
  </si>
  <si>
    <t>Armario, Francisco</t>
  </si>
  <si>
    <t>Francisco Armario</t>
  </si>
  <si>
    <t>uan de Dios \randa, 8. D. Esteban Borom, 3. D. José García, 2. D Pedro Ferrer , 2. D. Domingo Marera , 1. D. José María Suarez , 2. Antonio Balao, 8. D. Francisco Armario, 4 D. Manuel Malavear , 2. D. José Badia,2.— Hacendadas. Doña María Manuela Gqla, 500. Doña Ana María Morgues, 25. Doña María Josefa Marcin , 50. Doña Gertr…</t>
  </si>
  <si>
    <t>Arme, Jasé</t>
  </si>
  <si>
    <t>Jasé Arme</t>
  </si>
  <si>
    <t>633</t>
  </si>
  <si>
    <t>ve. y "000 camisas- psra que se repartan entre los que mas se hayan distinguido en la atrevida empresa de la sorpresa del caitillo- de’ S. Forn’a&amp;do. D. Jasé Arme”gol, vecino de Murviedro, ha entregado á nuestro general la cantidad de 1020 n. vn. para las</t>
  </si>
  <si>
    <t>Armenio</t>
  </si>
  <si>
    <t>uelto adoptar­ ta ciudad. Los dirigen 59 personas escogidas entre lo como leí principal en toda la extensión de nues­ los vecinos: una de ellas es el arzobispo Armenio tro dacado desde i.° de enero de 1812. de Simonowich, quien ha adelantado sumas consi­ Um comisión nombrada por los príncipes mas derables para este objeto. La…</t>
  </si>
  <si>
    <t>Armero, Antonio</t>
  </si>
  <si>
    <t>Antonio Armero</t>
  </si>
  <si>
    <t>epentina es , según se cree generalmente , la con­ Qneda nombrado comandante de las tres com­ tinuación del ministerio actual , el que suponen pañías D. Antonio Armero ; ayudante D. Manuel mmtendrá las restricciones relativas al pago en es­ LeoD» y abanderado D. Francisco Peñaranda. pecies de oro y de plata. Asimismo quedan n…</t>
  </si>
  <si>
    <t>Armesto, Andrés López</t>
  </si>
  <si>
    <t>Andrés López Armesto</t>
  </si>
  <si>
    <t>de Blancos , agregada al batallón de More­ nos , por 6 meses de su oferta, 36. El Dr. D. José María Zuazo, por el prest de 2 soldados en 4 meses, 72. D. Andrés López Armesto , comisario de guerra honorario , por 6 meses de su oferta en cada uno , 36. D. José Mi­ guel Soler , oficial segundo de la secretaría de la capitanía ge…</t>
  </si>
  <si>
    <t>ó militar', correspondiente al segundo tercio de este año , 83 y 2 rs. D. Francisco González del Valle , por el prest de 2 sol­ dados en un año, 216. D. Andrés López Armesto, por 4 meses de su ofer­ ta de G pesos en cada uno, 31. D. Francisco López del Pulgar , para el mantenimiento de un soldado de caballería, en 3 meses, 45…</t>
  </si>
  <si>
    <t>Armijo, Francisco Goyenechey D José Gabriel</t>
  </si>
  <si>
    <t>Francisco Goyenechey D José Gabriel Armijo</t>
  </si>
  <si>
    <t>ndantes de escuadrón D Juan Pesquera, D. Martin Collado, D. F^ancicco Or rancia , D. Manuel Oviedo y Cosío, D. Matías A í;u ir­ re, D. Ramón Cardona, D. Francisco Goyenechey D José Gabriel Armijo. El Sr. mayor general de caballería coronel D. Diego Garda Con­ de , y el de infantería teniente corone! D. Manuel de Ja Sota-Riva …</t>
  </si>
  <si>
    <t>Armiñan, Manuel</t>
  </si>
  <si>
    <t>Manuel Armiñan</t>
  </si>
  <si>
    <t>844</t>
  </si>
  <si>
    <t>e Regencia se ha servido conferir en el regímíen, to de infantería de Cantabria compañía al ayudante Don Sebas­ tian de Arcos; su resulta al teniente D. Manuel Armiñan, y la de este á D. Francisco Badaran, teniente agregado al segundo de Sevilla; y en el de Navarra, grado de capitán al teniente Don Francisco Velarde. Asimismo…</t>
  </si>
  <si>
    <t>Armsplicacion</t>
  </si>
  <si>
    <t>Gaceta de Madrid n.º 134</t>
  </si>
  <si>
    <t>533</t>
  </si>
  <si>
    <t>s neutrales. explicación , sino también ios propios términos de ,,St yo hubiera creído que era necesaria una ex-&gt; la exposición que me habia hecho el general Armsplicacion mas extensa, debe V. S. estar persuadi­ trong sobre el teoor y los efectos de esta notifi­ do de qne me hnbiera apresurado á darle mas cación. pronto todas…</t>
  </si>
  <si>
    <t>Armstrong</t>
  </si>
  <si>
    <t>Gaceta de Madrid n.º 14</t>
  </si>
  <si>
    <t>quía con la noticia de que una envió una copia de la respuesta, y haré por enviar vanguardia, á las órdenes del conde Wo¡oo2off, quanto antes otra al general Armstrong. Tengo el se había adelantado hasta mas allá de Esks-SramHonor de ser &amp;c. = Wm. Pinknei. = Al honorable bol, y había tenido noa acción con los turcos, en. la q…</t>
  </si>
  <si>
    <t>Gazeta de la Regencia de España e Indias n.º 18</t>
  </si>
  <si>
    <t>. , , . Mi del general Armstrong, goza menos indulto et partido francés en los Estados-Unidos. Este general ha tenido muchas conferencias Con el pre­ sidente, y se ha notado que los partidarios del gobierno dicen, que vali</t>
  </si>
  <si>
    <t>Gaceta de Madrid n.º 131</t>
  </si>
  <si>
    <t>1 de abril. fi cado con su cargamento. Mr. Joel Barlow está nombrado ministro plenipotenciario en lugar del Un comerciante alemán, domiciliado en Bu— general Armstrong , y ha llag.do también á Amé­ chaie-t, escribe lo siguiente : rica un nuevo ministro francés en logar de Mr. ,,La guerra que reída dos años hace en la Va- Turr…</t>
  </si>
  <si>
    <t>Gaceta de Madrid n.º 135</t>
  </si>
  <si>
    <t>537</t>
  </si>
  <si>
    <t>que la leíde non intercoursesolviese llo. Solo añadiré á lo que llevo dicho, que la carta á teñen fuerza contra esta ■ potencia; y quando hu- que el general Armstrong me"escribió, y que he biese«lt«gado á tenerla » no hubiera sido esto efec­ citado al principio de esta, y que confirman otras to de bf proclama , sinq de la obs…</t>
  </si>
  <si>
    <t>Ármstroog</t>
  </si>
  <si>
    <t>Gaceta de Madrid n.º 63</t>
  </si>
  <si>
    <t>tu­ sin especias; pero tampoco vosotros nos venderéis bre publicaron la q»rta siguiente: ni vues tros paños ni vuestro aigodon &amp;c., y se R. Stnitb al general Ármstroog. arruinara vuestro.comercio. Vosotros nos quitareis los postres, y nosotros toda la comida. ¿Quién de „Como las basas sobre las quales el gobierno nosotros per…</t>
  </si>
  <si>
    <t>Arnao, Vicente González</t>
  </si>
  <si>
    <t>Vicente González Arnao</t>
  </si>
  <si>
    <t>Fernandez Moratin. - El barón de Robcek , cabiHero de la real or­ D. Juan Melendez Vaidés. b : r den de la Espada , y el barón de Jock , oficial d&gt;1 D. Vicente González Arnao. regimientp de caballería ligera de la casa dei R5i D, Peoro Estala. -j . • 1 • t..&lt;: , ■ de Suéciá. ’! D. Jo'cf Antonio Conde. ■ 1 ; Por 1S, - JE., el …</t>
  </si>
  <si>
    <t>Mota......................................... 2920.. 2 D. Nicolás Blasco de Orozco , por ma­ Doña Manuela de Goiburu..................... 11070 no de D. Vicente González Arnao.. 1083 D. Domiugo y D ¡ña Geróniina Gar­ D oña Antonia Massíp y Stofíl-l.............. 1444 cía, y los herederos de D. Manuel D. josef de Roxas y Hierr…</t>
  </si>
  <si>
    <t>................... 11010 17 ristas por haber publicado las deliberaciones dé las 8 D. Aicxandro Coupigni...................... 4512 17 asambleas. 18 D. Vicente González Arnao.............. 8303 4 D. Pedro de Mora y Lomas............. 992 Al; ESPAÑA. 2 D. Tomas Rcmeodero...................... . 1895 Madrid 18 de diciembre. i …</t>
  </si>
  <si>
    <t>Arnao, VicenteGonzález</t>
  </si>
  <si>
    <t>VicenteGonzález Arnao</t>
  </si>
  <si>
    <t>an Corones. 17099 29 j-,6 , 1.P39210 7 2 D. Trifon Joliau Cabeza.......... ......... 7181 22 1 rec.&gt; D. Niuolas Biazco Orozco, su apode* cer.j . rado D. VicenteGonzález Arnao. 2278 Certificaciones procedentes, de acciones y réditos iD. Estéban Corones.................................. 77o1 a4 del empréstito de «40 millones, 3…</t>
  </si>
  <si>
    <t>Arosemona, Francisco</t>
  </si>
  <si>
    <t>Francisco Arosemona</t>
  </si>
  <si>
    <t>ldrete , sargento mayor , tiene ya ofrecidos á en­ tregar en .España , (&gt;000 pesos. Capitanes. D. Pedro Santana , 100. D. José An­ tonio Remón , 100. D. Francisco Arosemona , 100. D. José deFábrega , ade­ mas del sueldo que le está asignado por castellano interino de Chagre todo el tiempo que sirva este empleo , 200. D. Nicol…</t>
  </si>
  <si>
    <t>Arque, Francisco</t>
  </si>
  <si>
    <t>Francisco Arque</t>
  </si>
  <si>
    <t>ba se salvó huyendo a tier­ Par* ei de Vitlalba , vacante por muerte de ra. Los habitantes de dicho pueblo inmediatamente D. Amonio Alonso de ILro, a D. Francisco Arque tuvieron aviso de lo que pasaba, acudieron á ranz , cura de Fuensauco. la orilla del mar, y á pedradas obligaron á los in­ Para el de Quintana del Pidió, vaca…</t>
  </si>
  <si>
    <t>Arquedas, María</t>
  </si>
  <si>
    <t>María Arquedas</t>
  </si>
  <si>
    <t>..................... 6407.. 251 D. Julián Ruiz de Reajal........ .............. 3039.. 4 D. Ignacio Coma....................................... 1083 Doña María Arquedas............................... 202 50 Doña María Petra Pastor.......................... 1263.. 17 D. Martin Antonio de Iiuici.................. 25740 D. Facu…</t>
  </si>
  <si>
    <t>Arredondo</t>
  </si>
  <si>
    <t>sma entrada del pueblo, quedando 5 de ellos con su caudillo Videria3 tendidos en el campo, y haciéndose algunos prisioneros. Posteriormente, el mismo coronel Arredondo deshizo ti 21 del mismo raes de mayo un cuerpo de sediciosos ,' y al dia siguiente se apoderó del pueblo de; Tula,. que ocupaban dos rebeldescoa muy poca resis…</t>
  </si>
  <si>
    <t>Arrí, Antonio</t>
  </si>
  <si>
    <t>Antonio Arrí</t>
  </si>
  <si>
    <t>nuel Vciez de Villa, 100. Di José M uñoz , 100. D. Antonio Ruiz , 100. D. Nicolás Molleda , 100. D. José González 5 100. D. Francisco Fernandez, 100. D. Antonio Arrí, 100, D. Pedro Ganzalez , 100. D. Manuel Sánchez Cal­ derón, 100. D. Agustín del Piélago, 100. D. Francisco Rodríguez de los Ríos, 100. I). José Gutiérrez y D. P…</t>
  </si>
  <si>
    <t>Arribas, Pablo</t>
  </si>
  <si>
    <t>Pablo Arribas</t>
  </si>
  <si>
    <t>Gazeta de la Regencia de España e Indias n.º 78 (suplemento)</t>
  </si>
  <si>
    <t>María Pepa, y délas de raí parte á los compañeros. — Es de V. siempre afectísimo amigo &amp;c. — Azanza. — Exemo. Señor D. Mariano Eiais de Urqiv'jo. De D. Pablo Arribas á José Bonaparle. Señor : D;-sde mi último parte dei 29 de abril ninguna novedad notable ha ocurrido en Madrid. Se va calmando la fermentación de opiniones (1), …</t>
  </si>
  <si>
    <t>asaron por Harlen sin detenerse. El Empera­ El Exento. Sr. D. Manuel Romero........... 500 dor fue á Catwick, y la Emperatriz marchó en El Excmo. Sr. D. Pablo Arribas............... 5C0 derechura á Leiden. El Excmo. Sr. marques de Aimenara...... . 500 El Emperador visitó las esclusas de Catwick, El Excmo. Sr. D. Francisco Ang…</t>
  </si>
  <si>
    <t>1309</t>
  </si>
  <si>
    <t>eve. — A Dios, querido amigo, te abrazo; no dudes nunca del muy tierno afecto de — Julia” De D. Pedro D'arripe, comisario de policía de Santander , á D. Pablo Arribas. — u Exorne . Sr.: Eí grande temporal y mar fuerte que hemos tenido estos días, obligó ai díate portugués , nom­ brado el Brillante y su capitán Manuel Vicente …</t>
  </si>
  <si>
    <t>Arríe, Antonio</t>
  </si>
  <si>
    <t>Antonio Arríe</t>
  </si>
  <si>
    <t>E. á los ayudantes generales D. Victoriano García y D. Salvador Valencia , al ayudante facultativo D. Pedro Juan de Eguía, y á mis ayudantes de campo D. Antonio Arríe­ te y D. Tomas O -Col gañí , á mi asesor D. Pedro Ruado Sánchez, y al comandante general de ardil'ría I). Luis Mencndez. El tenien­ te genera!, D. Nicolás Llano…</t>
  </si>
  <si>
    <t>Arrieta, Miguel</t>
  </si>
  <si>
    <t>Miguel Arrieta</t>
  </si>
  <si>
    <t>Moconito , 237 y 5 rs. Los de Bacuvirito , 148 y 4 rs. Los del Valle de Oposura, 49 y 1 rs. — S. Sebastian, El subdelegado D. Ignacio Guerrero , 10. D. Miguel Arrieta , 150. D. Juan Ortigosa , 50. D. Antonio Inchauitegui, 10. D. Lorenzo Lizagarra, 10. D. Manuel Tirado, IG. D. Ig­ nacio Fletes, 20. D. Joaquín de Osuna, 10. D. …</t>
  </si>
  <si>
    <t>Arrióla, Diego</t>
  </si>
  <si>
    <t>Diego Arrióla</t>
  </si>
  <si>
    <t>Gaceta de Madrid n.º 138</t>
  </si>
  <si>
    <t>D. Va­ S. M. recibió después en su real cámara á to­ lentín María de Echevarri, D. Alexandro Burgué, das las autoridades expresadas, y otras personas D. Diego Arrióla , D. Josef María Soroa-Soroa, que pasaron á cumplimentar.e. Por la1 noche hubo D. Josef María de Lariumbíde y D. Manuel de iluminación general, fuegos de artifi…</t>
  </si>
  <si>
    <t>Arriviliaga, Antonio Larrazabai</t>
  </si>
  <si>
    <t>Antonio Larrazabai Arriviliaga</t>
  </si>
  <si>
    <t>116</t>
  </si>
  <si>
    <t>% sesión de SI de e3ie raes á la renovación de sa presidente, vice-pre­ sidente v el uno de sus secretarios; salieron electos, para presidente el S¿. D. Antonio Larrazabai Arriviliaga, diputado propietario por la ciudad de Santiago de ío« C • foaílero3 en el r^yao de G cate mala; para vice-presidente el Sr. D José María Rjcsf…</t>
  </si>
  <si>
    <t>Arrnstrong</t>
  </si>
  <si>
    <t>umberland 2 c de agosto de rS/O. &gt; , Mi- / ALEMANIA. lord : Tengo el honor oc prevenir a vuestra teño- Gratz 20 de noviembre. ría que he recibido del general Arrnstrong, minis­ tro plenipotenciario de los Estados-Unidos en Pa­ S. A. I. el archiduque Juan salió de aquí ayer rís, una'csutade fecha del 6 del corriente, en que ma…</t>
  </si>
  <si>
    <t>Arroya, Mariano Perez</t>
  </si>
  <si>
    <t>Mariano Perez Arroya</t>
  </si>
  <si>
    <t>Gaceta de Madrid n.º 35</t>
  </si>
  <si>
    <t>2. es á 1. También cx-lranciscano descalzo. 4 Para la de la iglesia de nuestra señora de Titej se puede consultar una memoria de Mr. Lambert, de la ú D. Mariano Perez Arroya' , ex-tnercenario cal­ academia de Berlín , de 1775Las dimensior.es de las alas de los molinos de viento, zado. su forma, el modo de orientarlas, los mod…</t>
  </si>
  <si>
    <t>Arroyada, Vicente</t>
  </si>
  <si>
    <t>Vicente Arroyada</t>
  </si>
  <si>
    <t>Gazeta de la Regencia de España e Indias n.º 95</t>
  </si>
  <si>
    <t>762</t>
  </si>
  <si>
    <t>eres en medio del mas vivo frifga. La pérdida del enemigo fué grande: lp nuestra fué de 26 muertos y 113 heridos , entre ebo.i 2 oficiales: se señaló D. Vicente Arroyada, distinguido del regimiento de Gra­ nada, que mató á uno de los encargos, recogió su fusil, y fué el primero á asaltar un parapeto que se les obligó--4 aband…</t>
  </si>
  <si>
    <t>Arroyo, Luis</t>
  </si>
  <si>
    <t>Luis Arroyo</t>
  </si>
  <si>
    <t>n ¿ Qué especulación tan lucrativa y tau útil para un de D. Gerónimo Requejo á ración de la catedral país donde hai tantas manufacturas? de Cuenca, á D. Luis Arroyo , cura d - C^brejas. Para el de Inés, vac..me por muerte de D. Ju­ Caen 30 de octubre. lián Pablo V' Gandiano, á D. Baltasar Catalina, cura de l.&lt; Gadega. Una cor…</t>
  </si>
  <si>
    <t>Arroyo, Manuel Blanco</t>
  </si>
  <si>
    <t>Manuel Blanco Arroyo</t>
  </si>
  <si>
    <t>s titulada las Monjas Visitandinas, y el fin de Domingo Román á canongía de dicha catedral , &amp; fiesta D. Ciriteca. Actores en la ópera. Señoras María D. Manuel Blanco Arroyo, beneficiado de Aldea López, Maqueda, Torres y Cabo. Señores Muñoz, Cristiani, Fernandez, Camas y Justo Mas. de Alba. mota. Mañana líines se representará…</t>
  </si>
  <si>
    <t>Arroyo, Pablo</t>
  </si>
  <si>
    <t>Pablo Arroyo</t>
  </si>
  <si>
    <t>Galiana, id. , residente en dente en Valdemoro, por........................ 2200 Daimiel, por.................................................. 2200 D. Pablo Arroyo, id., residente en PejjD,• Josef Madruga, ex-carmelita descal­ zuela de las Torres, por............................ 2200 zo, residente en Almagro, por............…</t>
  </si>
  <si>
    <t>Arsales, Calixto</t>
  </si>
  <si>
    <t>Calixto Arsales</t>
  </si>
  <si>
    <t>servido premiar, en el acto, el recomendable mérito dé los expresados individuos, concediendo (á nombre de S. M.) el gradó de teniente al subteniente D. Calixto Arsales, grado de sargento primero al húsar Gregorio Saavedra , y de sargento segando al granadero de Monterey Pedro Perez, debien­ do tenerse presentes en . lo suces…</t>
  </si>
  <si>
    <t>Arsc-he</t>
  </si>
  <si>
    <t>Gaceta de Madrid n.º 339</t>
  </si>
  <si>
    <t>de cerca de 2.900© dolares. „Hace unos ij años que se han introducido Las mauufactur.s americanas encuentran algu­ aquí las colmenas, y las traxo «1 coronel Arsc-he— nos obstáculos que vencer, los quales impiden nioski; pero se han mu tipiieado con tal rapidez, que progresen con U rapidez que convendría: los y lo mismo la cri…</t>
  </si>
  <si>
    <t>Arsiht, Antonio</t>
  </si>
  <si>
    <t>Antonio Arsiht</t>
  </si>
  <si>
    <t>llón del regimiento fixo de la Habana, por el prest dedos soldados en 0 meses durante la guerra, 83. -D. Juan Cevallos, por el de un soldado id. , 9. D. Antonio Arsiht, capitán del partido del Horcon, en cada mes , 10. Don José de Flores, cadete del regimiento de infantería de milicias, por el prest de un soldado en 2 meses ,…</t>
  </si>
  <si>
    <t>Arsila, Antonio</t>
  </si>
  <si>
    <t>Antonio Arsila</t>
  </si>
  <si>
    <t>el prest de 2 soldados en un mes , 18. D. Ramón Alderete , capitán del regimien­ to de infantería cíe Milicias, por el de un soldado en 3 meses , 27. D. Antonio Arsila, capitán del partido del. Horcon , por oferta mensual durante la guerra, 10. D. Juan Naranjo/sargento retirado, en cada mes, 7. El comisario de guer­ ra honora…</t>
  </si>
  <si>
    <t>Arsilu, Antonio</t>
  </si>
  <si>
    <t>Antonio Arsilu</t>
  </si>
  <si>
    <t>1008</t>
  </si>
  <si>
    <t>un sol­ dado en 4 meses , 86. D. Pedro Gordiiio , síndico dei monasterio de religiosas ■ carmelitas , á cuenta de 4000 pesou que han ofrecido , 100. D. Antonio Arsilu, copitan del partido Horcón, pa&gt;r su oferta mensual, 10. D. Mariano de .'Medina, por el prest de un soldado en. 3 meses , 27. Doña Manuela Teresa Calíudlero , y…</t>
  </si>
  <si>
    <t>ART</t>
  </si>
  <si>
    <t>a iglesia metropolita­ las compañías de milicia cívica que á cada uno se na y dos diputados del clero. detallan. Don Francisco Irabien, corregidor, y coronel ART. II. En la ciudad de Lucena se formará de la milicia cívica de esta ciudad , se presentó al un batallón y una compañía de caballería. frente de este cuerpo , recomen…</t>
  </si>
  <si>
    <t>Artaíejr, Juan</t>
  </si>
  <si>
    <t>Juan Artaíejr</t>
  </si>
  <si>
    <t>, D Francisco Bemabeu y D. Ni­ colás Dodero; el segundo ayudante D. Antonio Torró; el subteniente D. Pedro Perales ; los cadetes D. Antonio Aus?j.&gt; y D. Juan Artaíejr; ti sargento primero Ju?.n Monera, y los segu idos José Badirto, Mi­ guel Aguiiar, Bruno G¿lan, Martin Alberola y Lorenzo O'tega, todcs ¿eí batallón de Onhuela;…</t>
  </si>
  <si>
    <t>Artazo, Manuel</t>
  </si>
  <si>
    <t>Manuel Artazo</t>
  </si>
  <si>
    <t>gones , por el prest de 3 soldados en 6 meses , 162 pesos fuertes. El capitán D. Domingo Bontoux de la Blanehe, por ei de un soldado en 5 meses . 45. D. Manuel Artazo, teniente rey de esta plaza, por el de 4 soldados en 6 meses, 240. El P. comendador del convente de Ntra. Sra. de la Merced , de acuerdo con su comunidad , 303,…</t>
  </si>
  <si>
    <t>Arwzarena, Joaqahr</t>
  </si>
  <si>
    <t>Joaqahr Arwzarena</t>
  </si>
  <si>
    <t>algnuos que partiruYr¡n* r$te $?• kan distinguido , evíre &lt;rt-: A sal y,ei-désiíc de cabalLm D. Padre Francés , que solo dr-golió á 7 enemi­ gos ; el soldado Joaqahr Arwzarena , que igoairnfu.ue hizo p-.-r sí 13 prisioneros , y el cr*pitan- del segundo batallón I), Joaquín dv Pa.b-bq que re r-í-'-stó con la mayor bizarría en …</t>
  </si>
  <si>
    <t>Arzu, Don Manuel</t>
  </si>
  <si>
    <t>Don Manuel Arzu</t>
  </si>
  <si>
    <t>Gazeta de la Regencia de España e Indias n.º 166</t>
  </si>
  <si>
    <t>1396</t>
  </si>
  <si>
    <t>nombre. • . . •' ' 1 '• , í-f A &gt; V: * ■ Concluyen los donativos de las compañías de artillería de Granada y Camayagua, en el rey no de Geatemala. El capitán Don Manuel Arzu, 90 pesos. Teniente Don Miguel Correde­ ra , 46. Id. D. José Díaz , 46. Sargento primevo José Abad , 25. Segundo Be­ nito Rodríguez, 18. Id. Serapio Cast…</t>
  </si>
  <si>
    <t>As, Cayetano B</t>
  </si>
  <si>
    <t>Cayetano B As</t>
  </si>
  <si>
    <t>do mi elogio, y de que S. A. los atienda para algún premio y ma­ yor ascenso con preferencia á ios de su cíase. „E i. capitán adicto al estado mayor, D. Cayetano B As, imito á su gefe, con ío que ci*o puedo omitir mayor relación sobre su mérito. Nada me resta que noticiar ¿ V. E. sobre dicha jornada, espiando tener ©caeioia d…</t>
  </si>
  <si>
    <t>Áshworths</t>
  </si>
  <si>
    <t>875</t>
  </si>
  <si>
    <t>pas ligeras que atacaban de frente al ene­ migo : estas tropas estaban apoyadas por la caballería , y la puniera y quinta divivion , y la brigada del coronel Áshworths en reserva Es­ tíos movimientos obligaron al enemiga á abandonar tqdas las posición</t>
  </si>
  <si>
    <t>Aspeen</t>
  </si>
  <si>
    <t>tro cuerpo que caminaba con el mismo objeto per Jos Pedroches de Córdoba. . r . : Cádiz 22 de febrero. Hoy ha fondeado en este puerto la fragata^ del rey Aspeen , ai mando deí alférez, de navio D. Manuel A:b z 1 , pro-1 cedente del Callao de Lima, de donde sFió el E4-.de' novie obre? g_,n. Í73D pesos fuertes para el rey;:y pa…</t>
  </si>
  <si>
    <t>Asturiza, Juan</t>
  </si>
  <si>
    <t>Juan Asturiza</t>
  </si>
  <si>
    <t>Manuel Herrero, 100. D. Juan Antonio Gutiérrez, 100. I). José Fernandez y D. Melchor Gómez , 70. D. Ramón Martínez , 100. Ron Liego de Hontoria: 100. D. Juan Asturiza , 100. D. Diego del Solar. !()0= L. Manuel Gutiérrez y D. Manuel Riaño, 100. D. Félix García , IO0. D. Pe­ dro García dejos Ríos, 100. D. Manuel Mancina, 100. D…</t>
  </si>
  <si>
    <t>Atanasio, Josef</t>
  </si>
  <si>
    <t>Josef Atanasio</t>
  </si>
  <si>
    <t>león. Gran cancüleria de la Orden Real de España. Calseca ( D. Antonio), prefecto de Salamanca. " En nuestro palacio de Madrid á n de marzo Castillo (D. Josef Atanasio del), corregidor da .de 1811. Jaén. Don Joséf Napoleón por la gracia de Dios y Cayet (D. Andrés), soldado de caballería ligera pot la constitución del estado» …</t>
  </si>
  <si>
    <t>Ataresy</t>
  </si>
  <si>
    <t>Gaceta de Madrid n.º 304</t>
  </si>
  <si>
    <t>ndado que se ,,Las fragatas la Renommée , capitán Roquehert, y ponga inmediatamente en planta en el Venerable comandante de la división; la Nereida , capitán Ataresy eo el Tigre, y que sucesivamente se vaya intro­ quier , y la Clorittda , que yo mandaba, aparejaron de la duciendo en lodos los buques del estado, á pro­ rada de…</t>
  </si>
  <si>
    <t>Atchison</t>
  </si>
  <si>
    <t>neladas , acabado de hacer y de buena construcción : tenia 15000 balas y bombas, y 80000 barriles de pólvora; parece que iba des­ tinado á Corfú. Eí capitán Atchison , comandante de la corbeta Scila , ha escrito á Sír Roberto Calder que después de una corta acción había apre­ sado el bergantín francés el Cañonero y una de las…</t>
  </si>
  <si>
    <t>Atexandro</t>
  </si>
  <si>
    <t>envía? á España cuantiosos refuerzos, lo ha estimulado y movido á emprender up viage ccn el objeto de tenaisar á toda cos­ te, las diferencias eon el emperador Atexandro, sin lo cual re es po­ sible pueda enviar *1 número de tropas que se necesita para con­ cluir % -conquista. P¿ra el feliz éxito de esta negociación, son im e…</t>
  </si>
  <si>
    <t>Atgiteiks, Josa Caaga</t>
  </si>
  <si>
    <t>Josa Caaga Atgiteiks</t>
  </si>
  <si>
    <t>.— Gabriel Ciscar, presiden­ te. — D. Jtaquín Blake, ausente con permiso do la? Cóítes. — Pe* dro de Agar. — En Cádiz á 1.* de diciembre de 1S1I. — A D. Josa Caaga Atgiteiks. El Sscmo. Sr. gofo del estado mayor general ha recibido el parta que la da el general en g^fb del cuan© exdroito, en que dice que la rsañsna del 11 del …</t>
  </si>
  <si>
    <t>Atienza, Esanisao</t>
  </si>
  <si>
    <t>Esanisao Atienza</t>
  </si>
  <si>
    <t>Gazeta de la Regencia de España e Indias n.º 68</t>
  </si>
  <si>
    <t>46</t>
  </si>
  <si>
    <t>ano Mantilla después de la prisión del coronel, did ccfivia mayor serenidad sus ¿üspr-si i mes, y conduxo el regimien­ to ei m yor acierto: ei cadete D. Esanisao Atienza, haciendo el serv'do ¿«tirador, y el sargento de la R:yna P iscual Martin, se han distinguido en esta acción como en ctras varias : el cadete tuvo su caballo…</t>
  </si>
  <si>
    <t>Ato, Leandro</t>
  </si>
  <si>
    <t>Leandro Ato</t>
  </si>
  <si>
    <t>, 150. Se­ gundo , el alférez de fragata D. Ramón Gil , 100. Capitanes y pilotos de estos buques, D. Pedro Izquierdo , 60. D. Juan Bautista Basó, 30. D. Leandro Ato­ mía, 30. D. Fulgencio Ibañez , 30. D. José Raygada», 20. El capellán Don Manuel Rodríguez, 25. El eivujano D. Joaquín de Rivera Serratet, 35. Comandancia de matr…</t>
  </si>
  <si>
    <t>Atoado, Patricio</t>
  </si>
  <si>
    <t>Patricio Atoado</t>
  </si>
  <si>
    <t>Gazeta de la Regencia de España e Indias n.º 85</t>
  </si>
  <si>
    <t>630</t>
  </si>
  <si>
    <t>imiento de Moa tere v al izando de los suo emente? O. Joaquín Quircgi y D. Juan de P zos , proi^c*-'c'&lt;y&gt; por áj uu.nre» de Galicia al do igual clase D. Patricio Atoado. Ei *omi*g» ¡ve dió en la ace on y de resultas de esta 23 mu - ríos, cu 'rum ■■■-' Ji Tides Ivmnvor parte de los 53 que existen \*¡: ískmeros, es. cordáadoje …</t>
  </si>
  <si>
    <t>Atonso, Francisco</t>
  </si>
  <si>
    <t>Francisco Atonso</t>
  </si>
  <si>
    <t>Don Jtaé Mo-renG; tenencias 3 D. José Mosquera, D.B ¿as Feynador, D. José Vui, D. Jcsé Petan, D. Benito (Grabarre, D. José Pruna, id. Fernando Oríiz, D. Francisco Atonso, D. Antonio VaUscillo, D. José Velas-"ío y, J&gt;. José Armada; subtenencias á D. Santiago de Armas , D. F¡tapisco P.ieto, D. Antonio Pueyo, D. José Gon­ zález …</t>
  </si>
  <si>
    <t>Aturena, Josef</t>
  </si>
  <si>
    <t>Josef Aturena</t>
  </si>
  <si>
    <t>atravesará un bosque de áoo millas pira llegar á juez de primera instancia , y de la testamentaría de un punto eu tnydió de ¡a obscuridad mas profon­ D. Josef Aturena, tesorero que fue de-reales prorüioc da, y de las mas espesas tinieblas, sin desviarse nes, natural de la ciudad de Cádiz, hijo de I&gt;. Manuel notablemente de su…</t>
  </si>
  <si>
    <t>Aubrv, Cárlos</t>
  </si>
  <si>
    <t>Cárlos Aubrv</t>
  </si>
  <si>
    <t>480 Siguen los donativos de la ciudad de Campeche, prescinda de Yucatán. I). José González Abreu , 25 pesos fuertes. D. Cárlos Aubrv , 25. Do^ José María Fiores , 25. D. José Puig y Escardó , 25. D. Sebastian Ferrer, 25. D. Francisco Maristani , 25. D. Miguel Roig , 25. D. Joaquín Sánchez, 25. D. Miguel Vargas , 25. D. Ju</t>
  </si>
  <si>
    <t>Auge</t>
  </si>
  <si>
    <t>mui antiguo, que Subtenientes. «n tiempos mui remotos se llamó barbarie, y que D. Josef Elcjalde. después se disfrazó con el título pomposo de esco­ D. Auge! Scrmini. lasticismo!. Se cotejarían ios síntomas; se compa-</t>
  </si>
  <si>
    <t>Auge, Conon</t>
  </si>
  <si>
    <t>Conon Auge</t>
  </si>
  <si>
    <t>llos por un papel alusivo al objeto que leyó el primer maestro D. Cayetano Fernandez ViHamil. Fueron exami­ nados en aiismética, D. Agustín Nogueyra, D. Conon Auge, D. Mi­ guel O íoste y Vidal , D. 'Domingo González, D. Francisco Otero, I). Juan Teron y D. Francisco Remero ; en aiisméticá y álgebra, 1). Feiíx Labrada ; en geo…</t>
  </si>
  <si>
    <t>Augusta</t>
  </si>
  <si>
    <t>Gaceta de Madrid n.º 331</t>
  </si>
  <si>
    <t>omo también en los barcos mercantes que vienen con víveres áHe- los astilleros de Nápoles. ligoland de que lleven de retorno géneros colonia­ les. La Princesa Augusta ha salido escoltando ua IMPERIO FRANCES. convoi para Heligoland. Parts i.° de noviembre. El almirante Stírling va á salir inmediatamente para la Jamaica para re…</t>
  </si>
  <si>
    <t>Gaceta de Madrid n.º 354</t>
  </si>
  <si>
    <t>proteger mas particularmente á las etnbaicaCuteras y schooners. El Tickler, teniente Nop- eiones que vayan ó vengan de las Indias occiden­ kÍDspo; la Princesa Augusta, teniente Mac. Cas- tales , semejante ál que se adoptó quando la guer * t®ck.; el Alerta, teniente O’Nerle; elida, te­ tide América. {The Times.)</t>
  </si>
  <si>
    <t>Augusto</t>
  </si>
  <si>
    <t>rimero del re­ quitárselas. El comisario conociendo el valor 6 in­ gimiento Reai Extrangero. trepidez del capitán Daieoso, el qual á pesar de Cárter (D. Augusto), furrier del regimiento Real todos los obstáculos consiguió entrar el invierno Extrangero. ú timo socorros en Barcelona » aumentó la tripula­ Cauro y Caminero (D. Jo…</t>
  </si>
  <si>
    <t>Augusto, Carlos</t>
  </si>
  <si>
    <t>Carlos Augusto</t>
  </si>
  <si>
    <t>Gaceta de Madrid n.º 5</t>
  </si>
  <si>
    <t>rte de Bergen en la Noruega. S. A. R. habita en el oía los aposentos destina­ Del 29. dos p.&lt;ra ef príocipe OscaT , que son los mismos que ocupaba cí príncipe Carlos Augusto. Aun no está Acaba de recibirse aquí una noticia, que ha preparad* «meramente la habitación del príncipe hecho gran sensación en el público, y es que ia …</t>
  </si>
  <si>
    <t>Gaceta de Madrid n.º 11</t>
  </si>
  <si>
    <t>GAZETA DE MADRID DEL VIERNES n DE ENERO DE 1811. TURQUIA. de este mes por el tribunal de Justicia sobre h muerte repentina del príncipe Carlos Augusto, está Constantinopla 2$ de octubre de 18 to. concebida en estos términos: El encargado de "Negocios de Francia ha notifi­ „Eí tribunal real de Justicia no encuentra nin­ cado a…</t>
  </si>
  <si>
    <t>Augusto, Cirios</t>
  </si>
  <si>
    <t>Cirios Augusto</t>
  </si>
  <si>
    <t>Gaceta de Madrid n.º 7</t>
  </si>
  <si>
    <t>inspirado la idea mas venrajosa se le habia encargado hacer una información sobre del clero de Suecia , y aquellos de entre vosotros á la muerte del príncipe Cirios Augusto. El resul­ quienes he conocido y tratado de«pues han confir­ tado de este eximen es no aparecer prueba ningu­ mado mi opinión. Como ministros de paz y de …</t>
  </si>
  <si>
    <t>Gaceta de Madrid n.º 25</t>
  </si>
  <si>
    <t>91</t>
  </si>
  <si>
    <t>do con tal impetuosidad que y f.^sos los rumores esparcidos sobre el pretendi­ no pudo resistir al choque, y en un instante fue do envenenamiento del príncipe Cirios Augusto, desbaratado y puesto en faga. Los turcos fueron y que habiendo qaedado por consiguiente justifi­ perseguidos hasta las murallas ie Widdin, y per­ cada p…</t>
  </si>
  <si>
    <t>Aus, Antonio</t>
  </si>
  <si>
    <t>Antonio Aus</t>
  </si>
  <si>
    <t>a, D. Antonio Garniel, D Francisco Bemabeu y D. Ni­ colás Dodero; el segundo ayudante D. Antonio Torró; el subteniente D. Pedro Perales ; los cadetes D. Antonio Aus?j.&gt; y D. Juan Artaíejr; ti sargento primero Ju?.n Monera, y los segu idos José Badirto, Mi­ guel Aguiiar, Bruno G¿lan, Martin Alberola y Lorenzo O'tega, todcs ¿eí…</t>
  </si>
  <si>
    <t>Austin</t>
  </si>
  <si>
    <t>Gaceta de Madrid n.º 245</t>
  </si>
  <si>
    <t>1001</t>
  </si>
  <si>
    <t>de 20 onzas , también se pudiera dar vesaron el Guadiana por un puente que construyó á 10 onzas, á f onzas, y aun ¿ una onza, el valor en S. Lucas el coronel Austin para que pasase este de 20 onzas. Por consiguiente, si la disminución exército. de la materia metálica en una pieza de moneda no „La artillería te embarcó en Ayam…</t>
  </si>
  <si>
    <t>Autie</t>
  </si>
  <si>
    <t>Gaceta de Madrid n.º 125</t>
  </si>
  <si>
    <t>que el exército que teoia que combatir era lo ,, El general Rousseau , oficial de gran mérito» menos de 220 hombres. En vista de esto envié or­ y el coronel Autie , han sido muertos. den al general Víilatre para que no se opusiese al ,, Nosotros hemos tenido 300 hombres muertos paso del enemigo, y que le contuviese en ia iz­ …</t>
  </si>
  <si>
    <t>Avellá, Gregorio</t>
  </si>
  <si>
    <t>Gregorio Avellá</t>
  </si>
  <si>
    <t>Gazeta de la Regencia de España e Indias n.º 157</t>
  </si>
  <si>
    <t>1516</t>
  </si>
  <si>
    <t>a velocidad del rayo; y hallándole en la villa ¿e Viliamieva, se ha entregado de loi dichos 450 hombres. Eí referido’capitañ de somatenes de mi mando D. Gregorio Avellá , con fecha dei 28 del que va á espirar, me da el parte siguien­ te. — Habiendo salido una partida de 80 franceses de Momblanch con dire^ci^n á.Barberá , me a…</t>
  </si>
  <si>
    <t>Avellaneda, Josef Hidalgo</t>
  </si>
  <si>
    <t>Josef Hidalgo Avellaneda</t>
  </si>
  <si>
    <t>oo para Lisboa.'* D. Víctor Fernandez. De algún tiempo á esta parte apenas había D. Juan Castañeda. habido variación en el precio de las acciones del D. Josef Hidalgo Avellaneda. banco ; pero ayer subieron repentinamente un 9 art. ni. En la villa de Fuentes se anmenta­ por iao sobre el curso ordinario» habiendo perma­ rán dos…</t>
  </si>
  <si>
    <t>Avi</t>
  </si>
  <si>
    <t>Gaceta de Madrid n.º 112</t>
  </si>
  <si>
    <t>44</t>
  </si>
  <si>
    <t>á los hapero no podrin ser recibidos tino por la quinta bit antes de muchos distritos. parre de su valor nominal, Si el precio, por exem- El ayudante comandante Avi ha llegado igual­ plo, de una adjudicación de una posesión eclesiás­ mente de Badajoz, de donde salió el 14 de marzo, tica llegase á la cantidad de ico® florines …</t>
  </si>
  <si>
    <t>Avis</t>
  </si>
  <si>
    <t>Gazeta de la Regencia de España e Indias n.º 84 (suplemento)</t>
  </si>
  <si>
    <t>e agrava también por la triste situación en que se encuentra. ¿Durará esto mucho tiempo, príncipe? Bueno será para todos que no.... Desde que pasó el coronel Avis no se han re­ cibido noticias de Andalucía; pero yo se que el mariscal Stmlt ha llagado á S ir illa, y los habitantes, que están embreñes de la resis­ tencia de 700…</t>
  </si>
  <si>
    <t>Ayala, José María</t>
  </si>
  <si>
    <t>José María Ayala</t>
  </si>
  <si>
    <t>s a , 25.|D. Francisco Ximenez en diñe, o y alhajas, 92, G y medio rs.D. Pedro Chiari, 36. D. Félix Paredes, 36. D. Ma* too Matos , 3G. Subtenientes. D. José María Ayala , 25. D. Carlos del Casti­ llo , 20. D. José María Velarde , 29. D. Juan Paredes , 29. D. Sebastian Biasini , 10. D. José Antonio Velarde , 25. D Manuel Rodr…</t>
  </si>
  <si>
    <t>Ayer</t>
  </si>
  <si>
    <t>rado efe rio." (The Courritr.) un schooner español, en ei quál ha encontrado 14® libras esterlinas en dolares. Del Los mismos periódicos dicen que el general Ayer recibimos cartas de Liverpool, en que se Miranda-a! entrar en la ciudad de Valencia man­ dice quedos comerciantes de aquella ciudad deben dó pafar á cuchillo gran p…</t>
  </si>
  <si>
    <t>Ayer, Elias</t>
  </si>
  <si>
    <t>Elias Ayer</t>
  </si>
  <si>
    <t>812</t>
  </si>
  <si>
    <t>por donativo para la división do D. Juan Martin, entregado á D. Juan Revira, 640 rs. En 9 de mayo, donativo pora el exército de Cataluña, entregado á D. Elias Ayer , 1280 rs. Ea 13 de julio, para vestuario del quinto exército, 1500 is. Resumen. Dinero 222794 rs. Camises 400. Pares de zapatos 100. Varas de paño 1000. G-ibaiios…</t>
  </si>
  <si>
    <t>AYi'íiams</t>
  </si>
  <si>
    <t>las al­ turas situadas en la márgen izquierda del Agueda y tenia su van­ guardia ea'ía aifurr de Pastores, una legua de Ciudad Rodrigo, al ináudo del coronel AYi'íiams del reerimínío nú a. 60 La cuarta división se hall iba'*enTFúgate1 Guintlio., donde teforefe una posición con alguriay t b;as de campaña : la divisioh ligera s…</t>
  </si>
  <si>
    <t>Ayllon, Juan</t>
  </si>
  <si>
    <t>Juan Ayllon</t>
  </si>
  <si>
    <t>828</t>
  </si>
  <si>
    <t>, 3G7. D. Feli­ pe Rafael de Robles, 938. D. Antonio M azuco y Chazari, 500. D. José Mon­ tano, 52. D. Manuel Portillo, 64. D. José Mergarejo , 132. D. Juan Ayllon, 32. Doña Ana Rabel , viuda de Conturie , 100. D. Mateo Rodríguez Sánchez, 1215. i). Lorenzo Rodríguez, 4768. D. Sebastian Izquierdo , 500. D. Pascual Cebada , 704…</t>
  </si>
  <si>
    <t>Aymench</t>
  </si>
  <si>
    <t>ente coronel co­ mandante del primero D. Gerónimo Lu?on. —-Dios &amp;e. Huerta Her­ nando junta superior de G alai x:ru 21 de febrero de i8ir.” Parte del coronel Aymench al general en gefe, del cuarto exército de 2 de marzo en Veger. **Excmo. Sr.: Desjpuesde una marcha penosa-, larga , siri.d^rcanso algu­ no , y llena de cbstácuk…</t>
  </si>
  <si>
    <t>Aymerich</t>
  </si>
  <si>
    <t>Gazeta de la Regencia de España e Indias n.º 30 (extraordinaria)</t>
  </si>
  <si>
    <t>~ J Al mismo, tiempo estaban nuestras, tropas posesionándose de- Beger, lo que verificaron en los; términos que Y. E. verá por el parte ad­ junto del coronel Aymerich;; todo lo que espero se sirva V. E. participar al Consejo supremo, de Regencia para su; debida, inteligencia___ Dios guarde á Y. E.. muchos años.. Cuartel gener…</t>
  </si>
  <si>
    <t>Azcarate, Francisco</t>
  </si>
  <si>
    <t>Francisco Azcarate</t>
  </si>
  <si>
    <t>Gaceta de Madrid n.º 296</t>
  </si>
  <si>
    <t>.................. D. Juan Ignacio Noain. sus principales oficiales están exéntos de todo mal con­ Idem.............................................. D. Francisco Azcarate. cepto en este punto. Idem.............................................. D. Antonio Linzoain. Reciba vmd. mi palabra de honor en fianza de lo Con estos, qu…</t>
  </si>
  <si>
    <t>Azco, José María</t>
  </si>
  <si>
    <t>José María Azco</t>
  </si>
  <si>
    <t>opa de este cuérpo , 5.50. Doña Josefa Relia, S pesos y 4 rs. El doctor D. Ambrosio María de Znazo , por ef préstñ;d'e"S'soldadas «ta 8 nieses &gt; 144. D. José María Azco­ na ,;admin'T3trád-OJ* de rentan ;de .Ja ruco , por ol de' 2 soldados en 3 meses , 45. 'EbmTsrmoqámnmbre d¡é Dn JJmmsiKjo Marín , celador y tasador de su adtn…</t>
  </si>
  <si>
    <t>Azcona, Francisco</t>
  </si>
  <si>
    <t>Francisco Azcona</t>
  </si>
  <si>
    <t>le la superintendencia, para la manuten­ ción de un soldado , 9. D. Juan Martin Vegue, oficial segundo , 2. D. Ma­ riano Medina, ofieia! tercero , 1. D. Francisco Azcona, oficial cuarto, 2. Don Antonio Cachureo , oficial mayor de la contadnría, para la manutención de un soldado, 9. D. Fernando de Oroe, oficial segundo, 3. D, …</t>
  </si>
  <si>
    <t>Azcona, José Mana</t>
  </si>
  <si>
    <t>José Mana Azcona</t>
  </si>
  <si>
    <t>su oferta en cada uno , 36. D. José Mi­ guel Soler , oficial segundo de la secretaría de la capitanía general, por el de un soldado en 5 meses , 45. D. José Mana Azcona , administrador de ren­ tas reales de la ciudad de Jaruco, por el de 2 soldados en 5 meses, 75. D. Juan Naranjo, sargento inválido, por 6 meses de su oferta, …</t>
  </si>
  <si>
    <t>Aznal, Antonio</t>
  </si>
  <si>
    <t>Antonio Aznal</t>
  </si>
  <si>
    <t>esado Hernández, el capitán de Numantinos D. Juan Antonio Solano, el ayudante del mismo cwrpo D. Rufo Mi ñaño, el subte­ niente del batallón de Rioja D. Antonio Aznal, y los alféreces Don Rodrigo Castañon, mi ayudante de campo y D. Alonso López, este de consideración. La perdida de los enemigos ha consistido en SO prisioneros…</t>
  </si>
  <si>
    <t>Aznar, Antonio</t>
  </si>
  <si>
    <t>Antonio Aznar</t>
  </si>
  <si>
    <t>Gazeta de la Regencia de España e Indias n.º 135</t>
  </si>
  <si>
    <t>, tan acreditados por su actividad , valor y patriotismo ; al capitán del batallón de Rioja D. Ramón Araoz, al teniente D. Juan Bueno, al subteniente D. Antonio Aznar , ape­ nas curado de sus heridas, v al cabo primero José Bernardon, y y á los de caballería Pedro Barcenilía, sargento segundo, José Mu­ ñoz , cabo primero, y D…</t>
  </si>
  <si>
    <t>Azopad, Juan Bautista</t>
  </si>
  <si>
    <t>Juan Bautista Azopad</t>
  </si>
  <si>
    <t>811</t>
  </si>
  <si>
    <t>oras. Dios guarde á vrad. muchos ain8. A bordo del bergaur tin Cisne en las aguas de S. Nicolás á 28 de febrero de 1811. — Jacinto de Romarate. — Sr. D Juan Bautista Azopad. — Es copia. —* ¡Redro Hurtado de Cor cuera.” Se sabe por otras noticias que los tres buques enemigos estaban dotados por 192 hombres y 33 piezas de ai ti…</t>
  </si>
  <si>
    <t>Azopar, Juan Bautista</t>
  </si>
  <si>
    <t>Juan Bautista Azopar</t>
  </si>
  <si>
    <t>760</t>
  </si>
  <si>
    <t>760 Veinte-?/-cinc* de maya y American*, que loi disidentes habían ar­ mado y hecho salir al mando de D. Juan Bautista Azopar, con or­ den expresa de pelear con los buques del Rey si los encontraban, y de apresar las embarcaciones de Montevideo y drl Paraguay. Ei combate fué junto al pueblo de S. Nicolás en uno de</t>
  </si>
  <si>
    <t>Azpíroz, Xavier</t>
  </si>
  <si>
    <t>Xavier Azpíroz</t>
  </si>
  <si>
    <t>Gazeta de la Regencia de España e Indias n.º 107</t>
  </si>
  <si>
    <t>959</t>
  </si>
  <si>
    <t>uín Blake con permiso de las Cortes. — Pedro de Agar.— E i Cádiz á 12 de agosto de 1811. — A D, Eusebia de Bardaxí y Azara.” CARTAS INTERCEPTADAS. De D. Xavier Azpíroz y intendente d&amp; Andalucía. A ÜQ de junio. Q uerida Angela : recibo hoy mismo tu carta del 14 ; pero no me ha llegi do la que dices rúe has escrito, incluyendo …</t>
  </si>
  <si>
    <t>Azuma, Miguel</t>
  </si>
  <si>
    <t>Miguel Azuma</t>
  </si>
  <si>
    <t>1512</t>
  </si>
  <si>
    <t>venir aquí. — Reciba vm. *iil cosas de toda esta familia, y no dude en que es su mejor amiga y que le quiero — Y.” De IX José Timoteo de Monasterio á D. Miguel Azuma. — “ Exorno. Sr.: Ayer y "hoy han llegado todas Isa tropas que sacó Daisseuae para Portugal de todo el norte, habiéndola hoy acompa­ ñado en su retirada algunos …</t>
  </si>
  <si>
    <t>B'ake</t>
  </si>
  <si>
    <t>Gaceta de Madrid n.º 246</t>
  </si>
  <si>
    <t>so para librar aquellos países del combatamos por la lib rt.id de la Europa, después poder de nuestro enemigo, ó para volver al prín­ que el Valiente general B'ake no ha podido al frente cipe del Brasil su corona ? Lo primero no lo pode­ de sus legiones , ten valientes como él, compues­ mos conseguir; y lo seguid'» no parece …</t>
  </si>
  <si>
    <t>Gaceta de Madrid n.º 319</t>
  </si>
  <si>
    <t>Leandro Fernandez de Mola tarde. ratin su bibliotecario mayor; á D. Matías Mur de los Ríos secretario de la interpretación de lenguas; Soldados: ,,El general en gefe B'ake, usando y al presbítero D. Josef Lope González adminis­ de los grandes poderes que le atribuye su calidad trador del colegio de niñas de Loreto. de preside…</t>
  </si>
  <si>
    <t>B'ake, JWcmín</t>
  </si>
  <si>
    <t>JWcmín B'ake</t>
  </si>
  <si>
    <t>Gazeta de la Regencia de España e Indias n.º 137 (suplemento)</t>
  </si>
  <si>
    <t>1158</t>
  </si>
  <si>
    <t>del capitán general P. Joaquín Biabe, ai señor gefe del estado mayor general. L°— Cuatro de octubre de 1811. — Exciuo. Sr.: Díe orden del Exor:o. Sr. D JWcmín B'ake remito á V. E. «1 parte que el msni­ ca; d ? campo D. Cá?l« s O-Donnell ha parado at gefe del estado ma­ yor cíel scgnncq exérci-o , el cual es como sigue: ‘'A 6 …</t>
  </si>
  <si>
    <t>B, Agustín</t>
  </si>
  <si>
    <t>Agustín B</t>
  </si>
  <si>
    <t>400</t>
  </si>
  <si>
    <t>barcos que v-yan en el mismo sentido, el equi ¡brío no se vetifi.a en todas las situaciones. bien sea que suban ó que baxen. Los medios empleados por D. Agustín B.tancourt El autor propone después los medios con que son sencidos y de fácil execucion, y de un resul­ se puede aplicar su sistema de esclusas para subir tado infal…</t>
  </si>
  <si>
    <t>B, D Joaquín</t>
  </si>
  <si>
    <t>D Joaquín B</t>
  </si>
  <si>
    <t>Gazeta de la Regencia de España e Indias n.º 130</t>
  </si>
  <si>
    <t>1100</t>
  </si>
  <si>
    <t>los france­ ses y del mismo Suchet que los manda ; y por otra parte son aho­ ra mucho mayores que nunca los recursos y medios de defensa. El espitan general D Joaquín B!ake se halla A la cabeza del segundo exérclto con fuerzas muy respetables; y si el enemigo no abando­ na la empresa , deben aguardarse en breve sucesos de gra…</t>
  </si>
  <si>
    <t>B, D Juan</t>
  </si>
  <si>
    <t>D Juan B</t>
  </si>
  <si>
    <t>á cada lado z pages. Primer coche de duelo: el brigadier español Mazarred^, el coronel Murphy , el teniente coronel español C. Ste­ nor. Seguhdo, el capitán D Juan B, Arriaza , agregado á la legación española, D. Mauricio de Onis, id., y el teniente capitán marques del Apartado. Tercero, el gefe de escuadra D. José de Espinos…</t>
  </si>
  <si>
    <t>B, FraccLce</t>
  </si>
  <si>
    <t>FraccLce B</t>
  </si>
  <si>
    <t>a í¿0 'de servicio, se haikba á media* eos do xtetú isim *:mi una partida de 23 soldados deseie pifiando la v&amp;X-bk-ii, qr*a í* habia dado set generid D. FraccLce B^’ksteros , de recoge? libados y £ei&amp;3gui? i&amp;droi-’gs. U.’o do su partida, que es* taba de if.tsügrpcla pc-r¿ ios franceses, proporcionó que ns destaca* carapato de…</t>
  </si>
  <si>
    <t>B, Francisco</t>
  </si>
  <si>
    <t>Francisco B</t>
  </si>
  <si>
    <t>orente, alias el Helero; y el 18 de jimio amaneció, sin ser s¿nüdo, «Obre la villa, que rodeó con 4 trozos de su geste á las órdenes de loa tenientes D. Francisco B rcena y D.Pediodo la Siena, del alférez 1&gt;. Romualdo Gante y dsl sargento Yictoií ano Montes . Dppuerta* así i las cosas, entró el mismo Torre á la cabeza de SO h…</t>
  </si>
  <si>
    <t>1371</t>
  </si>
  <si>
    <t>Dm Jo-é Aguí lar; en el de Valencia, compañías á D. Manuel ÍL mi­ ras, D. Mnriano • Medran©, P.' Antonio Quitos : tenéE^íj» á Don Antonio E’-teba ’, D. Francisco B otobs* D. Busardo Vida?, Don Juan de Dios Lasa!», D. F«iip5 Ma varíete, D. Jo&amp;quin Gomez, D. F:ranr?ísco Lop:.z Salazar, D. Manuel BjUmonts, D. José Giiau-de., D. …</t>
  </si>
  <si>
    <t>B, Juan</t>
  </si>
  <si>
    <t>Juan B</t>
  </si>
  <si>
    <t>ués de habsr m aereo mas de 150 ene­ migos y perseguido á Ies fugitivos , se reunió en el pueblo con el res-,, to de nuestras tropas Se dí.tmguiero-; D. Juan B danzateg.a ; coman- ■ dame de la caballería de la izquierda y los oficiales de. la mis,na arma . D. Francisco Rubín, y D. Manuel Porras. Sevilla 20 de marzo. El aia 13…</t>
  </si>
  <si>
    <t>.’ D. Manuel Sasta M-ría,.mariscal. D. Frarrebeo L^nzagorta, mariscal. D. Vicente Valencia, director de 'in­ genieros; D. Ouofré Póitugal, brigadier. D. Juan B iribú Carrasco, 'brigadier. D. José Salios Villa, coíenel. D. Pedro Leen, m^yor de plaza. D. Ignacio Garuargo, mariscal. U. Mariano Hidalgo. D. Agus­ tín Marroquin. D.…</t>
  </si>
  <si>
    <t>crra, D. Antonio Quircó, D. Cristóbal Alvaro, Don José Torreas, D. José María Cazarla, D. Vícente Crosal. D, Ma­ nuel Dorado, D. Francisco Colmenero, D. Juan B anco, D.. Miguel Albert, D. Antonio José Ranee, í). Joaquín Mateos, D Luis Ma­ riano Espinosa, D. Jo3¿ García Saez, D. Bernardo González'y D. Ramón Luciano de Villamar…</t>
  </si>
  <si>
    <t>. Pedro Hernández : empízios de capitanes segundes á D. José Abifezm, D. Manuel Navarro, I), Vicente jdferde? j I?. Rodrigo Flores Picón: (esencias á D. Juan B *yona O. Mariano Caballé**, D. Pedro Alcántara GaÍindo, O. Juan Kamen González&gt; D. Miguel Marín, D. Francisco Castillo, Don Manuel Romeio, D. Pedro Fülol, D. Ignacio J…</t>
  </si>
  <si>
    <t>B, Jüsq</t>
  </si>
  <si>
    <t>Jüsq B</t>
  </si>
  <si>
    <t>e una bandera, cíe 17 cañones do distintos calibres, de una porción de carros de mu­ niciones y equiosgss , y engiero-a 200 irdsicuicros. El caplfa ¿ D. Jüsq B míisla de ia T¿rre so encaminó á loa pue­ blos de ios R-nichos, de ioi cuates desalojó el 22 de marzo á les re­ beldes, cogiendo v arcabuceando a' alcalde y cabecilla …</t>
  </si>
  <si>
    <t>B, Manuel</t>
  </si>
  <si>
    <t>Manuel B</t>
  </si>
  <si>
    <t>a, id. supernumerario, S v 2 y medio. El mozo que cuida del aseo de la oficina , 2 y 4. D. Pascual Antonio Monzon , escribano mayor de gobierno , 23. D. Manuel B navente, escribano dé la sala del crimen, 25. D. Vicente Gordillo, 25; D. .Sebastian de Ugarriza , en cada un año de los que* dure la guerra,500. El VI R. arzobispo …</t>
  </si>
  <si>
    <t>B, Miguel</t>
  </si>
  <si>
    <t>Miguel B</t>
  </si>
  <si>
    <t>Gazeta de la Regencia de España e Indias n.º 126</t>
  </si>
  <si>
    <t>1032</t>
  </si>
  <si>
    <t>rvido conferir en los cuerpos de infantería del exército los empleos siguientes: En el regimiento de infantería primero de la Princesa; ayudan­ tía á D. Miguel B\1 buena; tenencias á D. Juan de la Fuente, Don José Psreyra, D. Antonio T«rrer, D. Francisco Corrales, D. Fiancisco Lomban y á D, Antonio Pravía : subtenencias á D. …</t>
  </si>
  <si>
    <t>B, Pedro</t>
  </si>
  <si>
    <t>Pedro B</t>
  </si>
  <si>
    <t>D. Pcdr* Cuenca, y los de cirugía D. Jayine Cebrian y D. Mariano Azorin , y los de farmacia D. M’gnel Silvestre y D. José Ortuño: como también el que D. Pedro B; Iboa , vecino de la villa de Ilelirn, á ocien te junta tenia pedidos 30009 re. vn. por via de préstamo para oten dar á las presentes necesidades del exército, ha ei.…</t>
  </si>
  <si>
    <t>B, Podro</t>
  </si>
  <si>
    <t>Podro B</t>
  </si>
  <si>
    <t>Gazeta de la Regencia de España e Indias n.º 84</t>
  </si>
  <si>
    <t>662</t>
  </si>
  <si>
    <t>y 90 heridos, que conduxem?* á Sos, entre ellos 2 ñciales. So distinguieran particularmente D. M.guei'de Sadalba, ayu­ dante mayor de la división, y D. Podro B-¿arena, o y ida?ite d&amp;i se­ gando batallón.” Parle segundo: de Espoz. — Campo del honor de N-trcarra 25 de abril de 1811. A consecuencia de haber sabido que ua convoy …</t>
  </si>
  <si>
    <t>B, Sir</t>
  </si>
  <si>
    <t>Sir B</t>
  </si>
  <si>
    <t>Gazeta de la Regencia de España e Indias n.º 88</t>
  </si>
  <si>
    <t>699</t>
  </si>
  <si>
    <t>Tormes el 3 del corriente, y su vanguardia llegó á Ciudad-Rodrigo en la tardé del 5. El día siguiente por la mañana se puso en marcha , y el teniente general Sir B. Spencer retiró la vanguardia de las tropas de su mando, primero á Na­ va bel , y de aquí á Alfayates.— Remito á Y. E. el paite que me dio el mismo general de esta…</t>
  </si>
  <si>
    <t>700</t>
  </si>
  <si>
    <t>700 Extracto del oficio del general Sir B. Spéncer al lord Weilington* — Soita 7 de junio de 1811. “Miiord: en mi carta de 5 del corriente de Villarfermoso tuve la honra de participar á V. E. que acababa de volver de las alturas qu</t>
  </si>
  <si>
    <t>B, Vicente</t>
  </si>
  <si>
    <t>Vicente B</t>
  </si>
  <si>
    <t>ico a:fé ez D Ja é María Barfieri ..y „D- Ignacio Iberri; los de dragones de Qjeré car o , Puebla, S Luis y ¡Sfc C^rips, tenientes D. Viceace Concha, D. Vicente B asta manee, D. Pedro Iitíaz y D. José Mora , los alféreces deL cuerpo de</t>
  </si>
  <si>
    <t>B-AIido, Juan</t>
  </si>
  <si>
    <t>Juan B-AIido</t>
  </si>
  <si>
    <t>amón Pi aillos y D. Antonio Pala­ cios; y subtenencias á D. Cristóbal Julián, D. Tomas de Torres, D. Juan Garasa, D. Lorenzo Martínez, D. José Ortiz, D. Juan B-AIido, y D. Calixto de Rozas. En el batallón de infantería ligera de voluntarios de Mérida; los empleos de ayudante á D. José Florez Galan y D. Juan Sánchez del Pezo; …</t>
  </si>
  <si>
    <t>B-ake</t>
  </si>
  <si>
    <t>599</t>
  </si>
  <si>
    <t>T a caballería , que según las órdenes que tenia, se había retirado á medida que el enemigo avanzaba, se reunió en Santa Marta con la caballería del general B-ake; la del general Castaños, al mando del conde de Penne Villemur , hrbia estado siempre con la britá­ nica.— Como nuestra posición en Valverde , aunque mas fuerte , d…</t>
  </si>
  <si>
    <t>B-dlesteros</t>
  </si>
  <si>
    <t>173</t>
  </si>
  <si>
    <t>11. ESPAÑA. Aracena i de febrero. No cesan de pasar prisioneros de Oüvenria, entre ellr s muchos oficiales, que van á incorporarse en la división del general B-dlesteros. Hueiva 5 de febrero. Un asistente del general Mouron, conocido per el de los bigotes, ha asegurado que este y el duque de Aremberg fueron heridos en el ataq…</t>
  </si>
  <si>
    <t>B-uieti, Cirios Tomas</t>
  </si>
  <si>
    <t>Cirios Tomas B-uieti</t>
  </si>
  <si>
    <t>estado mayor, Manpoey y Mi chilena, la actividad de mis ayu­ dantes i&gt; Bernardo Sánchez Val verde, y D. Juan Rodríguez de la T^rre , y el subteniente D. Cirios Tomas B-uieti ; á los gafes, oficia­ les y trepa que aparees de la neta que acompaña , y son ios que inas se han distinguido y contribuido al feliz éxito de la acción …</t>
  </si>
  <si>
    <t>Ba, Médano</t>
  </si>
  <si>
    <t>Médano Ba</t>
  </si>
  <si>
    <t>© y S. Pablo de Mechoacan. Fr. Gregorio de la Concepción, carmelita. Fr. Pobo Bustamanis, mérceos río. Clérigos. D. Miguel Hidalgo , ex-g^nera]r imo. D. Médano Ba­ ilesa y teniente- general retirado. D. Francisco Olmedo. D. Nicoi&amp;s •Nava.- D. Antonio Ruiz. Di Antonio Belan.-D. Ignacio Hidalgo. Seculares. D. Ignacio José Altea…</t>
  </si>
  <si>
    <t>Bach</t>
  </si>
  <si>
    <t>Gaceta de Madrid n.º 167</t>
  </si>
  <si>
    <t>e de al senado servio. la 11.a división de infantería, ha sido nombrado También se ha sabido por cartas de Belgrado comandante de la 26.*, y el mayor general Bach- que el general en gefe conde Kamenski está bas­ metiew, comandante de esta, ha sido nombrado tante mejorado de su indisposición. comaQdante de la 23a Se están vend…</t>
  </si>
  <si>
    <t>Badajoz</t>
  </si>
  <si>
    <t>907</t>
  </si>
  <si>
    <t>reconocido al instante llegaron los refuerz' s de las frontera, de Castilla, su error. Sin embargo,se ha enviado una comisión resolví hacer el sitio d. Badajoz, persuadido de que con á la Sudermania para hacer cierras informaciones, los medios que tenia á mi disposición rendiría la plaza y descubrir los motores del albiroto. …</t>
  </si>
  <si>
    <t>Badan, Josef</t>
  </si>
  <si>
    <t>Josef Badan</t>
  </si>
  <si>
    <t>7 de junio de lSoo á las personas siguientes. 0 Reales vellón. Los mayorazgos dei marques de Mortara, por mano de D. Diego de Fuentes....... 1263..17 D. Josef Badan, por...................................... 43850 D. Miguel Amonio de Oqucndo................... 12183.-25^ D. Antonio María y D. Vicente María D. Josef Carranza..…</t>
  </si>
  <si>
    <t>ga. 5104 * D. J osef Antonio de Uriarre......... 50115 D. Rodrigo de Zorrilla y Mourni. 44150 21 D. Jos.-f de Carranza...................... 27387 I? D. Josef Badan...... ................ 26178 22 D- Josef Gonzalo y D, Miguel D. Simón Viegas............................. 22486 6 Ruiz de Celada......................... » 34000 …</t>
  </si>
  <si>
    <t>s diputados católicos, se ha mantenido el nom­ 4 Los Sres. Albert é hijos...................... 722 bramiento de los jurados. El procurador general 9 D. Josef Badan..................................... 11761 de la corona ha mandado citar al lord Fiagall , y á 39 D. Ignacio Agudo................................ 46208 los quatr…</t>
  </si>
  <si>
    <t>Badao, Josef</t>
  </si>
  <si>
    <t>Josef Badao</t>
  </si>
  <si>
    <t>tntregadas en tesorería: limosnas• 1 D. Manuel de Sarabia........................ 23007 22 concedidas en virtud de reales órdenes y otros títulos. k D. Josef Badao......... ......................... - 115038 12 Certificaciones. 613203 6 2 D. -Vicente de Andoaga por boletas. 1x150 1 Doña Margarita Cerdan id..;............ 1500…</t>
  </si>
  <si>
    <t>Badaran, Francisco</t>
  </si>
  <si>
    <t>Francisco Badaran</t>
  </si>
  <si>
    <t>en el regímíen, to de infantería de Cantabria compañía al ayudante Don Sebas­ tian de Arcos; su resulta al teniente D. Manuel Armiñan, y la de este á D. Francisco Badaran, teniente agregado al segundo de Sevilla; y en el de Navarra, grado de capitán al teniente Don Francisco Velarde. Asimismo se ha dignado conferir el empleo …</t>
  </si>
  <si>
    <t>Badia, José</t>
  </si>
  <si>
    <t>José Badia</t>
  </si>
  <si>
    <t>osé García, 2. D Pedro Ferrer , 2. D. Domingo Marera , 1. D. José María Suarez , 2. Antonio Balao, 8. D. Francisco Armario, 4 D. Manuel Malavear , 2. D. José Badia,2.— Hacendadas. Doña María Manuela Gqla, 500. Doña Ana María Morgues, 25. Doña María Josefa Marcin , 50. Doña Gertrudis Gorostiota , 200. Doña Micaela Francisca Mo…</t>
  </si>
  <si>
    <t>Baena, Ignacio</t>
  </si>
  <si>
    <t>Ignacio Baena</t>
  </si>
  <si>
    <t>mun en este clima, habrá cansado algcn efecto fu­ D. Pedro Cadenas. nesto en el reino de Nápoles , qne siempre ha es- D. Ignacio Baena. t. do illas expuesto que el resto de ia Italia á esta D. Teodoro Sánchez. suerte .de acontecimientos. Esta ciudad no ha pa­ D Cristóbal Lorenzo.' decido nnnc3 grandes pérdidas de resaltas</t>
  </si>
  <si>
    <t>Baez, Ramón</t>
  </si>
  <si>
    <t>Ramón Baez</t>
  </si>
  <si>
    <t>e la provincia de Coaguila. S. Cáríos de la Candela. Don Matías de Hoyos, 14. Don José Guevara, 10. D. Francisco Figueroa, 6. D. José María Neira; 8. D. Ramón Baez , 5. garios individuos, 46 y 1 rs. — S. Fernando. D. Fé­ lix Cevallos , 25. D. José Antonio Me riel mea, 12. V arios individuos, 47 y 2 rs. — Santa Rosa. D. Franci…</t>
  </si>
  <si>
    <t>Bagration</t>
  </si>
  <si>
    <t>Gaceta de Madrid n.º 274</t>
  </si>
  <si>
    <t>eneral Kamenski, qué se ha dis­ la esaijadra de Cherscs, ha cbtsfiiud el mando oc tinguido en la última campaña contra los torcos. la del Báltica. El príncipe Bagration, natural de Georgia, murió el aña pasado después de haber dexado el servicio; DINAMARCA. y el general SowarolF Rimniski se ha ahogado al atravesar un rio de l…</t>
  </si>
  <si>
    <t>Bahi, Sicio</t>
  </si>
  <si>
    <t>Sicio Bahi</t>
  </si>
  <si>
    <t>e el batallón de ¿xpitriádcs de su mando al del capítan í&gt;. Juiiaij Simón, y los 176 soldadas del batallón de almugabares á las órdenes del ca­ pitán D. Sicio Bahi que estaban en Santa Fau, saliesen á recibir al ene­ migo. Este, cuya fuerza constaba de"iqco L iantes y 25 caballos, fia­ do en la superioridad de su numero, Ies …</t>
  </si>
  <si>
    <t>Bahun, Manuel</t>
  </si>
  <si>
    <t>Manuel Bahun</t>
  </si>
  <si>
    <t>e D. Raimundo Míreles. franciscano D. Francisco García. Para el de la Losilla , vacante por promoción Para el de Aldea el Pozo y Valdegeña su ane­ de D. Manuel Bahun, al ex-dominico D. Agustín xo, vacante por muerte de D. Juan Ignacio BorFolgnera. degé, á D. Pedro la Horra, ex-franciscano. Para el de Terradillos, vacante por …</t>
  </si>
  <si>
    <t>Bailester, Rafael</t>
  </si>
  <si>
    <t>Rafael Bailester</t>
  </si>
  <si>
    <t>D. D iego Ríos Carta, 50. D. Martin Yerobi, 50. D. Juan Bautista Yerobi, 50. D. Francisco Batllé , 50. D. Cristóbal Sansón , 50. D. Miguel Lanz, 40. D. Rafael Bailester, 25. D. Gaspar Machín , 25. D. Isidro Arecha,25. D. Nicolás Soriano, 25. D. Pedro í«opea , 35. D. Ignacio Cantarcy , 25. D. Bartolomé Rusconi , 25. D. Joan Vi…</t>
  </si>
  <si>
    <t>Bailo, Manuel</t>
  </si>
  <si>
    <t>Manuel Bailo</t>
  </si>
  <si>
    <t>. Siguen los donativos de la provincia de ’Úonora. Cósala. El cura D. Jacinto Vatiz , 120. El subdelegado D. José Corde­ ro, 25. El tesorero interino D. Manuel Bailo , 20; El contador interino Don Francisco Vázquez , 20. D. Bernabé Escobosa , 6. D. José Banga, 100. Don Nicolás Gaxioía , Í26y2rs. D, Ventura Vatiz ,. 10. D. Man…</t>
  </si>
  <si>
    <t>osé Buelna , 20. D. Xavier Díaz , 25. D. Ignacio León , 25. D. Ignacio Serrano, 10. D. Tomas Valencia, 10. D. José López, 20. D. Ignacio Noriega , 8. D. Manuel Bailo , tesorero interino de la real caxa de Cósala, 120. D. Martin Vázquez Franco, 80. D. Bernabé Escobosa, 20. D. Fran­ cisco Lascuraiiv, 12. El subdelegado D. Manue…</t>
  </si>
  <si>
    <t>Bairett, Juan</t>
  </si>
  <si>
    <t>Juan Bairett</t>
  </si>
  <si>
    <t>Gaceta de Madrid n.º 30</t>
  </si>
  <si>
    <t>590</t>
  </si>
  <si>
    <t>v..&lt;bu printipiadotl 26 de noviem­ tattro, de 74, con 590 hombres de tripula-ion , al bre , de cuyas, resalías habían perecid^ ea el Cutte- mando del capitán Juan Bairett, encalló en el ban­ gat muchas embarcaciones , entre otras ur» buque co de Haaks en ia noche del'22 al 23 de este mes. sueco , un sloop apresado per el Fisg…</t>
  </si>
  <si>
    <t>Bal, Bernardo</t>
  </si>
  <si>
    <t>Bernardo Bal</t>
  </si>
  <si>
    <t>Gaceta de Madrid n.º 260</t>
  </si>
  <si>
    <t>1074</t>
  </si>
  <si>
    <t>que , y después á. 2 chalupas enemiga?; za t a de Buenos- Aires, cuyo presidente será el go­ y se hubiera apoderado de estas; puro el viento bernador D. Bernardo Bal laño. que se levantó favoreció al xabeque, y pudo re­ 4/' La provincia de Buenos-Aires pagará to­ unirse con ellas. No pudiendo entonces ¡a lancha dos los gastos…</t>
  </si>
  <si>
    <t>Balabio</t>
  </si>
  <si>
    <t>conveniente prevenir la reunión italianas del Tessiuo, ha salido de al.i» y que ie de Blake, que traía 9® españoles , y atacar la de­ reemplazará el general Balabio. recha del enemigo á fin de marchar luego á so li­ La gazeta de Coira del dia 16 contiene dos car­ nea de comunic.icioo, fuera de que la naturaleza tas publicadas…</t>
  </si>
  <si>
    <t>Baláguer, Antonio</t>
  </si>
  <si>
    <t>Antonio Baláguer</t>
  </si>
  <si>
    <t>1093</t>
  </si>
  <si>
    <t>- ? ¿ ‘ * •; /' * ESPAÑA. . ■ * " r' .f,‘- "‘'i "• ; 'i •• i ’• , ¡ Cellerit 17 de agosto: El segundo comandante de ‘Somatenes de este corregimiento, D. Antonio Baláguer, supo á mediados del mes, que los enemigos pasaban de Monsérrate a Igualada en numero de 100 infantes y 10 caballos, convoyando 8 carros. Guiado y auxilia­ d…</t>
  </si>
  <si>
    <t>Balance</t>
  </si>
  <si>
    <t>Gazeta de la Regencia de España e Indias n.º 77</t>
  </si>
  <si>
    <t>600</t>
  </si>
  <si>
    <t>. : Del 30. Entraron del condado de Niebla 356 infantesy de Tocina 74 heridos. De este punto están entrando continuamente heridos y mueren muchos: el general Balance, uno de los heridos, está desahuciado. , Del 31. Han entrado 25Q infantes y 40 caballos de Utrera, LasCabezas y Lebrija. Se asegura mucho que ha habido ea Villaf…</t>
  </si>
  <si>
    <t>Balanzat</t>
  </si>
  <si>
    <t>Gazeta de la Regencia de España e Indias n.º 50</t>
  </si>
  <si>
    <t>385</t>
  </si>
  <si>
    <t>ase á los franceses que ocupaban á Grado por el ba­ tallón del Rivero, regimientos de Gijon y Oviedo, los tiradores de Asturias y partida volante del capitán Balanzat; pero las avanzadas enemigas se retiraron á la villa y careciendo los nuestros de a ni derla para batir las fortificaciones , mandó Peón que se retirasen. -- Ta…</t>
  </si>
  <si>
    <t>Balboa, José</t>
  </si>
  <si>
    <t>José Balboa</t>
  </si>
  <si>
    <t>00. ÍX Juan Bautista Cheirasoo y Vico, ÍÜOÍL D. Santiago José de Tenar ,'500. D. Juan Vaidés 400. D. Fiaticúsco Jert.'s , 200. I). Miguel Mateu, 2000 D. José Balboa, 40. D. José Puyade , 100. D. Tomas SoW y Molins , 100. D. Santiago Castañete», 500. D. Pedro Raynaud , 400. D. Esteban Gas'taca y sobrino Vadillo , 300. I). Jorg…</t>
  </si>
  <si>
    <t>Balejos</t>
  </si>
  <si>
    <t>Gaceta de Madrid n.º 359</t>
  </si>
  <si>
    <t>1464</t>
  </si>
  <si>
    <t>las com­ sanova, Contador, Fabiani, Alverá, Mas, Fernandez, pañías de Vdíareal y de los cazadores de las costas Camas, Lledó y Liarte. de Málaga. El Sargento Balejos, de la compañía de Villareal, se distinguió por su valor C inteli­ En el mismo teatro, n las siete de la roche, se eje­ gencia. cutará la ópera en dos actos titu…</t>
  </si>
  <si>
    <t>Balles</t>
  </si>
  <si>
    <t>salida de los franceses de Llerena fué sumamente precipitada. Había precedido la destrucción de 42 molinos en las cercanías de aquella ciudad por el general Balles­ teros , y antes de esto la acción entre Cazalia y Guadalcanal en que el regimiento de Lena , compuesto de 500 hombres, batió á la columna móvil enemiga compuesta …</t>
  </si>
  <si>
    <t>Gazeta de la Regencia de España e Indias n.º 5</t>
  </si>
  <si>
    <t>58</t>
  </si>
  <si>
    <t>tercios con 500 uniformes, también do­ nativo de Don Pcdrp. González Noriega y Don Lorenzo García No riega, con destino á la división del mi-pulo del general Balles­ teros ; cinco caxones con 50 vestuarios para tropa montada, igual-, mente donativq de D. Roque Valiente; 63 caxones con zapatos, como donativo colectado por el r…</t>
  </si>
  <si>
    <t>16</t>
  </si>
  <si>
    <t>ra ventaja cerca de Guadalcanal. Era tan densa la niebla, que apenas podían verse unos á oíros : una columna enemiga avanzaba por la carretera , y el general Balles­ teros mandó guardar el mayor silencio, formó sus tropas, y aguar­ dó á que los enemigos, á beneficio de la obscuridad, cayesen sin repararlo sobre las bayonetas.…</t>
  </si>
  <si>
    <t>Gaceta de Madrid n.º 72</t>
  </si>
  <si>
    <t>cia, ha sido nombrado corooel de los tref otra sino Yelves que pueda impedirles p.sar á la regimientos de guardias. izquierda del Tajo. El cuerpo del general Balles­ teros tratará de meterse en Badajoz antes que lleTRANSILVANÍA. gueo los franceses; pero si estos se lo impiden , en­ P¿incso-w« , o enero. tonces 00 le queda mas…</t>
  </si>
  <si>
    <t>Gazeta de la Regencia de España e Indias n.º 57</t>
  </si>
  <si>
    <t>s, desde donde viendo que el enemigo no se acercaba , se retiró á hacer noche á la Higuera. A la mañana siguiente se presentó este por Cumbres , y el general Balles­ teros se colocó á esperarlo en las inmediaciones de Fregenal, donde se rompió desde luego un fuego muy vivo por una y otra palie. En el mayor calor de él una bal…</t>
  </si>
  <si>
    <t>do pistoletazo, de sepultas de haber nido reconvenido con asoereza por S'ult, sobre lo infructuo­ so de la expedición dirigí Ja últimamente contra el general Balles­ teros. Se asegura como positivo que el general L.a.cy ha derrotad© en Igualada un cuerpo fiv.nees, haciendo 400 prisioneros; y que ha­ biendo embestido en seguid…</t>
  </si>
  <si>
    <t>Balleste, Francisco</t>
  </si>
  <si>
    <t>Francisco Balleste</t>
  </si>
  <si>
    <t>348</t>
  </si>
  <si>
    <t>30 de mar­ zo en el campo de la Cascajera, dice al señor gefe del estado mayor ge­ neral lo que. .sigue:.. - ts Habiéndome manifestado el Excmo. Sr. D. Francisco Balleste­ ros que se hallaba amenazado de un próximo ataque, y confirmándo­ me estos recelos los movimientos del enemigo con todas sus fuerzas</t>
  </si>
  <si>
    <t>Ballester, Bartolomé</t>
  </si>
  <si>
    <t>Bartolomé Ballester</t>
  </si>
  <si>
    <t>siempre que ocurra nuevo donativo , 200. D. Francisco Molina , 25. Don Francisco Xavier Molina, 50. Doña Sebastiana Guzman , 100. D. Luís Peset, 25. D. Bartolomé Ballester, 50. D. Ventura Martínez, 10. D. Pedro Bonet, 25. D. Bartolomé Cabrera, 10. D. Gregorio López , 10. D. Lope Menendez, 25. D¡* Silvestre Rodríguez, 10. D. J…</t>
  </si>
  <si>
    <t>Ballesteras</t>
  </si>
  <si>
    <t>1370</t>
  </si>
  <si>
    <t>trabajos sufridos en servicio de la patria.— fia última expedición preparada con tanto aparato y esfuerzos por Soult para destruir la div-isurá del -general Ballesteras , ha teni­ do ei mismo éxito que Ins anteriores-- Un exército, que llegaba. se­ gún te? Awguray á ¡6000 hombrea, habia obligado á nuestro-general á Situarse b…</t>
  </si>
  <si>
    <t>Ballesteri, Rnfino</t>
  </si>
  <si>
    <t>Rnfino Ballesteri</t>
  </si>
  <si>
    <t>Don niente de ia tercera compañía. Jo?ef Toribio CalUja, á D. Juan Josef Estéoan Yañez. Octavo batallón. Para el de S. Juan Bautista de Ocaña, vacan­ D. Rnfino Ballesteri, subteniente, á teniente te por muerte de D. Diego González V al , á Don de la rercera compañía. Fernando Aferruche. D. Josef Lebuei, sargento primero, á su…</t>
  </si>
  <si>
    <t>Ballestero</t>
  </si>
  <si>
    <t>1319</t>
  </si>
  <si>
    <t>Monte Olívete hasta el puente de S. José, saludaron con bala, en celebridad de la victoria conseguida cerca de B ínos á principios de este mea por el general Ballestero*. Las tropas enemigas dei campa­ mento de S. Miga 1 de los Reyes se pusieron sobre las armas, y per­ manecieron formadas tres cuartos de hora. En la gaceta de…</t>
  </si>
  <si>
    <t>Ballesteros</t>
  </si>
  <si>
    <t>que aguardan el primer viento favora­ ble para hacerse á la veía. ESPAÑA. Ayamonte 12 de diciembre. La noche del 21 de noviembre llegó al cuartel del general Ballesteros un propio que le traía una caita con 50000 rs. en dos letras contra Cádiz para gastos del vestuario del regimiento de húsares de Castilla, y un buen caballo'…</t>
  </si>
  <si>
    <t>piezas de artillería, la mayor de calibre de á 12 , quedando solo en aquella'ciudad una corta guarnición de ju­ ramentados. Montemolin 4 de enero. El general Ballesteros con noticias segu­ ras que tuvo de la situación y número de los enemigos en Cazalla y Guadalcanal , salió de este pueblo el dia 30 de diciembre anterior á la…</t>
  </si>
  <si>
    <t>nada. El ene­ migo tuvo bastante número de muertos , y se le hicieron 6 prisione­ ros , siendo nuestra pérdida de un muerto y 12 heridos. D ia 16. El general Ballesteros se ha presentado esta tarde en las inmediaciones dé Llerena : ha destruido los molinos que queda­ ban á los enemigos; y ha recogido toda la harina que había …</t>
  </si>
  <si>
    <t>82</t>
  </si>
  <si>
    <t>sticias.de los pueblos de esta provincia por sobrado puntuales en exigir las con­ tribuciones para los franceses. Aroche 11 de enero. Anoche llegó el general Ballesteros con su división , y hoy al medio dia. ha salido para S. Alejos , quedando aquí el hospital y almacén que.van llegando de Encinasola. Esta noche ha campado 2 …</t>
  </si>
  <si>
    <t>e le tuviesen prevenidas 6000 raciones de pan , y otras tantas de carné viva, y que se le informase sobre la situación y fuer­ zas de la división del general Ballesteros. Se añadía que el mismo Gazan pasaría á esta á la averiguación de lo cierto, y castigar las inexactitudes de los informes en caso de que las hubiese. Su cuer…</t>
  </si>
  <si>
    <t>Fregenal 14 de enero. El general Ballesteros volvió antes de ayer á Aroche. Un papel en ambos idiomas que habia hecho esparcir en­ tre los soldados franceses, exórfándolos á abandonar las banderas de la tiranía, y á alistarse en las de la libertad y de la jOsticia</t>
  </si>
  <si>
    <t>153</t>
  </si>
  <si>
    <t>n que sostuvo en los Castillejos contra las tropas del general conde de Gazan la mañana del 25 del mismo. Esta gloriosa acción hace el mayor honor al general Ballesteros y á sus valientes tropas , dando una idea incontestable de lo que puede esperarse quando al valor se une la buena disciplina y dirección de los gefcs. "Nada …</t>
  </si>
  <si>
    <t>174</t>
  </si>
  <si>
    <t>raciones.— La e.cusez es extrema : el trigo y ma:z se vende á 160 reales. H. n. llegado 4 juramentados que vienen de Sevilla y van á presen­ tarse al general Ballesteros : dicen que en aqueda ciudad hay poquídma guarnición Otro coracero francés pasó por aquí esta mañana para pre­ sentarse al mismo .general. Cantil tifos 10 de…</t>
  </si>
  <si>
    <t>175</t>
  </si>
  <si>
    <t>ha tirado i desfigurar en una gaceta de estos dias, inserrando en ella una carta de un oficial llamado RsiTiond, tue cuerna que ha sido destrozado el general Ballesteros. M ¡§ para los que conocen las e sas y el estilo de ios franceses, no pue !e quedar duda de que la suerte no les ha sido en esta ocasión favorable* y á nosot…</t>
  </si>
  <si>
    <t>baxo pahbra á Fregenal, y de allí pasaba á Xerezj pero en el camino encontró una partida española que la puso en libertad. Fregenal 16 de febrero. Ei general Ballesteros ha sorprshendido aquí esta madrugada un destacamento de franceses matando muchos de ellos, y cogiendo de 60 á 70 prisioneros. Han q redado en su poder los eq…</t>
  </si>
  <si>
    <t>dispersos y se llevó presos algunos vecinos. El 26 del pasado llegaron á Castillejos los quintos y alistados de la Sierra que se reúnen de orden del general Ballesteros. Cádiz 4 de marzo. Se han recibido noticias de levante. Las de Aragón llegan á 29 de enero, las de Valencia al i.p de febrero, las de Cataluña al 2, y las de …</t>
  </si>
  <si>
    <t>r, dexindo en Niebla una guarnición de 100 juramentan dos, á quienes se ha intimado la readici ja. Han pedido tratos y segu­ ridad' de vidas; pero el general Ballesteros quiere que seca tregüen ¿'.discreción. Hi dexado un cuerpo para que ase te a Niebla, y há continuado su marcha en busca del enemigo. - - Td vs ia conducta de…</t>
  </si>
  <si>
    <t>Gazeta de la Regencia de España e Indias n.º 34 (extraordinaria)</t>
  </si>
  <si>
    <t>ía de sus habitantes. La infantería: enemiga con dos cañones de- montaña: se puso¡ en retirada muy de antemano, y en dirección á Sevilla; sien­ do el general Ballesteros dueño de todo el con­ dado-de Niebla.: La. xaballenaídelí^afiralrBallestfiros siguió</t>
  </si>
  <si>
    <t>Gaceta de Madrid n.º 70</t>
  </si>
  <si>
    <t>ó de varios destacamentos. Mérida y de su puente, habiéndose retirado las tropas españolas al acercarse el enemigo. -. GRAN DUCADO DE FRANCFORT. . El general Ballesteros se ha quedado con su división sobre la-izquierda entre Xerez de los Ca-? . : . Francfort $ de febrero. balleros y Oiivenza , desde donde tiene Ubre la :. Est…</t>
  </si>
  <si>
    <t>Gazeta de la Regencia de España e Indias n.º 39</t>
  </si>
  <si>
    <t>292</t>
  </si>
  <si>
    <t>n­ venido por ua ofici..l, respondió con igual tesón ; y aunque le amena­ zaron y mnnistaron , no dtxó por eso de ir gritando por las calles, vivo mi general Ballesteros. En las cercanías de Mairena una partida de patricias ha sorprehendiio un destacamento de 20 franceses de ácabufo, mandados por uncapitan que escaparon á dur…</t>
  </si>
  <si>
    <t>93</t>
  </si>
  <si>
    <t>rde salió nuestra infantería para Viliarrasa, donde á las 2 de la noche recibieron orden 2 batallones de estar al romper el dia á v’sta de Niebla. El general Ballesteros se había quedado aquí con e la caballería, y ertan tocando á marchar. a i Aymnoñté 14 de marzo. Escriben de Yelves con fecha de 8 del cor­ riente1 qW di' día…</t>
  </si>
  <si>
    <t>El aia 13 salió de aquí el gobernador con 150 dragones, ióo infantes y 48 artilleros, y volvió el ié por la tarde sin haberse atrevido á acometer al general Ballesteros que fue el objeto de suviagefel 15 había llegado á Manzanilla desde da: de se volvió. Los</t>
  </si>
  <si>
    <t>perentorio de 10 dias para hacer efecdvas estas cantidades en Sevilla. Salvatierra , provincia de Extremadura, 15 de abril. El 11 llegó á Fregenal el general Ballesteros con su división. Habiendo sabido el 13 que el enemigo había salido de Cartegana con el objeto de atacarlo, se dispuso á recibirlo en Cumbres mayores, desde d…</t>
  </si>
  <si>
    <t>rtos, sin daño alguno por-par­ ce de lós aliados. r j ^ resultado de esta ventajosa acción ha sido, que el. enemigo no soío h, dexano de perseguir a! general Ballesteros, sino que se ha vis­ to o:?- yado a evacuar casi to la lav Extremadura ¿ d* f . ^-^encia se han encentrado 15 cañones y un gran número de 1 Halles. Se na pue…</t>
  </si>
  <si>
    <t>ctorea un estado muy apurado y poco menos á Scbastio.;i. O/* esto 3 dd desembarco en Ayamonte, y aproximación á Se­ rbia por'el Condado de N* bla del general Ballesteros, tienen razón muy individual, y se ha hablado mucho de ello con referencia á cartas del conde de Montarco. Todo lo cuii, unido á los reveses que sufrido hs f…</t>
  </si>
  <si>
    <t>e 37 de abriTt que no habían quedado p »r aquellos contornos mas enemigos que la guarnición de Nitbja, y que ¿a noche del 24 había pedido raciones el general Ballesteros á los pueblos de Manzanilla, Villalba y la P«2^ exército dú general B:akef que salió de este puerto á me­ diados de abril, y después de una pearsu navegación…</t>
  </si>
  <si>
    <t>500</t>
  </si>
  <si>
    <t>general Castaños en Mérida, el conde de Peone en Zafra, y el briga­ dier Morillo á la derecha de! Guadiana j el general Bíake en Monas­ terio , y el general Ballesteros en Santa Olalla. Kn las sierras de Alca zar ha empezado á publicarse una gaceta de ^la junta superior de la Mancha, que saldrá una vez á la semana, y tiene po…</t>
  </si>
  <si>
    <t>Gazeta de la Regencia de España e Indias n.º 66 (extraordinaria)</t>
  </si>
  <si>
    <t>Natera , dando vista á la Albuhera. Campo de batalla de la Albuhera 17 de mayo. El fuego que empezó á las 9 de la mañana del dia de ayer lo rompió el general Ballesteros, á quien siguió el ge­ neral Blake, y en-seguida las tropas inglesas y portuguesas: la acción se continuó en los llanos de la Albuhera con el mayor empeño po…</t>
  </si>
  <si>
    <t>534</t>
  </si>
  <si>
    <t>ó en el alojamiento del general Bjreíford. Sus tropas quedaban en Barcirrota. marchando Rara incor­ porarse con el grueso del exército, y lo mismo el general Ballesteros y el conde de Pcnne que se iba retirando desde Llcreoa con su ca­ ballería. ARTICULO DE OFICIO. Por el ministerio de la guerra se ha circulado en 8 del corri…</t>
  </si>
  <si>
    <t>Gazeta de la Regencia de España e Indias n.º 70 (extraordinaria)</t>
  </si>
  <si>
    <t>aquel general, que el 7 se 'hallaba en Fregenal con toda la divisionque conduxo de Cádiz , debiendo sa­ lir al dia siguiente para reunirse con la del general Ballesteros que esta­ ba en Monasterio; y como no dudo que el mariscal Beresford ha­ brá dado cuenta á V. E. de todos los movimientos y ocurrencias, de estos dias * excu…</t>
  </si>
  <si>
    <t>Gazeta de la Regencia de España e Indias n.º 73</t>
  </si>
  <si>
    <t>579</t>
  </si>
  <si>
    <t>¿lijamente 27 de mazjc. Según las últimas noticias , el exército com­ binado de Extremadura ocupaba el dia 24 la linca desd- Mérida hasta Zafra : el general Ballesteros estaba en Feria , y Souit en Fuen­ te de Cantos y pueblos cercanos • donde dicen que tiene hasta 6000 heridos. Padece mucha escasez de subsistencias, porque l…</t>
  </si>
  <si>
    <t>603</t>
  </si>
  <si>
    <t>racia no puedo indicar ios cuerpos ni muchcj indi­ viduos d í las tropas españolas que se distinguieron , sin embargo no (lexaré de mencionar las del general Ballesteros , cuyo valor fué so­ bresaliente , así como el del cuerpo que mandaba; y lo mismo diré del general Zayas y de D. Cirios España. La caballería española se ha …</t>
  </si>
  <si>
    <t>Gaceta de Madrid n.º 176</t>
  </si>
  <si>
    <t>creyó que debía recomendar á la cuerpo reunido baxo sus órdenes llegcbt á cerca cámara la abolición de los derechos sobre ios som- de 25© hombres. Et general Ballesteros se replegó brer&gt;s, los quales han producido menos cada año. inmediatamente, y reunió su cuerpo con el del ge­ Qo.ndo se estableció este impuesto prodnxo en e…</t>
  </si>
  <si>
    <t>clusos los coroneles de los regimientes de Toledo y segundo de Ca­ taluña, que Fueron cogidos en la acción del Gévora el 19 de febrero. Un edecán del general Ballesteros, que cayó también prisionero, se escapó én Sevilla. Del 30. En la noche clel 23 entraron 800 carros de enfermos y heridos qne pusieron en el co-vento de S. F…</t>
  </si>
  <si>
    <t>" de á pie , y los sargentos Rounselet dajoz , las tropas españolas qae habían venido de y Penot, del 96.0 regimiento de infantería de Cádiz, las del general Ballesteros,y las de muchos línea. De este modo ha «oncloido esta famosa expe­ _C0 Estas tropas llegaron en efecto a ta vista de dición , que tenia por objeto arrojar al…</t>
  </si>
  <si>
    <t>ranceses en número , dican ? de 5000 hombres han hecho una excursión hácia Ayamonte 2 parece que son tropas que baxan da Extremadura. La división del general Ballesteros estaba en la isla de la Canela. Hay noticia por varios conductos de una nueva ventaja de con­ sideración conseguida por el coronel Espoz contra el enemigo en…</t>
  </si>
  <si>
    <t>1018</t>
  </si>
  <si>
    <t>rmes. En la noche del 24 del pasado se retiró e! enemigo de A amon­ te, y uno de sus destacamentos pasó á atacar el castillo de P&amp;irao* go, do tde el general Ballesteros había dexado una pequeña guarni­ ción de tropas españolas , que rechazó al enemigo. En Extremadura ,’éí destacamento de tropas españolas del mando del brigad…</t>
  </si>
  <si>
    <t>y ciega obediencia del soldado.—Cuartel general de Valencia de Al­ cántara 20 de setiembre de 1811. — Pedro Agustín Girón'1 Cádiz 30 de setiembre. El general Ballesteros atacó y derrotó completamente el 25 de este mes junto á Ximena una columna de 3000 infantes enemigos, que se dirigían por aquel punto á S. Roque. Etre los pr…</t>
  </si>
  <si>
    <t>1038</t>
  </si>
  <si>
    <t>as banderas de la patria. ' ; •, . ^ . h-j : p . ?-vji , ‘Cádiz 2 de octubre. Ei Gobierno ha recibido noticias relativas jfc la acción que sostuvo el general Ballesteros contra el enemigo el 19 del'pasado junto á Alcalá de losGazules. La guarnición de aquel castillo se había rendido prisionera poco antes á los flaneesi s; per…</t>
  </si>
  <si>
    <t>to de persuadir al enemigo que se re­ tiraba d¿l punió deia refriega. XjOS franceses cayeron en el lazo , y estaban cuy ágenos de ser atacados por el general Ballesteros á q/’nm í uporúaa en completa retirada, cuando de repente fueron aco­ metidos , y Üésptzes de uña’resistencia obstinada se vieron precisados á huir. Eí comba…</t>
  </si>
  <si>
    <t>1139</t>
  </si>
  <si>
    <t>ento de juramentados núm. 3. Parece que han tomado esta providencia, porque sospechaban con algún fundamento que trata­ ban de irse todos á buscar al general Ballesteros. No contentos con esto, han hedió salir al citado regimiento en compañía del nú­ mero 7 de infantería, también de jurados, con dirección á Madrid, como dicea…</t>
  </si>
  <si>
    <t>ses, cansados de una expedición que no les ha producido mas que una fatiga inútil, se pusieron en movimiento para retirarse del campo-de S. Roque, el general Ballesteros se puso también en mo* vi miento para observarlos, y habiendo alcanzado á su retaguardia junto á Ximeaa el 22 del coméate , í* acometió , cogiendo algunos pr…</t>
  </si>
  <si>
    <t>odos los gefes, oficiales y soldados de ía vanguaüia , que tan exáctamenie cumplieron en aquel día con sus obli* gaérnes.” Htfádtz 8 de noviembre. El general Ballesteros acaba de conseguir el d| 5 una ventaja de consideración en Vülamarím contra el gene­ ral nances S imelé , quien de resultas se ha retirado á Espera, donde se…</t>
  </si>
  <si>
    <t>1313</t>
  </si>
  <si>
    <t>Buza, y dicen que todavía pasarán mas ade­ lante. Sa ignora el motivo de esta retirada, aunque os discurre pue­ de ser efecto de las operaciones del general Ballesteros á la extremi­ dad opuesta del re? no de Granada. Valencia 19 de novienbre. Los enemigos ocupan con sus pacio­ nes la izquierda del Turia desde el G ao hasta P…</t>
  </si>
  <si>
    <t>Gaceta de Madrid n.º 348</t>
  </si>
  <si>
    <t>o-de gazeta de Peiersburgot hombres de infantería y 1700 de caballería , con la qüal contiene (as órdenes del día y ios partes el objeto de atacar al general Ballesteros, ademas oficiales de los generales en gefe. Algqnas veces, de los 1700 que habían llegado por.Marbelía y 1500 aunque mui. pocas, y en ocasiones mui importan­…</t>
  </si>
  <si>
    <t>Ballesteros, Francisco</t>
  </si>
  <si>
    <t>Francisco Ballesteros</t>
  </si>
  <si>
    <t>1047 ARTICULO DE OFICIO. El teniente genial D. Francisco Ballesteros, con fecha de 30 de setiembre últinío desde su cuartel general de Casaras, da al Exorno. Sr. ge te del estado meyor general el psrte siguiente: &lt;{ Excorio. Sr. : desde la gloriosa acción de</t>
  </si>
  <si>
    <t>1407</t>
  </si>
  <si>
    <t>Francisco Ponce, y muerto un granadero. Dios guarde á Y. E. muchos años. Y anquera 6 de diciembre de 1811. — Excxno. Sr. — Benito Pelli. — Exeme. Sr. D. Francisco Ballesteros.” Otra parte del misma Pelli. « Excmo. Sr.: Con noticia de la frecuento conducción de víve­ res que hacina los enemigos á Marbella por la playa, marehé …</t>
  </si>
  <si>
    <t>dar algún descanso i mí tropa. Tengo el honor de repetir é V. E. mi atenta consideración. Yunquera 6 de diciembre de 1811.—Benito Pelli. — Excmo. Sr. D. Francisco Ballesteros.” Parte del coronel JD. Antonio Sola, comandante de la vanguardia si­ tuada en la Sierra con el objeto de incomodar é interceptar convoyes al enemigo, í…</t>
  </si>
  <si>
    <t>Ballesteros, Josef Fernandez</t>
  </si>
  <si>
    <t>Josef Fernandez Ballesteros</t>
  </si>
  <si>
    <t>zález, natural de Piedrabuena, EX CATUCHINO. provincia de la Mancha, residente alli , por...... a200 D. Pedro Martin de la Torre, natural de Cerverj, D. Josef Fernandez Ballesteros , natural de Alcázar residente en Toledo, por........................................ 2200 de S, Juan, provincia de la Mancha , residente EX- CAKT…</t>
  </si>
  <si>
    <t>Ballesteros, Juan Fernandez</t>
  </si>
  <si>
    <t>Juan Fernandez Ballesteros</t>
  </si>
  <si>
    <t>ranciscano, s‘vp'anua reales vellón, señalados por real decre­ por.......................... 2200 to de 11 de octubre de 1809................... 6oco D. Juan Fernandez Ballesteros, id., por 2200 D. Agustín Díaz Monasterio, ex-benedicD. Lucas Varona, id. , por...................... 22CO tlno, residente en santa Cruz de Camp. M…</t>
  </si>
  <si>
    <t>Ballesteros, Pablo Martin</t>
  </si>
  <si>
    <t>Pablo Martin Ballesteros</t>
  </si>
  <si>
    <t>herederos de Doña MauueD. Manuel Mancebo.............. .......... ....... 2017.. 8£ la Mota..................................................... 2340 D. Pablo Martin Ballesteros................... 2617.. 8f D. Gregorio Domínguez Salinas, como D. F rancisco Galarza, hijo y compañía. 2707..17 marido de Doña María de los Ange­ D…</t>
  </si>
  <si>
    <t>Ballesterosllegaron</t>
  </si>
  <si>
    <t>Gazeta de la Regencia de España e Indias n.º 27</t>
  </si>
  <si>
    <t>de dicho general, y hoy i las 9 de la mañana han marchado hácia el Cerro. Fregenal 23 de febrero. Los pocos franceses que escaparon de la« tropas del general Ballesterosllegaron á Zafra .en el estado mas mi­ serable. Ntt-stra división salió ai dia siguiente con direccioa á la Hh-</t>
  </si>
  <si>
    <t>Bandín</t>
  </si>
  <si>
    <t>Gaceta de Madrid n.º 187</t>
  </si>
  <si>
    <t>ue están en disposición de entregarse al setiembre de hasta j de junio de 179 8, comercio. Puede juzgarse d« la importancia que baxo la dirección del capitán Bandín , con el tiene en el dia este establecimiento por los por­ objeto de hacer investigaciones y formar colee— menores siguientes: dones de historia natural, p *r And…</t>
  </si>
  <si>
    <t>Bandito, Juan Sánchez</t>
  </si>
  <si>
    <t>Juan Sánchez Bandito</t>
  </si>
  <si>
    <t>ros, D. Manuel Pias ncia y D. Fado Mera; los de subteniente á D. Martin García, D. Manuel Plaza , D Juan, Domínguez, Don Manuel Paez, D.'Rafael Pato, D. Juan Sánchez Bandito, D. Joré Birrientos, D. Joaquín Cárdeno, O. Calixto Ximenez B cerra y I). Valentín García Serrano; el de subteniente de bandera á Don Lorenzo Paez. Concl…</t>
  </si>
  <si>
    <t>Banga, José</t>
  </si>
  <si>
    <t>José Banga</t>
  </si>
  <si>
    <t>bdelegado D. José Corde­ ro, 25. El tesorero interino D. Manuel Bailo , 20; El contador interino Don Francisco Vázquez , 20. D. Bernabé Escobosa , 6. D. José Banga, 100. Don Nicolás Gaxioía , Í26y2rs. D, Ventura Vatiz ,. 10. D. ManueT González, 100. El ensayador D. Agustín Aguilar , 100. Su teniente D. Fernando Escu- * dero ,…</t>
  </si>
  <si>
    <t>Banks</t>
  </si>
  <si>
    <t>er, hizo igual operación cerca de Rose-head con un cor­ sario francés de 4 cañones y 30 hombres de tripulación. El 14 de junio la lancha del Forwari, capitán Banks, apretó un corsario dinamarqués de 2 cañones. El capitán Weir, comandante de la fragata CnZ/pro , apresó en la costa de Jutlandia un corsario de 10 cañones, y dest…</t>
  </si>
  <si>
    <t>Bañóles, D Juan Fáhrega</t>
  </si>
  <si>
    <t>D Juan Fáhrega Bañóles</t>
  </si>
  <si>
    <t>1097</t>
  </si>
  <si>
    <t>pitán So!á , sin otro daño de considera­ ción. S hornos qu:^ el enemigo tuv 4 muertos, y creemos que ade­ mas ttj.vn otros, y litantes Heridos. ' Del comandante D Juan Fáhrega —Bañóles 18 de agosto de 1811. D ce en su't«.i tna , oue e.i.lfi ^n l^s i j¿”.ediac'Oues del pu-blo de T &gt;rrades tuvo una fie ion c n» los -nen-ígo-i d…</t>
  </si>
  <si>
    <t>Bap, Juan</t>
  </si>
  <si>
    <t>Juan Bap</t>
  </si>
  <si>
    <t>Gaceta de Madrid n.º 192 (suplemento)</t>
  </si>
  <si>
    <t>que contiene unos papeles de música. dos con guia de Victoria en *7 de mayo de Núm. 72. Un caxon, marca A. D. , nú­ 1808, de tránsito á Lisboa, para D. Juan Bap- mero 3 , para D. Antonio Rivat, según guia tista Walman, que contienen dos arpas y cuer­ de Victoria de 1 6 dé febrero de 1802 , que de­ das para ellas. be contener …</t>
  </si>
  <si>
    <t>Bar</t>
  </si>
  <si>
    <t>ra pieza de id., que llaman 415 pies y 6 plazazas; linda • la Mayordomía, y linda con ofro del convento de con tierras de la Alcudia Santa Clara y de D. Bar­ delex-duque de Alburquer1427..17 que................................ ...... . 400 ' ! - 4800 tolomé Pinera..................... «7*3® Quatro hazas en el arrnyoCa* Otr/-¿…</t>
  </si>
  <si>
    <t>Gaceta de Madrid n.º 178</t>
  </si>
  <si>
    <t>72</t>
  </si>
  <si>
    <t>gobernador ci­ vil d&lt;- Twer el principe Schachowskji, consejero Entre los extrangeros qne han venido poco de Estado. tiempo há á Viena se cuentan el príncipe Bar a™ POMER.ANIA. t'U'ki, ministro de RuSia cerca de la corte de BaStraisund 14 de mayo. viera, el qual va á Munich i Mr. Craigh, ciuda­ dano de Filadelfia , que va á P…</t>
  </si>
  <si>
    <t>do con do­ f&gt;o, porque ei aíre denodado de los dos héroes, su uerza aparente, y la animosidad del negro, todo cilidad á las proebas mas rigurosas, El capitán Bar- anunciaba un combare terrible. Desnudante por fia dai, su protector decidido, ha hecho ea él la apli­ los dos atletas, y pasiones diferentes agitan coa cación de un…</t>
  </si>
  <si>
    <t>Bar, Juan</t>
  </si>
  <si>
    <t>Juan Bar</t>
  </si>
  <si>
    <t>Varios espantes del anexo , 51. — Cuvahu'isi. La comunidad de indios y su anexo , 253. I).- José López de Pancovbo , 50. D. Cayetano de Ocampó i 25. D. Juan Bar­ rigón , 25. D: Tomas Negror! , 25. El presbítero D José Silva , 12. D. ■Bernabé Vergara , 12. D. Basilio Sotelo y D Manuel Calvo, 12. D. Ma­ riano de Ojeda y Venero …</t>
  </si>
  <si>
    <t>Baragiiei</t>
  </si>
  <si>
    <t>e 20© sóida-, conclusión positiva. dos franceses, dexado 15® hombres en el Ampur,, También ha dicho el canciller que no se tra­ dan á las órdenes del general Baragiiei d’Hillierr, ta de hacer ó nombrar un, ReU Tampoco pienso renovado su guarnición de Barcelona , y abastecido yo que este haya sido el objeto de la convocación s…</t>
  </si>
  <si>
    <t>Baraguad</t>
  </si>
  <si>
    <t>704</t>
  </si>
  <si>
    <t>El principal cuerpo salió por el lado de Aviñon , y llegó á las primeras ca­ sas de Figueras, manifestando su intención de apoderarse de la villa. El general Baraguad/ dt Hilliers tomó inmediatamente sus disposiciones, y marchó contra Campoverde con 4000 hombres. Mientras que los in­ surgentes atacaban la vi Ida con tanto vig…</t>
  </si>
  <si>
    <t>Baraguay</t>
  </si>
  <si>
    <t>rchó contra Campoverde con 4000 hombres. Mientras que los in­ surgentes atacaban la vi Ida con tanto vigor'y eran rechazados con tan­ ta pérdida , el general Baraguay (T Hilliers los atacó por el flanco, y los rechazó en desorden. Dos mil prisioneros , entre ellos 120 oficiales, 4 banderas , y el convoy destinado á abastecer …</t>
  </si>
  <si>
    <t>1345</t>
  </si>
  <si>
    <t>ó paisanos armados, para el caso de que pene­ trasen les.espfiñoirs. Macdonald salió el 28 del pasado de Figucr&amp;s paTa Francia. Entre'su sucesor y el general Baraguay éTIilliers parece que hay poca armonía. — E» ejército enemigo del Ampurdan polo consta de 6 á 7000 hombres , de loa que enferman muchos: el 17 del pasado que ce…</t>
  </si>
  <si>
    <t>Baramendi, Fernando</t>
  </si>
  <si>
    <t>Fernando Baramendi</t>
  </si>
  <si>
    <t>Gazeta de la Regencia de España e Indias n.º 8</t>
  </si>
  <si>
    <t>. Cipriano Garza, 50. La tropa, 491. — JScxar. D. Ignacio Pcrez, 200. D. Francisco Montes, 50. D. Manuel Barrera, 40. D. Francisco de los Santos, 30. D. Fernando Baramendi, 30. D. Clemente Delgado, 10. D. Vicente Travieso, 10. I). Francisco de Arocha, 9. D. José Antonio de la G irza, 10. D. Víctor Blanco, 20. D. Apolinar de M…</t>
  </si>
  <si>
    <t>Baranda, Pedro</t>
  </si>
  <si>
    <t>Pedro Baranda</t>
  </si>
  <si>
    <t>0. D. Ramón Canelas , id., 20. El contador D. Mariano Cortés , 20. El escribano D. Joaquín Aparicio , 20. — Ministerio de real hacienda El conta­ dor D. Pedro Baranda; ademas de 25 ps. mensuales que ha ofrecido durante la guerra , 500. El tesorero D. Francisco de Paula Hornillos, en cada mes , 15. El oficial mayor D. Manuel O…</t>
  </si>
  <si>
    <t>Barangot, Juan</t>
  </si>
  <si>
    <t>Juan Barangot</t>
  </si>
  <si>
    <t>881</t>
  </si>
  <si>
    <t>D. Santiago Diego García, 102. Doña Rita Tixero, 51. D. Patricio José Gómez , 17. D. Vicente Samper, 20. D. Pedro Macho del Barrio yvsu hermano , 17. D. Juan Barangot, 10 y 4 rs. D. Fernando Busí amante , 34. D. Joaquin Zorrilla, 10 Don Francisco Cagigas, 20. Y D. Isidoro Saenz de Cabia, 17 ; todos naturales del obispado de S…</t>
  </si>
  <si>
    <t>Barbachano, Manuel Antonio</t>
  </si>
  <si>
    <t>Manuel Antonio Barbachano</t>
  </si>
  <si>
    <t>dó , 25. D. Sebastian Ferrer, 25. D. Francisco Maristani , 25. D. Miguel Roig , 25. D. Joaquín Sánchez, 25. D. Miguel Vargas , 25. D. Juan Huise, 25. D. Manuel Antonio Barbachano , cada año , 20. D. Antonio Gual , 20 D Antonio Martin , 20. D. José Mauricio Rodríguez, 12. D. Alexmidro del Campo, 12. D. Antonio Montero, 12. D. …</t>
  </si>
  <si>
    <t>Barbeira, Antonio</t>
  </si>
  <si>
    <t>Antonio Barbeira</t>
  </si>
  <si>
    <t>A!arcon, D Pablo la Cuesta, D. José Mariño, D. Juan Aguado, D. Manuel Diz &gt; Don Benito Yarela y D. Pablo del B J ; subtenencias á D. F ¿ruando Yara, D. Antonio Barbeira, D. Lorenzo Lema, D. Juan Duran, D. Luis Antonio Freise, D, Julián Alvarez, D. Dirgo Fragoso, Don Vicente María López, D. Víctor Urquiza, D. José Cameiro., Do…</t>
  </si>
  <si>
    <t>Barbería, Manuel</t>
  </si>
  <si>
    <t>Manuel Barbería</t>
  </si>
  <si>
    <t>.......... 1ocooo D. Joaquín María de Uria y la El monte-pio militar.................. 2.011343 9 Quintana...................................... 288o D. Manuel Barbería.................... . 1670a 17 D. Luis Germán de Soxo.............. D. Juan Seitre....... ......................... 3294 66622 10 Doña María Francisca Adelaid…</t>
  </si>
  <si>
    <t>Barbón</t>
  </si>
  <si>
    <t>1211</t>
  </si>
  <si>
    <t>igo , 800. D. J. G. E. , 320. Di Mateo Pé­ rez , 100. D. Baltasar Santos Ma i donado, 300, yon vale de 150 pesos de 1.®' de setiembre de 1808. El Sr. cardenal Barbón-, 4000. La Sra. condesa de Chinchón , 2000. El Sr. D. Nicolás María de Sierra, 320. Una patriota de Madrid , 40. Varios sacerdotes pobres , 800. D. Angel Gutiérr…</t>
  </si>
  <si>
    <t>Barca, Antonia Josefa</t>
  </si>
  <si>
    <t>Antonia Josefa Barca</t>
  </si>
  <si>
    <t>s compañías de Pardos y Morenos de la misma ar­ tillería, 225 y 4 rs. D. Antonio Arcilla, capitán del partido dei Horcon, por su oferta mensual , 10. Doña Antonia Josefa Barca, 18. D. Gregorio Diaz, ve­ cino del partido de Buena Ventura, 102. El Dr. D. Damián Ramírez , tesorero de la universidad de S. Gerónimo de esta ciudad,…</t>
  </si>
  <si>
    <t>Barce</t>
  </si>
  <si>
    <t>126</t>
  </si>
  <si>
    <t>e una fuerza enemiga como de 700 hombres 6 mas, se dirigía desde Grado por el camino de Mota para ganarnos la retaguardia, dispuse, de acuerdo con el brigadier Barce­ na , -atacarla con las divisiones cántabra y auxiliar, á cuyo fin pasé la orden á sus comandantes los brigadieres Portier y conde de Plie­ gue, les quales llena…</t>
  </si>
  <si>
    <t>Bárcena</t>
  </si>
  <si>
    <t>168</t>
  </si>
  <si>
    <t>e podían recelar alguna tentativa , y de si­ tuar sus fuerzas de manera que pudiesen acudir prontamente á una y otra parte. En medio de todo esto, el brigadier Bárcena con la vanguardia marchó á reunirse con el brigadier Castañon , y obrar unidos; pero estando fortificados los puentes de Soto, por donde el primero debia penet…</t>
  </si>
  <si>
    <t>Barclai</t>
  </si>
  <si>
    <t>y que cada uno habla seguido una de las carreras art. ti. 'Si alguno de ¡os presentes artículos; (i) Véase también sobre este combate la relación El capitán Barclai, padrino y maestro del fa­ publicada en la gaceta de Madrid del 16 del corriente. moso Cribb.</t>
  </si>
  <si>
    <t>Barda</t>
  </si>
  <si>
    <t>Gaceta de Madrid n.º 21</t>
  </si>
  <si>
    <t>e Twer , haciéndoles echar pie á 5.urda emprender cosa ninguna durante esta cam- tierra. Este regimiento h .bía caminado i toda pri­ p. úa. sa con su coronel Barda je w al f/ente , y un solo Las malas noticias del exército del Danubio esquadron fue bastante p.ra temar nna ciudad en son compensadas de algua modo por las del Eg…</t>
  </si>
  <si>
    <t>Bardaxi, Ensebio</t>
  </si>
  <si>
    <t>Ensebio Bardaxi</t>
  </si>
  <si>
    <t>éislo entendido , y lo comunicareis á quien corresponde.— Joaquín lilaIce.— jPedro de Agar.— Gabriel de Ciscar. Isla de León 14 de enero de 1811. — A D. Ensebio Bardaxi.” Con motivo de haberse concluido entre los gobiernos de España y Portugal un convenio, por el qual se suspenden, durante la pre­ sente guerra, los privilegio…</t>
  </si>
  <si>
    <t>Barfieri, Ja e María</t>
  </si>
  <si>
    <t>Ja e María Barfieri</t>
  </si>
  <si>
    <t>acio Urrutia y subteniente D. José Mariano Zavala , el del cuerpo de patriotas de S Luis D. Juan Juárez , los «de dragones de España y México a:fé ez D Ja é María Barfieri ..y „D- Ignacio Iberri; los de dragones de Qjeré car o , Puebla, S Luis y ¡Sfc C^rips, tenientes D. Viceace Concha, D. Vicente B asta manee, D. Pedro Iitía…</t>
  </si>
  <si>
    <t>Barois</t>
  </si>
  <si>
    <t>u valor C inteli­ En el mismo teatro, n las siete de la roche, se eje­ gencia. cutará la ópera en dos actos titulada Quien quiere no El 29 se unió el general Barois al general Le­ puede , ó el Viejo burlado. Actores. Señoras María Ló­ val en S. Roque. Ballesteros con todas sus tropas pez y Baus. Señores Muñoz, Cristiani, Fern…</t>
  </si>
  <si>
    <t>Barón, Francisco Miguel</t>
  </si>
  <si>
    <t>Francisco Miguel Barón</t>
  </si>
  <si>
    <t>de Agreda , 200. IX José Cubero , 200. i). Cristóbal Vidal, 120 D. Ricardo Mea.de , 1000. D. Jacobo Enrique Mistíer , 400. IX Andrés del Fresno, 120. D. Francisco Miguel Barón , 500. Don Ramón Soler, 504. D. Juan Francisco de Vergara , ItíOO. D. Miguel Gomer, 400. D. José JLaíihre, llKX D. Juan García de Falencia, 150. D. Val…</t>
  </si>
  <si>
    <t>Barón, Juan</t>
  </si>
  <si>
    <t>Juan Barón</t>
  </si>
  <si>
    <t>, 25. Doña Petrona de Escurdia , 20. D. Miguel Duque de Estrada , 100. D, Carlos Escoíiet, 25. D. Claudio Martínez , 20. D. Francis­ co iVIfina, 10. D. Juan Barón, 10. D. Salvador Rodríguez, 10. José Misiano, 2. Joaquín Bravo, 1. Pedro Rodríguez, 1. Clemente Lugo, 1. José Manuel Porez , 1. Piloteo Vargas, 1. Florentino Sánche…</t>
  </si>
  <si>
    <t>Barón, Salvador Rodríguez</t>
  </si>
  <si>
    <t>Salvador Rodríguez Barón</t>
  </si>
  <si>
    <t>Gaceta de Madrid n.º 207</t>
  </si>
  <si>
    <t>spojarla de su generalidad. Conociendo ua de la villa de Rute; á D.Tomas Llano, de Sepúl- hombre perfectamente á otro, habiendo estudiado su veda ; á D. Salvador Rodríguez Barón, de la ciudad genio, sus inclinaciones , y llegado á penetrar sus mo­ de Cuenca y su partido; á D. Francisco X.vier vimientos interiores y el modo qu…</t>
  </si>
  <si>
    <t>Barona, Florencio</t>
  </si>
  <si>
    <t>Florencio Barona</t>
  </si>
  <si>
    <t>1)'En el número de los oficiales que se han distinguido, deban con­ tarse, ademas de los mencionados anteriormente, ios capitanes Dm Cándido Crespo y D. Florencio Barona, el teniente D. Temas Bdrandalla, el capitán de Cariñena D. Antonio Hernández, y el tenien­ te del segundo de línea de Soria D. Justo Hernández, que fué heri…</t>
  </si>
  <si>
    <t>Barquero, Antonio Perez</t>
  </si>
  <si>
    <t>Antonio Perez Barquero</t>
  </si>
  <si>
    <t>de D. Joaquín Marrinez Herrera, al presbítero ex-, agustino descalzo D. Francisco Parras. TBATRCS.' Para el dePortubus, vacante por fallecimiento de D. Antonio Perez Barquero, al presbítero ex- En el del Príncipe, á las siete de la noche, se re-_ trinitario calzado D. Baltasar de Salazar.' presentará por la compañía española …</t>
  </si>
  <si>
    <t>Barquines, José</t>
  </si>
  <si>
    <t>José Barquines</t>
  </si>
  <si>
    <t>para situar mi tropa donde pudiese batir la escolta con ventaja , se divisó un barco. Inmediatamente mandé al teniente de distinguidos' cíe iJlíonia D. José Barquines baxase á las orillas del rió á detenerlo con su guerrilla compuesta de 100 hombres: aproximándose los '^jue componían el convoy, le intimó Barquines la rendició…</t>
  </si>
  <si>
    <t>Barragan, Jasé Florencio</t>
  </si>
  <si>
    <t>Jasé Florencio Barragan</t>
  </si>
  <si>
    <t>íiri. De Gua­ nal unto : el Sr. D. Octaviano Obregon , oidor honorario de la real audiencia de México, residente en España. De S. Luis Potosí; el Sr. D. Jasé Florencio Barragan , teniente coronel de milicias. De Zar-atecas : ei Sr. Dr. f). José Miguel de Górdon , catedrático de prima del seminario de Guada laxara. De Tabasco …</t>
  </si>
  <si>
    <t>Barragan, Rafael</t>
  </si>
  <si>
    <t>Rafael Barragan</t>
  </si>
  <si>
    <t>. del pabellón. D. Tomas Gómez. Para scñdar que están mui cerca de la costa de D. Antonio Estéban. Inglaterra una fragata ó muchos barcos enemigos, ' D. Rafael Barragan, mayor. tres hilas ó globos encima del pabellón. art. ?v. Nuestros ministros de lo Interior y de nota. Estas señales serán izadas en las vergas la Guerra qued…</t>
  </si>
  <si>
    <t>Barranco, Joan Manuel</t>
  </si>
  <si>
    <t>Joan Manuel Barranco</t>
  </si>
  <si>
    <t>brados los individuos siguientes: media compañía. D. Josef Barona Caballero queda nombrada Capitanes. capitán, y D. Antonio Josef Zamora subteniente. D. Joan Manuel Barranco. art. ix. Nuestros ministros de lo Interior y D. Juan tía Lechuga. de la Guerra quedan encargados de la execucion de D. Fernando Rodriga, z. este decreto…</t>
  </si>
  <si>
    <t>Barranco, Mariano</t>
  </si>
  <si>
    <t>Mariano Barranco</t>
  </si>
  <si>
    <t>974</t>
  </si>
  <si>
    <t>gos , y el mió de cazadores cíe Velez, los dos de Lbrca y el de Bayíen , ál mando dé sus coroneles, ei brigadier D. Lilis Riqudrae, O. José Montero , D. Mariano Barranco , y el m o que te­ nia su sargento mayor D. José Moreno; me puse a su cabeza, por ser el mas inmediato á los enemigos ; adelanté ^res guerrillas por el frent…</t>
  </si>
  <si>
    <t>Barrantes, Manuel</t>
  </si>
  <si>
    <t>Manuel Barrantes</t>
  </si>
  <si>
    <t>e da noticia han sido recogidos en la época te d* ia novena compañía. que media desde 31 de octubre de 1810 á 28 de Tercer batallón. febrero de 1811. D. Manuel Barrantes, teniente, i capitán de la séptima compañía. D. Luis Calas, sargento primero, á subtenien­ PLAZA DE MADRID. BOLSA. te de la quarta compañía. DIA 13 DE SETIEM…</t>
  </si>
  <si>
    <t>ñalejos de Madrid y del arzobispado para loe teniente de ia octava compañía, en la vacante de señores sacerdotes para el próximo año de 1812 se r en­ D. Manuel Barrantes. den en la librería de Barco , carrera de S. Gerónimo. Quarto batallón. D. Josef Domínguez , sargento primero, á sub­ teniente de ¡a quinta compañía, en reem…</t>
  </si>
  <si>
    <t>Barreda, Francisco</t>
  </si>
  <si>
    <t>Francisco Barreda</t>
  </si>
  <si>
    <t>sé Padilla, 25. D. Xa­ vier Manj arres , 10. D. Ignacio Ramírez, 10. 1). Urbano Ibarra , 10. Va­ rios individuos, 84 y 5 rs. — S. Xavier de Cabaza'n. D. Francisco Barreda, 12. D. Ramón Imperial, 10. D. Leandro Salazar , 10. Marcelo Porras , 10. Don Juan Landeta, 12. I). Antonio Bastida y D. Xavier Benitez , 11. D. Narciso Pic…</t>
  </si>
  <si>
    <t>Barreda, José</t>
  </si>
  <si>
    <t>José Barreda</t>
  </si>
  <si>
    <t>Velarde, SO. D. Antonio Muñiz, SO. D. José María Cadena, 20. Don Miguel Sánchez, 35. D. Rafael Valle, 10.—Riogrande. D José le Je­ sús Rodríguez, 10.*D. José Barreda, 6. D. Juan Antonio ’Crtiaga, 25, D. Juan Francisco de la Garza, 15. Varios individuos , 30. El preben­ dado D. Miguel Sánchez Navarro , 500. El cura de Monclova…</t>
  </si>
  <si>
    <t>Barrego, Miguel</t>
  </si>
  <si>
    <t>Miguel Barrego</t>
  </si>
  <si>
    <t>Gaceta de Madrid n.º 355</t>
  </si>
  <si>
    <t>ertos avechuchos del dia (5), D. Jacinto Ezpcieta, capitán, que lo era del regimiento de infantería de Sevilla, y.° de línea. Madrid 20 de diciembre. D. Miguel Barrego , teniente, que lo era del expresado regimiento, Extracta de las minutas de la secretaría de Es­ D. Andrés París, subteniente, que lo era del tado. mismo cuerp…</t>
  </si>
  <si>
    <t>Barrera</t>
  </si>
  <si>
    <t>Gazeta de la Regencia de España e Indias n.º 75</t>
  </si>
  <si>
    <t>695</t>
  </si>
  <si>
    <t>iende á la mitad de su fuerza, que se­ rán unos 1000 hombres. Nosotros hemos tenido también 30 muertos y 70 heridos, contándose entre los primeros el comandante Barrera. Los juramentados del núm. 5 que iban con los franceses, se disper­ saron , y de ellos hemos hecho 15 prisioneros, ademas de II ene­ migos y 14 paisanos sospe…</t>
  </si>
  <si>
    <t>Barrera, Francisco</t>
  </si>
  <si>
    <t>Francisco Barrera</t>
  </si>
  <si>
    <t>/ particulares. Villa de Monclova. D. TV&gt;mas Florez,60. D. Fer­ nando Bustillo, 20. D. Juan Ignacio de A rispe, 15. D. José Antonio dé la Fuente, 20. D. Francisco Barrera, 13. D. 'José- Mari i Suntds, 12. D.. Pablo García, Jó. D. Juan Antonio de Cárdenas , 13. D. José Camacho, 13. D. José Miguel Sánchez, 10. D. Vicente Florez…</t>
  </si>
  <si>
    <t>Barrera, Manuel</t>
  </si>
  <si>
    <t>Manuel Barrera</t>
  </si>
  <si>
    <t>4. —-Compañía de la T*U2iía de Lampazos. El capellán D.. Cipriano Garza, 50. La tropa, 491. — JScxar. D. Ignacio Pcrez, 200. D. Francisco Montes, 50. D. Manuel Barrera, 40. D. Francisco de los Santos, 30. D. Fernando Baramendi, 30. D. Clemente Delgado, 10. D. Vicente Travieso, 10. I). Francisco de Arocha, 9. D. José Antonio d…</t>
  </si>
  <si>
    <t>Barrera, Miguel</t>
  </si>
  <si>
    <t>Miguel Barrera</t>
  </si>
  <si>
    <t>Gaceta de Madrid n.º 209</t>
  </si>
  <si>
    <t>lla de Mon- de los clérigos menores. tellano, vacante por desistimiento de D. Felipe Y para el de H de Znfre, vacante por falleci­ García Gallardo, á D. Miguel Barrera, presbítero, miento de D. Sebastian Ramírez Prieto, á Don ex-agustino calzado. Diego Antonio Nieto, presbítero, ex-regular del Para el segundo de la referida v…</t>
  </si>
  <si>
    <t>Barrero, Manuel</t>
  </si>
  <si>
    <t>Manuel Barrero</t>
  </si>
  <si>
    <t>mero, á sub­ nos dará cuenta de sus necesidades: hará que se ce­ teniente de la quieta compañía. lebre á presencia soya el consejo de administración, D. Manuel Barrero , sargento primero, á sub­ y oirá todas Jas quejas 6 representaciones que se le teniente de la novena compañía. dirijan. Tercer batallón. D. Domingo Renedo , s…</t>
  </si>
  <si>
    <t>Barreto, Manuel</t>
  </si>
  <si>
    <t>Manuel Barreto</t>
  </si>
  <si>
    <t>1330</t>
  </si>
  <si>
    <t>l-Sino. Sacramento de la Sta. iglesia de México , 8000. D. h rano ¡seo Xavier Borbovi , 500. El licenciado D. Juan Martiñena, 1000. ™ y sobrina, 600. D. Manuel Barreto. 20. E! marques de Sta. Cruz de Inguanzo , 3000. D, José María Valenzuela, 200. El P, Fr. Vicente de la Peña ft nombre del convento de religiosas de Sta. Catal…</t>
  </si>
  <si>
    <t>Barreycua, Franchco</t>
  </si>
  <si>
    <t>Franchco Barreycua</t>
  </si>
  <si>
    <t>¡os stob’téiíiéhtés D.; Rafael Figüera, D/iJéíé?cDiaz, íD. Pablo &lt;Ru}z de íj.^Pa tída "José Gord l’o, D. Mannel G sn’ia , D. .-Ma­ riano Miguel Polo ,D Franchco Barreycua, D. Domingo Luis del Valle, D Mariano deGoic echea ,’D Carlos CapetidoD. JA'éGñativia y D. V cenie de la Encina. ^.En conrecqencia del real ^decreto de 5 de…</t>
  </si>
  <si>
    <t>Barreyro, J e María</t>
  </si>
  <si>
    <t>J e María Barreyro</t>
  </si>
  <si>
    <t>antabria , y en el mismo cuerpo agregación do coronel D. Francisco Fernandez de Córdoba, coronel del de Iüberia,y de ' obteniente ai guardia de corps D. J®£é María Barreyro: en el do ZaT3.ora, ,el empleo de sargento mayor al capitán graduado do ten i sute coronel-D. Pascual de Olioqui ;-s en-el de voluntarios de la Corola, te…</t>
  </si>
  <si>
    <t>Barríe, Benjamín</t>
  </si>
  <si>
    <t>Benjamín Barríe</t>
  </si>
  <si>
    <t>segunda á D. Francisco Trespalacios y Don Joaquín O'lviras; tenencias á D. Francisco Cano, D. Benjamín D woia, D. Ensebio F reyre, D. Gasnar Escapa, D. Benjamín Barríe, D. Pedro Sánchez, D. Joan Zaldivar, D. Manuel Zeldivar, í). Mdro Caballero, D. Bernabé Santibañ***,- D. Manuel de Vargas y ü. Joan Dow.de Brizo; y subtenencia…</t>
  </si>
  <si>
    <t>Barriel, Antonio</t>
  </si>
  <si>
    <t>Antonio Barriel</t>
  </si>
  <si>
    <t>Gazeta de la Regencia de España e Indias n.º 140</t>
  </si>
  <si>
    <t>su delincuente partido, cuya idea frustró por medios arrojados que le expusieron ai maj or peligro. El brigadier, ayudante general del estado mayor, D. Antonio Barriel , con fecha de S del actual, desde el cuartel general ds Valencia, de órdeii del capitán genera! D. Joaquín Bfcke, remite ai señor gcfe del estado mayor genera…</t>
  </si>
  <si>
    <t>124</t>
  </si>
  <si>
    <t>— Dado en Cádiz á 15 de octubre de 1S11. — A D. José Can­ ga AqAieiks.” El Excrao. Sr. gefe del estado mayo? general ha recibido del ayudanta genere! D. Antonio Barriel, por orden del capitán gene­ ral B. Jaaquiu Blake, coa fecha de 21 de octubre en Valencia,©! parte siguiente: “Exacto. Sf.: Me manda el JExctto. Sr. D. Jaquir…</t>
  </si>
  <si>
    <t>Barrilero, Francisco</t>
  </si>
  <si>
    <t>Francisco Barrilero</t>
  </si>
  <si>
    <t>la Mancha, residente en Toledo, por........... 2200 i lem , por............................................................. ....... 2200 EX-MINIMO. D. Francisco Barrilero, natural de Mora, y resi­ IX liburcto Bello, natural de Toledo, donde re­ dente alli, por......................................................... 2200 sid…</t>
  </si>
  <si>
    <t>Barrio, Manuel Canal</t>
  </si>
  <si>
    <t>Manuel Canal Barrio</t>
  </si>
  <si>
    <t>e otra renta ó sueldo equivalente. en Getafe, por.............................................. uoo art. ni. Nuestros ministros de Negocios eclesiás­ D. Manuel Canal Barrio, ex mercenario ticos y de Hacienda quedan encargados del cumplimien­ descalzo, residente en Valdeolmos, por 2200 to del presente decreto. = Firmado YO EL …</t>
  </si>
  <si>
    <t>Barroís</t>
  </si>
  <si>
    <t>l enemigo, que con decidida intención de des­ truirme puso en movimiento las fuerzas del general Lcval, que esta­ ban en el reyno de Granada, las del general Barroís, que ocupaban á Vülamartin y Bornes , y parte de las del sitio de Cidiz, compo­ niendo un total dp 12 Á 14000 hqrabres, que combiqademeste en­ traron en este cam…</t>
  </si>
  <si>
    <t>Barrois</t>
  </si>
  <si>
    <t>rito de estas valerosas tropas.w Parte de la justicia de la villa de Jubrique. “I-toso. Sr.: Una división enemiga de mas de 4000 hombres al mando del general Barrois entró en la villa de Igualeja en la ma­ ñana d$l 27 , donde cometió todo género de desóideues, y siguió su camino sin impedimento, hasta que .en la unión de los …</t>
  </si>
  <si>
    <t>Barros, Ignacio</t>
  </si>
  <si>
    <t>Ignacio Barros</t>
  </si>
  <si>
    <t>cías á D. Santiago la Rejilla, D. Itadro del Yerro, IX Víctor R.?strebada y D. Francesco Doñas; subtenencias á Do» Miguel Villar, D. Sautiaíro Nryra, D. Ignacio Barros, D. José 1^ í~lo T-oloiTW^ - Antonio Sonto, D. Juan Garmon , D. Juan García y F ~ o*uk***£ v/wj Xiraenez ; subtenencia de bandera á D. Anselmo Tuna. CADIZ : EN…</t>
  </si>
  <si>
    <t>Barry, Manuel</t>
  </si>
  <si>
    <t>Manuel Barry</t>
  </si>
  <si>
    <t>26</t>
  </si>
  <si>
    <t>lería de A garbe, D. Juan Velarde yRoxas, subtenien­ te de infantería ccn sueldo de tal, y á los cadetes del mismo regi­ miento de guardias Españolas D. Manuel Barry, D. Manuel de San Llórente , D. Joaquin María Escribá , D. Ambrosio María Salazar y P, Francisco López Pinto. El Consejo de Regencia se ha servido conceder los e…</t>
  </si>
  <si>
    <t>Barsanti, Francisco</t>
  </si>
  <si>
    <t>Francisco Barsanti</t>
  </si>
  <si>
    <t>idos los indivi­ duos siguientes: Advertencia. En el anuncio que precede á las Primer batallón. listas de ia cancelación de vales reales, cédulas hi­ D. Francisco Barsanti, teniente, á ayudante segundo. potecarias y certificaciones del servicio corriente, que contiene el suplemento á la gazeta de ayer, se D. Severo Goereta, a…</t>
  </si>
  <si>
    <t>rimer batallón. tro secretario de Estado = Firmado = Mariano Luis de Uaquijo.’’ D. Pedro Simón Puerta, teniente, á ayudante segundo, en la vacante de D. Francisco Barsanti. D. Camilo González, subteniente, á teniente AVISOS. de la tercera compañía, en reemplazo de D. Mar­ En virtud de providencia del Sr. D Juan Bautista tin d…</t>
  </si>
  <si>
    <t>Barsanti, Nicolás</t>
  </si>
  <si>
    <t>Nicolás Barsanti</t>
  </si>
  <si>
    <t>361 6 „ Deña Plácida de "Urquijo................... 2°7f 2J 6 D. Ramón Delgado, por su apode­ 2 D. Francisco Calleja...................... 180; rado D. Nicolás Barsanti............... 10 j 9 10 Doña Margarita de Pereda.................. 7039 17 X Doña María Brígida Torilla, por su 18 D. Juan Manuel Sorzáno ySoria.... 55129 17…</t>
  </si>
  <si>
    <t>Bartez</t>
  </si>
  <si>
    <t>de Orense...... El enemigo tuvo 3000 muer­ tos y heridos , y 200 prisioneros. Nosotros no hemos tenido ni un hombre mv.erto : el general Corsin , el coronel Bartez y 2 cazadores han quedado he­ ridos. Todas las noticias confirman la dispersión cutera del exército de Ga­ licia , y la imposibilidad de que vuelva á tomar la ofen…</t>
  </si>
  <si>
    <t>Barto</t>
  </si>
  <si>
    <t>609</t>
  </si>
  <si>
    <t>abi­ pajar: Jinda á levante coa da de una cuerda; linda el cerro de San Cristóbal con el camino de San Ro­ y tierras del convento su­ que y huerta de D. Barto­ primido de Santo Domingo lomé de Cárdenas... ...... 1300 7.5 6oo de la villa de la Guardia; Otra con árboles frutales de 3 al sur con otras del vínculo cuerdas y 3 cel…</t>
  </si>
  <si>
    <t>Bartolomé</t>
  </si>
  <si>
    <t>e la primera compañía. D. Manuel Obando , teniente, á capitán de la pri­ D. Joaquín Suarez, sargento primero, á subte­ mera compañía en la vacante de D. Bartolomé niente de la décima compañía. Quintaniila. D. Manuel Herrera, subteniente, á teniente en re­ Octavo batallón. emplazo de D. Manuel Obando. D. Vicente Moyano, sargen…</t>
  </si>
  <si>
    <t>Bas, Gerardo</t>
  </si>
  <si>
    <t>Gerardo Bas</t>
  </si>
  <si>
    <t>ermanos y conpañía , 303 y 5. D, Ense­ bio Gómez , 50. D Jaymc Kernati, 25. D Antonio Moreno,- 100. D. Antonio Comadira, 2.0. D. Andrés Moreno , 330. D Gerardo Bas.,‘300. D. Juan .Mar­ ti y Robus , 62 v 6 rs. D. José Ferrer, 75. IX Matias Rere/., 50. D. Gaspar Bavi , 50. D- Jaymc Pont, 50. I). Juan Plá , 35 y 5 rs. D. Santiag…</t>
  </si>
  <si>
    <t>Basco, Miguel de Trucha</t>
  </si>
  <si>
    <t>Miguel de Trucha Basco</t>
  </si>
  <si>
    <t>Nueva-España con el mismo objeto. Un religioso capuchino, 190 rs. de rn. D. Juan Manuel de San Román, 200. X). José Diez Imbreck , 200 y 4 fusiles-. D. Miguel de Trucha Basco, 300. D. Manuel de Hebia, 100. D. Ramón de Náxera* 300. D. Francisco Sánchez Tosar, 400. Fr. D. Francisco de Paula Madrigal, por sí y por otro, 40. D. R…</t>
  </si>
  <si>
    <t>Basil, Francisco</t>
  </si>
  <si>
    <t>Francisco Basil</t>
  </si>
  <si>
    <t>ara Aspillaga de Miranda, 1000. D. Juan A vites, 500. Sres. Castéiló, .hermanos, 500. Cónsules del real consulado, 500. Conde de Sta. Colonia, líiOO, D. Francisco Basil, 200. D. Clemente Fernandez de Elias , 100. Sres. Hieke, . Zinke y compañía, 100. D. Romualdo Pasqual de Tejada , 200. D. Carlos .García Texudor ,-100. Condes…</t>
  </si>
  <si>
    <t>Basó, Juan Bautista</t>
  </si>
  <si>
    <t>Juan Bautista Basó</t>
  </si>
  <si>
    <t>D. Rafael Ximenez Montalvo , 150. Se­ gundo , el alférez de fragata D. Ramón Gil , 100. Capitanes y pilotos de estos buques, D. Pedro Izquierdo , 60. D. Juan Bautista Basó, 30. D. Leandro Ato­ mía, 30. D. Fulgencio Ibañez , 30. D. José Raygada», 20. El capellán Don Manuel Rodríguez, 25. El eivujano D. Joaquín de Rivera Serrat…</t>
  </si>
  <si>
    <t>Baso, Miguel</t>
  </si>
  <si>
    <t>Miguel Baso</t>
  </si>
  <si>
    <t>nm t ■ 17. D. Ignacio González Cadisna, interventor genera! ., alemas de 9 pesos mensuales con que contribuye en la capitanía general , 1?. D. Miguel Baso, jiovtero, 4. D. Juan Alonso Pere&gt;;, portero del rastrillo do la factoría , 4, -— Total de donativos por xpia vez ,542pesos. Mcnsuahnente,-r~ D. Pedro Antonio de. Gamón , a…</t>
  </si>
  <si>
    <t>Basoco, Antonio</t>
  </si>
  <si>
    <t>Antonio Basoco</t>
  </si>
  <si>
    <t>709</t>
  </si>
  <si>
    <t>sicion á premiarlos como correspon­ de; atendiendo á los particulares con que en las actuales circuns­ tancias se ha distinguido en bien de la patria D. Antonio Basoco, vecino de México, y conformándose con la propuesta de su actual vir y D. Francisco Xavier Venegas ; lian decretado y decretan que concedía al expresado D. A l…</t>
  </si>
  <si>
    <t>Basoeo, Antonio</t>
  </si>
  <si>
    <t>Antonio Basoeo</t>
  </si>
  <si>
    <t>uel do Campo y Iiivas , 400, II. Francisco de Chavan-! por si , su es­ pesa é hijo , 2 dependientes y '8 criados, 2120. El manques de S.'Reman, 1000. D. Antonio Basoeo , 25000. D. Juan Diaz González , 3000, F&lt;1 mar­ ques de 8. Juan de Pavas, 1000. D. Sebastian do lleras, por sí , su esposa ^'hijós,'4000. D. Roqae Abdlcntc , D…</t>
  </si>
  <si>
    <t>Bassccourt, Andrés</t>
  </si>
  <si>
    <t>Andrés Bassccourt</t>
  </si>
  <si>
    <t>rales al brigadier D. Fernando Montoya y Solís,. y á los tenientes coroneles D. Ramón de Losada, D. Joaquín Montemayor, D.; Francisco Xavier Cabanes, D. Andrés Bassccourt, D. Felipe Montes, D. José Ezpeleta y D.'Gaspar Di­ ntel: los de ayudantes primeros al teniente coronel D. Juan Bl¿íke, al sargento mayor D. José Castellar,…</t>
  </si>
  <si>
    <t>Bassecaurt, Juan</t>
  </si>
  <si>
    <t>Juan Bassecaurt</t>
  </si>
  <si>
    <t>170</t>
  </si>
  <si>
    <t>tado sus trabjos de trinchera sin colocar artillería. En la madrugada de ayer ^e h'zo una salid vá las órdenes deT co­ ronel de voluntarios catalanes D. Juan Bassecaurt, dirigido por el inge­ niero D. Miguel-H jgarte, para desalojarlos de una de las paralelas: esta operación se hizo de noche con 300 hombres, lo* que se arr‘ji…</t>
  </si>
  <si>
    <t>Bassecocrt, Juan</t>
  </si>
  <si>
    <t>Juan Bassecocrt</t>
  </si>
  <si>
    <t>171</t>
  </si>
  <si>
    <t>o de otras trepas volvieron á hace- frente, y ganaron el parapeto con gran pérdida : en este momento fi é herido gravemente de un balazo el co­ ronel D. Juan Bassecocrt, comandan e de la salida. Los enemigos sos­ tuvieron confirmeza rste p unto , y no era meros cenia que se les conte­ nia, tanto por la fusile ía c ino p&gt;r 5 c…</t>
  </si>
  <si>
    <t>Bassecourt</t>
  </si>
  <si>
    <t>Gaceta de Madrid n.º 340</t>
  </si>
  <si>
    <t>1386</t>
  </si>
  <si>
    <t>caminos por la parre de afuera desde la puerta de sus sesiones; en seguida se dirigió á Utiel. Slik hasta la de Malinas, y en el rio se echarán 2 El general Bassecourt intentó disputar el paso puentes volantes, de Jos quales el uno servirá para del rio C./briel; pero la vanguardia, mandada po( qaando la marea esté alta, y el …</t>
  </si>
  <si>
    <t>Bassecourt, Don Juan</t>
  </si>
  <si>
    <t>Don Juan Bassecourt</t>
  </si>
  <si>
    <t>Gazeta de la Regencia de España e Indias n.º 23</t>
  </si>
  <si>
    <t>de ser mortífero: M nuestra podrá calcularse en 50 hombres, entre ellos muchos oficiales heridos , y lo mss sensible de ¿odo ha sido -la -muerte del coronel Don Juan Bassecourt que mandaba la acción, que impuso tanto á los enemigos* pues tardaron poco en reforzar á los suyos con unos 25QP á 3000 infantes. Dia í.° de febrero. …</t>
  </si>
  <si>
    <t>Bassecourt, Juan</t>
  </si>
  <si>
    <t>Juan Bassecourt</t>
  </si>
  <si>
    <t>187</t>
  </si>
  <si>
    <t>no han hecho uso alguno, ni tam­ poco se les ha observado hacer trabajos para sáuar sus’baterías. X&gt;ia 28. En este día se dio la comisión al eoronel D. Juan Bassecourt para que con el batalh n de voluntarios Catalanes saliese á des­ alojar Ps enemigos de Tas Tenerías,'con el objeto de sacar del moli­ no de Ballesteros mas de …</t>
  </si>
  <si>
    <t>Bastamante, Ramón López</t>
  </si>
  <si>
    <t>Ramón López Bastamante</t>
  </si>
  <si>
    <t>cuerpos de infc.eeiía del excrcito los empleos siguientes : Iht el batallón de infantería ligera de tiradores de Castilla; los df; «paitan primero ó D. Ramón López Bastamante, D. Joaquín Hdiv.ncks y D, Fí&amp;nciaco Cabelmates; el de primer ayudante á -D. Ifndyes Clemente; los de capitán segundo á D. Juan Antonio CxOtygz, D- Pedr…</t>
  </si>
  <si>
    <t>Bastamente</t>
  </si>
  <si>
    <t>ha vi­ lla , c rníiene las que copio. “ Ea muy coi veniente me facilite Y. 500 hombres para conducir ¡ai presas de 204 insurge-- t.s que eprisiouó el capitán Bastamente con-los caudales del Sr. Obispo y- algunas b 'stias , y que con sega • liáad se cor,duzean también ¡03 g *ner -l -s pus loceros Hidalgo, Aliende , Abasólas ,-…</t>
  </si>
  <si>
    <t>Batailie</t>
  </si>
  <si>
    <t>Gaceta de Madrid n.º 15</t>
  </si>
  <si>
    <t>erizo mayor, Viena i.° de diciembre, , para llevar esta feliz noticia á S. M. el E mperador Las cartas de Bucharest, de fecha de $ de no­ y Rei; y el conde Batailie, capitán de la guardia viembre, dicen que delante de la* puerta. Verde de de honor , salió con la misma comisión para ia cor­ aquella ciudad se ha erigido na arco…</t>
  </si>
  <si>
    <t>Batalon, Josef</t>
  </si>
  <si>
    <t>Josef Batalon</t>
  </si>
  <si>
    <t>ecen niente de la décima compañía. á la esencia de ia religión, y que pueden impedir Sexto batallóte. que se destruya , ofrecemos, Señor , á V. M. el D. Josef Batalon, subteniente, á teniente de ia sép­ homenage de nuestro agradecimiento respetuoso tima compañía. por la elección del digno prelado que ha tenido á D, Eduardo Ra…</t>
  </si>
  <si>
    <t>Batalou, Josef</t>
  </si>
  <si>
    <t>Josef Batalou</t>
  </si>
  <si>
    <t>rrenos secundarios habian sido formados en el á subteniente de la séptima compañía en reempla­ seno de los mares, y que una parte de dichas ca­ zo de D. Josef Batalou. pas estaba separada de la otra por bancos marinos Noveno batallón. intermedios, lo que parece daba ’á entender que. D. Manuel Negueruela, subteniente, á tenien…</t>
  </si>
  <si>
    <t>Bates</t>
  </si>
  <si>
    <t>Gaceta de Madrid n.º 183</t>
  </si>
  <si>
    <t>NO DE ITALIA. ' G RA N B R E T A Ñ A. Milán 25 de mayó. Londres 2_p de mayo. El senado del reino de Italia se reunió e! 14 di Ha llegado á Douvres el capitán Bates, co— éste-mes para examinar el informe de la comisión mandante del buque americano la Union, ha des­ de rentas sobre los gastos de ate año, A conse­ embarcado much…</t>
  </si>
  <si>
    <t>Bathurst</t>
  </si>
  <si>
    <t>Gaceta de Madrid n.º 357</t>
  </si>
  <si>
    <t>ker, secretario del almirantazgo. Al salir de reisa hubo asdiencia general en los Sir Samuei Roinilii, lord canciller de Irlanda. grandes salones. El conde Bathurst conservará sn plaza de pre­ La fiesta del aniversario de la coronación ha sidente de la secretaría de comercio. sido anunciada la víspera con salvas de artillaría…</t>
  </si>
  <si>
    <t>Batí, José</t>
  </si>
  <si>
    <t>José Batí</t>
  </si>
  <si>
    <t>al, teniente á guerra det partido de Maya&amp;ftfd/1091. Doña Ménica Tinto . 144 y 4 rs Juan delaPiz, sargento de artillería , 30. Don Juan Fuertes , 75. D. José Batí le , hermanos y conpañía , 303 y 5. D, Ense­ bio Gómez , 50. D Jaymc Kernati, 25. D Antonio Moreno,- 100. D. Antonio Comadira, 2.0. D. Andrés Moreno , 330. D Gerard…</t>
  </si>
  <si>
    <t>Batid, Jayrac</t>
  </si>
  <si>
    <t>Jayrac Batid</t>
  </si>
  <si>
    <t>los oficiales , sargentos, cabo y soldados que se han distinguido en es-ta memorable jornada, y por ahora me limito á recomendarle á V. E. al coronel.D. Jayrac Batid por la precisión y energía con que obedeció las órdenes que se le dieron , y al de la misma clase D. Ramón Alburquerque , por la bi­ zarría con que coóduxo i ios…</t>
  </si>
  <si>
    <t>Batllé, Francisco</t>
  </si>
  <si>
    <t>Francisco Batllé</t>
  </si>
  <si>
    <t>Joaquín Casares, 50. D. Juan Vicente Alfonso , 50. D. Pedro Delgado, 50. D. D iego Ríos Carta, 50. D. Martin Yerobi, 50. D. Juan Bautista Yerobi, 50. D. Francisco Batllé , 50. D. Cristóbal Sansón , 50. D. Miguel Lanz, 40. D. Rafael Bailester, 25. D. Gaspar Machín , 25. D. Isidro Arecha,25. D. Nicolás Soriano, 25. D. Pedro í«o…</t>
  </si>
  <si>
    <t>Batlle, Jasé</t>
  </si>
  <si>
    <t>Jasé Batlle</t>
  </si>
  <si>
    <t>ade. — T .¡ngo el honor &amp;o. — El gene* ral de división,, conde Bonnet. — Oviedo J J de nov : wibre d;* 1811.” Btrga JG de noviembre. Por vn parte cíe D. Jasé Batlle á la jo ta superior del principado, m fecha $ del comerde, sé sabe que un destíícaHier to nuestro dé 150 hombres se theteó íoá# un dia en Vdlanue­ va con loa enem…</t>
  </si>
  <si>
    <t>Batllé, José Buenaventura</t>
  </si>
  <si>
    <t>José Buenaventura Batllé</t>
  </si>
  <si>
    <t>sell, 200. D. Buenaventura Gualba, 200. D. José Goma, 100. D. Andrés Ibarra, 100. D. -Juan de la Fuente y Valle , 100. D, An­ tonio de Estrada , 100. D. José Buenaventura Batllé , 100. D. Vicente Ta­ layera, 100. D. Buenaventura Oliver y Barquez , 100. D. Manuel Ansel­ mo López Carta, 100. D. Cristóbal Rieart, 100. D. Andrés …</t>
  </si>
  <si>
    <t>Bau, Juan</t>
  </si>
  <si>
    <t>Juan Bau</t>
  </si>
  <si>
    <t>llenos de empleado en la delincación del real palacio nuevo géneros , ol ¡niales, que lia sido preciso tomar en por su director y arquitecto del Rei D. Juan Bau­ arrendamiento otros almacenes este año por el va­ tista Saqueti. Desde luego manifestó el joven Vi­ lor de 42® itbras esterlinas. llanueva sus buenas disposiciones p…</t>
  </si>
  <si>
    <t>Baudichon</t>
  </si>
  <si>
    <t>Gaceta de Madrid n.º 189</t>
  </si>
  <si>
    <t>o al principio por uu cuerno de que se habían reunido, se dirigian hácia Peñaran­ nn hipocondríaco incurable. Se encontraron en su da, ¿visó al v ñor coronel Baudichon, comandante estómago varios pedazos de cuerno y de cuchillos. de Arévalo, á fin de que concurriese á la expedi­ Estos últimos estaban considerablemente cargado…</t>
  </si>
  <si>
    <t>Baudin</t>
  </si>
  <si>
    <t>bricas trificaciones, de minerales, de peces, de insectos, de Francia. de quadrúpedos &amp;c. ESPAÑA. Habiendo vuelto á Francia en 8 de junio de 1796, el capitán Baudin ofreció todos estos obje­ !Toledo 4 de julio. tos al gobierno. El directorio aceptó la oferta , 6 hizo armar en el puerto de Havre de Gracia la Alfonso Contreras,…</t>
  </si>
  <si>
    <t>Gaceta de Madrid n.º 196</t>
  </si>
  <si>
    <t>801</t>
  </si>
  <si>
    <t>cés, desde figo de 104, entre los quales hai seis cardenales y muchos setiembre de ijgfs hasta 7 de junio de tyj&gt;9, arzobispos. baxo la dirección del capitán Baudin, con el El concilio se formará en congregaciones parti­ objeto de hacer investigaciones y formar colec­ culares, en congregaciones generales y en sesiones ciones …</t>
  </si>
  <si>
    <t>Bauer</t>
  </si>
  <si>
    <t>Gaceta de Madrid n.º 180</t>
  </si>
  <si>
    <t>733</t>
  </si>
  <si>
    <t>l reino de Italia , está recorriendo pala fio Táurico, v por la ooche función de teatro. nuestras provincias con el encargo y comisión de El teniente general Bauer ha vuelto á eurrar observar con el mayor cuidado los establecimien­ al servicio de S. M. tos de beneficencia mas importantes de este reino, El teniente general mar…</t>
  </si>
  <si>
    <t>BaÜeza, Gerónimo</t>
  </si>
  <si>
    <t>Gerónimo BaÜeza</t>
  </si>
  <si>
    <t>alférez. D Ignacio Chaves, capitán honorario. D. J osó A ¡íorío Na vaca , alférez. Lio. D. Raraon Garces. II. D. Mamirl Car­ ees. O. ■ Antonio Nieva. D. Gerónimo BaÜeza. D Joaquín Xiinanez. D. Teodoro C3iab;U. D. Francisco Pastor. D. José Mari* Canal. D. Vicente. Fría». D. Pedro Taboada. D. Juan Echáis. D. Sebaptiun Conejo. D…</t>
  </si>
  <si>
    <t>Baus, Francisco</t>
  </si>
  <si>
    <t>Francisco Baus</t>
  </si>
  <si>
    <t>en el batallón de voluntarios de Valencia, empleo de capitán primero al capitán segundo D. Cristó­ bal de Castro Paicmii o; esta resulta al teniente D. Francisco Baus* tenencias á los subtenientes Di Fulgencio Lerin y D. Miguel Lafoiga; y subtenencia al sargento primero D. Francisco Martínez. También se ha servid© conceder gr…</t>
  </si>
  <si>
    <t>Bautisra, Juan</t>
  </si>
  <si>
    <t>Juan Bautisra</t>
  </si>
  <si>
    <t>Gaceta de Madrid n.º 155</t>
  </si>
  <si>
    <t>a y ’arciila. El volcan mas reciente es el de XoruIIo, que .‘AVISO. salió de la tierra el 14 de setiembre de 1759, en A virtud de providencia del Sr, D. Juan Bautisra una de las llanuras de México, y al cabo de poco Guitart, del consejo de S. M., juez de primera instan­ tiempo llegó á 580 v¿iras de altura. Mrs, de Hum­ cia, d…</t>
  </si>
  <si>
    <t>Bautista, Joan</t>
  </si>
  <si>
    <t>Joan Bautista</t>
  </si>
  <si>
    <t>(D. Cirios Tomas), capita» retirado, trangero. caballero que fue de la orden de Santiago. Muñoz ( D. Nicolás), capitán de la milicia cíviaa Henrie ( D. Joan Bautista), sargento de tiradores de M daga. del regimiento Real Irlandés. Narvarte (D. Joaqain), capitán del regimiento da Herrera (D. Tomas), capitán de granaderos del M…</t>
  </si>
  <si>
    <t>Bautista, Juan</t>
  </si>
  <si>
    <t>Juan Bautista</t>
  </si>
  <si>
    <t>a de Avila. ¡os naturales del pds, que trabajan también con la Quinto ( D..... ) , corregidor de Caspe, en Aragón.. mayor alegría y ¿envidad. Sibas ( D. Juan Bautista) , comandante de batallón. Por todos estos pormenores'se ye que seria de art. 11. Nuestros grañ canciller y gr?.n tesore­ desear qae los ingleses, en vez de ale…</t>
  </si>
  <si>
    <t>a para los de los ricos. Su establecimien­ Carabene ( D. Josef) , capitán de caballería. to es visitado frecuentemente par viageros distin­ Carbonel (D. Juan Bautista), tirador de nuestra guidos de todos los países de la Europa» y por un' guardia real. gran número de alumnos que quieren aprender el Carrillo ( D. Josef), secre…</t>
  </si>
  <si>
    <t>oni (D. Josef), subteniente del de Toledo, García Fernandez (D. Domingo), director de las 2.a &lt;fe infantería de línea. fábricas de salitres. Marchal (D. Juan Bautista), cirujano primero del García Gallardo (D. Tiburcio), corregidor de regimirtuo de tiradores de nuestra guardia real. Vizcaya. Martin (D. Nicolás), subteniente d…</t>
  </si>
  <si>
    <t>Gaceta de Madrid n.º 151</t>
  </si>
  <si>
    <t>os 1. una compañía de volteadores formaba la vanguardia do AVISO. nuestras tropas,y á los primeros fusilazos qne dis­ A virtud de providencia del Sr. D. Juan Bautista paró te dispersaron los valencianos con tal desórden, Guitart, del consejo de S. M-, juez de primera instan­ que el coronel español que los mandaba no pudo cia,…</t>
  </si>
  <si>
    <t>Gaceta de Madrid n.º 185</t>
  </si>
  <si>
    <t>mui nutritivo en la dosis de media onza £ una, y haciendo que AVISO. hierva en una azumbre de agua. En virtud de los A virtud de providencia d«! Sr. D. Juan Bautista resultados que he obtenido en algunos ensayos , es- Guitart, juez de primeta instancia, su fecha i.° del toi persuadido de que posee la mayor parte de las corrie…</t>
  </si>
  <si>
    <t>), canónigo y gobernador del Don Josef Napoleón por la gracia de Dios y obispado de Calahorra. por la constitución del estado, REI de las EspaPnsle ( D. Juan Bautista ), secretario general de U ñas y de las lnoias. superintendencia de la real casa. Vista la solicitud que ha hecho D. Cipriano R&lt; candió de Somodevi.ia (D. Cenen…</t>
  </si>
  <si>
    <t>Gaceta de Madrid n.º 281</t>
  </si>
  <si>
    <t>do convencidos de traición. Los tres primeros fueron ajusticiados, y AVISO. á los otros dos se les juzgó en rebeldía. A virtud de providencia del Sr. D. Juan Bautista La comisión absolvió de traición á Francisco Guitart, del consejo de S. M., juez de primera instan­ Blouquier , guarda-almacén de las provisiones del cia, fecha…</t>
  </si>
  <si>
    <t>ncisco Barsanti. D. Camilo González, subteniente, á teniente AVISOS. de la tercera compañía, en reemplazo de D. Mar­ En virtud de providencia del Sr. D Juan Bautista tin de Azcue. Guitart de 25 del corriente se ha mandado volverá D. Manuel Lucio Gutiérrez, sargento primero, publicar la subasta de la casa calle de la Torrecill…</t>
  </si>
  <si>
    <t>Bavi, Gaspar</t>
  </si>
  <si>
    <t>Gaspar Bavi</t>
  </si>
  <si>
    <t>. Antonio Comadira, 2.0. D. Andrés Moreno , 330. D Gerardo Bas.,‘300. D. Juan .Mar­ ti y Robus , 62 v 6 rs. D. José Ferrer, 75. IX Matias Rere/., 50. D. Gaspar Bavi , 50. D- Jaymc Pont, 50. I). Juan Plá , 35 y 5 rs. D. Santiago Parodi, 30. D. Domingo Esiaracbe , 60. D. Domingo íJarcia , 45 y 3 rs. D. Francisco Grana, 52 y 2 D…</t>
  </si>
  <si>
    <t>Baviera</t>
  </si>
  <si>
    <t>Gaceta de Madrid n.º 64</t>
  </si>
  <si>
    <t>e negocio importante El Empecinado, después de haber huido de la ha sido arreglado en Paris entre la Francia y la coluna del señor general Darmagnac, gobernador Baviera. de la provincia de Cuenca, el qual tenia orden de Se ha prohibido en Austria la última obra de echarle de Sacedon , cuyo pueblo* ocupaba hacia Harl sobre la …</t>
  </si>
  <si>
    <t>BAVIERA</t>
  </si>
  <si>
    <t>Gaceta de Madrid n.º 127</t>
  </si>
  <si>
    <t>­ dos muchas veces de los primeros elementos de la perador de los franceses cerca de nuestra corte, educación. una audiencia solemne, en la qoal e'te ministro BAVIERA.' ha tenido el honor de entregar á nuestro Monarca Munich § de abril. ]a carta en que el Emperador le participa el feliz alumbramiento de S. M. la Emperatriz Ma…</t>
  </si>
  <si>
    <t>comendador de las órdenes de Santa Aoa y de Sao ducado durante la amencia de S. A. El decreto Valdomiro. dice así: „Nos Cítlos por la gracia de Dios, Príncipe BAVIERA. primado de la confederación del Riu , gran duque Munich *4 de mayo. de Francfort, arzobispo de Ratisbona. „ Teniendo que ausentarnos por algún tiempo, Algunos …</t>
  </si>
  <si>
    <t>Bayo, Matías</t>
  </si>
  <si>
    <t>Matías Bayo</t>
  </si>
  <si>
    <t>...................................... 1263 17 3 4500 1 D. Lope García Salazar de Mazarredo. 2700 2 Doña Carolina López de la Huerta.. 13 53 25-*- 10 D. Matías Bayo................................... 3 D. Santos Ortiz.................................. 361 I7486 21 15 Doña Carolina López de la Huerta, 9 D. Clemente de Cabía, c…</t>
  </si>
  <si>
    <t>Bayo, Pedro</t>
  </si>
  <si>
    <t>Pedro Bayo</t>
  </si>
  <si>
    <t>anónigos antiguos pongan en posesión á los nuevos, y que el que vote en con­ tra ,1o haga por escrito. Hoy se han llevado preso á Jaén al comerciante D. Pedro Bayo por no haber querido pagar la parte que le señalaron de la contribu­ ción : á los demás que no lian acabado de pagarla, les han concedi­ do un plazo muy corto para…</t>
  </si>
  <si>
    <t>Bayona, Joaquín</t>
  </si>
  <si>
    <t>Joaquín Bayona</t>
  </si>
  <si>
    <t>al de, fusileros D. Jo -quin Monínfar; empleo de aiferez de cazadores ai de fusileros D. Manuel Ma­ na Rodríguez Rubio: id, de fusileros al agregado D. Joaquín Bayona. En la mañana del 29 de marzo naufragó en la bahía de Gbraltar el xábeque correo S. Mateo al mando del capitán de fragata gradua­ do D. Fabio Bucheii, y se perd…</t>
  </si>
  <si>
    <t>Bayona, Tomas</t>
  </si>
  <si>
    <t>Tomas Bayona</t>
  </si>
  <si>
    <t>614</t>
  </si>
  <si>
    <t>guarde &amp;c. Castillo de S. Fernando de Figueras 18 de abril de 1811.— El barón de Eróles.— Sr. D. Juan Antonio Martines.” Extracto del parle dado por D. Tomas Bayona, comandante del xabeque Santa Faz , sobre lo ocurrido en los dias 26 y ^ de abrilentre sus fuerzas y las del enemigo en hs Alfaques. “De resultas del plan acordad…</t>
  </si>
  <si>
    <t>Bazan, Andrés</t>
  </si>
  <si>
    <t>Andrés Bazan</t>
  </si>
  <si>
    <t>Gazeta de la Regencia de España e Indias n.º 112</t>
  </si>
  <si>
    <t>897</t>
  </si>
  <si>
    <t>l convento á todos los enemigos.— E;¡ esie estado fué forzoso para sacarles del edificio *1 in­ cendiarlo , lo cual realizó el fegonier© de la legión D. Andrés Bazan. r* b-J tora Laíon en seguida en las eras, donue se defendiere "5 ¿iOS'ene&amp;igOj</t>
  </si>
  <si>
    <t>Bcgines</t>
  </si>
  <si>
    <t>370</t>
  </si>
  <si>
    <t>s españoles, -las compañías del de instrucción y el déstacánientó de Carabinero.? reales /sostenidos por' la valiente infuifcrl i de lá división del ‘brigadier Bcgines , maniobraron con extraordinaria pericia y denuedo., se­ ñaladamente la columna mandada por el bizarro brigadier D Juan de lá Cruz Mourgeon.. Estas tropas se d…</t>
  </si>
  <si>
    <t>Bck</t>
  </si>
  <si>
    <t>a sucesos de Valencia basta el 5. Estos ¿'O lea presentaban el mejor aspecto por la obstinada resisten­ cia del c&amp;gtiiío de Murvieáro, y. bailarse el general Bck;? con fuer­ zas muy respet&amp;btes; no siendo de menos consecuerada la rapidez con qoe hi.bisn invadido el Aragón las parddas reunidas , apode­ rándose de tes guarnicio…</t>
  </si>
  <si>
    <t>Bckwith</t>
  </si>
  <si>
    <t>440</t>
  </si>
  <si>
    <t>el qual en todas las o misiones se portó muy bien. Era imposible que oficiwl alguno se pudiese conducir con mas ha­ bilidad, valor y bizarría que ei coronel Bckwith. La acción princi­ pió por uno de aquellos acontecimientos inevirablos, ¿t que están su­ jetas todas las operaciones; pero una vez principiada hubiera sido imposi…</t>
  </si>
  <si>
    <t>Bclan, Antonio</t>
  </si>
  <si>
    <t>Antonio Bclan</t>
  </si>
  <si>
    <t>Hidalgo, ex - gener¿ lí d m o. D. Mariano Be­ lleza, teniente general. D. Francisco Olmedo. D. Nicolás Nava. Don desé María Salqido. D. Antonio Ruiz. D. Antonio Bclan. D. Ignacio Hidalgo. Seculares. D. Ignacio Jo*é Allende, generalísimo. D. Mariano Xiroenez, capitán general. D. Juan de Aldama, teniente general. D; Manuel Smta…</t>
  </si>
  <si>
    <t>Bcrckeim</t>
  </si>
  <si>
    <t>Gaceta de Madrid n.º 309</t>
  </si>
  <si>
    <t>el aparato teatral que 1» y 8 papes, y detras un piquete de 2S granaderos corresponde : seguirá el bolero á tres; y se dará fin con de á caballo: el general Bcrckeim al frente de los un divertido sainete. EN LA IMPRENTA REAL.</t>
  </si>
  <si>
    <t>Bcresford</t>
  </si>
  <si>
    <t>Gazeta de la Regencia de España e Indias n.º 53</t>
  </si>
  <si>
    <t>411</t>
  </si>
  <si>
    <t>o los primeros : á dss de ellos que no pudieron seguir la marcha, los arcabucearon en cJ cánamo. Cádiz, 19, &gt;de abril'yifiy^noúÁüs de i cxcrcito. del general Bcresford hasta el 14 dehcorriente. Sus.-avanzadss llegaban á Santa Marta. Se­ guía el sitio de Oh*venóla ,t «cuya guarnición , compuesta de 300 hom­ bres se rendirla pr…</t>
  </si>
  <si>
    <t>78</t>
  </si>
  <si>
    <t>ballería portugne. sa que se halla aquí con este exército , en cambio de una briga­ da de caballería británica enviada á servir en Extremadura con el mariscal Bcresford : á la que dió motivo el no haberse .realizado las medidas adoptadas para proveer con regularidad loe caballos de forrages , y los soldados de víveres, en el …</t>
  </si>
  <si>
    <t>Bcresíbrd</t>
  </si>
  <si>
    <t>s que mania , y por estar aqui enteramente parado el co­ aun quando tengan que ausentarse de sus casas, mercio. no será por mucho tiempo.” ESPAÑA. El mariscal Bcresíbrd ha mandado qoe se co­ munique la órden del dia siguiente á todos los ofi­ Madrid i¡ de marzo. cia es comandantes de cuerpos de nuestro exér- Extracto de las m…</t>
  </si>
  <si>
    <t>Bcrructa, Andrés</t>
  </si>
  <si>
    <t>Andrés Bcrructa</t>
  </si>
  <si>
    <t>dem.............................................. D. Hilario Peralta. muchos hai que realizan el adagio que dice: A rio re­ Idem..................... D. Andrés Bcrructa. vuelto ¡anancla de fescadores. No ignoro que vmd. y Subteniente.................................. D. Juan Ignacio Noain. sus principales oficiales están exén…</t>
  </si>
  <si>
    <t>Bcrtiford</t>
  </si>
  <si>
    <t>720</t>
  </si>
  <si>
    <t>aba de la parte del norte al lotd WclüngtoD con un refuerzo de t z9 hombres, qu* Una fragata inglesa ha intentado apoderarse dó debiau jumarse con el mariscal Bcrtiford.” un xabeque cargado por cuenta del gobierno, que estaba anclado en el golfa de Rotta. -SUIZA.. A las once de la mañana del dia 12 le faltó el viento, y se ha…</t>
  </si>
  <si>
    <t>Bctuel</t>
  </si>
  <si>
    <t>Gaceta de Madrid n.º 16</t>
  </si>
  <si>
    <t>62</t>
  </si>
  <si>
    <t>mprendedora, las quales estaban en muüicar con la Belona. A mas de las once de la oo­ inacción por varias razones que yo tenia: le man­ che volvió el alférez Bctuel, quien me traxo la dé también que hiciese á roda prisa ios preparati­ desagradable noticia de que el capitán Duperré har vos necesarios para disponer estos quatro…</t>
  </si>
  <si>
    <t>Bdrandalla, Temas</t>
  </si>
  <si>
    <t>Temas Bdrandalla</t>
  </si>
  <si>
    <t>que se han distinguido, deban con­ tarse, ademas de los mencionados anteriormente, ios capitanes Dm Cándido Crespo y D. Florencio Barona, el teniente D. Temas Bdrandalla, el capitán de Cariñena D. Antonio Hernández, y el tenien­ te del segundo de línea de Soria D. Justo Hernández, que fué herido. Nuestra pérdida ffte de 4 mue…</t>
  </si>
  <si>
    <t>Be, Mariano</t>
  </si>
  <si>
    <t>Mariano Be</t>
  </si>
  <si>
    <t>do Conde, franciscano. Fr. Gregorio de la Concepción, carmelita. Fr. Pedro Bastamante, mercenario. Clérigos. D. Miguel Hidalgo, ex - gener¿ lí d m o. D. Mariano Be­ lleza, teniente general. D. Francisco Olmedo. D. Nicolás Nava. Don desé María Salqido. D. Antonio Ruiz. D. Antonio Bclan. D. Ignacio Hidalgo. Seculares. D. Ignaci…</t>
  </si>
  <si>
    <t>Be, Pascual</t>
  </si>
  <si>
    <t>Pascual Be</t>
  </si>
  <si>
    <t>onso. Tercero, D. Tomas Manzanar-?, D. Jocó Yszquez Rdova, D. Juan Amar, D. Francisco García, Dan Mu» tía Arrute ? D Juan García, D. Antonio Salgado. D. Pascual Be caria, v ÍJ. José Y^zquez Yarela; subtenencias á D. Manuel de los Ríos, D. Pío Tona, D. Juan Medrana, D. Cristóbal Sánchez, D. Pssdro Alvares:,.D. Cipriano V'dal.,…</t>
  </si>
  <si>
    <t>Beas, Josef</t>
  </si>
  <si>
    <t>Josef Beas</t>
  </si>
  <si>
    <t>Gaceta de Madrid n.º 26</t>
  </si>
  <si>
    <t>s honoríficos á un des­ Para capitán de la quarta compañía á D. Fer­ canso , ó á unos trabajos á que no están ya acos­ nando de Beas; para teniente á D. Josef Beas, y tumbrados. para subteniente á D, Pedro Prado. Estos valientes militares satisfacen voluntaria­ Para capitán de la primera compañía á D. Fer­ mente de este modo,…</t>
  </si>
  <si>
    <t>Beas, Juan</t>
  </si>
  <si>
    <t>Juan Beas</t>
  </si>
  <si>
    <t>este modo, y por un tiempo que regu­ nando Cabrera en reemplazo de D. Joaquín Ibarra; larmente comprehende toda la duración de su vi­ para teniente á D. Juan Beas en la vacante de Don da , la deuda de una parte de sus conciudada­ Fernando Cabrera, y para subteniente á D. Pedro nos, al mismo tiempo que forman en todos los Sánc…</t>
  </si>
  <si>
    <t>Beaussety</t>
  </si>
  <si>
    <t>as ycogr íicas Gornelissen, caballerizos de S. M.; el barón Cos- del mar Mediterráneo, y de la Carta que se publica taz, intendente de la corona ; el barón Beaussety baxo la dirección de D. Isidoro Antillon en Valencia, prefecto de palacio; los aposentadores conde de 18 11: un quaderno en 4.0 Se hal la en la librería de Pé­ S…</t>
  </si>
  <si>
    <t>Becerra</t>
  </si>
  <si>
    <t>Gazeta de la Regencia de España e Indias n.º 20</t>
  </si>
  <si>
    <t>160</t>
  </si>
  <si>
    <t>ado al Burgo un gran número de heridos. E. daú &gt; pie hizo el enemigo en Igualeja, fue incendiar dos molínos de pan , dos casas, las puertas de la del comandante Becerra, y la pólvora de 40 tiros de metralla. El cuerpo de JUtán llegó á las 7 y media de la mañana'del 5 á este .pueblo , decide estabm los patriotas de Casares y l…</t>
  </si>
  <si>
    <t>Becerra, Diego</t>
  </si>
  <si>
    <t>Diego Becerra</t>
  </si>
  <si>
    <t>87 y 5. Ramón Va­ lero , 200. El alguacil mayor I). Manuel Hernaiz, 3700. Antonio Hernández, 60 y 6 rs. D. Jaime Ravasa, £0. O. Gí-rarJa Tejedor, 29, D. Diego Becerra, 100. D. Domingo Duran, 953. D. Pedro Pablo de León, 100.-Francisco'Yebovich, 100. CADIZ : EN LA IMPRENTA REAL.</t>
  </si>
  <si>
    <t>Becerra, Francisco</t>
  </si>
  <si>
    <t>Francisco Becerra</t>
  </si>
  <si>
    <t>10. D. José Pallan, 10. D. Juan Cabrera, 10. D. Juan Iriarte , 10. D. Agustín Costa, 10. D. Agustín Riera, 10. D Rafael Tomas, 10. D. Juan Puig, 10. D. Francisco Becerra, 10. Antonio Ordz , 10. D. José Espinosa, 10. Doña Rita Viñas , 10. Tomas Herrera , 12. D Juan Ibas , 10. D Francisco Pé­ rez Díaz , 10 D. José Cabrera , G. …</t>
  </si>
  <si>
    <t>Becerra, Juan</t>
  </si>
  <si>
    <t>Juan Becerra</t>
  </si>
  <si>
    <t>e ade­ lantó al Almargen , en donde se les opusieron las compañías de g anaderos y cazadores de Ronda , la infantería de Marbella , y el coman­ dante D. Juan Becerra con algunos patriotas. Este movimiento esta­ ba combinado con la guarnición de Ronda , que al amanecer del dia 4 se hallaba en la avanzada de Pugerra. Ya sobre P…</t>
  </si>
  <si>
    <t>Beckiwithy</t>
  </si>
  <si>
    <t>43</t>
  </si>
  <si>
    <t>egimiento 45 mandado por el mayor Palrickon se disíingti’ómuy particularmente así como aquella.parte del regimienro 95 que se halla en la brigada del coronel Beckiwithy mandada por el mayor Gilraour, y los cazadores del mando del coronel Eider. — El primer batallón del regimiento 52 , mandado por el teniente coro-</t>
  </si>
  <si>
    <t>Beckwith</t>
  </si>
  <si>
    <t>447</t>
  </si>
  <si>
    <t>milla mas arriba del Sabugal ; la quinta di­ visión, mandada por el mayór general‘Dunlop , y la artillería per él puente del Sabugal. La brigada del coronel Beckwith , perteneciente á la división li­ gera , fué la primera que pasó el Coa con dos escuadrones de caballe­ ría sobre la derecha : quatro compañías del regimiento 95…</t>
  </si>
  <si>
    <t>Bedoya, Antonio</t>
  </si>
  <si>
    <t>Antonio Bedoya</t>
  </si>
  <si>
    <t>Eduardo Anchori , presbítero, 1(K). I). Antonio y D. José Matías E'lizalde, 4000. E¡ cirujano D. José de Avi­ la , 200. Ei conde de S. Isidro , 500. D. Antonio Bedoya , 102. 1). Manuel García de ia Plata, 1000. D. José Ulle, 10J. E! conde de Monteblanco , su espesa, v su hijo el conde de Montemar, 4000. Real cuerpo de artille…</t>
  </si>
  <si>
    <t>Bedoya, Pedro</t>
  </si>
  <si>
    <t>Pedro Bedoya</t>
  </si>
  <si>
    <t>rea aduana , 6900. D. Ignacio Gutiérrez de Ceüs , cabo principal déla compañía de ajámeles de a caballo, por sí y en nombre de dicha compañía, 3000. D. Pedro Bedoya , 400. D. Joaquín Diaz del Valle , 100. En la Isla de León. — D. Manuel de Cabiedes, 10000. D. Manuel Martí­ nez Conde , 3000. D. Domingo del Rio, 2500. D. Manuel…</t>
  </si>
  <si>
    <t>Beekwith</t>
  </si>
  <si>
    <t>a en dos batallones del regimiento 56 y del primero de ca­ zadores. Estas tropas rechazaron al enemigo , y abanzaren otra vaz sobre él: la bbgada del coronel Beekwith, y el batallón del regimien­ to 52 , fueron atacados nuevamente por otra columna que traía eabaiiería, y cargaron la derecha de nuestras tropas. Esto las hizo t…</t>
  </si>
  <si>
    <t>Beg</t>
  </si>
  <si>
    <t>da en gran veneración entre los árabes. Los wuhactdíffiefés aV isramismo, se adelanto con Mohám- bitas robaron las alhajas y los adornos preciosos iB«d Beg, gefe de éstos últimos, y que debía ser­ que habla en los lugares sagrados ; pero respetaron vir de guia'-pita la expedición. El 'exército pepe— \¿caba: declararon que era…</t>
  </si>
  <si>
    <t>Begines</t>
  </si>
  <si>
    <t>PDF p. 9</t>
  </si>
  <si>
    <t>se dexaba ver por otro punto. A este fin , y de acuerdo con el general Graham , dispuso quedase en el cerro de la Cabeza del Puerco ,1a división del brigadier Begines compues­ ta entonces del regimiento de Sipümza, y Cantabria, á que se unieron un ba­ tallón. inglés , los de Ciudad-Real y guardias Walonas , pertenecientes á l…</t>
  </si>
  <si>
    <t>Beilegarde</t>
  </si>
  <si>
    <t>Gaceta de Madrid n.º 129</t>
  </si>
  <si>
    <t>tersburgj con el título de Nuestra g zjta mini'terial ha anunciado la lle­ secretario de emb.xada. gado á Vie &gt;a uel cond Nicolai, gentilhombre de El conde Beilegarde, prenderte del consejo d« S. M. e Emperador Napoieon, con pli egos que Guerra, recorrerá y visitará, tegun se dice, algu­ contienen la invitación hecha á nuestr…</t>
  </si>
  <si>
    <t>Bel, Juan Jo'ef</t>
  </si>
  <si>
    <t>Juan Jo'ef Bel</t>
  </si>
  <si>
    <t>moi la conducta de los convencionislas ó católi­ D. Juan Jo'ef Bel. cos Si sos asambleas estaban prohibidas por Ja lei, Teniente agregado D. Vicente Lozano. es inexcusable su ohsrinaciún. Si la prohibición era art. iv. Nuestros ministros de lo Interior dud</t>
  </si>
  <si>
    <t>Belarmiuio</t>
  </si>
  <si>
    <t>Gaceta de Madrid n.º 113</t>
  </si>
  <si>
    <t>n de constar por ex­ crianza; otro una colcc.ioa de exemplos, falsa­ posición y certificación que los prelados diocesa­ mente atribuida ai respetable cardenal Belarmiuio, nos dirijan á Nos por medio de nuestro ministro mui adequad* para henar las tiernas cabezas de fa­ de N -gocios eclesiásticos. tuidades y de terrores pánico…</t>
  </si>
  <si>
    <t>Beldard</t>
  </si>
  <si>
    <t>710</t>
  </si>
  <si>
    <t>ncipa, el muy -humilde y obediente servidor. — Au­ gurio Bclliard. —Madrid 4 de mayo de 1811. Copia. — Martiniere, capitán del regimiento 28 , al Sr. general Beldard. Mi general: un destacamento de mi guarnición que se vol* vin de Guadarrama de escoliar á us coronel del estado mayor, fué</t>
  </si>
  <si>
    <t>Belgrano, Manuel</t>
  </si>
  <si>
    <t>Manuel Belgrano</t>
  </si>
  <si>
    <t>1073</t>
  </si>
  <si>
    <t>Pero.á instancias del parlamentario, Manuel Cabañas, comandante de las fuerzas del el xerife le prometió dexar salir 11 de estos barcos, Paragu ó, y D. Manuel Belgrano, comandante de luego que él se retirase. Con esta noticia, el café Ja? de Buenos-Aires, fechas en el campo de bata­ que habí.» subido mucho de precio ha vuelto…</t>
  </si>
  <si>
    <t>Bellanger, León de Sagasseñores</t>
  </si>
  <si>
    <t>León de Sagasseñores Bellanger</t>
  </si>
  <si>
    <t>osileros AVISO. Nuclers , Berthier y Jacquiet, todos del regimien­ to f8.°; y los ayudantes subalternos Ponthier; los A virtud de providencia del $r. D. León de Sagasseñores Bellanger, Narailte, capitanes; Gagon, ta, caballero de la Orden Real de España, juez de pri­ ayudante mayor, todos tres del regimientos $5.°; mera insta…</t>
  </si>
  <si>
    <t>Belliard</t>
  </si>
  <si>
    <t>e que sirven de guarida á los bandidos. Lo cual prueba que no es tanta la tranquilidad interior de Andalucía 5 como habían dicho hasta ahora. .... El gobernador Belliard, acompañado de vanos ingenieros, ha re­ conocido el terreno hacia la Fuente Castellana. Se traía de formar un campamento entre Fuencarral, Ifortalcza 3’ Cham…</t>
  </si>
  <si>
    <t>Belt, Pequeño</t>
  </si>
  <si>
    <t>Pequeño Belt</t>
  </si>
  <si>
    <t>Gaceta de Madrid n.º 315</t>
  </si>
  <si>
    <t>dado órden portes á juntarse con la esquadra la Repulsa , ca­ ninguna capaz de ocasionar la ocurrencia con el pitán Mowbrai, y el bergantín Toscano, capitán Pequeño Belt; y ha consentido en qne se forme Juan, que habia [legado á Gibraltrar con un con- un consejo de guerra para examinar la condocta voi; que habia sido enviada …</t>
  </si>
  <si>
    <t>Beltran, Josef de Loque</t>
  </si>
  <si>
    <t>Josef de Loque Beltran</t>
  </si>
  <si>
    <t>gustín Tavira, ayudante segundo, á ca­ Subtenientes. pitán de la séptima comoañía. D. Juan Josef de Ulloa. D. Manuel García S¿nz, sargento primero, á D. Josef de Loque Beltran. subteniente de la quinra compañía. D. Francisco de P iula deVárga*. D. Ramón García Casrriiloo, sargento prime­ D. Joaquín Fernandez Tcxeiro. T ro, á …</t>
  </si>
  <si>
    <t>Beltran, Josef Manuel</t>
  </si>
  <si>
    <t>Josef Manuel Beltran</t>
  </si>
  <si>
    <t>r........... 2200 en Parla , por................................................. 2200 D.JosefPrieto,id. ,rcsidentecnUgena ,por 2200 Rs. vn.... 55000 D. Josef Manuel Beltran , id., residente en Madrid , por............................................. 2200 ■ art. 11. El tesoro público deberá satisfacer á cada D. Antonio Alfag…</t>
  </si>
  <si>
    <t>Beltran, María Ignacia García</t>
  </si>
  <si>
    <t>María Ignacia García Beltran</t>
  </si>
  <si>
    <t>........................................... 2200 Doña Manuela Saez Martínez, id., por.. 2200 D. Sabino Zapatero, id., por..................... . 2200 Doña María Ignacia García Beltran , id., D. Antonio González Cañada, id., resi­ por.. ................................................................. 2200 dente en C almenarej…</t>
  </si>
  <si>
    <t>Beltran, Matías García</t>
  </si>
  <si>
    <t>Matías García Beltran</t>
  </si>
  <si>
    <t>Gazeta de la Regencia de España e Indias n.º 93</t>
  </si>
  <si>
    <t>la guerra, 45. E! regidor D. Joaquín de Herrera, á cuenta de su oferta de mantener G soldados durante la guerra , 27. Lie. D. Silvestre García, 300. D. Matías García Beltran , vecino del partido de Al quizar, 125. D. José Suarez Masías , 17. El capitán de dragones D. Andrés de Alvear , 30. La com­ pañía urbana del rea! consul…</t>
  </si>
  <si>
    <t>Beltran, Ramón</t>
  </si>
  <si>
    <t>Ramón Beltran</t>
  </si>
  <si>
    <t>0. D. Domingo de Heras, 1000. D. Martin Irazoqui, 400. D. T. B, 500. D. Pablo Riera, 500. D.» Antonio de Alsazua, 1000. D, Barto­ lomé Santa!6 , 300. D. Ramón Beltran, 160. D. Juan Whitte , 500. D. Miguel Boldíi, 200. D. Juan Imbert, 40. D. Juan Sans de Sto. Domingo, 200. D. Jo­ sé Gordoa, diputado en Cortes por América, 2000…</t>
  </si>
  <si>
    <t>Bemal, Juan</t>
  </si>
  <si>
    <t>Juan Bemal</t>
  </si>
  <si>
    <t>r­ go uno de los cánones de vanguardia ; á D. José Portillo , también vo­ luntario, que se empleó en el servicio &lt;ie la artillería ; al guarda-parque D. Juan Bemal, al sargento primero Santiago Aguirre, yr.al cabo se­ gundo Santiago Urbina que se distinguieron por su actividad. Los escuadrones de lanceros del mando del capitá…</t>
  </si>
  <si>
    <t>Bembeley</t>
  </si>
  <si>
    <t>n dicho general tres oficialas ingleses , que fueroa conducidos aquí el 28 de enero por unos ayudantes de Missena. Uno de estos oficiales es hijo del conde Bembeley y sobrino del duque de Northumberiand : hace tiempo que ios hicieron prisioneros , y Massena no ha querido cange arlos. Las cartas de Vizcaya refieren que la part…</t>
  </si>
  <si>
    <t>Bendicho, Francisco León</t>
  </si>
  <si>
    <t>Francisco León Bendicho</t>
  </si>
  <si>
    <t>s sobre esta materia. Marinas he aquí ia que era de la junta criminal extraordinaria de Má­ necesidad y el deseo de la gran nación. Este sen­ laga; á D. Francisco León Bendicho; oidor y go- timiento nacional de los franceses, que se ha pro­ ber» dor de la rala del crimen de Granada, para pagado de generación en generación y d…</t>
  </si>
  <si>
    <t>Benedito, Jorge</t>
  </si>
  <si>
    <t>Jorge Benedito</t>
  </si>
  <si>
    <t>Gazeta de la Regencia de España e Indias n.º 65</t>
  </si>
  <si>
    <t>518</t>
  </si>
  <si>
    <t>Hijpr, 3000 varas de patío para capotes á la trópla , porque no ha conseguido, dice la orden: dada per el mhmo S ichst en i ° de marzo , que su hijo D. Jorge Benedito volvkse al seno le su familia (t) L -. imprub idad de obtd.cer es un crimen para est .»s monstruos que né 'ecnocen ley ninguna. Pero ¿ pesar de tantas vexack ne…</t>
  </si>
  <si>
    <t>Benedito, Vicente</t>
  </si>
  <si>
    <t>Vicente Benedito</t>
  </si>
  <si>
    <t>255</t>
  </si>
  <si>
    <t>.bra, subteniente de cazadores de PaLfbx, el comandante de caballe­ ría D. Benito Falcon y el sargento D. Santiago Tronquet* pero muy particularmente D. Vicente Benedito, subteniente del u»L-ojo cuerpo de cazadoresque destinado con 14 hombres á sorprehender ají coman­ dante franetsy su guardia, hizo derribar la puerta de ia '…</t>
  </si>
  <si>
    <t>Bengochea, Aúvnio</t>
  </si>
  <si>
    <t>Aúvnio Bengochea</t>
  </si>
  <si>
    <t>dosados á D. Pablo Jerica, de Cádiz, suplica ece ú!timo á la persona en cuyas man^s se ballet» 5 se sirva dirigí'se-os por el correo, o a 2a Coruna a D. Aúvnio Bengochea, apoderado del primero. CADIZ : EN LA IMPRENTA REAL.</t>
  </si>
  <si>
    <t>Benigno, Diego</t>
  </si>
  <si>
    <t>Diego Benigno</t>
  </si>
  <si>
    <t>Gaceta de Madrid n.º 277</t>
  </si>
  <si>
    <t>1143</t>
  </si>
  <si>
    <t>ras á enorme tasada en 9837Ó rs.: quien quisiere hacer postura acuT altura: a Veces se oye un ruido sanejante al es­ da á la escribanía del número de D. Diego Benigno truendo de 10 piezas de artillería, observándose de González. noche grandes,globos de luz y relámpagos. Yo fui á ver este espantoso espectáculo el dia 2a; y juz…</t>
  </si>
  <si>
    <t>Benitez, Antonio</t>
  </si>
  <si>
    <t>Antonio Benitez</t>
  </si>
  <si>
    <t>en pasta, 7 rs.C=Lícito recreo casero, primera y segunda pirte: D. Bartolomé Barbero Piazuelo. la primera contiene una colección de juegos conocidos D. Antonio Benitez. con el nombre de juegos de prendas, y la aeeimda cuen­ art iv. En Ja villa de P .rabal, de la misma tos y dichos graciosos. — Entretenimientos para pasar pref…</t>
  </si>
  <si>
    <t>Benitez, Xavier</t>
  </si>
  <si>
    <t>Xavier Benitez</t>
  </si>
  <si>
    <t>Cabaza'n. D. Francisco Barreda, 12. D. Ramón Imperial, 10. D. Leandro Salazar , 10. Marcelo Porras , 10. Don Juan Landeta, 12. I). Antonio Bastida y D. Xavier Benitez , 11. D. Narciso Picos y D. Ramón Barraza , 12. D. José Angulo y D. José Chaves , 12. Va­ rios individuos , 145 y 2 rs. — Nota. Ademas de las anteriores donacio…</t>
  </si>
  <si>
    <t>Benito</t>
  </si>
  <si>
    <t>abo primero del regimiento de dia de honor de Sevilla. Toledo, 2.° de infantería de línea. Yarza (D. Antonio Adan de), vecino de Bilbao. Riva y Coca (D. Benito de la), administrador de Ibañet (D. Miguel), secretario y contador de nues­ • correos de Salamanca. \ tra montería mayor. Rober (D. Ramón), secretario de nuestra real …</t>
  </si>
  <si>
    <t>ronel. art. n. Esta confirmación no perjudicará á Sarraille ( D. Juan M ria ), subprefecto de Lacena. tercero ni á los derechos del estado. Semprun ( D. Benito), deande ia santa iglesia ca­ art. 111. Nuestros ministros, cada uno en la tedral de Valladoiid. parte qae le toca, cuidarán de la execucion del Serrano (D. Pedro), ti…</t>
  </si>
  <si>
    <t>890</t>
  </si>
  <si>
    <t>a y un cabo de caballería he-: nidos ; 3 caballos muertos y 5 heridos. S.-g sió Morillo su marcha para Hmoj^sa , Morder ubio, Zalamea de la S¿istia y D. Benito, en donde supo el 29 por la noche que los enemigos en número de 2390 infantes, 300 cubados y 2 pedreros, habían entrado á las 3 de la tarde en Custuera siguiendo sus p…</t>
  </si>
  <si>
    <t>ta.5, O. Cirios S-Jdos y D. Alberto Urbiaa; ayudantía á Don Jtaé Mo-renG; tenencias 3 D. José Mosquera, D.B ¿as Feynador, D. José Vui, D. Jcsé Petan, D. Benito (Grabarre, D. José Pruna, id. Fernando Oríiz, D. Francisco Atonso, D. Antonio VaUscillo, D. José Velas-"ío y, J&gt;. José Armada; subtenencias á D. Santiago de Armas , D.…</t>
  </si>
  <si>
    <t>Gazeta de la Regencia de España e Indias n.º 147 (extraordinaria)</t>
  </si>
  <si>
    <t>1231</t>
  </si>
  <si>
    <t>ores y la columna del'coronel Espino dispersado la de equipsges, y forzado á los dragones de su escolta á abandonar el canino de Metida y tomar el de D. Benito, yo avancé con la segunda línea, mateando que to­ cos ks prisioneros se conduxesen y enviajen á la caballería de in er­ va , presentando ei coronel D. Juan Downié 200 …</t>
  </si>
  <si>
    <t>ndo del conde de Pcime ha pasado á Cáceres, donde pemanece, y f l brigadier Morillo con la infantería á Montanches.— E’ generyS Giraid pudo arribar á D. Benito. — Los enemigos haa vu lto á Méiida en f uerza de 2 i 3000 hombres, según las mejores noticias. ARTICULO DE OFICIO. El Consejo de Regencia se ha servido expedir el dec…</t>
  </si>
  <si>
    <t>destacamento del regimiento 75.* y dos ros, ex-carmelita calzado. granaderos se emboscaron esperando á que los pri­ Para la de Pampaneira y Bubion á D. Benito sioneros saltasen ea tierra; quando vieron que es­ García, ex-basilio.</t>
  </si>
  <si>
    <t>Benito, Juan</t>
  </si>
  <si>
    <t>Juan Benito</t>
  </si>
  <si>
    <t>ros vecino de la referida villa; 800..D. Bernabé Sán­ chez, de la misma vecindad , 175, D._ Jopé BernaJ,Kid. GJO.. j). .Ignacio.de Baraorva, id. 750. D. Juan Benito,González , tementmde gqbefiaíidQp de la. mis«, ma, 12Ó. D. Juan de Aguilar, intqndeAte., de ex.ér.cito .y real Hacienda, los ge fes de las offc mas y sus dependie…</t>
  </si>
  <si>
    <t>Benito, Miguel</t>
  </si>
  <si>
    <t>Miguel Benito</t>
  </si>
  <si>
    <t>ef Napoleón por la gracia de Dios y por la D.Mauricio Pimienta, id. id.,por............... 2 200 constitución del estado, REI de las Españas y de las D. Miguel Benito, id. id., por..................... 2 200 Indias. D.Casto de Medina, id. id. , por............... 22CO En conformidad i nuestros decretos relativos á las D. Seeu…</t>
  </si>
  <si>
    <t>Benningsen</t>
  </si>
  <si>
    <t>olcn» que mandaba los bricks Loílaod, Guerra. El general Steínheil, antiguo gefe del es­ Kiel y Langeo, ha recobrado dos bnqoes de. la tado mayor del general Benningsen, ha vuelto 4 Jutlandia cargados de trigo, y que habiao sido ser empleado en el exército de Turquía. apresados por on cúter ingles. El capitán Holm persiguióal…</t>
  </si>
  <si>
    <t>Bentivoglio, Carlos</t>
  </si>
  <si>
    <t>Carlos Bentivoglio</t>
  </si>
  <si>
    <t>auxiliar las intenciones la patente, y S. E. el conde Wallis ha recibido y proyectos del gobierno. de S. M. poderes mui amplios para allanar todos El conde Carlos Bentivoglio, de Ferrara, gen­ los obstáculos que puedan oponerse á su execo- tilhombre de S. M. , ha establecido en el depar­ cion , y para castigar á los malévolos…</t>
  </si>
  <si>
    <t>Ber</t>
  </si>
  <si>
    <t>679</t>
  </si>
  <si>
    <t>c3 de cuya accin.a se redro en buenó ¿den antes de sur,atacado por la infantería que salió decan­ ta Cd. ti «.a er¿ auxUo ex la descubierta. E; mismo sargento Ber*í?.rJo ¿&amp;kat»ria, con unía corta partida se aproximó é Beivavente «1 la tarde del 20 de mayo, i tiempo- que la guarnición francés» se hallaba haciendo el exerdeio, …</t>
  </si>
  <si>
    <t>a com­ pañía , y una fragata. rentas de Madrid y su provincia. ,,E1 9 de agosto entré en la zona tórrida por los 6 Por decretos de 24 y 2 5 del mismo D. Ber­ grados de longitud; y el 21 corté la línea equinoccial nardo Esquive! ha sido nombrado prefecto de la por los 13 grados. En fin, el 15 de agosto apresé un prefectara de …</t>
  </si>
  <si>
    <t>Bercsfbrd</t>
  </si>
  <si>
    <t>s los primeros dias de otoño no se puede blicado en el Brasil los condados del lord Wellirg- cruzar ya, se acercó ei du 17 al puerto de Tte— ton, dei mariscal Bercsfbrd y del brigadier gene­ mali con un bersantin , el qu.l destacó varias bar­ ral Sóveira , se han publicado otros 120; y no pa­ cas para que rebasen y saqueasen …</t>
  </si>
  <si>
    <t>Bere</t>
  </si>
  <si>
    <t>401</t>
  </si>
  <si>
    <t>que se h-d’a si-iada desde ayer. Hace 4 dias que los enemigos sorprehendieron á una legua de Olívencía una gran guardia de caballería inglesa í y el general Bere: fiord estuvo también en riesgo de caer prisionero al tiempo de ir á hacer un reconocimiento. La caballería española ha *orp ehendiio en el Montijo una partida de 15…</t>
  </si>
  <si>
    <t>rimero hablan llegado de Lisboa 3 caño­ nes de á 8 y un obús, que soa parte del numeroso tren de artillería que viene marchando j y se asegura que el mariscal Bere¿ford ha re­ cibido 8® hombres de refuerzo. Este genera! estaba en Tala veril Ja , el general Castaños en Mérida, el conde de Peone en Zafra, y el briga­ dier Moril…</t>
  </si>
  <si>
    <t>Bereifcrd</t>
  </si>
  <si>
    <t>443</t>
  </si>
  <si>
    <t>españolas los siguieron tan de cerca que c gieron unos 150 prisionero?. Nuestras tropas se han por­ tado bizarrí si mámente, yá teda satisfacción del mariscal Bereifcrd, co­ mo éi mismo dice , habiendo sido muy considerable la pérdida del ene­ migo. Ei conde de Pem:e,que se hallaba con el resto de su caballería á la inmediaci…</t>
  </si>
  <si>
    <t>Bereitgtier, Akonio</t>
  </si>
  <si>
    <t>Akonio Bereitgtier</t>
  </si>
  <si>
    <t>., D. Gaspar Surianor, D. Pablo Lozano, D. Ciato.Eguimbái, y D. Fabián Mantilla; y subtenr notes á D. Juan'Psu*»!», D. J«&amp;é A ios'Ós , D. Pedro Lí/ó, D. Akonio Bereitgtier, D. «José- Cueva?, D. Jasé S&amp;rnpér, D. Aídolu» Forrar, D. Bjrnabó Vda, D. y ícen­ te N¿ñaz Cortes, O. Alfonso • C Jbach* * D. José QaFós López, D. JáL&amp;íi P…</t>
  </si>
  <si>
    <t>Berengoer</t>
  </si>
  <si>
    <t>, é in­ Várgas (D. Francisco de), mariscal de campo. tendente de exérclto honorario. Vinuesa (D. Josef María de), administrador de Dauiz y Guendica (D. Berengoer), coronel retira­ bienes nacionales de la provincia de Soria. do , caballero que fue de la orden de Cárlosut. Widerman (D. Jorge), ayudante del regimiento Dupin ( D.…</t>
  </si>
  <si>
    <t>Beres</t>
  </si>
  <si>
    <t>441</t>
  </si>
  <si>
    <t>ente, avisa que des­ pués de comunicar las correspondientes órdenes para el movimiento que debía executar el quinto exército según lo acordado con el mariscal Beres ford , se dirigió el dia 4 el brigadier conde de Penne con 4C0 ca­ ballos sobre el Monrijo, y al mismo tiempo un batallón ligero de ca­ talanes al Villar del Rey …</t>
  </si>
  <si>
    <t>Beresfbrd</t>
  </si>
  <si>
    <t>550</t>
  </si>
  <si>
    <t>resultados que ha producido la -gloriosa batalla' de la Albuhera , en que por conseqiieneia de aquél prinoi-» pío tomó el mando el acreditado y-digno mariscal Beresfbrd., A la primori noticia q re se tuvo de la venida del mariscal Sonlt sobréExtremadura , dispuso el Sr. BLtke el* moviínieafeo de reunió». de-sus tropas'con’ la…</t>
  </si>
  <si>
    <t>Beresfiord</t>
  </si>
  <si>
    <t>abido movimiento alguno de importancia en el exército ene­ migo, .d.-s le que dirigí á V. £. mi anterior ofiJo can fecha de. 2 del coméate.” Pane del mariscal Beresfiord á lord JFellingion. Chamusca y di febrero de i #i 1. Miíord : tengo la- honra de pasar á V. E. 1¿ rela­ ción del teniente coronel Grar.t , á quien hace sigan…</t>
  </si>
  <si>
    <t>Beresforcl</t>
  </si>
  <si>
    <t>554</t>
  </si>
  <si>
    <t>554 disputar ai 'general Beresforcl esta preferencia , sin indicar las otras que reúne en sú persona , no debía ocurrir la menor duda , no solo para el caso expresado de la bit ¿illa , sino para los demas que puadan presenfai’se mientras estem</t>
  </si>
  <si>
    <t>Beresford</t>
  </si>
  <si>
    <t>ento por Mr. Barre!, secretario de la socie­ zado con ro regimientos qae han ▼enido de Purt— dad de medicina de esta ciudid, contiene hechos hete. El general Beresford ha visco estas'tropas en interesantes sobre los progresos de la v¿cuii.. Cer­ el momento mismo en qae se reunieron con el ca de 6c© personas de este departamen…</t>
  </si>
  <si>
    <t>Gazeta de la Regencia de España e Indias n.º 43</t>
  </si>
  <si>
    <t>321</t>
  </si>
  <si>
    <t>de se dirigía sobre Cab zos: que la iz­ quierda , que habia entrado en Leiria, se había adelantado h cía Poníbal; y que la derecha, á las órdenes del mariscal Beresford, ma-chaba hácia Abrantes para estar en observación del camrio de CastcíloBranco ; y que en su consecuencia los francesas que estdb n ya á la otra orilla del C…</t>
  </si>
  <si>
    <t>Gaceta de Madrid n.º 92</t>
  </si>
  <si>
    <t>el 18 deí corriente. Ya empieza á verse el plan combinado que bao adoptado *os franceses para las B AVIERA. dos orillas del rio. Hemos dichoya que el general Beresford se había apostado en la orüia del medio­ Munich 35 de febrero. día con un cuerpo respetable para Impedir que lle­ Días pasados se publicó aqui ona descripción …</t>
  </si>
  <si>
    <t>Béresford</t>
  </si>
  <si>
    <t>yer entré Campomayor y Badajoz que­ daren muertos 500 soldados de cabaüeiía enemiga, y abandonad es 24 cañones que conducían. Del 31. Et exérciro del mariscal Béresford no fia pasado aua el Guadiana : pero se advierten' preparativos ¡para e]ló.’ Cortina 1 3, de. manso. El mes pasado arribo át "puerto de Vivero, proce 'ente de…</t>
  </si>
  <si>
    <t>377</t>
  </si>
  <si>
    <t>que me han ayudado con el mayor celo 6 inteligencia en todas las epeíaciones que refiero en este plegó, el teniente general Sir Erent Spcncer , y el mariscal Beresford á quien yo había rogado que pasase ti Tajo , y ha estado conmigo desde el dia n (d:l corriente $ los mayores generales Etskine, Campb II, Pic­ ton, Colé, Slade…</t>
  </si>
  <si>
    <t>584</t>
  </si>
  <si>
    <t>e de ella. Se ha introducido una guarnición portuguesa en esta plaza , y á pesar de su poca fuerza, tengo esperanzas de que se defenderá hasta que el mariscal Beresford la socorra. Las tropas ae su mando se halla­ rán reunidas mañana en Porcalegre. Soult se volvió á Sevilla después que tomó á Badajoz, y dicen que se vieron ce…</t>
  </si>
  <si>
    <t>nemigos, con quienes empezaron á batirse nuestros tiradores á caballo, mandados por el teniente coro­ nel D. Juan de Soto; inmediatamsrjte dispuso el mariscal Beresford que desde ¿*fia futse su caballería al encuentro de aquellos, verificando-</t>
  </si>
  <si>
    <t>445</t>
  </si>
  <si>
    <t>n dicha ciudad de Mérída está el brigadier Mo­ rillo con la infantería. Dicen que mañana pasarán por estas inmediaciones 10000 ingleses á reforzar al mariscal Beresford.</t>
  </si>
  <si>
    <t>Gazeta de la Regencia de España e Indias n.º 58 (suplemento)</t>
  </si>
  <si>
    <t>uente de Maestre, con fecha del ai del que espira, dice al Sr. gefe del estado mayor ge­ neral lo que sigue. “ Exorno. Sr. El dia 17 del corriente el mariscal Beresford eacar? gó al conde de Penne que desde Villafranca fuese con la cáballeiía es­ pañola de su mando á hacer un reconocimiento á Usagre , y aun sobre VilJagarcía,…</t>
  </si>
  <si>
    <t>e ha empezado k arruinar las obras de defensa, como yo lo tenia mandado. Esto se executaba, cuando el 24 un exército anglo-portugues , mandado por el mariscal Beresford, llegó k Arrom chesy el 25 atacó al general Latour Maubourg que prote­ gía la evacuación de Campomayor : nuestras tropas hicieron prodigios de valor , y sostu…</t>
  </si>
  <si>
    <t>r a V. E. , pues sin este obstáculo la hubiera teni­ do el 24 por ,1a noche que. me hallaba en Valverde, y á la maña­ na siguiente me entreg-ó el Sr. mariscal Beresford el oficio de V. E* del dia anterior con el memorándum, del 23 &gt; y aunque en el mo­ mento manifesté á.S. E. que me conformaba en todo con las ideas que en él s…</t>
  </si>
  <si>
    <t>as partes fue rechazado el enemigo con gran pérdida, y por fin, se vió obligado á retirarse abandonando el cam­ po de batalla y bastantes heridos. El mariscal Beresford , que mandaba en ge fe, mostró sus gran­ des talentos militares y extraordinario valor, presentándose en to­ dos los parages donde era mayor el peligro. Un of…</t>
  </si>
  <si>
    <t>591</t>
  </si>
  <si>
    <t>Sr. D. Enrique Wellesien/, ministro de S. MB. al Sr, secretario de Estado. # “ Excmo. Sr.: Me apresuro á remitir á Y. E. una copia de la car­ ta del mariscal Beresford que contiene la relación de la gloriosa ba­ talla de La Albuhera.— Incluyo asimismo copia de una carta que he recibido de lord Wellington, en que me pide dé en…</t>
  </si>
  <si>
    <t>l espero sea apreciado debidamente por la Regencia , como lo es por mí. ~— Tengo el hono? Seo.— JVellington.— Al Sr. D. Enrique Wellesley.” Parte del mariscal Beresford d lord Wellingion. “Albuhera 18 de mayo de 1811. — Milord : tengo infinita satisfac­ ción en participar á Y. S. que el exereiío aliado, reunido aquí baxo mis …</t>
  </si>
  <si>
    <t>ado por el mariscal Soult 5 y después de aa reñido com­ bate, en el cual todas las tropas se con/duxaron con la mayor bizar­ ría, salió victorioso el mariscal Beresford. E! enemig* se retiró por la noche del 17, dexando en el campo de batalla de 900 á 1000 heridos. El mariscal B?resford mandó que siguiese al enemigo la eabalí…</t>
  </si>
  <si>
    <t>620</t>
  </si>
  <si>
    <t>visiones siempre con el nombre de exército de Portugal, teule ¡ lo por c© ¡andante en grfe al duque de Ragu*;a, y en segundo al general Reg úer. — El mariscal Beresford me ha comunicado que la mayor parte de los oficiales puestos en la lista como extraviados de resultas de la acción del 16, ae han reunido después á sus regi­ …</t>
  </si>
  <si>
    <t>ablecerse para ocurrir á llas de Badajoz, en la qual los exércitos combina­ los gastos dt¡l empréstito abierto en Irlanda, y que dos, mandados por el mariscal Beresford , han per­</t>
  </si>
  <si>
    <t>la chancillería del consejo me­ del terreno hacia ventajoso este punto de ataque. nor de los grisones» escrita la nna en nombre de la Yo sabia qoe el general Beresford , comandante del parte católica de aquel cautoD , y Armada por el exército que estaba á mi vista, tenia dos divisio­ landamano Latour. „ Los católicos reconoce…</t>
  </si>
  <si>
    <t>765</t>
  </si>
  <si>
    <t>el señor Orlow, es­ talla dada en Albuera , á pocas millas de distancia tablecida en ei gobieruo de Kaluga, se trabaja ya al sud de Badajoz, entre el mariscal Beresford y con tanta perfección , que sus cristales son tan es­ el mariscal Soult , ha sido mui sangrienta. Anadea timados como los que venían de Inglaterra. El sis­ q…</t>
  </si>
  <si>
    <t>Gaceta de Madrid n.º 199</t>
  </si>
  <si>
    <t>813</t>
  </si>
  <si>
    <t>ida dia— ducir el efecto qoe se propodiífl, y qoe las medi­ rlartihñte á on gran número de personas. das del enemigo hayan tenido un éxiro feliz y El mariscal Beresford ha llegado áYelves, des­ iompleto. ,.Verdad es * dixo * que nuéstíó comer­ de dónde se disponed regresar á Inglaterra: el ge­ cio ha sufrido pérdidas consider…</t>
  </si>
  <si>
    <t>Gaceta de Madrid n.º 236</t>
  </si>
  <si>
    <t>que deba causar cuidado; pero también lo es Solas las tropas españolas. que los médicos ven con inquietud la inflamación No se duda de la vuelta del general Beresford de las glándulas , que sucede al parasismo, y qoe í Inglaterra. •subsiste aun después, de pasado el acceso. Los. do­ lores agudos que te causan les hace temer n…</t>
  </si>
  <si>
    <t>kcr ha ligado á PÜmouíh, donde debe embarcarse para la Core ña. El príncipe «regente de Portugal ha creado á lord Welli gton con­ de de Yíraieire; al general Beresford conde de Tronerso ; ai general Silveyra conde de Amarante; y al coronel Traut, giaa-cruz do la orden de la Espada. Al título de conde de Vbraieiro iba agregada…</t>
  </si>
  <si>
    <t>Beresford, Sir Guillermo</t>
  </si>
  <si>
    <t>Sir Guillermo Beresford</t>
  </si>
  <si>
    <t>S9S de congratular a la Regencia por este suceso, y expresar la satisfac­ ción con que he leído el parte del mariscal Sir Guillermo Beresford sobre la conducta de los generales, oficiales y soldados españoles durante la accioa , así como en las operaciones anteriores á ella. En mi carta de 19 del corriente envié copia de la q…</t>
  </si>
  <si>
    <t>Beresfwrd</t>
  </si>
  <si>
    <t>en Tnotnar: en consecuencia hice marchar sobre aquella villa el dia 8 un cuerpo numeroso de tropas, formado de una parte de ios cuerpos del mando del mariscal Beresfwrd á las órdenes úel mayor general Stewart, que había pasado el Tajo en Abrantes y después el Cécere, y de la quarta, sexta y parte ¿e la primera di­ visión de i…</t>
  </si>
  <si>
    <t>Bermado, Tomas</t>
  </si>
  <si>
    <t>Tomas Bermado</t>
  </si>
  <si>
    <t>, D. Martin Cariaga, D. Ramón Rienda, E). Joaquín Frayle, O. Manuel del Rio, D. Juan Peña; y ásus ayudances D. Joaquín Castañeda, D. Narciso Salinas, D. Tomas Bermado, D. Francisco Pacheco, y al cabo de voluntarios D. Juan Valdes. El enemigo tuvo de pérdida un gran número de muertos y heridos y 300 prisioneros. Por nuestra pa…</t>
  </si>
  <si>
    <t>Bermejo, Blas</t>
  </si>
  <si>
    <t>Blas Bermejo</t>
  </si>
  <si>
    <t>a división cántabra que iba en la vanguardia; el comandante de tira­ dores de Asturias D Fernando Miranda ; los oficiales heridas D. Mi­ guel Prieto, D. Blas Bermejo, D. José Franco, D. Diego Tu ñon, D. José Montoto, que no obstante su herida continuó mandando su com­ pañía hasta que los gefes le obligaron á retirarse , y D. …</t>
  </si>
  <si>
    <t>Bermudez, Francisco Angel</t>
  </si>
  <si>
    <t>Francisco Angel Bermudez</t>
  </si>
  <si>
    <t>ría del exército los empleos siguientes: En el batallón de infantería ligera segundo de Cataluña; lós de capitán primero á D. José García Orczco, y á D. Francisco Angel Bermudez; los de ayudantes á D. Francisco Torres y D. José Comin ; los de capitán sogundo á D. Fulgencio Sala y D. Toma? Ruiz; los de subteniente á O. Eztquie…</t>
  </si>
  <si>
    <t>Bermui, Federico</t>
  </si>
  <si>
    <t>Federico Bermui</t>
  </si>
  <si>
    <t>cretado y decretamos lo que Córdoba sigue : ■ Don Tomas Carrillo á «apitan de. granaderos articulo I. ¡,Se formará en la provincia de en reemplazo de D. Federico Bermui. Avila un esquadron de cazadores de montaña , cu­ art. vi. En la compañía de la villa de Peyos sueldos, gratificaciones y gobierno intciior y ñíflor económico…</t>
  </si>
  <si>
    <t>Bernabé</t>
  </si>
  <si>
    <t>Parte del coronelT). Tare natoTruxillo. “Excmo. Sr. — 151 dia 27 adquirí en Toluca por una partida de dragones que tenia .destacarla en el puente, de D. Bernabé y por mis espías, noticias que me determinaron á atacar á los insurgentes.que se hallaban en Ixtlahuaca ó en las alturas imv^Katas. Ya me halla-! ba en marcha, quarid…</t>
  </si>
  <si>
    <t>Bernadotte</t>
  </si>
  <si>
    <t>Gazeta de la Regencia de España e Indias n.º 92</t>
  </si>
  <si>
    <t>creado en S recia una nueva orden co*i el título de Cárlos XIII; se compone de 30 individuos, torios frocmasoaes, entre los que se cuenta el rey, el príncipe Bernadotte y su hijo. Ei 18 del corriente ee ha sentenciado la causa relativa al buque anglo-americano F&amp;x- y otros-.18 de-!a misma nación, declarándolos de buena presa,…</t>
  </si>
  <si>
    <t>Bernard</t>
  </si>
  <si>
    <t>Gaceta de Madrid n.º 305</t>
  </si>
  <si>
    <t>1263</t>
  </si>
  <si>
    <t>esado, y se envió inmediata­ S. M. ha manifestado su satisfacción al cuerpo de mente un expreso á Cretona para pedir refuerzos, ingenieros y al mayor general Bernard, que han porque (a guardia cívica solamente se componía de dirigido estas obras con nna actividad singular. 24 hombres. Al otro dia, antes de que llegasen los El…</t>
  </si>
  <si>
    <t>Bernardo</t>
  </si>
  <si>
    <t>stado =s Firma­ Siibela (D. Manuel), alcalde de corte, y jaez de do = Mariano Luis de Ujquijo.” la junta criminal extraordinaria de Madrid. Taberna ( D. Bernardo), tirador del regimiento Don Josef Napoleón por la gracia de Dios y Real Irlandés. por la constitución del estado, REI de las Espa­ Tellez (D. Juan), soldado inválid…</t>
  </si>
  <si>
    <t>y Tablate. G.rcía Valenzuíia. Para el de Fregenite y sus anexos Rubite y Para el de Santiago de Granada , vacante por Olías, vacante por promoción de D. Bernardo muerte'de D. Josef Alcover Higueras, al presbí­ Ramón Clavero al de los Ojijares, á D. Diego tero D. Vicente García. Coimeras, diácono. Para el del Salar, vacante po…</t>
  </si>
  <si>
    <t>Bernedei, Juan</t>
  </si>
  <si>
    <t>Juan Bernedei</t>
  </si>
  <si>
    <t>Gaceta de Madrid n.º 55</t>
  </si>
  <si>
    <t>320</t>
  </si>
  <si>
    <t>oras López y Cascante, concluyéndose la fun-' Secretario general de la prefeetnra de Mérida cion con el divertido sainete titulado el Tribunal de 1 á D. Juan Bernedei. buen gusto, en el que se cantarán varias piezas de músU Subprefecto de la subprefectura de Badajoz, ca, y se bailará el' bolero. EN LA IMPRENTA REAL..</t>
  </si>
  <si>
    <t>Bernoulli</t>
  </si>
  <si>
    <t>Gaceta de Madrid n.º 128</t>
  </si>
  <si>
    <t>fondos vitalicios. Pero los establecimientos mas úti­ ria , que después hau considerado de un modo mas les son aquellos que por medio de un corto sa­ general Bernoulli, Monttnort, Moivre y algunos crificio de sus rentas se asegura la existencia de otros célebres geómetras de estos últimos tiem­ una familia para quando es de t…</t>
  </si>
  <si>
    <t>Berraui</t>
  </si>
  <si>
    <t>883</t>
  </si>
  <si>
    <t>de abril, se ha presentado con el mismo objeto.S. M. C. paitíó el 3 para continuar su viage ¿ Madrid escolta­ do de 1982 hombres, mandados por el Sr. general Berraui; y 335 fusileros granaderos de la guardia y 35 artilleros de infantería con 43 caballos, á las órdenes del coronel Bodelii?, Del 4. Ei comandante de la plaza de …</t>
  </si>
  <si>
    <t>Berris, Raílolomé</t>
  </si>
  <si>
    <t>Raílolomé Berris</t>
  </si>
  <si>
    <t>e Jasen, D. Fernando María, D. Ramón Laraz, D;*n Fatiga, D. Nícoiafí Franco y D. Joaquín Fuentes: en @1 de "Ba­ dajoz, compañías £' D. Manuel .Brayo, D. Raílolomé Berris, Don Manuel Gata y D, José Mesia y Monxoy; ayudantía á D. Maria­ no Mediano, tenencias á D. Pedro Guerrero, B. Juan Mercado, D. Fernando 'Tostado,' D. Miguel…</t>
  </si>
  <si>
    <t>Berro, Juan</t>
  </si>
  <si>
    <t>Juan Berro</t>
  </si>
  <si>
    <t>extramuros do esta plaza, compañías á D. Jo:é de Hennsbalse y D. José L'inch, ayudantía á ü. José ds Castro y XJlioa, tenencias á D José Mma Brsque, D. Juan Berro­ cal, D.” Santiago de Riv&amp;s y D José Pared ? : y subtenencias &amp; Bou •Joaquín De?gádo y Díaz y .0. José de Alorará: en el de míVmteda ligera primero de cazadores, co…</t>
  </si>
  <si>
    <t>Berros, Francisco</t>
  </si>
  <si>
    <t>Francisco Berros</t>
  </si>
  <si>
    <t>169</t>
  </si>
  <si>
    <t>0mpau.i1 de granaderos , y la partida franca de Fr. Palacios que hábil dispuesto atacasen al mismo tiempo la Pola de Siero á las órdenes del teniente D. Francisco Berros. “Finalmente me dice, que cooperando al mismo plan la partida franca de O. Diego del Barrí », entretuvo mientras tanto al destaca­ mento enemigo de Mieles3 y…</t>
  </si>
  <si>
    <t>Berrueta, Andrés</t>
  </si>
  <si>
    <t>Andrés Berrueta</t>
  </si>
  <si>
    <t>que podría asegurar nuestras vidas gorio Guruchaga, D. Esteban Castillo, D. Hilario Pe­ en todo tiempo: asi pues, si puede ser, haga vmd. ven­ ralta, D. Andrés Berrueta, D. Juan Ignacio Noain, ga también este gefe , quien le parezca á vmd. ha de te­ D. Francisco Azcarate y D. Antonio Linzoain. ner on destino fixo en esa plaza…</t>
  </si>
  <si>
    <t>Berthiejr</t>
  </si>
  <si>
    <t>' De Belliard d Berthiejr. Anadísimo príncipe: He recibido las dos caitas que han llega­ do adonde mandó V. A. en la carta del 1 i escrita de su pu ño, y asi podéis estar descuidado. — Hace 8 dias que el rey está in</t>
  </si>
  <si>
    <t>Berthier</t>
  </si>
  <si>
    <t>rtificaciones del tesoro público.. Oro español contra plata................ encargo. Pido para él ia cruz de la legión de Ho­ nor, y también fiara el capitán Berthier. „ Debo citar igualmente al teniente de voltea­ dores Mr. Gilbert, que ha sido herido; á Mr. To­ , TEATRO. mas , subteniente de granaderos; al capitán Com- En e…</t>
  </si>
  <si>
    <t>Berton</t>
  </si>
  <si>
    <t>Gazeta de la Regencia de España e Indias n.º 47</t>
  </si>
  <si>
    <t>n camino para condu­ cir la artillería desde Máíag* á esta plaza situada á la orilla dél mar, á una jornada de Gibraltar. ■—Durante esta operación el comandante Berton se dirigió h¿-cia Gibraltar, arrojó á los ingleses del Campo de S. Roque, y destruyó el castillo de Estepona ( 15:). — Los habitántes del reyno de Murcia llama…</t>
  </si>
  <si>
    <t>Berzelio</t>
  </si>
  <si>
    <t>Gaceta de Madrid n.º 287</t>
  </si>
  <si>
    <t>86</t>
  </si>
  <si>
    <t>e igion del maqu'al hai cosas mui importantes; entre ellas un ex­ a» rido ó de la muger. Para determinar la educación tracto de una memoria del sabio doctor Berzelio «religiosa de los niños nacidos de matritnnnics sobre la composición de los humores de los anima­ «mixtos se tomará siempre por base el principio les de sangre c…</t>
  </si>
  <si>
    <t>Bessieres</t>
  </si>
  <si>
    <t>osos y ruina de conventos. Cjrre bastante "valida la voz dé queden Francia hay inquietudes, nacidas de la nueva cor scripcion que'exige Bonaparte. El mariscal Bessieres (duque de Istria) ha: llegado á Burgos con muy poca escolta: dicen unos que va á relevar á Massena., otros q ie viene á gobernar esta provincia, y otros que p…</t>
  </si>
  <si>
    <t>ron cerca de $000 franceses que pasaron por Barcarrota con di­ rección al mediodía. V. E. habrá visto probablemente el decreto imperial, nombrando al mariscal Bessieres para el sexto gobierno de España, e. cual comprehende ademas de la Castilla todas las provincias del nente. Lrs tropas destinadas para este general no forman …</t>
  </si>
  <si>
    <t>385 que el mariscal Bessieres ha reutudo en Zamora como 7COQ hombres, principalmente déla guardia imperial y tropas de todas las guarnicio­ nes de Castilla.—Tengo la honra Sec. — Cuartel general de Oiiveira del Hospital 21 de marzo dei8n.— TVellington ESPAÑA</t>
  </si>
  <si>
    <t>3 mka Napoleón el socorro de bus exércifos ea Espa» fia, pu?s había orden dé no enviarles vi dinero ni víveres de Fran­ cia. Co no hicia no ;o que el mariscal Bessieres había pedido á esta intendencia 32000 fanegas de cebada y otros artículos, se le habló ¿ Urquijo para que se interesase coa su amo fin de que rebasas© las con…</t>
  </si>
  <si>
    <t>Bessitves</t>
  </si>
  <si>
    <t>Gazeta de la Regencia de España e Indias n.º 63</t>
  </si>
  <si>
    <t>o estaban bloquea­ das , y seqnn las noticias que allí se tenían por mas exactas , habían muerto 6® enemigos en el mes de marzo en sus hospitales. El mariscal Bessitves que estaba en Zamora con unos 6D hombres de la guardia de Bonaparte, se halla ahora cerca de Vailadolid. El se­ gundo , sexto y octavo cuerpo del exército est…</t>
  </si>
  <si>
    <t>Bessleres</t>
  </si>
  <si>
    <t>y el general Süveyra me avisa con fecha ¡de 25 del pasado que eí enemigo bahía evacuado el 19 á Astorga. Por las noticias de Valladolid parece que el mariscal Bessleres había dexado aquella ciudad el dia 12, llevan­ do consigo todas las tropas que pudo reunir , y cürig endose á Rioseco, de donde salió hácia B 3naven te el dia…</t>
  </si>
  <si>
    <t>Betthier, César</t>
  </si>
  <si>
    <t>César Betthier</t>
  </si>
  <si>
    <t>Gaceta de Madrid n.º 79</t>
  </si>
  <si>
    <t>i último, por la que aparece que en la época de la de Sion, que hacen el servicio en casa del general unión ascendía la deuda de la Irlanda á 23.100© comandante César Betthier, el que se ha grangealibras, y en el año de itio á 81.5000 libras. Es­ do la estimación y respeto general de los habitan­ te es en pocas palabras el es…</t>
  </si>
  <si>
    <t>Betueil</t>
  </si>
  <si>
    <t>habia ¡seguido á su coman­ nor de las armas de nuestro augusto Soberano. En­ dante por algunas dificultades que experimentó, tonces volví á enviar al alférez Betueil para qu¿ habia tomado su rumbo para ir á fondear en el rio dixese al capitán Bouvet que si el enemigo per­ Negro, y que en el momento que ilegó fue ataca­ sistía…</t>
  </si>
  <si>
    <t>Beugnot</t>
  </si>
  <si>
    <t>Gaceta de Madrid n.º 333</t>
  </si>
  <si>
    <t>ia 24 de esta mes ha sido un dia de jubilo El 2 á las 7 de la mañana salió S. M. para para esta ciudad, y la memoria do él quedará pa­ Dusseldorf. El conde Beugnot, comisario imperial ra siempre grabada eo nuestros corazones , pues tu­ y ministro de Hacienda , el prefecto del Rin, los vimos la dicha de poseer en medio de noso…</t>
  </si>
  <si>
    <t>BeUiard, Augusto</t>
  </si>
  <si>
    <t>Augusto BeUiard</t>
  </si>
  <si>
    <t>712</t>
  </si>
  <si>
    <t>equeño destacamento ha hesho una hermosadefeasa, y tengo le hon­ ra de recomendar á Y. M. al valiente sargento que lo mandaba. — Soy &amp;c. — Ei genera! conde Augusto BeUiard (1) Eaíss mismas expresiones repite BeUiard en una carta', tam­ bién interceptada, á Bsrthicr fecha el 4 de mayo, y añide: seria da desear ¡ príncipe, que …</t>
  </si>
  <si>
    <t>Beust</t>
  </si>
  <si>
    <t>Gaceta de Madrid n.º 53</t>
  </si>
  <si>
    <t>cfort 18 de enero. tra audiencia de despedida después de haber encar­ gado los negocios de la legación á una persona ca­ Hoi sale para Paris S. E. el conde Beust, que paz de deiempeñar semejante comisión. ha hecho dimisión de su empleo de ministro de ,,Considerando la ¿poca etique esta-orden de­ Hacienda: dícese que reemplaza…</t>
  </si>
  <si>
    <t>839</t>
  </si>
  <si>
    <t>materias combustibles , lo consumían to­ do al momento. Dfesde iG de junio, Casi todo el arrabal ha quedado reducido á ce­ S. M. ba coucedido hoi al conde Beust, asíais-</t>
  </si>
  <si>
    <t>retiro, !o han conseguido sin la todo la opininn de los que suponen las naciones menor dificultad. americanas como indígenas de aquella parte del El conde Beust, nombrado por so Soberano el mundo. El consejero AJeiung, de Petersburgo, grao duque de Francfort su enviado extraordina­ ha comprado tas inmensas colecciones que Bra…</t>
  </si>
  <si>
    <t>Beveriei</t>
  </si>
  <si>
    <t>366</t>
  </si>
  <si>
    <t>la via de Guernesci; el 18 las tuvimos direc­ cipio de la retirada del general Moore, por el lord tas por el navio la Carlota, y ai día siguiente las conde Beveriei. Este cambio está ya ajustado, y traxo también el Real Jorge-, pero nada dicen que solo se espera la ratificación del gobierno francés. confirme Jas voces de que …</t>
  </si>
  <si>
    <t>Beyroa, Roque</t>
  </si>
  <si>
    <t>Roque Beyroa</t>
  </si>
  <si>
    <t>sé Espinosa, 10. Doña Rita Viñas , 10. Tomas Herrera , 12. D Juan Ibas , 10. D Francisco Pé­ rez Díaz , 10 D. José Cabrera , G. D. Francisco Púa , 6. D. Roque Beyroa , G. D Venancio Ramírez , 6. D. José M-.irí i Sevilla, G. D. Luis Mén­ dez , 5. D. Antonio Calero, 5. D. Francisca Peralta , 6. Pedro Saboila, 4. X&gt; Ramón Totosa…</t>
  </si>
  <si>
    <t>Bfake, Joaquín</t>
  </si>
  <si>
    <t>Joaquín Bfake</t>
  </si>
  <si>
    <t>dar , cumplir y txícsitar en teda.-sus partes. TVsdr.'bk encendido y dkpondeis lo necesario á su cumplimiento.— Gabriel Ciscar, presidente.—Au­ sente D. Joaquín Bfake cisrt permiso de las Oáríes. — Pedro de Agar. — Dado en Cádiz á 15 de octubre de 1S11. — A D. José Can­ ga AqAieiks.” El Excrao. Sr. gefe del estado mayo? gener…</t>
  </si>
  <si>
    <t>Bfcke, Joaquín</t>
  </si>
  <si>
    <t>Joaquín Bfcke</t>
  </si>
  <si>
    <t>yudante general del estado mayor, D. Antonio Barriel , con fecha de S del actual, desde el cuartel general ds Valencia, de órdeii del capitán genera! D. Joaquín Bfcke, remite ai señor gcfe del estado mayor general copia del parte qua le ha pasado el teniente coronel D. Bernardo Márquez, fecho en Lorca á 20 de se­ tiembre , el…</t>
  </si>
  <si>
    <t>Bhke</t>
  </si>
  <si>
    <t>línea oblicua, poniendo á retaguardia su pro­ pia derecha ; y siendo ya evidente que la intención del enemigoera atacar nuestra derecha, Supliqué al general Bhke que formase parte de su primera línea y toda la segunda en aquel frente, lo que se executó.— E» enemigo empezó su ataque á las 9 sin cesar al mismo tiempo de amenaza…</t>
  </si>
  <si>
    <t>Bi, Caries</t>
  </si>
  <si>
    <t>Caries Bi</t>
  </si>
  <si>
    <t>Gazeta de la Regencia de España e Indias n.º 40</t>
  </si>
  <si>
    <t>110</t>
  </si>
  <si>
    <t>pidió refuerzos ai’gobernador de Peái.-óla,- quien le en­ vió 300 infantes del tercer batalkoii de cazadores de VaLncia, man-. (h dos por el capica 1 D. Caries Bi; laura. Pérez los colocó ea la casa de la Pv?tewpara que no io pudieseenvolver el enemigo, y reservó para SÍ la def~ nsa del pueblo de Bmicasrió, donde pás &gt; ia noc…</t>
  </si>
  <si>
    <t>Biabe</t>
  </si>
  <si>
    <t>"Wellington y de su salisfkctó^iá-res­ puesta que ambas'acompaño adjuntas. Inmediatamente dirigí una copia de la memoria de lord "Wc-*Tlington al Sr. general Biabe que desde luego subscribió conforme con el plan y‘con mi proposición , siendo aún mucho mas recomen-, dable esta i'deír por los felices resultados que ha producido…</t>
  </si>
  <si>
    <t>pcrpltxos y perp p&amp;ra ¿ exos pe fallar ra f í nal es el lauro mayor , si el de semejante moderación ó el de vencer al enardge-. I. a sá Yai marcha dd general Biabe y su anticipación á Smáf, que avanzaba con la rapidez del rayo desde las márgenes del Guaéalyui vir á ¡as del Guadiana diana , decidió la suerte de la campaf¡ 3 ? …</t>
  </si>
  <si>
    <t>Biabe, Joaquín</t>
  </si>
  <si>
    <t>Joaquín Biabe</t>
  </si>
  <si>
    <t>479</t>
  </si>
  <si>
    <t>real y distinguida orden de Cáílos llí. Tcndreis’o entendido y dis­ pondréis lo conveniente á su cumplimiento. — Pedro de Agar, presi­ dente: ausente D. Joaquín Biabe con expreso permisode las Cortes.-L. Gabriel Ciscar.—En Cáoiz á de abril de 1811. — A:D. Diego de la Cuadra.” a Por providencia del real tribunal del consulado-…</t>
  </si>
  <si>
    <t>Gazeta de la Regencia de España e Indias n.º 134</t>
  </si>
  <si>
    <t>1126</t>
  </si>
  <si>
    <t>n el cam­ po del honir, y siguie oa en la acción. Es cuanto ocurre á estas horas que comunicar á V. E.,lo que exrcuto por disposición del Exc no. Sr. D. Joaquín Biabe para su inteligencia.—-■ Dios guarde á V. E. muchos años. Valencia l.° de octubre de 1811, á las 11 de la ñocha. — llamón Pirez Sevilla 4 de octubre. El 27 deí …</t>
  </si>
  <si>
    <t>Bíake</t>
  </si>
  <si>
    <t>genera! estaba en Tala veril Ja , el general Castaños en Mérida, el conde de Peone en Zafra, y el briga­ dier Morillo á la derecha de! Guadiana j el general Bíake en Monas­ terio , y el general Ballesteros en Santa Olalla. Kn las sierras de Alca zar ha empezado á publicarse una gaceta de ^la junta superior de la Mancha, que s…</t>
  </si>
  <si>
    <t>Biake</t>
  </si>
  <si>
    <t>legues de la plaza. El enemigo avanzaba rápidamente por el camino real, y ya había llegado el mismo dia 15 á Santa Marta. — El cuerpo de exército del general Biake, marchando con ía misma rapidez al trives de la Sierra, executó su reunían con el exército aliado no­ cís horas antes de que se presentase el enemigo por el camino…</t>
  </si>
  <si>
    <t>725</t>
  </si>
  <si>
    <t>ros. Había yo dispuesto que la caballería, la segunda y cuarta di-, visión del exército aliado angle-portugues , y las tropas esp^ñ las del mando del general Bíake se reuniesen en caso de que el enemigo avanzase para interrumpir el sitio de Báiajoz Ó su bloqueó, y salí para la Albuhera aquella misma noche con el objeto de dir…</t>
  </si>
  <si>
    <t>742</t>
  </si>
  <si>
    <t>, acababa de ser interceptado por el p3-rtidario Mina, cerca déla ciudad de.Vitoria, habiendo sido pasada por las armas la tropa que lo escoltaba. El general Bíake pasó, como se había combinado, el rio Guadiana el 22 del corriente, y he sabido que'.él 24 estaba en Castillejos. Es de desear que los españoles saquen ventajas ma…</t>
  </si>
  <si>
    <t>Biáke</t>
  </si>
  <si>
    <t>837</t>
  </si>
  <si>
    <t>otra yes en las mismas posiciones que ocu­ paba en la margen derecha del Guadiana ,cuando se las noticié á V. E. en mi ofició de 4 del corriente. El general Biáke hizo una tentativa para tomar posesión de Nie­ bla la noche de 30 de junio, en donde tenia el enemigo una guar­ nición de 300 infantes. Siento tener que decir que n…</t>
  </si>
  <si>
    <t>Gaceta de Madrid n.º 266</t>
  </si>
  <si>
    <t>lí. Se ha trasladado el quarbre á su bordó. El Susscx ha dado á la costa en tel ge eral á Castel-Branco.” £« Cristóbal, Se dice que la expedición del general Biake _ , . . Del 2/. debe desembarcar en Almería. El pequeño Belt ha llegado á Portsmouth ; to­ Nueva-Yorck 22 de julio. dos sus oriciales refieren el encuentro que tuv…</t>
  </si>
  <si>
    <t>Gaceta de Madrid n.º 275</t>
  </si>
  <si>
    <t>pocos minutos antes, La mala de Cádiz que llegó ayer ha traído la y ios 4 marineros qóé se habían concertado con el noticia de haber desembarcado el general Biake capitán americano fueron los que entraron á reem­ con todas sus fuerzas en Motril, en el reino de plazarnos. Había á la sazón terca de nosotros un Granada. En Cádiz…</t>
  </si>
  <si>
    <t>Biake, Joaquín</t>
  </si>
  <si>
    <t>Joaquín Biake</t>
  </si>
  <si>
    <t>1118</t>
  </si>
  <si>
    <t>el, con facha de 17 de setiembre, dirige al señor gefe del estado mayor geceral el oficio y parte siguientes : ‘ Exorno. Sr.: Ds orden del Éreme. Sr. D. Joaquín Biake, re­ mito á V. E. para noticia de S. A. el Consejo da Regencia, el par­ te dado por el brigadier D. Gervasio Gasea, comandante de Ja divi­ sión de caballería de…</t>
  </si>
  <si>
    <t>Gaceta de Madrid n.º 299</t>
  </si>
  <si>
    <t>regó la parte que le toca, quedan encargados de la execujunta, en virtud de oficio verbal del Excmo. Sr. cion del presente decreto. = Firmado = YO EL D. Joaquín Biake , para que se hiciese saber al pú­ REI. == Por S» M., el ministro secretario de Esta­ blico que S. E., después de mui detenidas medita* do = Firmados:Mariano Lu…</t>
  </si>
  <si>
    <t>Bíakno</t>
  </si>
  <si>
    <t>603 subsistido entre nosotros lo mas perfecta armonía, y que el general Bíakno solo se conformó en un todo coa el plan general propuesto por V. S., sino que que en los detalles y en quanto sugerí á S. E. me prestó ios mas prontos y cordiales auxilios, no habiéndose omi­ tido nada por su parte para asegurar el éxiio de nuestro…</t>
  </si>
  <si>
    <t>Biasini, Sebastian</t>
  </si>
  <si>
    <t>Sebastian Biasini</t>
  </si>
  <si>
    <t>, 36. D. Ma* too Matos , 3G. Subtenientes. D. José María Ayala , 25. D. Carlos del Casti­ llo , 20. D. José María Velarde , 29. D. Juan Paredes , 29. D. Sebastian Biasini , 10. D. José Antonio Velarde , 25. D Manuel Rodríguez 10. D..Eduar­ do de la Guardia vecino de Peronomé , 7- D Pedro Ortiz, á nombre de va­ rios vecinos de…</t>
  </si>
  <si>
    <t>Biche</t>
  </si>
  <si>
    <t>ele ser un don caprichoso ds la fortuna. la virtud y el patriotismo son bienes propios del cora* ton y independiantes de las rÁ-dsuude$ dtl acaso. Él general Biche reci­ bió en d hombre izquierdo un balazo que- le rompió el vestido hasta la</t>
  </si>
  <si>
    <t>Bien, Graham</t>
  </si>
  <si>
    <t>Graham Bien</t>
  </si>
  <si>
    <t>Gaceta de Madrid n.º 118</t>
  </si>
  <si>
    <t>conde Lauriston , emhiXrdor de S. M. cer­ liz , quando consideramos con qo¿ gentes debe ca de S, M. el Emperador de Rusia, ha tenido hoi cooperar el general Graham Bien podrá ser que su audiencia de despedida, y ha salido inmediata­ nuestros temores rean infundados; ,,pero la verdad mente para Petersburgo. es que son grandísi…</t>
  </si>
  <si>
    <t>Bigarié</t>
  </si>
  <si>
    <t>Gaceta de Madrid n.º 149</t>
  </si>
  <si>
    <t>ola carga bastó para obli­ dro el mas divertido y agradable con los bailes y garlas á Temar del pueblo. algazara de los concurrentes. Viendo el señor general Bigarié que el enemi­ La fiesta concluyó con fuegos artificiales mui. go, á pesar de la pérdida que acababa de sufrir se vistosos, en la plaza de Montbenon , en celebrid…</t>
  </si>
  <si>
    <t>Bigarré</t>
  </si>
  <si>
    <t>ya en la secretaria Madrid 28 de mayo. de la cámara coa el informe de la junta, de mone­ das ; y seria oaa imprudencia pedir que se presen­ El señor general Bigarré , comandante del dis­ tasen los documentos pertenecientes únicamente 4 trito de Aran jaez, sorprehendió el dia 23 en Yelos negocios interiores del banco, pues est…</t>
  </si>
  <si>
    <t>Bigarré, Agustín</t>
  </si>
  <si>
    <t>Agustín Bigarré</t>
  </si>
  <si>
    <t>r á estos pobres habitantes, y después man­ El kxcmo. Sr. D. Juan Bautista Strolz...... 200 dó echar al agua el barco insumergible, construido El Sr. D. Agustín Bigarré.............................. 200 para liberrar á los náufragos. Todas las maniobras El Sr. D. Juan Bautista Pa roisse................... ico se execuraron co…</t>
  </si>
  <si>
    <t>Bignon</t>
  </si>
  <si>
    <t>Gaceta de Madrid n.º 142</t>
  </si>
  <si>
    <t>El comercio de libros está aquí casi parado por Varsoviet 20 de marzo. la carestía excesiva del papel, y de resultas de las Ayer llegó aquí S. E. el barón Bignon, que variaciones que hai en el cambio. fue enviado extraordinaria y ministro plenipoten­ ciario de Francia cerca de la corte de Badén,'y Del 11. ahora es residente d…</t>
  </si>
  <si>
    <t>Bihsieros</t>
  </si>
  <si>
    <t>459</t>
  </si>
  <si>
    <t>s sjguaji en los puntos de los Barros , y nuestras tropas ocupan-a-L ere na , Cali, Saota O alia, Bodonal, Segura y Fuente'de'Cantos. Lx división de! general Bihsieros está en esta villa, el general Crist? ños en Sao-a Mar­ ta.-Sa han pasado á nuestro exército 4 francesas que se qu- daren ocul«’ tos en Aracena al retirarse de…</t>
  </si>
  <si>
    <t>Biígh</t>
  </si>
  <si>
    <t>ios mas severos que los que ha adopta­ Halitax un consejo de guerra para examinar la con­ do , y que los que aconsejaron sus predecesores.” ducta del capitán Biígh .m, y para d-cidir si lúe (O Entonces será quando la América podrí lla­ nos que lo que le cuestan las trabas que continuamen-, marse nación con propiedad, y quando…</t>
  </si>
  <si>
    <t>Biiied</t>
  </si>
  <si>
    <t>irita con fecha 13 áel ac­ tual , que á la letra dice lo que sigue: ‘‘Exorno. Sr.; Los* enemigos se han remirado ayer de S. Roque y los Barrios, y el general Biiied&amp;ro* ocupa el primer pueblo, y sus avanzadas entraban en el segurado. Me aseguran siguen su retirada; no asi el cuerpo dé 3000 hombres que ter go á mi tírente: en …</t>
  </si>
  <si>
    <t>Biiosa, José</t>
  </si>
  <si>
    <t>José Biiosa</t>
  </si>
  <si>
    <t>Juan QuiY&amp;nte; los de ayudantes á D José A-abez y D. Jo é Fue­ llo ; los de capitán segundo á D. Francisco Sierra y D. José Guiña; les de teniente í D. José Biiosa, D. Diego Castro, I). Ignacio Rebo­ llo y D. Francisco Valles; los de subteniente á D. Gabriel Larín y D. Pedro Galan. ' CADIZ : EN LA IMPRENTA REAL.</t>
  </si>
  <si>
    <t>Bilbao</t>
  </si>
  <si>
    <t>Gaceta de Madrid n.º 52</t>
  </si>
  <si>
    <t>los llamaban todavía mu­ San Sebastian.. ....... efectivo. chachos. ■ - Santander.......... ....... efect i ve. Para todas las islas Filipinas bai un arzobispo Bilbao............ ...... efectivo. resi dente en- Manila , que tiene baxo su jurisdicción Vitoria.............. lo». Tres obiíp’os de Vig-m , de Naga y de Zebú. Burgo…</t>
  </si>
  <si>
    <t>Biltasteros</t>
  </si>
  <si>
    <t>1138</t>
  </si>
  <si>
    <t>, no dexan duda sobre la verdad de la voz que corre de que Soult trata de formar un exército de 12000 hombres , para atacar y destruir , si puede, al general Biltasteros. ana se haila en la serranía / • / c» # * de Ronda con fuerzas respet&amp;bfcs. Respecto de la frontera del reyo© de Murcia, dicen I03 franceses que se mantendrá…</t>
  </si>
  <si>
    <t>Bínelo, Manuel José</t>
  </si>
  <si>
    <t>Manuel José Bínelo</t>
  </si>
  <si>
    <t>de dicha compañía, 3196 pesos y 4 reales. D. Matías Duarte , 100. D. Ignacio Arnaud de Courbille, oficial segundo da la contaduría de Panzacola, 25. D. Manuel José Bínelo , como apoderado y á nombre del Dr. D José Nicolás Veranes , canónigo de Cuba, 90. Doña Ma­ nuela Teresa Caballero, por sí y á nombre de su hijo el cadete D…</t>
  </si>
  <si>
    <t>Bing</t>
  </si>
  <si>
    <t>54</t>
  </si>
  <si>
    <t>a después de haber aguantado el fue­ go del buque ingles," Sin emb.rgo, la la lación en­ • En la gazeta universal, periódico mui acredi­ viada por el capitán Bing harta , y los testimonios tado, que se publica en esta ciudad , se lee un ar­ de los oficiales de su tripulación son contradicto­ tículo de Lion, con fecha de 13 de…</t>
  </si>
  <si>
    <t>Bingham</t>
  </si>
  <si>
    <t>Gaceta de Madrid n.º 202</t>
  </si>
  <si>
    <t>bían dexado de existir doro Rogers, y el sloop de guerra ingles el pe­ las órdenes del consejo, por haber sido revocados queño Iis.it, mandado por el capitán Bingham. los decretos de la Francia sobre que estaban fun­ dadas; y Ja segunda, qne aun qnarido se conside­ La fragata encontró en la noche del 16 de este rasen como exí…</t>
  </si>
  <si>
    <t>ó al de declaró abiertamente en favor de un nieto de la Gran Bretaña. Asi que, conviene esperar la lle­ Lilis xiv de Francia. gada de los pliegos del capitán Bingham, an­ La exactitud de los cálculos de aquellos jui­ tes de decir ó asegurar el motivo por qué fue ciosos españoles la ha comprobado la paz de que disparado el pri…</t>
  </si>
  <si>
    <t>Gaceta de Madrid n.º 203</t>
  </si>
  <si>
    <t>era , y asi suce­ cerca de 10 minutos, al fin de los quales el sloop sivamente hasta ponerse ent rámente al descubier­ arrió bandera. to? Asi que, el capitán Bingham ha cumplido „ Suponiendo el conmódoro Rogers que tenien­ exactamente con el deber de un oficial ingles, qu&lt;.ndo &amp; fuerzas superiores, habría m Itratado mucho do …</t>
  </si>
  <si>
    <t>Gaceta de Madrid n.º 208</t>
  </si>
  <si>
    <t>itir nuestros géneros con escás coDdiciones. sospechaba que el buque con quien hablaba era francés. Parte sobre la tnfermedad del Reí. Creemos que el capitán Bingham no es hom­ Del 26 á las dos de la tarde. bre que diga una cosa por otra. Un sugeto que se ,,Et Reí está lo mismo que ayer: á lo menos dice ser imparcial, y que h…</t>
  </si>
  <si>
    <t>Gaceta de Madrid n.º 213</t>
  </si>
  <si>
    <t>867</t>
  </si>
  <si>
    <t>s dia1 ti trente de la guarnición de Estoc- niente para ofrecer ayudarle á reparar sus averías. k&lt;&gt; m . , y ta conuu. irá en persona al campamento El capitán Bingham rehusó cortesmente la oferta, que se ha formado fuera de esta capital. diciendo que se h.diaba en estado de poder arri­ bar á ílalitax , y añadió que habia creíd…</t>
  </si>
  <si>
    <t>Gaceta de Madrid n.º 222</t>
  </si>
  <si>
    <t>Soberano, sino que entra en el sistema de En nuestros periódicos se ha publicado una re­ los ministros, cuyas miras, pasiones y planes va­ lación del capitán Bingham, comandante de la cor­ rían conforme el partido á que pertenecen : la paz, beta el yequeño lielt, sobre el combate que ha la guerra, los tratados y Us expedicion…</t>
  </si>
  <si>
    <t>Gaceta de Madrid n.º 233</t>
  </si>
  <si>
    <t>95</t>
  </si>
  <si>
    <t>ue nos conociese. La Consiguiente nuestro gobierno ha creido que debia eXamoa pues acetcat, y enarbolamos el pabellón ublicar también la relación del capitán Bingham. después de haber puesto doble carga en los caño­ S 'n el correo del 4 de este mes hemos insertado un nes , y hécho todos los preparativos convenientes extracto …</t>
  </si>
  <si>
    <t>Gaceta de Madrid n.º 256</t>
  </si>
  <si>
    <t>757</t>
  </si>
  <si>
    <t>ia 12 millones: Westfalia 3 5 mi­ la insolencia inglesa merecen el aplauso de sus llones de francos: ducado de Francfort 2.500® conciudadanos : =¡ El capitán Bingham = E¡ to­ florines: Badén 3 millones: Berg 4 millones : Hesse mar algunas lecciones sobre el derecho de gentes 3 milloaei y medio: Wuttzburgo 3 millones y le prop…</t>
  </si>
  <si>
    <t>Gaceta de Madrid n.º 345</t>
  </si>
  <si>
    <t>1404</t>
  </si>
  <si>
    <t>de pistola á una fragata de 44 cañones, octubre. sabethos también que el almirante Sawyer dio dr,,Se esperan providencias vigorosas contra las deu a! capitán Bingham, al tiempe de salir, para</t>
  </si>
  <si>
    <t>son perjuros. mente del golfo Adriático. Pero á esto responderemos que no son dignos de El comercio marítimo se reanima en Trieste, menos crédito el capitán Bingham y todos sus ofi­ adonde arriban diariamente embarcaciones de Cor­ ciales. Unos ú otros son perjuros, ¿pues por qué fú, de Venecta, de Ancooa y de Ragú», carga­ ha…</t>
  </si>
  <si>
    <t>canos en barcos ¿e reserva capitán T. Boís; el Edimbourgo, de 74, capitán que han apresado y guardado con esre fin'. Se sa­ Rolles; el Egmont, de 74, capitán Bingham ; gefe be dé cierto que el Duque de Dantzick y el, Me­ dé la esqoadra , el capitán Griffiths. rengo tienen grandes intereses en manos de los ame­ Fragatas. La Ni…</t>
  </si>
  <si>
    <t>1478</t>
  </si>
  <si>
    <t>está en las inmediaciones de Not­ coa ei Little-Belt, y echa toda la culpa del pri­ tingham; y la misma suerte hubieran tenido otros mer cañonazo al capitán Bingham. muchos , si de repente no se hubiera aparecido por Acusa ai gobierno ingles de haberse entrometi­ alli un destacamento de dragones. En Chiliwei do en ios asuntos…</t>
  </si>
  <si>
    <t>Binghant</t>
  </si>
  <si>
    <t>esto abso­ conocido bieo, pasó mui cerca preparada para un lutamente. combate. A las ocho nos preguntó si queríamos qnfe No obstante, en la carta del capitán Binghant enviase una laucha á bordo de nuestro buque; y le hai un artículo en que no convenimos con él. ,,Se respondí que sí; y en efecto vino un oficial de par­ ve, dic…</t>
  </si>
  <si>
    <t>Binghutn</t>
  </si>
  <si>
    <t>un xi y medio por too, y baXará todavía El gobierno ingles espera con impaciencia los nías icgun todas las apaiienci.S. El dinero anda pliegos . i el capitán Binghutn sobre el combate con tan esca o, y el oéJitj está tan perdido, que es la Presidenta, y hasta que llegue esta relación, mui difícil deihucerte del papel, ni nego…</t>
  </si>
  <si>
    <t>Bíngluin</t>
  </si>
  <si>
    <t>ación en su calidad de súbditos neutrales. Los pequeño Bilí , de porte de 18 cañones, mandado apretadores pretendían que vendo esre buque des­ por el capitán Bíngluin , y la fragata americana la tinado para un puerto de Francia, contravenía á Presidenta. La acción se ha dado á la altura de las órdenes del consejo de Inglaterr…</t>
  </si>
  <si>
    <t>Bingtras</t>
  </si>
  <si>
    <t>r lian adoptado la noche, y vio que uta el sloop de guerra llama­ las mismas medidas. Varios destacamentos dp tro- do el pequeño Belt, mandado por el capitán Bingtras y de milicias han recorrido el gran basque de lia¡n , el qual comenzó á excusarse diciendo que Turinía en todas direcciones , y han penetrado había creído qoe p…</t>
  </si>
  <si>
    <t>Biosca, Pablo</t>
  </si>
  <si>
    <t>Pablo Biosca</t>
  </si>
  <si>
    <t>sesión pública del instituto de Francia el martes 7 de enero de 1811 por Mr. CuCapitanee. vier, secretario perpetuo de la clase de ciencias físicas. D. Pablo Biosca. •«t D. A lexandro Merino de Porras. Mr. de Fourcroi ha hecho un gran número de aná­ D. Rarnon Gil Couder. lisis , tanto de minerales en su estado concreto, como …</t>
  </si>
  <si>
    <t>Birco, Josef María</t>
  </si>
  <si>
    <t>Josef María Birco</t>
  </si>
  <si>
    <t>etaría de Es­ art. 11. En el batallón de milicia cívica de la tado. villa de Coria del Rio queda promovido En nuestro palacio de Madrid á 23 de octu­ D. Josef María Birco á comandante de este bre de 1811. batallón, en reemplazo de D. Juan Ortegi. Don Josef Napoleón por la gracia de Dios y art. iii. En el regimiento de milicia…</t>
  </si>
  <si>
    <t>Bírdajew</t>
  </si>
  <si>
    <t>contró el coronel Bírdajew 7*0 enemigos „ los ba­ pecialidad de víveres. En efecto, no hai un país rio, é hizo 600 prisioneros; y en el otro el coronel en el mundo donde pueda comprarse por el mismo Gardejew quitó á los turcos un cañen. Ajan-Se- precio lo que s</t>
  </si>
  <si>
    <t>Biresford</t>
  </si>
  <si>
    <t>de lord JVellinglon á /). Miguel JPereyra Forjaz. Cuartel general de Yelves 22 de mayo de 1811. —- í£La noche del 1.5 del corriente recibí caitas dei mariscal Biresford de los dias 12 y 13, por las cuales me participaba que el mariscal Soult había salido de Sevilla el 10 del corriente, y que avanzaba háoia EsdreKiadura; sin e…</t>
  </si>
  <si>
    <t>Birkensíock</t>
  </si>
  <si>
    <t>Gaceta de Madrid n.º 286</t>
  </si>
  <si>
    <t>ran mariscal, qne llevaba eo la mano una es­ miembro de la academia de Gottinga en iupar del pada desnuda , y acompañado de los grandes baro­ célebre consejero Birkensíock , acaba de recibir el nes del reino. El Emperador subió al trono en me­ título de consejero del despacho de Negocios exdio de las aclamaciones de ios diput…</t>
  </si>
  <si>
    <t>Birrientos, Joré</t>
  </si>
  <si>
    <t>Joré Birrientos</t>
  </si>
  <si>
    <t>y D. Fado Mera; los de subteniente á D. Martin García, D. Manuel Plaza , D Juan, Domínguez, Don Manuel Paez, D.'Rafael Pato, D. Juan Sánchez Bandito, D. Joré Birrientos, D. Joaquín Cárdeno, O. Calixto Ximenez B cerra y I). Valentín García Serrano; el de subteniente de bandera á Don Lorenzo Paez. Concluyen los donativos de var…</t>
  </si>
  <si>
    <t>Bisignano</t>
  </si>
  <si>
    <t>l Se ha extendido la voz en Dublin de que el azúcar en Sicilia. Un privilegio de 1496, concedi­ gobierno ha resuelto executar lo que dice en su do al príncipe Bisignano, prueba que por entonces proclama, y que asi esta noche ó mañana tempra­ se cultivaba la caña en Bclbede, Creta y en Dia­ no se harán varias pri.iones. Segura…</t>
  </si>
  <si>
    <t>Bits, Luis</t>
  </si>
  <si>
    <t>Luis Bits</t>
  </si>
  <si>
    <t>á la '«primera noticia de la llegada de las tropas, sin detenerre á deshacer los arcos, jr enramadas que tenían dispuestas para recibir al nom­ brado general Luis Bits, que pensaba apoderarse de Mextitlan. Al día siguiente se dirigieron al pueblo de S. Guilermo, que encon­ traren abandonado; y sabiendo que un cuerpo de 2000 r…</t>
  </si>
  <si>
    <t>Bizarron, Pedro</t>
  </si>
  <si>
    <t>Pedro Bizarron</t>
  </si>
  <si>
    <t>go no hu­ biera tenido á su disposición dos violentos. Aunque todos los ofi­ ciales y «oldados se han distinguido, debo hacer particular men­ ción de D. Pedro Bizarron , comandante de la caballería, y del te* nientc de ia misma D. L on de I¿darte, así como del ayudante ma­ yor de !n infantería O. Miguel de Sad&amp;ba, y del espit…</t>
  </si>
  <si>
    <t>Bjreíford</t>
  </si>
  <si>
    <t>uartel del mariscal Boresford desde Tafaverida á Valvcrde r adonde llegó el 14 á las 9 de la ncche el general BIsk**, y se apeó en el alojamiento del general Bjreíford. Sus tropas quedaban en Barcirrota. marchando Rara incor­ porarse con el grueso del exército, y lo mismo el general Ballesteros y el conde de Pcnne que se iba …</t>
  </si>
  <si>
    <t>Bjresford</t>
  </si>
  <si>
    <t>691 La carta siguiente del general Gazan al mariscal Seult, inter­ ceptada por nuestras avanzadas en Extremadura, remitida wr el mariscal Bjresford á lord Welliegton , y por este á nuestro Gobier­ no , manifiesta el considerable número de heridos que después de la batalla de la Albuhera retiraba el enemigo , y que no son exag…</t>
  </si>
  <si>
    <t>Bjudin</t>
  </si>
  <si>
    <t>s. dición } con notas y adiciones de Mr. Sonnini. Los talleres se componen de tornos al aire, y Otros de máquinas para estriar, hender, pintar &amp;c. El capitán Bjudin servia en la marina francesa fraguas , hornos de fundición , tornos para el hier­ quando la p. z de 1783 excitó en él el pensamien­ ro Scc. to de hacer expedicion…</t>
  </si>
  <si>
    <t>BjUmonts, Manuel</t>
  </si>
  <si>
    <t>Manuel BjUmonts</t>
  </si>
  <si>
    <t>io E’-teba ’, D. Francisco B otobs* D. Busardo Vida?, Don Juan de Dios Lasa!», D. F«iip5 Ma varíete, D. Jo&amp;quin Gomez, D. F:ranr?ísco Lop:.z Salazar, D. Manuel BjUmonts, D. José Giiau-de., D. Gaspar Surianor, D. Pablo Lozano, D. Ciato.Eguimbái, y D. Fabián Mantilla; y subtenr notes á D. Juan'Psu*»!», D. J«&amp;é A ios'Ós , D. Ped…</t>
  </si>
  <si>
    <t>Bjyol, Cipriano</t>
  </si>
  <si>
    <t>Cipriano Bjyol</t>
  </si>
  <si>
    <t>ES-IENEDICIINOS. Rs. vn. cha , residente en su pueblo , p ,r......................... 22 00 anuales. D. Julián Collado, natural de Cuenca, residente D. Cipriano Bjyol, residente en Toledo, por........ 2200 en Toledo, por.................................................... 2200 FX-GI.KONIMOS. D. Siman Morales , presbítero, nat…</t>
  </si>
  <si>
    <t>Bk, Joaquín</t>
  </si>
  <si>
    <t>Joaquín Bk</t>
  </si>
  <si>
    <t>1022</t>
  </si>
  <si>
    <t>ntó también el Sr. presidente de las Córtes pura cumplimentarlo. Ea seguida se arrodillaron los dos regentes que componían el Consejo por ausencia de D. Joaquín Bk ke, poniendo la mano sobre los evangelios ; y el secretario mas antiguo leyó la fórmula de reconocimiento y juramento extendida para I03 regentes y demas empleados…</t>
  </si>
  <si>
    <t>rra civil. ARTICULO DE OFICIO. El Exorno. Sr. gafe del estado mayor general acaba de recibir el X¿¿* vU parte «pie le dirige de órden del Exorno. S&gt;. D. Joaquín Bk.ka el brigadier ayudante general O. Antonio Barrié!. “Exceso. Sr.: El mariscal de campo D. Manuel Fray re , go« ■mandante general do ia caballería dsl tercer exérc…</t>
  </si>
  <si>
    <t>Bkke</t>
  </si>
  <si>
    <t>664</t>
  </si>
  <si>
    <t>17 : las tropts del quinto exército, al cargo del mariscal de campo D. Pudro Agustín Girón, se ha­ bían incorporado con el cuerpo expedicionario del general Bkke.. Añaden que habían llegado ¿ J\&gt;rialeg;e, tanto de Lisboa como del norte del Portugal, 20000 hombros de refuerzo al mando d‘ l general Spencer , y que rey na ía may…</t>
  </si>
  <si>
    <t>Bkke, Joaquín</t>
  </si>
  <si>
    <t>Joaquín Bkke</t>
  </si>
  <si>
    <t>Gazeta de la Regencia de España e Indias n.º 136 (suplemento)</t>
  </si>
  <si>
    <t>1148</t>
  </si>
  <si>
    <t>hasta las 7. A las 8 se ha recibido el parte de haber sido completamente rechazados, cuya noticia se apresura ¿ comuni­ car al público el Excmo. Sr. D. Joaquín Bkke para su satisfacción, que debe ser tanto mayor, cuanto que aquella valiente guarnición, compuesta de tropas valencianas, está dando ¿ sus compatriotas un heroico …</t>
  </si>
  <si>
    <t>Blak, Joaquín</t>
  </si>
  <si>
    <t>Joaquín Blak</t>
  </si>
  <si>
    <t>agosto. Con esta fecha el capitán general de este reyno, marques dei Palacio, ha mandado publicar y circular un bando que empieza rsí: “El Excmo. Sr. D. Joaquín Blak3, con fecha de 22 del actual, medícelo que sigue: — Ex cilio. Sr.: con fecha de 20 del corriente me dice el general en ge te interino del tercer exército, que en…</t>
  </si>
  <si>
    <t>Blake</t>
  </si>
  <si>
    <t>diariamenre se fabril can, no ha perdido nunca ocasión de contribuir al soaoir &gt; délos exércitos. Apenas supo en setiembre último por ios oficies del general Blake que el exercito del mando de este general necesitaba capotes, con­ tribuyó con útí gran número de ellos , con paño , y con dinero Ac­ tualmente está contribuyendo …</t>
  </si>
  <si>
    <t>552</t>
  </si>
  <si>
    <t>herida* Los generales Gazan, Brix y otros salieron heridos* Nuestra pe'rdida ha sido también considerable , aunque muy inferior á la del enemigo. El general Blake siempre á la cabeza de las tropas donde el ma­ yor peligro llamaba su atención, recibió un balazo de íiisil rasante al brazo izquierdo , con la felicidad de romperl…</t>
  </si>
  <si>
    <t>15 á 16000 hombres ; con les cuales se rtunió, al baxar á Extremadura, el cuerpo mandado por el general Latour Mauhourg , que se suponía de 5000. E!. general Blake, luego que supo el movimiento del mariscal Soult, conformándose entere mente con @1 plan propuesto por Y.S., pasó á formar su reunión con el cuerpo de mi mando, y …</t>
  </si>
  <si>
    <t>idos de los generosos y eficaces aaxü 03 da L G aci-B eíañ i, triunfárian finalmente de! común enemigo. Hubo des,mes otros brindis, y entre ellos al .general Blake y al valeroso exéreito de España, cor tmivorsal y reiterado aplauso. En la sesioxi del 7 da este mes decretó el parlamento que se die­ sen gracias en su nombre al …</t>
  </si>
  <si>
    <t>*■ 7 55 que se lia conducido el dia 16 de mayo próximo pasado el exéreito español del mando de S. E. el general Blake en la gloriosa batalla de la Albuhera. De la misma. Viernes 7 de junio de 1811. Los pares espirituales y temporales, juntos en parlamento , mandaron que el lord canciller remita les acuerdos que preceden ai te…</t>
  </si>
  <si>
    <t>ó do las que existan en Extremadu­ ra. — Están fortificando ei antiguo castillo de Medellin y el de Truxilío. Luego que se embarcaron Tas tropas del general Blake , el cuerpo enemigo que lubia marchado hácia el Guadiana, y que según ías últimas noticias que di á V. E. en mi oficio anterior, había vuelto .hacia Cartaya, se ret…</t>
  </si>
  <si>
    <t>es; y que los nobles lores, uniéndose Sabemos por el Mcrmaid que lord Wellington todos para el bien de su país, harán que esta cues­ lia destacado al general Blake con io9 hombres tión sea un negocio de discusión, y no de partido. para marchar sobre Sevilla, ó inquietar al enemi­ El lord Lauderdale se opuso á que se impriman …</t>
  </si>
  <si>
    <t>Gaceta de Madrid n.º 235</t>
  </si>
  <si>
    <t>tugal permanece ert El gran consejo del cantón de Vaud , querien­ do perpetuar la memoria de la acta de mediación, la orilla derecha del Guadiana. El general Blake hizo eo la uoche del 30 de junio una teoutiva pa­ á la que debe la Suiza su salvación, y este cantón ra apoderarse de Niebla, donde el enemigo tenia so existencia,…</t>
  </si>
  <si>
    <t>comunicaciones cabezas de ios ilastres directores del banco, ó la coo Aaronches y Portalegrc. del suplente Birch , ó la del procurador Mr. Per­ ,,Ei general Blake intentó, en la noche del 30, ecea! le den un valor que no tendría si no fuese apoderarse de Niebla , donde el enemigo tenía cer­ por esto. Este pobre hombre se pers…</t>
  </si>
  <si>
    <t>arrastrado á tan deplorable al exército ingles en una sitoacio mui crítica es la situación. Siempre es deplorable La indiferencia que separación del general Blake, que se ha retirado una persona manifiesta hácia las cosas que le to­ con las tropas de su mando. Por lo que dice d can de cerca, como que, es ana cosa contraria á …</t>
  </si>
  <si>
    <t>94</t>
  </si>
  <si>
    <t>toda persona racional , que no esté Del. 20. preocupada ó prevenida en contrario. Es inneg l'lí Los diarios franceses que hemos recibido hasta que el general Blake abandonó el exército ingles, el 14 del corriente contienen alguaas noticias ofi­ llevándose consigo todas sos tropas : también ei ciales sobre las operaciones ulte…</t>
  </si>
  <si>
    <t>1289</t>
  </si>
  <si>
    <t>nuevas bate­ rías , las cuates, f :rmando una brecha mas practicable ya eí 25, hu­ bieran da I o ocasión á segundo asalto, á no haberse presentado el general Blake y su exército en las alturas de Pach , llamando ía atención del enemigo á negocio de mayor importancia: al fia de esta acción capituló la guarnición, inducida á el…</t>
  </si>
  <si>
    <t>Blake, Joaquín</t>
  </si>
  <si>
    <t>Joaquín Blake</t>
  </si>
  <si>
    <t>Gazeta de la Regencia de España e Indias n.º 69 (extraordinaria)</t>
  </si>
  <si>
    <t>Núm. 69. GACETA EXTRAORDINARIA DE LA REGENCIA r DEL JUEVES 23 DE MAYO DE 1811. Parte dado por el Exorno. Sr.D. Joaquín Blake al Consejo de Regencia de la gloriosa acción y completa victoria conseguida contra el exército enemigo mandado por Soiilt. \ 'i “Serenísimo Señor: Tengo la satisfacción de anunciar i V. A. que el exérci…</t>
  </si>
  <si>
    <t>Gazeta de la Regencia de España e Indias n.º 74</t>
  </si>
  <si>
    <t>stinguida or­ den española de Carlos III; tendreislo entendido, y dispondréis lo conveniente á su cumplimiento. — Ptdr@ Agar, presidente. — Au­ sente D. Joaquín Blake, con expreso permiso de las Cortes. — Ga­ briel Ciscar. — Eu Cádiz á 28 de mayo de 1811. — A D. Diego de la Quadm,” Siendo constantes y continuas las pruebas de…</t>
  </si>
  <si>
    <t>96</t>
  </si>
  <si>
    <t>mplir y executar en todas sus partes. Ten* dréisló entendido, y dispondréis lo necesario á s.u cumplimiento__ _ Gabriel Ciscar, presidente. — Ausente D. Joaquín Blake con permiso de las Cortes. — Pedro dé Agar.— Cádiz 23 de agosto de 1811._ A I). Ignacio de la Rezuela. PAUTES Y DOCUMENTOS SOBRE LA ACCION DE ZUJAR y RETI­ RADA…</t>
  </si>
  <si>
    <t>r, cumplir y exectiíar en todas sus partes. Ten­ éroslo entendido, y dispondréis lo necesario á su cumplimiento.—Gabrid Ciscar, presidente.—r Ausente D. Joaquín Blake coa per­ miso de las Cortés. — Pedro de Agar. — En Cádiz á 25 de agosto de 1811. — A D. Ignacio de la Ptzuela.</t>
  </si>
  <si>
    <t>do. Oficio del gefe del estado mayor del exército u esta junta’ supe » rior, con fecha de ayer : „ Ciaseeuente á las instrucciones que el Exorno. Sr. D. Joaquín Blake tenia d^das á I03 brigadieres D. José O irán y D. Juan Martin el Empecinado, avisa el primero desde el lugar de A«ca, con fecha de 25 de setiembre, hallarse reu…</t>
  </si>
  <si>
    <t>Gazeta de la Regencia de España e Indias n.º 146 (extraordinaria)</t>
  </si>
  <si>
    <t>1221</t>
  </si>
  <si>
    <t>Excmo. Sr. gefe del estado mayor general lo que á la le­ tra sigué: „ Excmo. Sr.: en virtud de órdenes, recibida* en el campo de Muía, del Excmo. Sr. D. Joaquín Blake, se puso en movimiento el dia 5 del cor­ riente el Excmo. Sr. general en gefe de este exér— cito con 4® infantes, 600 caballos y 6 piezas de artillería á caball…</t>
  </si>
  <si>
    <t>r, cumplir y cxjcuiar en toia# sus paries. Teudreido entendido, y dispondréis lo necesario i su cumplimiento. — Gal ,'d Ciscar, presidente— Au­ sente D. Joaquín Blake coa permiso d« tas Cor*-:?. — Pedro de Agar.— En Cáaiz á 4 de setiembre de 1811.—A D. José Cansa A‘"i^usiies. •• n i» O £ D. Fernando vi i , por la gracia de Di…</t>
  </si>
  <si>
    <t>Gazeta de la Regencia de España e Indias n.º 153 (suplemento)</t>
  </si>
  <si>
    <t>mayor del cuerpo expedicionario, ios partes siguientes: 1.® “Excmo. 8r.: El estado en que se hallaba el castillo de Saguate, determinó al Exorno. Sr. D. Joaquín Blake á reunir el exército, y atacar á los enemigos para libertarlo. Las tropas del tercer exército que entraron en Cuenca, habían llegado á Liria: el exército hizo m…</t>
  </si>
  <si>
    <t>Blake, Jtaquín</t>
  </si>
  <si>
    <t>Jtaquín Blake</t>
  </si>
  <si>
    <t>an guardar y exacutar en todas sus partes. — Teodréialo entendido , y dispendreis lo- conveniente á su cumplimiento.— Gabriel Ciscar, presiden­ te. — D. Jtaquín Blake, ausente con permiso do la? Cóítes. — Pe* dro de Agar. — En Cádiz á 1.* de diciembre de 1S1I. — A D. Josa Caaga Atgiteiks. El Sscmo. Sr. gofo del estado mayor g…</t>
  </si>
  <si>
    <t>Blako, Jonquin</t>
  </si>
  <si>
    <t>Jonquin Blako</t>
  </si>
  <si>
    <t>1288</t>
  </si>
  <si>
    <t>todo subsiste io mk:;:;.o, y no se sabe hay^m aumentado los enemigos sus fuerza-.'!. Jjq pongo e:&gt; nciicla de V. 'fJ. por dispc&amp;icion del Excmcu Sr. D. Jonquin Blako, para que V. E. 'tenga i bien elevado i •?. A. el ' C®ro.-"jo de ‘Rógencis. — Dios guarde &amp;o. VíJíncia 4. de noviembre da 1SII. — Ánl&amp;nio Burriel.— D. —r Las fue…</t>
  </si>
  <si>
    <t>Blanca, Francisco</t>
  </si>
  <si>
    <t>Francisco Blanca</t>
  </si>
  <si>
    <t>re por la tarde,los enemigos vinieron por el camino del Estanque, y se acercaron á esta torre por las dos orillas de la ace­ quia de! Ala. El oficial D. Francisco Blanca, qie salió á reconocerlos con 14 hombres, no pudo contener el ardor de su gente, que después de una hora de fuego, obligó á los enemiges en número de 46 á hu…</t>
  </si>
  <si>
    <t>Blanchard</t>
  </si>
  <si>
    <t>alieron unos 700 / infantes de ia 0miardia rea! con quarro cañones de á 4. A las 4 de la tarde llegó ea dili­ gencia un C’Zvdor con nn pliego para el gobernador Blanchard, y po­ co después salieron para Alcalá 200 infantes y 80 caballos, y por las puertas de Acocha y-Recoletas varias partidas de 50 y60 hombres. —</t>
  </si>
  <si>
    <t>Blanco, Diego</t>
  </si>
  <si>
    <t>Diego Blanco</t>
  </si>
  <si>
    <t>D. José Anto­ nio Romero, D. Ram&amp;n de Larrieta, D. Manuel Sanz, D. Domin­ go Cierto, I). Antonio Vallaría© y D. Sebastian Peñasco; y subte­ nencias á D. Diego Blanco, D. Manuel Miravete, D. Pablo J *¿ica, D. José Camerino, D. Mariano de Miguel, D. Manuel Nieto, Don Juan de Cacho, ü. Agustín Roa, D. Ramón de ArroyueSo, Don Joa…</t>
  </si>
  <si>
    <t>Blanco, Felipe</t>
  </si>
  <si>
    <t>Felipe Blanco</t>
  </si>
  <si>
    <t>n Martínez.......................... 4ji 8 3000 9 Sor Isabel María de Jesús, por su 3 D. Sebastian Sempere.......................... 541 17 apoderado D. Felipe Blanco....;...'. 3049 14 13 D. Santiago Arias, por medio de su 1 D. Josef Felices................................... apoderado D. Manuel Josef Anun­ 900 1 D. Antonio C…</t>
  </si>
  <si>
    <t>Blanco, Juan</t>
  </si>
  <si>
    <t>Juan Blanco</t>
  </si>
  <si>
    <t>anueva de Córdo­ En el de la Cruz, á las quatro y media de la tarde, ba se formará ana compañía. *e exccutará el oratorio sacro de versos y música en D. Juan Blanco queda nombrado capitán; Don dos actos titulado el Saúl, composición del maestro Juan Cañuelo y Cafiuelo reniente, y D. Bernardo D. Estéban Cristian!, adornado con…</t>
  </si>
  <si>
    <t>Blanco, Víctor</t>
  </si>
  <si>
    <t>Víctor Blanco</t>
  </si>
  <si>
    <t>antos, 30. D. Fernando Baramendi, 30. D. Clemente Delgado, 10. D. Vicente Travieso, 10. I). Francisco de Arocha, 9. D. José Antonio de la G irza, 10. D. Víctor Blanco, 20. D. Apolinar de Marrnela, 40. D. Be nito Antón, ,20, D. Francisco Perez, 10. I). Antonio Vaca, 50. D. José Antonio Saucedo, 20. D. José Angel Navarro, 10. D…</t>
  </si>
  <si>
    <t>Blane, Carlos</t>
  </si>
  <si>
    <t>Carlos Blane</t>
  </si>
  <si>
    <t>Gaceta de Madrid n.º 121</t>
  </si>
  <si>
    <t>ria los sentimientos de benevolencia mes gefe de división en el ministerio de la rea! Ha­ r&gt; ¡ue su ilustre padre, ei mayor de los Monarcas, cienda á D. Carlos Blane, ex-visitador general de »ha manifestado siempre para con la Suiza." este ramo. PROVINCIAS ILIRICAS. Almanak 6 Actuario presenta di d S. M. el Em­ Trieste *7 de …</t>
  </si>
  <si>
    <t>Blas</t>
  </si>
  <si>
    <t>guar­ Escovar (D.'Antonio), capitán comandante de la dia de honor de Sevilla. de Arjona. Boodia (D. Henriqoe ), tirador de . nuestra gaar- Escribano (D. Blas ) , soldado de artillería dia real. Falqués ( D. Antonia), comandante de batallón del Bougard ( D. Pedro), soldado de caballería ligera regimiento de Madrid, i.°de infan…</t>
  </si>
  <si>
    <t>Blcke</t>
  </si>
  <si>
    <t>nteramente llano, colocándome casi directamente entre el enemigo y Badajoz. El exéreito estaba, pues, reunido aquí el 15 del comente: el cuer­ po del general Blcke, aunque hizo una marcha forzada al efecto, no púio bogar hasta la noche , ni colocarse en posición hasta la ma­ ñana del 16 ; en cuyo dia se juntó también un poco …</t>
  </si>
  <si>
    <t>BLké</t>
  </si>
  <si>
    <t>mo no ha producido traron el dia 13 sus fuerzas en Valverde, donde mas que 29332 libras L&lt; cámara tendrá presente parece que se les reunió después el general BLké. que p r igu.1 motivo tuvo que abolir los dere­ El mariscal Soult atacó el 16 en Albuera al chos impuestos sobre los guantes. Antes de pro­ exército combinado; la a…</t>
  </si>
  <si>
    <t>BLke</t>
  </si>
  <si>
    <t>954</t>
  </si>
  <si>
    <t>traordinaria la carta de Scuíí al general, gobernador de la provincia, en que *6 decia haber sido desbaratado eí tercer «xército y la división que ti general BLke desembarcó en Ahnería; que eb general Godinot destrezó el 0 entre Pozo-halcón y Zajar á los Guardias walonasq que</t>
  </si>
  <si>
    <t>1233</t>
  </si>
  <si>
    <t>Asimismo culpan á Soult poique no ha apoyado, como debía, el golpe de mano de Suchet sobre el reyéo de Valencia, dande- lugar con su omisión á que el general BLke h?.ya tomado las disposición?*» necesarias para su defensa : por lo cual; añaden, se puede temer que si el exército fe unces es batido</t>
  </si>
  <si>
    <t>Blleneros</t>
  </si>
  <si>
    <t>. , - - .. «ue temen ser cortados. — Ayer por la manana salió dé Salvatierra el 459 general Blleneros, y esta noche ha de dormir en Burguüjós; ha pe­ dido á esta villa i6eco naciones de vino y aguardiente que deberán ser conducidas al paragí; • aue determine. Los enemigos, que al mando de G</t>
  </si>
  <si>
    <t>Blondeau</t>
  </si>
  <si>
    <t>Gaceta de Madrid n.º 111</t>
  </si>
  <si>
    <t>A. 400 libras de hojas. Madrid 20 de abril. Luego que las hojas están dentro de la cuba se hecha agua clara basta que las cubra , y esté dos El señor general Blondeau acaba de dar un pa­ ó tres pulgadas encima. Es preciso que la agua que seo militar, que uo ha sido infructuoso, con parte se emplea disuelva perfectamente el xa…</t>
  </si>
  <si>
    <t>Blondequi</t>
  </si>
  <si>
    <t>Gazeta de la Regencia de España e Indias n.º 72</t>
  </si>
  <si>
    <t>571</t>
  </si>
  <si>
    <t>Hoy har entrado 30 dragones de Utrera y un batallen de ir f ntsría cuya fusrza consistía en muchos tambores y 72 hombres. T--.it ;bie * ha iícg'do el general Blondequi con 50 hombres ce caballe­ ría , y ha&gt;-: *?»p. rc:do la vez de que detras vienen zoco hombres que deben b; xar o.e (Trotona á Tociña, pero no dicen de donde pr…</t>
  </si>
  <si>
    <t>Blske, Joaquín</t>
  </si>
  <si>
    <t>Joaquín Blske</t>
  </si>
  <si>
    <t>l, desde el cuartel general de Valencia , al se­ ñor gefe del estado rñayor general. l.° Uno de octubre de 1811. Exorno. Sr.: de orden del Excmo. Sr. D. Joaquín Blske traslado á V. E. el siguiente parte del brigadier D, Jüan Martin el Empecinado, escrito ei 21 de setleíibre en Sigücíísa: “Excmo. Sr.: Para contener al destacam…</t>
  </si>
  <si>
    <t>Bltke, Joaquín</t>
  </si>
  <si>
    <t>Joaquín Bltke</t>
  </si>
  <si>
    <t>ieron escaparse á uña de caballo.— Dio? guarde k V. E. muchos años. C^tripo del hoúor 18 de octubre de 1811. — Francisco Espoz y Mina. — JSxcaa©. Sí. D. Joaquín Bltke.” Cádiz 22 de noviembre. Las últi aas noticias recibidas de Lima con fecha de 23 de junio, no contienen novedad de i*i portan®». Las de la Habana refieren, que …</t>
  </si>
  <si>
    <t>Bmc, Rafael</t>
  </si>
  <si>
    <t>Rafael Bmc</t>
  </si>
  <si>
    <t>de sargento mayor ú D. Domin­ go Brand-s : ®a el de v&amp;:usiiaries de Lton, la tenor.cía corose'a a D. José Yáñvz: en el de, Casi illa, igual empleo á D. Rafael Bmc!?o: ea el de Lobera, el mismo á ÍJ. José Salgado: en el primero de As­ turias , el de coronel á D. Pódro Daj:vi : ia tenencia coronela á D a M mtiel Míraraon y la c…</t>
  </si>
  <si>
    <t>Bmiet, Benigno</t>
  </si>
  <si>
    <t>Benigno Bmiet</t>
  </si>
  <si>
    <t>Jostf ti'. l¿a Vega Ordoñez........... . '6390 , Firmado— Mariano Luis de ■Ufqúrjo.’,‘o' ' i 13 D. rom.s'';Vcazquez...................... Í7056 1 23 D. Benigno Bmiet...,.................. ........ 12649 3? 13 D. Fern.ndo Beíigaech»a......... ......... ' ,?6794 27 ---- TEATROS. 82 89046 En el del Paineipeá las dele :de la Ooqh…</t>
  </si>
  <si>
    <t>Bnhurst</t>
  </si>
  <si>
    <t>4&gt; Los de los ministros del rey con loa de los SS- lord Canciller $ conde Camden , conde de Westmoreland, marques de . Wellesley, conde de Liverpool, conde Bnhurst, conde Harrowby , lord Mulgrave, Sir Spencer Perceval, Sir Cárlos Yorke, Sir Ricardo Ryder y Sir Dundas Satín-* ders. Los de los embaxadores de Portugal, de Sicili…</t>
  </si>
  <si>
    <t>Bnm</t>
  </si>
  <si>
    <t>1359</t>
  </si>
  <si>
    <t>s, ‘tuve aviso de que el general CsíFarelli d/?bia marchar coa su columna sobre Puente da h Hcyna, ei general Rciile con Sa suya para Tu­ fada , y el coronel Bnm desde Logroño sobre EstcrlU. E ta combi­ nación tenia el objeto de intercap&amp;rraa el paso á i as moirt.ñas ¿el E. y N. de Navarra, arroj í adorne á las Htiuuras de la…</t>
  </si>
  <si>
    <t>Bnrmudez, Francisco</t>
  </si>
  <si>
    <t>Francisco Bnrmudez</t>
  </si>
  <si>
    <t>P^dro Peynador; subtenenc as á D. Sebastian Salado, D: Felipe Treus,D Santos San­ martín, D. José Mosco30, D. José Ruiz Rodríguez , D. Fidel GaÍoso, D. Francisco Bnrmudez, D. Angel Fraile, D. Juan AlJaraira, í. Fa-no' Varela, D. Toma?/ Rea!, D. Pedro Benito Gárrulo, Don Faínian Blanco, D. Filioe Uíloa, D. Leandro García, D. A…</t>
  </si>
  <si>
    <t>Bnrrelli, Antonio</t>
  </si>
  <si>
    <t>Antonio Bnrrelli</t>
  </si>
  <si>
    <t>inundado y cubierto con sus aguas te de la quinta compañía en la vacante de D. Joa­ los continentes que habia abandonado anterior­ quín Sojo. mente. D. Antonio Bnrrelli» sargento primero , á sub­ Mr. Brougniart ha reconocido que este terrena teniente de la primera compañía en reemplazo de ha sido formado en agua dulce , no so…</t>
  </si>
  <si>
    <t>Bnur</t>
  </si>
  <si>
    <t>Gaceta de Madrid n.º 115</t>
  </si>
  <si>
    <t>Gébora á favor de la caballería, par­ todas ellas son fandadas. ticularmente la de gran oficial de la legión de Ho­ ,, La artillería, mandada por el general Bnur- nor para el general Latonr-Mauboorg, la de co­ geat, ha servido con distinción, como acostumbra, mandante para los generales Briche y Bouvter de* y ha hecho con gra…</t>
  </si>
  <si>
    <t>Bo, Frutos</t>
  </si>
  <si>
    <t>Frutos Bo</t>
  </si>
  <si>
    <t>. Manuel Melgares y D. José Morera; les de teniente i D. Antonio García , D-' Mateo Peñaranda, D. Pedro Vizcaíno. D. Tomas Rodríguez, D Pedro García, D. Frutos Bo­ ros, D. Manuel Pias ncia y D. Fado Mera; los de subteniente á D. Martin García, D. Manuel Plaza , D Juan, Domínguez, Don Manuel Paez, D.'Rafael Pato, D. Juan Sánch…</t>
  </si>
  <si>
    <t>Boan, Antonio Lnis</t>
  </si>
  <si>
    <t>Antonio Lnis Boan</t>
  </si>
  <si>
    <t>a primera compañía en reemplazo de Don Mr*. Brougniart y Cuvier habian descubierto Manuel Zavala. en tos terrenos inmediatos á Paris varías capas mot D. Antonio Lnis Boan , subteniente , á tenien­ largas de piedras, las quales contienen conchas de te de la segunda compañía en la vacante de D. Fé­ agua dulce , que parece haber…</t>
  </si>
  <si>
    <t>Boanet</t>
  </si>
  <si>
    <t>. El enemigo lia retirado de Badajoz el tren de artillería con que batió y tomó la plaza, y la ha enviado á la paite del sur. Parte de las tropas del general Boanet, cuya salida de A tu rías se ha confirmado, se dirigió al rey no de León , y el general Süveyra me avisa con fecha ¡de 25 del pasado que eí enemigo bahía evacuado…</t>
  </si>
  <si>
    <t>Boba, Gaspar</t>
  </si>
  <si>
    <t>Gaspar Boba</t>
  </si>
  <si>
    <t>953</t>
  </si>
  <si>
    <t>Ei 15 ocupaban los enemigos las mismas posiciones que el dia an­ terior. Por la tarde una guerrilla avanzada del regimiento de Farnesio, mandada por D Gaspar Boba lilla, habiendo visto baxar 10 franceses de inrantería á robar ios cortijos junto á Lumbreras , ios acometió, mató 7, é hizo prisioneros á los 3 restantes. Las fuer…</t>
  </si>
  <si>
    <t>Bocchu</t>
  </si>
  <si>
    <t>s á cuerpo, el coronel Veüande , del regimiento 88.°, lo* pies de S. M. y el coronel Quiot del roo.° ,, La rendición de la guarnición de Bidjoz ,, El coronel Bocchu, gefe del estado mayor completa la destrucción del llamado exército de la de la artillería, r» prepuesto para el título de ba­ Romana, qee hace dos meses se compo…</t>
  </si>
  <si>
    <t>Bode</t>
  </si>
  <si>
    <t>Gaceta de Madrid n.º 264</t>
  </si>
  <si>
    <t>1090</t>
  </si>
  <si>
    <t>io con las Provindas-Ilíricas, si se confirma Extracto de una carta del doctor Olbers, de la noticia de haberse entablado negociaciones con Brema, al profesor Bode, en 28 de julio de 1811. los países limítrofes. ,,E1 cometa que Mr. Flauguergues descubrió Del 14. el 25 de marzo en Viviers , y Mr. Pons en 11 de abril en Marsell…</t>
  </si>
  <si>
    <t>e no dexan de encontrar bastante apoyo jas obras verdaderamente útiles ó interesantes. La Delgr. filología ó el estudio de las lenguas signe en nn El profesor Bode observó el 9 de este mes des­ estado floreciente: se ha publicado ya el segundo de nuestro observatorio el cometa que habia anun­ tomo del Esquilo de Schiir. Esfur…</t>
  </si>
  <si>
    <t>Bodelii</t>
  </si>
  <si>
    <t>mbres, mandados por el Sr. general Berraui; y 335 fusileros granaderos de la guardia y 35 artilleros de infantería con 43 caballos, á las órdenes del coronel Bodelii?, Del 4. Ei comandante de la plaza de Beriseó dice que se han reunido 3 fragatas á distancia de una legua de aquel punto, y que después tiraron cohetes y echaron…</t>
  </si>
  <si>
    <t>Boer</t>
  </si>
  <si>
    <t>Gaceta de Madrid n.º 364</t>
  </si>
  <si>
    <t>ital los tres bu­ tenor siguiente: ques siguientes, juntamente con sus cargamentos, á „A1 mismo tiempo que sabemos con gran satis­ saber, la Fortuna, capitán Boer; la Margarita, facción que mochos comerciantes y varios habitan­ capitán Ewertz, y el Peperbootn, capitán Soeder. tes acomodados de Copenhague se dan priesa á ar­ E…</t>
  </si>
  <si>
    <t>Boíarnll, Miguel</t>
  </si>
  <si>
    <t>Miguel Boíarnll</t>
  </si>
  <si>
    <t>del par­ tido de Toa-baxa, 193. Id. del partido de Toa-alta, 800 y 4. Id. del partido de Guainabo ,210. Id de la Moca, 427. D. Pedro Soler , 164 y 1. D. Miguel Boíarnll, 120. Varios vecinos del partido de Juncos, 05. Id. de la Vega-alta, 105. Id. de la Vega-baxa , 505. 14. Manuel Alora les, 1 63 y l. Vario.- v&lt; tinos del part…</t>
  </si>
  <si>
    <t>Boid</t>
  </si>
  <si>
    <t>Gaceta de Madrid n.º 358</t>
  </si>
  <si>
    <t>457</t>
  </si>
  <si>
    <t>sen aguada antes de volverse para el dia 14 de este mes. Se componen de 500 á Francia, y como por otra parte no tienen los hombres del regimiento del coronel Boid , y de al­ franceses ninguna isla por allí, creimos mni proba­ gunas otras tropas regladas, ademas de tos volun­ ble que se habrían ido á hacer escala á algún» de t…</t>
  </si>
  <si>
    <t>Boldíi, Miguel</t>
  </si>
  <si>
    <t>Miguel Boldíi</t>
  </si>
  <si>
    <t>qui, 400. D. T. B, 500. D. Pablo Riera, 500. D.» Antonio de Alsazua, 1000. D, Barto­ lomé Santa!6 , 300. D. Ramón Beltran, 160. D. Juan Whitte , 500. D. Miguel Boldíi, 200. D. Juan Imbert, 40. D. Juan Sans de Sto. Domingo, 200. D. Jo­ sé Gordoa, diputado en Cortes por América, 2000. D. José Co!í, 1000. Don Ignacio Garceran , …</t>
  </si>
  <si>
    <t>Bolea, Nicolao</t>
  </si>
  <si>
    <t>Nicolao Bolea</t>
  </si>
  <si>
    <t>1372 Gliraent, y D.. Nicolás Eseríbé: en el del infante D. Cérlos, com­ pañías á D. Nicolao Bolea , D, Francisco García y D. José Quin­ tana : ayudantía á D. Jmé Aguado: tenencias á D. R araos Nave-, Ha, D. Vicente Jasen, D. Fernando María, D. Ramón Laraz, D;*n Fatiga, D. Nícoiafí Franco</t>
  </si>
  <si>
    <t>Bolkins</t>
  </si>
  <si>
    <t>Gaceta de Madrid n.º 242</t>
  </si>
  <si>
    <t>Condenado, á no ser que presente antes Haven. del a de agosto pruebas suficientes. ,, Mis conciudadanos: he recibido la represen­ El Gutte Hoffaitgn, capitán Bolkins. Este tación que me habéis dirigido, manifestándome lot barco, cargado de aguardiente, venia á Ioglater- inconvenientes que resultan de la leí de no im­ ra. Devu…</t>
  </si>
  <si>
    <t>Bolla</t>
  </si>
  <si>
    <t>Gaceta de Madrid n.º 91</t>
  </si>
  <si>
    <t>es dice que en Semlin 10 de febrero la primavera próxima se pondrá al fíente del exér- Hoí han entrado en Belgrado y 00 rusos á las cito. órdenes del teniente coronel Bolla. Estas tropas no RUSIA. han ocupado la cindadela, y sí la parte de la eiudad situada en la Otilia del rio, que en aleman lla­ Petersburgo 4 de febrero. ma…</t>
  </si>
  <si>
    <t>Bombillo, Gabriel</t>
  </si>
  <si>
    <t>Gabriel Bombillo</t>
  </si>
  <si>
    <t>ntín y IX Basilio Martínez, de Medina de Pomar, 68. D. José Carrera, 50. D. Juan Fernandez , de Zamora , 17. D. An­ tonio Crespo, de Ídem , 8 y 4 rs. D. Gabriel Bombillo, de Castilla, 34. Don Francisco Polo, de id. 20. D. Manuel Gutiérrez, de id. 8 con 4. D. M. A. 8 con 4. D. Juan Isíepcmucene Cúbrales , de Asturias , 4 con 2…</t>
  </si>
  <si>
    <t>Bomtparte</t>
  </si>
  <si>
    <t>540</t>
  </si>
  <si>
    <t>do y se retire á Valla lolid P y con efecto entró aquí "Ney el 28 , y el SO continuo su viage A París. Uno. y otro enviaron desde luego sus ayudantes d Bomtparte. y ayer sa­ lió otro de Massena en posta. Eos mas son de partees de que las tro­ pas útiles de Massena no pasan de 20000 hombres, y entre todas S0000: Ito f' /'/&gt; *¡…</t>
  </si>
  <si>
    <t>Bonaparte</t>
  </si>
  <si>
    <t>Gazeta de la Regencia de España e Indias n.º 6</t>
  </si>
  <si>
    <t>a sin duda por estas y otras explicaciones lo que significa el nombre y oficio de mediador de la confederación helvética, que se tomó y lleva nuestro emperador Bonaparte. Otro decreto se había expedido anteriormente, declarando irregu­ lares ó incapaces de exercer las funciones sacerdotales en el imperio francés, á los eclesi…</t>
  </si>
  <si>
    <t>Bonet, Pedro</t>
  </si>
  <si>
    <t>Pedro Bonet</t>
  </si>
  <si>
    <t>o Molina , 25. Don Francisco Xavier Molina, 50. Doña Sebastiana Guzman , 100. D. Luís Peset, 25. D. Bartolomé Ballester, 50. D. Ventura Martínez, 10. D. Pedro Bonet, 25. D. Bartolomé Cabrera, 10. D. Gregorio López , 10. D. Lope Menendez, 25. D¡* Silvestre Rodríguez, 10. D. José Martínez , 10. D. Jo­ sé María Godoy , 10. Don A…</t>
  </si>
  <si>
    <t>Bonifacio</t>
  </si>
  <si>
    <t>de cazadores á caballo. Rodríguez (D. Angel), alabardero de nuestra Irabien de Urquljo (D. Francisco), corregidor de guardia real. Burgos. Rodríguez (D. Bonifacio), alcalde mayor de San­ Itnrribarria (D. Francisco), alcalde de nuestra tander. real casa y corte. Romero (D. Francisco Xavier), coronel de caba­ Iwan ( D. Bstéban)…</t>
  </si>
  <si>
    <t>Bonilla, Miguel</t>
  </si>
  <si>
    <t>Miguel Bonilla</t>
  </si>
  <si>
    <t>omo síndico del monasterio de religiosas car­ melitas descalcas de esta ciudad , á cuenta de 101)0 pesos de su oferta , 100. i&gt;. Santiago Drak, 1000, D. Miguel Bonilla , por el prest de 3 soldados en un mes durante la guerra , 27. El coronel D. Manuel Artazo , por el de 4 solda­ dos en un mes durante - la guerra, 41). I). Mat…</t>
  </si>
  <si>
    <t>Bonnet</t>
  </si>
  <si>
    <t>Gazeta de la Regencia de España e Indias n.º 12</t>
  </si>
  <si>
    <t>stros 10000 pares de zapatos, 4000 vestuarios completos, muchos sables, fusiles , mochilas, una preciosa silla de montar con adornos de plata para el general Bonnet, y 2 millones y medio de reales. El 7 de noviembre entró el valiente caudillo riojano Amor en Santo Domingo de la Calzada, habiendo dexado sus avanzadas en los ca…</t>
  </si>
  <si>
    <t>por el capitán D Francisco Ciíieruelo y Camino, y por el misino Castañon , debían entrar por diversos puntos, dirigiéndose á la casa alojamiento del general Bonnet, á ias de varios partidarios de los enemig. s y á sus cuarteles; pero habiéndose adelantado el prime­ ro de dichos trozos, fué atacado en el Cillero y punto de Ijo…</t>
  </si>
  <si>
    <t>Gazeta de la Regencia de España e Indias n.º 100</t>
  </si>
  <si>
    <t>803</t>
  </si>
  <si>
    <t>io , da el parte siguiente: P Parte, de la acción de Cogorderos del 23 de junio. 6i Para po-áer observar de cerca los movimientos de la división' del general Bonnet, que situada en León tenia extendidas tus prin­ cipales fuerzas sobre el Orbigo , y para impedir que sus par* tida3 hostigasen el país de la orilla derecha, se si…</t>
  </si>
  <si>
    <t>304</t>
  </si>
  <si>
    <t>y se sabia que las divisiones españolas que invadieron á Ara­ gón, habías conseguido y continuaban consiguiendo nuevas v&gt;nt-ps. El cuerpo francés del general Bonnet,'compuesto de 4 i 5000 hombres, que había entrado últimamente en el principado de Astu­ rias, lo ha evacuado de nuevo después de saquear á Oviedo, y co­ meter los…</t>
  </si>
  <si>
    <t>iódicos franceses. Después de haber referido los movimientos de su exército en los dias anteriores , conti­ nua de esta suerte : El 27 de agosto , el general Bonnet vino d las manos con el enemigo , fuerte de 5090 hombres , sobre las alturas de Riego y Amhroso , y á pesar de su vivísimo fuego se apoderó de esta fuerte posició…</t>
  </si>
  <si>
    <t>dízabal y el Murqueéito se h¿Jan ea Potes, v ticnsn púeítos en S. Vicente pCumicas y Cabezón de la Sd. — Ts*go el honor &amp;c.— El general de división , conde Bonnet. — O vitelo 11 de nevierebre de J S í í.” il. Al mismo. — a Señor general : La publicidad de la expe­ dición ss-bre Asturias • h* Lecho em'grar un grsn número de ha…</t>
  </si>
  <si>
    <t>Bor, Atanasio</t>
  </si>
  <si>
    <t>Atanasio Bor</t>
  </si>
  <si>
    <t>arios individuos , 30. El preben­ dado D. Miguel Sánchez Navarro , 500. El cura de Monclova, 100.— Hacienda de Encinas. T). José Mariano Vázquez, 50. D. Atanasio Bor­ rego , 50. Varios individuos, 38 y 4 rs.—Hacienda del Alamo. D. Ig­ nacio Elizondo, 200. D. Nicolás Elizondo, 25. D. Vicente de los San­ tos , 25. D. Santiago F…</t>
  </si>
  <si>
    <t>Borbua, Manuel Higinio</t>
  </si>
  <si>
    <t>Manuel Higinio Borbua</t>
  </si>
  <si>
    <t>Franco, cura de Santa Bárbara, 4. Fr. Baitasai Cabezudo , cura interino de Macaracas , 25. D. Fran­ cisco Mateo , cura de Pesé , 10 —Partido de Nata. D. Manuel Higinio Borbua , cura vicario , 50. I). Juan González , teniente cura , 25. D„ Vicente Solanilla, sacristán mayor , 4. D Francisco Xavier ttuiz , presbítero ,• 10. 1).…</t>
  </si>
  <si>
    <t>Boresford</t>
  </si>
  <si>
    <t>y municiones, quedando solo el número de tropas suficientes para mantener el sitio y los trabajos hechos. — El 13 se habla'trasladado el cuartel del mariscal Boresford desde Tafaverida á Valvcrde r adonde llegó el 14 á las 9 de la ncche el general BIsk**, y se apeó en el alojamiento del general Bjreíford. Sus tropas quedaban …</t>
  </si>
  <si>
    <t>BorFolgnera, Juan Ignacio</t>
  </si>
  <si>
    <t>Juan Ignacio BorFolgnera</t>
  </si>
  <si>
    <t>Losilla , vacante por promoción Para el de Aldea el Pozo y Valdegeña su ane­ de D. Manuel Bahun, al ex-dominico D. Agustín xo, vacante por muerte de D. Juan Ignacio BorFolgnera. degé, á D. Pedro la Horra, ex-franciscano. Para el de Terradillos, vacante por muerte de Para el de Valcavado, vacante por promoción D- Juan García, …</t>
  </si>
  <si>
    <t>Borghesc</t>
  </si>
  <si>
    <t>á fin con el gracioso sainete tita* Laeken. El 26 se esperaba también en Ambéres á lado los Currutacos chasqueados, ep el que se bailara# S. A. I. la princesa Borghesc. El Emperador ha seguidillas manchegas. EN LA IMPRENTA REAL.</t>
  </si>
  <si>
    <t>Borghese</t>
  </si>
  <si>
    <t>pa­ recer de sus operaciones, que realmente no han sido mas felices que las de .su antecesor Augereau, ha dado el mando de Cataluña á su cu­ ñado el príncipe Borghese. El primer cuidado del nuevo general ha sido dirigir un convoy á la plaza de Barcelona , en lo que ha em-&gt; .picado todo su exércit-o y los nuevos refuerzos que …</t>
  </si>
  <si>
    <t>743</t>
  </si>
  <si>
    <t>les ocupaban el quadro llamado El Emperador; á su izquierda la Emperatriz, de Marigni; todas estas diversiones duraron .hasta la Reina de Holanda, la princesa Borghese. el que principiaron los fuegos artificiales. grao duque de Wurtzburgo, el gran duque de Estos se executaron en la plaza de la Concor­ Francfort; y á su derech…</t>
  </si>
  <si>
    <t>Bormet</t>
  </si>
  <si>
    <t>1551</t>
  </si>
  <si>
    <t>novedad hasta este di . — Póstenomente se sabe qas los enemigos ss retiraron de dieha vida, ebearvad©» por nuestra# tronar. Cartas intercepte,das ési general Bormet. T. Al conde Qorsenne, genercñ en gAf¿ d-el exército del norte de España. — “8#ñ&amp;t gsn&amp;ral: Psr mi cana del 6 ho tenido el ho­ nor de daros parte d© mi p*a«cha Le…</t>
  </si>
  <si>
    <t>Borodswitsch</t>
  </si>
  <si>
    <t>375</t>
  </si>
  <si>
    <t>to abundante y maduro: obligando á los paisanos á retirarse después d¿ ha­ 6 semanas há que se hizo la vendimia, y las cepas ber herido á algunos. El capitán Borodswitsch re­ están oira vtz cargadas de racimos, cuyos granos conoció por este recibimiento que el buque era in­ esta» bastante crecidos, y casi en sazón. En los gle…</t>
  </si>
  <si>
    <t>Borom, Esteban</t>
  </si>
  <si>
    <t>Esteban Borom</t>
  </si>
  <si>
    <t>Antonio Calero, 5. D. Francisca Peralta , 6. Pedro Saboila, 4. X&gt; Ramón Totosans, 4. D. Juan Perez, 4. D. Valerio Grau , á D. Juan de Dios \randa, 8. D. Esteban Borom, 3. D. José García, 2. D Pedro Ferrer , 2. D. Domingo Marera , 1. D. José María Suarez , 2. Antonio Balao, 8. D. Francisco Armario, 4 D. Manuel Malavear , 2. D.…</t>
  </si>
  <si>
    <t>Borras, Bernardo</t>
  </si>
  <si>
    <t>Bernardo Borras</t>
  </si>
  <si>
    <t>ahara á Ralea. En e¿ecto. lo encontraron á las 10 de la mañana: y aunque se iban retirando ¿osenemigos, cargó con tanto ardor sobre ellos el teniente D. Bernardo Borras que los batió com­ pletamente. El resultado fué haber hecho al enemigo veri os prisione­ ros , muerto 14, cogido mas de 50 cali ices de trigo, y 5000 cabezas …</t>
  </si>
  <si>
    <t>Borrego, Agustín</t>
  </si>
  <si>
    <t>Agustín Borrego</t>
  </si>
  <si>
    <t>go., vicario de Boadiiia. tro secretario de Estado = Firmado = Mariano Luis Para la vicaría de Serradella de Llano* vacante de Urquijo.” or muerte de D. Agustín Borrego * al presbítero Í &gt;. Sebastian Gonzalo. Para el beneficio de S. Cristóbal * vacante por TBATXOS. mnertede D. Bernardo Gándara , al ex-premostra- En el del Prí…</t>
  </si>
  <si>
    <t>Bosé</t>
  </si>
  <si>
    <t>Gaceta de Madrid n.º 19</t>
  </si>
  <si>
    <t>73</t>
  </si>
  <si>
    <t>io se atribuye á las especulaciones de alguoos qne bién es encargado de Negocios del gran ducado. habían calculado que se mejoraría su curso, y en El conde Bosé, hijo del último ministro do esta suposición habían girado grandes cantidades Negocios extrangeros, salió poco há de aquí para en letras de cambio; pero contra toda s…</t>
  </si>
  <si>
    <t>Bosmeniel, Blasa María</t>
  </si>
  <si>
    <t>Blasa María Bosmeniel</t>
  </si>
  <si>
    <t>Juan de Ponte , 4684. y 2 rs. I). José Goy , ayudante y habilitado del balallon de Pardos milicias de infan­ tería, á hombre de sus individuos, 500. Doña Blasa María Bosmeniel , por 5 meses de su oferta mensual para el socorro de las viudas de los españolea que han muerto en campaña, 50. D. Juan Cevallos , por el de un soldad…</t>
  </si>
  <si>
    <t>Botan, Manuel Basilio</t>
  </si>
  <si>
    <t>Manuel Basilio Botan</t>
  </si>
  <si>
    <t>el monasterio de Santa Cla­ ra, 170. El coronel D. Jhari FranciscoNuñez"del 'Castillo , por dos. me­ ses de su oferta mensual durante la guerra, 0-1. D. Manuel Basilio Botan-, eourt, oficial primero de la administración general de rc-ntas.de mar, ¿8. D. Cayetano Ponton, escribano publico, de orden del enpitan general en-: tre…</t>
  </si>
  <si>
    <t>Botasipor, Gua</t>
  </si>
  <si>
    <t>Gua Botasipor</t>
  </si>
  <si>
    <t>ó de! Levante, y que los primeros comerciantes mo hallo un renglón que dice : Fragata Agame­ que se ban aprovechado de las disposiciones del nón : al capitán Gua Botasipor resto de Jletes' gobierno, han sido también los que han sacado que devengó i.gá8&amp; rs. Ya en el mes de diciem­ desde luego mayores utilidades. bre habíamos …</t>
  </si>
  <si>
    <t>Boten, Tomas Rodríguez</t>
  </si>
  <si>
    <t>Tomas Rodríguez Boten</t>
  </si>
  <si>
    <t>ro secretario de Estado=Firmado — Mariano Luis D. Josef Fernandez de la Cuesta.. 215000 25 de Urquijo.“ D. Juan López Guzman................. 5086 22 D. Tomas Rodríguez Boten......... 34465 a D. Josef de Ibarrola........... -.......... 158000 En la extracción de la real lotería execntsda D. Livinio Stuyek y Vandergoten. 20000…</t>
  </si>
  <si>
    <t>Botg</t>
  </si>
  <si>
    <t>e la Concor­ Francfort; y á su derecha inadama madre, el Reí dia ; y se dividieron en tres actos, cada uno de ios de España, el Rei de Westfalia , el príncipe Botg- quales ofrecia decoraciones emblemáticas y alegó­ hese, el príncipe virei. ricas dispuestas con mucho ingenio. Al verificarse La mesa estaba puesta en un estrado …</t>
  </si>
  <si>
    <t>Bouiilet, Jorge</t>
  </si>
  <si>
    <t>Jorge Bouiilet</t>
  </si>
  <si>
    <t>Gaceta de Madrid n.º 212</t>
  </si>
  <si>
    <t>de ellas se manteolan con sos bu­ del 114.®, el capitaa Vagnon y el teniente Simón, ques á larga distancia desde qae construimos nues­ del I2i°, y ei capitán Jorge Bouiilet, el capitaa tras baterías de costa. Todos los navios y fragatas Houillon, el teniente Kimii y el subteniente Passe hicieron á la vela, para pasar rápidame…</t>
  </si>
  <si>
    <t>Bouligni, Francisco</t>
  </si>
  <si>
    <t>Francisco Bouligni</t>
  </si>
  <si>
    <t>á sns dos bienhechores; mas en lugar de Sr. D. Manuel Angulo............................... 100 decir Sicard, Itard, ne pudo pronunciar sino Ti­ Sr. D. Francisco Bouligni......................... 60 ca, lea. Es pues indudable que Dietz, que era j sema­ nas haee sordo y mudo, no es ya ni uno ni otro Avisó. &gt; de resultas de la …</t>
  </si>
  <si>
    <t>Boulígni, Francisco</t>
  </si>
  <si>
    <t>Francisco Boulígni</t>
  </si>
  <si>
    <t>z y Sánchez, co­ síndico D. Pedro Amonio Seniosain. 267x4 mo heredero de ©oña Manuela Ribero............................................ . 2685 23 r? D. Francisco Boulígni........................... 20084 25f D. Luis Eiizalde , su apoderado Doa 4 D. Juan Cal tí lio.................................... 4061 8§ .5 Juan Bautista …</t>
  </si>
  <si>
    <t>ue á'cada uno corresponda ,coa| t*n Montcaro,.................................... 3649 30 arreglo á nuestro decreto' dé- 9 de sunió ílé’ í 812.9. ’ 6 D. Francisco Bouligni......... V . 54DO . art. iii. Nuestro mini&gt;tró''dé'Hafcienda ijuéda' encargí-j 6 D. Miguel A nronio Oqiiendo........... ." .495° 1 do de la execuciou del p…</t>
  </si>
  <si>
    <t>Boumati, Joss</t>
  </si>
  <si>
    <t>Joss Boumati</t>
  </si>
  <si>
    <t>menores un cuerpo de 200 hombres, compuesto de la tripulación del -bergantín español Nuestra • Señora del Cár erren, ali;&gt;§ si Empecinado, su espitan D. Joss Boumati, vitaranoa de Vit : n oía, y sííIi'iuw de 'dáseos , pardos y more1103, y leales vecinas io3. La expedición salió á las 12 del día, atravesó el rio , y p,*¿tegida…</t>
  </si>
  <si>
    <t>Bour</t>
  </si>
  <si>
    <t>dirigía yo todos coluna, compuesta de 300 carabineros del r.® de nuestros a fuerzas. Ya be tenido el honor de dar infantería ligera , mandados por su coronel Bour cuenta á V. A. del tercer asalto dado el 16 del geois, qnien después de haber montado la brecha eorrieate á la Luneta del Príbóipe , coya Operación de S. Cirios, se…</t>
  </si>
  <si>
    <t>Bourgear</t>
  </si>
  <si>
    <t>man­ Í e con 9® hombres» y que había- verificado so dante Morquen, sub-gefe de mi estado mayor; al reunión i las tres de, la mañana. Et partido ya no general Bourgear y ai coronel Berge de ia artille­ era igual; pues el enemigo contaba con mas de ría ; al corooel Konopka del primer regimiento de £o3 hombres» y yo no tenia mas…</t>
  </si>
  <si>
    <t>Bourgeat</t>
  </si>
  <si>
    <t>Gaceta de Madrid n.º 114</t>
  </si>
  <si>
    <t>morteros en la izquierda dri Las cantidades prestadas seria reembolsadas ataque del centro. con el ínteres del cinco por ciento quince dias an­ ,, El general Bourgeat, comandante de la arti­ tes del cumplimiento de los billetes del echiquier llería, recibió elaiía 18 orden de romper contr i el del préstamo; si el pago no se v…</t>
  </si>
  <si>
    <t>Bourke, Edmundo</t>
  </si>
  <si>
    <t>Edmundo Bourke</t>
  </si>
  <si>
    <t>...................... 4693 D. Ramón María de Urquizu....... 11756 28 El hospital de presbíteros naturales. 22923 *7 Dona Ana María Hetiríquez de Lu­ D. Edmundo Bourke..,........ .......... 12589 na , viuda de D.Miguel Cevallos. 12104 19 D. Benito Sánchez Navarro........... 361 D. Casimiro Antón Montero y Do­ El marques del N…</t>
  </si>
  <si>
    <t>Boussart</t>
  </si>
  <si>
    <t>s en tan corto tiempo, no me determiné todavía., molestar nuestras comunicaciones por Alcober. El á mandar que se diese el asalto: hice mudar la di-' general Boussart marchó contra él con un batallón rece ion de muchas troneras,con el fin de hacer ca­ y 250 caballos, y le arrojó de todas su* posicio­ llar el fuego de algunos …</t>
  </si>
  <si>
    <t>Boutelou, Claudio</t>
  </si>
  <si>
    <t>Claudio Boutelou</t>
  </si>
  <si>
    <t>las minutas de la secretaría de Estado. D. Vicente Toriño.................................... 4400.-21 En nuestro palacio de Madrid á 6 de setiembre D. Claudio Boutelou................................ 1200 de ibi 1. D. Vicente Gutiérrez Solana................. 4802..25 Don Josef Napoleón por la gracia dé Dios y por D. Rafael …</t>
  </si>
  <si>
    <t>Blasco de Orozco, por ma­ D. Miguel María de Gortázar......... . 6227.. 8¿ no de D. Vicente González Arnao.. 7290 D. Antonio Muñoz, por mano de Sin- D. Claudio Boutelou, como marido de foriano de la Torre , y á nombre del Doña Bernarda Soldevilla................... 7560 hospital dé la Resurrección de Va- Doña Francisca, Doña …</t>
  </si>
  <si>
    <t>Bouvet</t>
  </si>
  <si>
    <t>ios preparati­ desagradable noticia de que el capitán Duperré har vos necesarios para disponer estos quatro buques bia sido herido gravemente; que el capitán Bouvet en términos de que pudiesen hacerse al mar á la habia pasado á bordo de la Belona ; que habíamos primera orden. perdido algunos oficiales de me'rico y algunos ma­…</t>
  </si>
  <si>
    <t>a El Empecinado, el Médico, el Abuelo, Ca­ fivr.rscido particularmente del Emperador, como milo, Hernández, Aroca, Chaleco , y otros gefes también el capitán Bouvet, que, como veréis en la de partidas , han sido batidos ó destruidos sucesi­ nrievi relación que tendré el honor de dirigiros, ha vamente. Unos se mantienen llenos…</t>
  </si>
  <si>
    <t>Gaceta de Madrid n.º 18</t>
  </si>
  <si>
    <t>mada de 16 cañones con 100 hombres de Ifigenia y con la guarnición de la isla de Passe á tripulación. uüo de los puertos de S. M. británica. Ei mismo capitán Bouvet rindió, el dia 21 des­ Pero para daros no nuevo testimonio de la leal­ pués de un combate mui vivo que duró cinco tad y generosidad francesa , consiento en enviar…</t>
  </si>
  <si>
    <t>Bouvtt, Pedro</t>
  </si>
  <si>
    <t>Pedro Bouvtt</t>
  </si>
  <si>
    <t>a he­ Mdgica y Nereida, de 40 cañones cada una , • no cho en tu anterior crucero ; la Minerva venia man­ pertenecen ya i S. M. británica. dada póé él capitán Pedro Bouvtt, oficial de gr.m ,, Después de lá conquista de la isla- Booaparte- mérito, y el Víctor por ti teniente de navio Mo-‘ estas quatro fragatas y otros muchos ba…</t>
  </si>
  <si>
    <t>Bouzas, Francisco</t>
  </si>
  <si>
    <t>Francisco Bouzas</t>
  </si>
  <si>
    <t>D. Rodrigo Qairós que también entró en él, al de Ja misrfta clase D. Esreban Rodríguez, al teniente D. Pedro Ma­ ría Fernandez, y a los subtenientes D. Francisco Bouzas, D. Esteban $antos, D. Andrés Lema y D. José Ja Huerta : todos los quales se por­ taron bizarramente, y lo mismo el ayudante interino D. Antonio Rivas, que co…</t>
  </si>
  <si>
    <t>Bovílle, Rafael</t>
  </si>
  <si>
    <t>Rafael Bovílle</t>
  </si>
  <si>
    <t>ma­ yor de los reales exércitos, á ayudante general al ayudante primero D José María La nar, y á ayudantes primeros A los segundos Don Pedro Eguia y D. Rafael Bovílle, y ha conferido el mismo empleo A D. Pedro Aguado, sargento mayor del real cuerpo de ingenieros, y D. Francisco Serrano, comandante de escuadrón del regimiento …</t>
  </si>
  <si>
    <t>Bovira, X Fráncisco</t>
  </si>
  <si>
    <t>X Fráncisco Bovira</t>
  </si>
  <si>
    <t>rio de Francia , acudi6 parte de las tropas que asediaban el castillo dé S. Fernsndó jdé Figuéras; y que drbilitááo con esta ccasion* él bloqueo j él brigadier X&gt;/ Fráncisco Bovira había socorrido aquella imppi^rité ífortaléza en los dias 15 y Í7 del ^sado ^introduciendo camestiblés, y éxtiáycndci los prisioneres y equidad de…</t>
  </si>
  <si>
    <t>Box</t>
  </si>
  <si>
    <t>741</t>
  </si>
  <si>
    <t>en procurars-e subsiste»;cías. Ha p?:inciphdo ya á experimentarse en cierto modo el efecto de reunir el enemigo todas sus fuerzas en Extremadura. El general Box-</t>
  </si>
  <si>
    <t>Bquch</t>
  </si>
  <si>
    <t>todos los cuerpos del' enemigo 3' los oficiales de est-s.^os, .¿mn ¡s han adquirido hubiesen sido repelidos y derrotados. La cebade.mucha .honor,. El coronel Bquch.u ,, secundo,, ,co- ría , que observaba por fe espalda del enemigo lo* .maudante de la, artillería ? 'merece- una - mención progresos de la infantería, hizo entonc…</t>
  </si>
  <si>
    <t>Br, Francisco</t>
  </si>
  <si>
    <t>Francisco Br</t>
  </si>
  <si>
    <t>cabos , -artilleras y tambores de la brigada , 3356 y 5. Eos cabos-y saldados milicianos , acuartelados, y.no acuartelados , 203. El, guarda-almacén D Francisco Br*vo de Rueda, 80 y 7. EÍ guardarnl maceré del Callao , D. José Leandro de la Sendeja, por el importe ¡do su sueldo -anégl, que ofrece no percibir ínterin dure la gu…</t>
  </si>
  <si>
    <t>Br, Pedro</t>
  </si>
  <si>
    <t>Pedro Br</t>
  </si>
  <si>
    <t>el Anlestía, que lo es del de infantería primero d« Burgos, -O. José Bernmdez de Catiro, que lo es del de infantería del general del quinto exército, D. Pedro Br ingas y D. José Ma­ ría de Se.g-ovia. que lo sou de dicho real cuerpo de ingenieros, y al capitán D. Angel Valiejo, teniente de húsares de Cantabria. El oidor honora…</t>
  </si>
  <si>
    <t>Brabe</t>
  </si>
  <si>
    <t>Gaceta de Madrid n.º 160</t>
  </si>
  <si>
    <t>las quales se pnede Teñir en conocimiento El día 26 de este mes saldrá de aquí para Pa­ de la situación actual de aquel imperio. He aqni rís S. E. el conde Brabe. el extracto de noa relación antéotica que' hemos El domingo último han llegado aquí los grana­ recibido sobre este particular. deros de la guardia para hacer el ser…</t>
  </si>
  <si>
    <t>Bracjos, Juan Antonio</t>
  </si>
  <si>
    <t>Juan Antonio Bracjos</t>
  </si>
  <si>
    <t>o Rodríguez del Castillo. la quinta compañía. D. Mateo de la Cavaleda á subteniente et&gt; reem­ D. Mariano Fernandez del Canto, «obteniente, á plazo de D Juan Antonio Bracjos. teniente de la sexta compañía. art. v. En el batallón de la ciudad de Avila. D. Josef Casas, sargento primero, á subteniente D. Julián Estéban Secilia, a…</t>
  </si>
  <si>
    <t>Brahé</t>
  </si>
  <si>
    <t>Gaceta de Madrid n.º 148</t>
  </si>
  <si>
    <t>jeto de su expedición es llevar á Varna un refuerzo de tropas y de víveres. Des­ Del 12. pués se apostará en el embocadero del Danubio Se dice que el conde Brahé va 2 salir para Pa­ para interceptar quantos víveres envíen los rusos por rís en compañía del coronel caballero conde Loefmar desde la Crimea. Se dice que el capitan…</t>
  </si>
  <si>
    <t>Brahe</t>
  </si>
  <si>
    <t>Gaceta de Madrid n.º 191</t>
  </si>
  <si>
    <t>guna otra autoridad, y que los ministros son res­ el barón de Engerstroem, el conde de Oxensriem, ponsables de ella como pueden serlo de otra qu.ilel conde Brahe, el barón Kiinkowstrom , los con­ quiera.” des Ruth, Posse, Wietggles y Wachtmcistcr, el CAMARA BAXA. barón Rossembiad, consejero de Estado , el barón Flemming, pres…</t>
  </si>
  <si>
    <t>Brandada, Tomas</t>
  </si>
  <si>
    <t>Tomas Brandada</t>
  </si>
  <si>
    <t>iguieron:muy de cerca al enemigo. Dios guarde José' Duran.v : - \lí ■v " Delación de los intñviduós que se distinguieron en la acción. . ^Infantería* D. Tomas Brandada, teniente : D. Francisco Martifce?Sargento segundé: Antonio Fiorenttn , --tambor : Ambrosio Mar­ có , cabo primero: los stkda^és Santiago Magaeday Hipólito Gir…</t>
  </si>
  <si>
    <t>Braojos, Juan</t>
  </si>
  <si>
    <t>Juan Braojos</t>
  </si>
  <si>
    <t>o sagrado de la ju­ Subtenientes. risdicción episcopal no se interrumpa jamas, sin D. Manuel Roldan. qúe haya obstáculo ni autoridad que pueda privar D. Juan Braojos. de ella á los cabildos, á menos que estos no hayan D. Pedro Rodríguez del Cartilla. perdido sn derecho por causas legítimas , y qn vir­ D. Manuel Veque. tud de …</t>
  </si>
  <si>
    <t>Bravo, Manuel</t>
  </si>
  <si>
    <t>Manuel Bravo</t>
  </si>
  <si>
    <t>, por............................................... i ioo Sta, Cruz de Múdela, por...................... 2200 D. Francisco Muñoz, ex-carmelita des­ D. Manuel Bravo, id., residente en id., por 2200 calzo, residente en Madrid , por............ 22CO D. Josef Camón , ex franciscano, resi­ D. Juan Martin de Urda, ex-carmeiita den…</t>
  </si>
  <si>
    <t>Bravo, Miguel</t>
  </si>
  <si>
    <t>Miguel Bravo</t>
  </si>
  <si>
    <t>s, Don Manuel Gata y D, José Mesia y Monxoy; ayudantía á D. Maria­ no Mediano, tenencias á D. Pedro Guerrero, B. Juan Mercado, D. Fernando 'Tostado,' D. Miguel Bravo , B. Fraucise© Bolaño?. D. Valentín Navarro, y D. Manuel Sai? Roznan: y subtenencias á D. Disgaio Hernández, D. Pedro de la Riva, 0. Pedro da Torres, D. A to ni©…</t>
  </si>
  <si>
    <t>Bravo, Ramón</t>
  </si>
  <si>
    <t>Ramón Bravo</t>
  </si>
  <si>
    <t>iii. En el regimiento de milicia cívica de por la constitución del estado, REI de las Espa­ Granad * queda igualmente promovido ña* y de las Indias. D. Ramón Bravo á subteniente, en la vacante Hemos decretado y decretamos lo que sigue : de D. Fernando Talavera. articulo 1. ,, En los batallones de milicia cí­ art. iv. Nuertro …</t>
  </si>
  <si>
    <t>Braximo, José</t>
  </si>
  <si>
    <t>José Braximo</t>
  </si>
  <si>
    <t>rio.— Vicente Temas Traver, diputado secretario. Continúan los donativos de la comandancia scncrai de Panamá. í). Rafael Masías, abogado fiscal, 100. D. José Braximo . contador de 3á real fábrica de aguardientes , 1100. El teniente coronel, comandante de artillería de esta plaza, D. Domingo Marañosa , 140. Ei administrador de…</t>
  </si>
  <si>
    <t>Braye</t>
  </si>
  <si>
    <t>Gaceta de Madrid n.º 360</t>
  </si>
  <si>
    <t>1468</t>
  </si>
  <si>
    <t>un letrero, que maniiAtó al público taron á los bandidos. Un pequeño destacamento de los delitos que motivaron taD justo castigo. la ccluna móvil del capitán Braye, del 43.0, batió y ahuyentó la quadrilla del alcalde de Valor, le ■nota. En la gazeta de ayer pág. 1463 col. 1.* mató 10 hombres, y le cogió tres caballos. lin. 3 …</t>
  </si>
  <si>
    <t>Bre</t>
  </si>
  <si>
    <t>Gaceta de Madrid n.º 177</t>
  </si>
  <si>
    <t>e­ .descripción. dias lunas cayeron enteramente por tierra, y las „Todos los indios, con el capitán del pueblo fortificaciones fuerCii destruidas. El general Bre­ á su cabeza, estaban prontos para recibir al padre</t>
  </si>
  <si>
    <t>Bre, Sir</t>
  </si>
  <si>
    <t>Sir Bre</t>
  </si>
  <si>
    <t>574</t>
  </si>
  <si>
    <t>ta y s&amp;xea división formaban la reserva. — Nuestras tropas se fi rmaron cori ia msyor ‘-.xá-vit d y ce­ leridad, y poniéndose á su frente el teniente general Sir Bre t Seeaeer y guiando la línea que se dirigía contra !a posición del‘-enemigo en las alturas, fué este desalojado de ellas inmediatamente , pe?die¡K’o mu­ cha gent…</t>
  </si>
  <si>
    <t>Breen</t>
  </si>
  <si>
    <t>oncede». sarnos la mas profunda tristeza. La historia de¡ gé­ Esto es lo que pasó ayer. nero humano prueba claramente que un buen sis­ Se dice que el doctor Breen no se hallaba en tema de gobierno, seguido comí intérnente por al­ la asamblea en la capilla de Liff.iScreet, y que no gunos años , ha formado siempre ana perfecta …</t>
  </si>
  <si>
    <t>Breen, John</t>
  </si>
  <si>
    <t>John Breen</t>
  </si>
  <si>
    <t>usa de la emancipación católica; Tomas Kirwan, Gregorio Scurlóg", Heorique Ed- lo qae únicamente intento probar es qne el sistema, ih lnd Taaffi y el doctor John Breen asistieron todos que hasta ahora se ha ¿"goido con la Irlanda no ba quatro á dicha junta , y que todos y cada1 uno de sido el que conduce al fin á que aspira t…</t>
  </si>
  <si>
    <t>Bregáis</t>
  </si>
  <si>
    <t>A. Valencia de A*cantara 10 de diciembre. No 33 advierten movímiento» ni upara*donas militares en tas cuerpos enemigos existentes en Exlr¿saadura. El general Bregáis? que ocupa i. Píassnoia y sus inmediaciones, esta conauraando la ruina d*l país : pasan de lÓO'.los eclesiásticos y otros vecinos honrado» que tiene prSsoj, porq…</t>
  </si>
  <si>
    <t>Bremond, Antonio</t>
  </si>
  <si>
    <t>Antonio Bremond</t>
  </si>
  <si>
    <t>ar re. li­ nacionales , del Sr. I). Manuel Moreno, administrador general, bidos también en pago de bienes nacionales; pero que no crian­ del contador D. Antonio Bremond , del depositario !&gt;. Aloxan- do aun liquidados sus importes, permanecerán en deposita, ñe­ dro Ruizdiaz , y del secretario de la expresada dirección D. Ma­ r…</t>
  </si>
  <si>
    <t>Brenier</t>
  </si>
  <si>
    <t>or los viageros, porque los chinos son des­ arreglo á las ¡nstruecu nes de V. A.; y mandé at confiad ,.s y suspicaces, y no les gustan las visitus de general Brenier, comandante de ia plaza, que vi­ los exirangeros, y quando estos les preguotau acer­ niese á juntarse conmigo. Fue menester alguaos ca de su gobierno y sus costu…</t>
  </si>
  <si>
    <t>Breníer</t>
  </si>
  <si>
    <t>rno, dice Mr. Sktimshire, paba aun la villa , habían creído dichos cuerpos » en suprimido últimamente el impuesto sobre el café, el momento en que el general Breníer salió de la la venta de esta planta no presenta un comercio lu­ plaza, y se verificó la explosión, que este ruido crativo; pero los habitantes de los sitios en q…</t>
  </si>
  <si>
    <t>Gaceta de Madrid n.º 186</t>
  </si>
  <si>
    <t>s roda esa caterva de Se­ los militares y todos los Jiortib es de buena fe co­ ñoritas que andan en casi todas nuestras comedias loquen la acción del general Brenier ent e las cogiendo el manto con sus criadas, y escapándose hazañas brillantes qw h.t&gt;l inmortal izado ¿í tos desús casas, ya para visitar á sus amantes, ya para …</t>
  </si>
  <si>
    <t>1157</t>
  </si>
  <si>
    <t>ugal,, k a pasado por Piasencla con dirección k T la vera de la Reynay Toledo, dexando algunas fuerzas en aquella ciudad y tu Vera, á las órdenes del general Brenier. La sexta división de! mismo exército qus manda el general ba­ rón de Foy, marchó el 25 de setiembre desde Piuseocia hacia el puerto de Perales, que quiso pasar …</t>
  </si>
  <si>
    <t>Brent-SpcnCer</t>
  </si>
  <si>
    <t>a Ciudad- Real cu crpo *|e ingenieros. Un teniente muerto; Rodrigo. F,1 6 ha con (¡nítido su marcha , y el teniente un capitán y un teniente heridos. general Brent-SpcnCer retiró la vanguardia de su cuer­ A'tLlvríj real. Dos soldados heridos. po de exército primero a Nave-de-Aver, y después á Currpo real del estado mayor. Un …</t>
  </si>
  <si>
    <t>Breroer</t>
  </si>
  <si>
    <t>cero entre Silistria y Varna. No se sabe quiénes dad la ceremonia de la inoculación de la vacuna. serán los comandantes de estos tres cuerpos. Las Ei doctor Breroer , para celebrar el aniversario del tropas de la Servia harán parte del primero. día en que Jenncr hizo por la primera vtz esta Los ge fes servios han recibido ord…</t>
  </si>
  <si>
    <t>Brescat</t>
  </si>
  <si>
    <t>231</t>
  </si>
  <si>
    <t>iones trató de atacarme, destacando al coronel Gaudin desde Pamplona , mandando e) número do 1 500 infantas con 200 cabillos, y ordena ido al paso ai teniente coronel Brescat , que con otros tantos do la guarnición de Tudeia, de­ samparada casi aquella , tomase los puntos ae Aybar, y otros que le parecí se, para efectuar una …</t>
  </si>
  <si>
    <t>indis­ pensable repetirla para declarar la disposición en que mi tropa se ha­ llaba, teniendo á su frente él número de enemigos , que al man­ do del teniente coronel Brescat hsbian sido destacados de la guar­ nición de Tudeia, Caparrosa y Tafalla, de acuerdo con el ántes ata­ cado , vsacido y derrotado coronel Gaudin, como en…</t>
  </si>
  <si>
    <t>to en la guarnición de Caparroso, 20 húsares, 12 cabalú s, y mas de 200 infantes heridos, contando entre les muertos 5 ofici.les, y en los heridos el comandante Brescat y 2 oficiales mas i 1 ofi­ cial y 7 soldados prisioneros. Por nuestra parte no ha sido mas que 1 muerto y 13 heridos 5 entre esros 6 de golpe de sabia. Recomi…</t>
  </si>
  <si>
    <t>BRETAÑA, GRAN</t>
  </si>
  <si>
    <t>GRAN BRETAÑA</t>
  </si>
  <si>
    <t>344</t>
  </si>
  <si>
    <t>isión que ha hecho ei sobre Ja venta de los bienes eclesiásticos. señor dcWaglenski del empleo de ministro deílacienda y del Tesoro, y le ha nombrado ministro GRAN BRETAÑA. de Estado, con asiento y voto deliberativo en el «onsejo de Estado, y con el sueldo de consejero. Londres 14 de octubre. El señor consejero de Estado Tade…</t>
  </si>
  <si>
    <t>Brethous, Jalian</t>
  </si>
  <si>
    <t>Jalian Brethous</t>
  </si>
  <si>
    <t>...... 280 17 Doña María Aatonia de Arrieta y L&gt;. Francisco Sevane....................... 2 &gt;66 Mas............................................. 3560 D. Jalian Brethous........................ 3068 *7 D. Bartolomé Benitez del Ponte... 4416 6 D. Francisco López de A.'caráz.... 90 8f D. Manuel Josef de Montiano....... 88x2 2 El…</t>
  </si>
  <si>
    <t>Brette</t>
  </si>
  <si>
    <t>y de la gloriosa defensa de su valiente de bombas cargadas en los parapetos, baxo la di­ guarnición. El general de brigada Philippon, qne rección del sargento Brette, del regimiento 5.0 da manda en ella en calidad de gobernador, ha teni­ artillería , que ya se habia distinguido mui parti­ do el raro mérito de aumentar y crear…</t>
  </si>
  <si>
    <t>Breveton</t>
  </si>
  <si>
    <t>imir, dimos gracias á Dios, miembros del consejo privado, jueces de paz, y y creyéndonos seguros. volvimos á nuestro anti­ vocales del parlamento; el general Breveton , co­ guo modo de vivir. ¡ Ahora Van vmds. á retiiar.'L-! mandante militar del distrito , y el teniente coro­ Fio lo afe mos , porque conocemos que es indis­ ne…</t>
  </si>
  <si>
    <t>Briagas</t>
  </si>
  <si>
    <t>aron á las 5 de Ja tarde; pero fueron reprimidos por, el fuego de la gran-guardia y ayanzadas. . .. . .. En este, punto se mereunieron Monda vil y el capitán Briagas, qqe sqstuyo/co.n la cabalieiia Su, retlwala del Puente de Lerma á las cirico.dcda tarde., dexándolo aúiv defendido por el capitán de TicaVillas D. Pedro Pino qu…</t>
  </si>
  <si>
    <t>a (lidias, todo para imponer, aun­ que su infantería no se disponía á atacarme como lo esperaba. Ad­ vertido este movimiento, dispuse que el valiente capitán Briagas sa­ liese de la emboscada adonde lo tenia situado con los patriotas y lan­ ceros, precedido de dos compañías de rni regimiento, la una de los cazadores que había…</t>
  </si>
  <si>
    <t>Bricton</t>
  </si>
  <si>
    <t>to, y el riesgo de que en el caso de que la sur En el tiempo que el pjquebote Ann, mandado cesión estuviese en disputa, no hubiese parlamento, por el capitán Bricton, ha estado fondeado en Nue.dieron motivo á Jos .estatutos de Guillermo m y dje la va-Yorck, entraron en este puerto varias embarca­ Reina Ana, en virtud de los q…</t>
  </si>
  <si>
    <t>Briganti</t>
  </si>
  <si>
    <t>Todos los regimientos austríacos permanecen El corsario francés la Pella Gettovesa» man­ todavía en sus guarniciones respectivas, y no se dado por el capitán Briganti, encontró en las aguas sabe quándo saldrán de elLs para las revistas y de Marítimo una góndola sarda , llamada S. Anto~ exercicios acostumbrados. nía de Padua, …</t>
  </si>
  <si>
    <t>Brignole</t>
  </si>
  <si>
    <t>amente de los puertos de la Gran Bretaña á las honor; la condesa de Lauriston, dama de palacio; colonias españolas de la America meridional, se ha la condesa Brignole, ídem-, SS. A A. el príncipe y suscitado últimamente una discusión para s-ber si la princesa Aldobrandini; el conde de Beauhar— debía ó no legafztrse este comer…</t>
  </si>
  <si>
    <t>Bringas, Francisco</t>
  </si>
  <si>
    <t>Francisco Bringas</t>
  </si>
  <si>
    <t>Gaceta de Madrid n.º 327</t>
  </si>
  <si>
    <t>ndesa de Castroterreñ o , calle con violencia en el arreglo interior de este gobier­ dei Barco. no; pero debemos emplear las representaciones. £1 Sr. D. Francisco Bringas, calle de la Platería. oro y la sangre que hemos prodigado nos dan de­ Sr. D. Manuel Sánchez Toscano, calle de Rela­ recho para mostrar al gobierno de Cádiz…</t>
  </si>
  <si>
    <t>Bringas, Pedro</t>
  </si>
  <si>
    <t>Pedro Bringas</t>
  </si>
  <si>
    <t>la G qz , D Raf el dél-Barrio , D. Miguel S.mtillana y D. Ignacio O ovas: á capitanes á los tenientes D Juan Manuel Carmen/, D José Montes y Fíores, D. Pedro Bringas , D. José A*uirfe, ’D José Segoyia j D Bartolomé'A nat VD. Mariano A bo , Den Frahc rco Lope# , *£); 'Miguel AUier y D Francisco Re nirez : y á te• rijéntés' á ¡…</t>
  </si>
  <si>
    <t>Briones, Francisco</t>
  </si>
  <si>
    <t>Francisco Briones</t>
  </si>
  <si>
    <t>Gaceta de Madrid n.º 247</t>
  </si>
  <si>
    <t>ascenso de D. Millan Antonio de Andrés regente no sale de Carltou-fíouse sino para ir i al de ración entera de la misma, al ex-benedictino Win-Jsor. D. Francisco Briones. Ayer hatea mui tarde no cedió el delirio; S. M. Para el beneficio entero de la parroquial de no está conocido» y ha enflaquecido infinito» lo Znazo, en la p…</t>
  </si>
  <si>
    <t>Brioso, Juan</t>
  </si>
  <si>
    <t>Juan Brioso</t>
  </si>
  <si>
    <t>. D. Cristóbal Rieart, 100. D. Andrés Sauri , 100. D. Salvio Garbo y compañía, 100. D. José de la Rosa Manzanilla, 100. D. Francisco de Estrada, 100. D. Juan Brioso , 50. D. Cenon Sastre, 50. Alexo Fncalada , 50. D. Juan González , 50. D. José Sirarola, 50. Don Joaquín Casares, 50. D. Juan Vicente Alfonso , 50. D. Pedro Delga…</t>
  </si>
  <si>
    <t>Brito, Pedro</t>
  </si>
  <si>
    <t>Pedro Brito</t>
  </si>
  <si>
    <t>ara que. en tedo tiempo conste quienes son los dignos defensores de la patria y merecedores de mustra eterna memo? i i : estos so a-, el co­ mandante D. Pedro Brito , el capitán D. Francisco Cantón $ los .tenien­ tes D. Valerio Gome* y D. Juan Palacios $ el ayudante mayor D. Cos­ me Martínez j los alféreces JD. Lucas Molbaedo…</t>
  </si>
  <si>
    <t>Britparlamentof-Mmiing</t>
  </si>
  <si>
    <t>iem- fallidas sus esperanzas, y 00 teniendo.ocupación ni abros del último parlamento se juntarán, y constituiría con que subsistir, se presentaron'al capitán Britparlamentof-Mmiing- chrotiidc,) ........... tou, rogándole yo* movido á ccmpasion por la •</t>
  </si>
  <si>
    <t>Brodoni, José</t>
  </si>
  <si>
    <t>José Brodoni</t>
  </si>
  <si>
    <t>o Xavier de Bocear : pri­ meras tenenci&amp;s de fusil.Tcs al primer teniente agregado D. Abrrto Suelves, marques de Atizona „ y á les seguidos tenientes D. José Brodoni, D. Wenceslao conde de P-raiir-g , y D. Car os González de .Llanos : segunda teatncia de granaderes a* de fusileros D. Juan de Dios Landáburu; y ssgusda tenencia…</t>
  </si>
  <si>
    <t>Bronihowski</t>
  </si>
  <si>
    <t>mbre por la tarde. El 15 por la mañana las hi­ nera; Haberf salió entonces de su campamento con ce pasar á la orilla izquierda en número de 12 ba­ el general Bronihowski, y con Ls compañías es­ tallones; y mientras parte de ellas s$ apoderaban cogidas del xió.°y del j.° ligero, y los arrojó has­ de la posición del Coll de Alb…</t>
  </si>
  <si>
    <t>Broughton</t>
  </si>
  <si>
    <t>tiempo Que amenazaba, Hacían poco seguro el fondeadero de Ro­ dríguez — A la madrugada del dia 22, el yice-aimi ranee Bartie recibió aviso de que el capitán Broughton del navio de S. M. el Ilustre, se Hallaba delante de la isla con el convoy de Bengala. La escuadra levó andas, y reunida con el expresado convoy, Hizo rumbo á l…</t>
  </si>
  <si>
    <t>Brow</t>
  </si>
  <si>
    <t>la Americana, mandada por el capitán Rodnei, dara la vela dentro de po­ Foggio 8 de octubre. cos días de Port'inourh para C'iian, y á su bordo irá el general Brow.t&gt;igg , gobernador de esta isla. El dia 4 de este mes un brick y 3 xabeques in­ El dia ií de este mes habrá salido u &gt; c-nvoi de gleses intentaron , aprovechándose …</t>
  </si>
  <si>
    <t>Browae</t>
  </si>
  <si>
    <t>1373</t>
  </si>
  <si>
    <t>uno de ello* fué quemado. El capitán Mulcaster de la goleta Emulous ha apresado en lo* mares de la América septentrional al oonario francés Adela. El capitán Browae del navio Ilermes apresó el 21 de setiembre a corsario francés la Mosca, de Boloña, de 14 cañones y 61 hom­ bres, que acababa de apresar á un buque mercante ingle…</t>
  </si>
  <si>
    <t>Brsque, José Mma</t>
  </si>
  <si>
    <t>José Mma Brsque</t>
  </si>
  <si>
    <t>infantería do línea extramuros do esta plaza, compañías á D. Jo:é de Hennsbalse y D. José L'inch, ayudantía á ü. José ds Castro y XJlioa, tenencias á D José Mma Brsque, D. Juan Berro­ cal, D.” Santiago de Riv&amp;s y D José Pared ? : y subtenencias &amp; Bou •Joaquín De?gádo y Díaz y .0. José de Alorará: en el de míVmteda ligera prim…</t>
  </si>
  <si>
    <t>Bruquiero, Raitnunda</t>
  </si>
  <si>
    <t>Raitnunda Bruquiero</t>
  </si>
  <si>
    <t>.......................... 1263.. 17 D. Martin Antonio de Iiuici.................. 25740 D. Facundo Requejo................................. 2819..17 Doña Raitnunda Bruquiero.................... 22 jOQ D. Juan Marcos Martínez........................ 4J*.. D. F ermin de Zelayeta.................... ....... 3J OOO D. Adrián Mar…</t>
  </si>
  <si>
    <t>Brutea</t>
  </si>
  <si>
    <t>porqne a*i !é interesaba , sino impelida de Gustavo, capitán N. Pi-rerson. la mas impudente y sórdida avaricia ? ¿ No i cenCarlos jy Andrés, espitan D. Brutea. dio la LngUterra á Cvpcnhague , y se apoderó d« Die Tttgend, capit ’i J C. Penson. la es.ju-d;a dinamarquesa, solamente porque a i í¡ Oportuna , cap tan J. R ff . conv…</t>
  </si>
  <si>
    <t>Bsojkmcda, Juan</t>
  </si>
  <si>
    <t>Juan Bsojkmcda</t>
  </si>
  <si>
    <t>el de artilleros, compañías al córale de X i ni era, D. Francisco Xavier González y D. Carlos Malagamba ; ayudantía á D. Diego Rodrigues; tenencias ú D. Juan Bsojkmcda, D. José García de! jl rdo, L). u*.sé ivieicuor García y D. Luis Escasi; y subtenencias á D. Rafael R osead e 5 Don Manuel Vazpiez, D. Juan Márquez y D. Marcos…</t>
  </si>
  <si>
    <t>Bsr</t>
  </si>
  <si>
    <t>Gazeta de la Regencia de España e Indias n.º 151</t>
  </si>
  <si>
    <t>¿¡ro avisados, sin duda , de la . aproximación de las tropas déla legión, aceleraron su retirada á Ceas y hallándose en C^stroañe eon el escuadres de D. Bsr¡ito Lo­ sada , que se había situado para salir al enouentro de Un enemigos, mientras el comandante de la legión llegaba en su alcance, lo car­ garon el día 15 con 1500 in…</t>
  </si>
  <si>
    <t>Bsrcsfcrd</t>
  </si>
  <si>
    <t>tre Villafranca y los Santbs ha cogido el brigadier Morillo 2CO caballos enemigos que estaban tomando verde. --Se asegura que vie­ ne al exército del mariscal Bsrcsfcrd un refuerzo de 2CC00 hombres. —■ Aquí hay des escuadrones de húsares de Castilla y alguna infantería, de la que han sdido esta mañana para Inojales 2„oo tirad…</t>
  </si>
  <si>
    <t>Bsre-sford</t>
  </si>
  <si>
    <t>iderable la pérdida del ene­ migo. Ei conde de Pem:e,que se hallaba con el resto de su caballería á la inmediación del combate , fué advertido por el mariscal Bsre-sford para dirigirse por un rodeo á colocarse detras deí flanco derecho del enemigo; hizo todo esfuerzo para conseguirlo , pero por la mucha dis­ tancia que debía …</t>
  </si>
  <si>
    <t>Bsresfbrd</t>
  </si>
  <si>
    <t>icho respecto á la conducta de toda la oficialidad y tropas , y me ciño X decir que la admiro, y que celebro cordíalnicnts las buenas noticias que «I mariscal Bsresfbrd da de la buena conducta de todos. . Todo permanece tranquilo en Castilla, y después que dexc aque­ lla parte dei país, n© ha ocurrido novedad alguna.</t>
  </si>
  <si>
    <t>Bssseeoutrt</t>
  </si>
  <si>
    <t>Como no pueden dexar de atender á las división :s espar-oms i I general Bssseeoutrt y del brigadier Martín , ayer salieron pe mino de Baüecas 300 hombres del regimiento 75 con tm cauoz y un obús, y hoy han salido también con eí mismo objeto algunas tropas al cargo del general Lahonssaye.— La guar</t>
  </si>
  <si>
    <t>Bstéban</t>
  </si>
  <si>
    <t>lcalde mayor de San­ Itnrribarria (D. Francisco), alcalde de nuestra tander. real casa y corte. Romero (D. Francisco Xavier), coronel de caba­ Iwan ( D. Bstéban), granadero de nuestra guar­ llería. dia real. Rousrel (D. Simón), tirador de nuestra guardia Zayas (D. Francisco), subteniente de tiradores real. del regimiento Jose…</t>
  </si>
  <si>
    <t>Bteke</t>
  </si>
  <si>
    <t>ó nemine contraálcente, qus reconoce altamente el distinguida valor y la intrepidez con que se ha conducido el exéreito español del mando de S. E. el general Bteke el dia 1.6 de mayo próximo pasado ea la gloriosa ba­ tidla de la Albuhera.” Acuerdo de l&amp; cámara de tos pares. Viernes 7 de junio de 181!. “Les pare?. espirituales…</t>
  </si>
  <si>
    <t>BU, Antonio González</t>
  </si>
  <si>
    <t>Antonio González BU</t>
  </si>
  <si>
    <t>pas al capitán de fragata D. José de Córdoba, que*se fortificó en la ¡garganta de Santiago de Cota gaita. Las tropas de Buenos-Ay res man­ dadas por D. Antonio González BU cares, baxo las órdenes y direc­ ción de Casttili, atacaron á Cotagaba el 27 de octubre; pero recha­ zadas con pérdida , se retiraron á Tupiza, pueblo disi…</t>
  </si>
  <si>
    <t>Bu, Lorenzo</t>
  </si>
  <si>
    <t>Lorenzo Bu</t>
  </si>
  <si>
    <t>Twiente al escuadro» do húsares asturianos y sn coman­ dante Don Benito Sánchez, del subteniente del mismo Don José Fom bella, y al de la misma clase D. Lorenzo Bu ron ; al capitánD. Demetrio Mitaca, y los soldados pasados F¿rranchí y Badina; at comandante de cántabros D. -Silvestre lí dalgo , y i un tambovei11© á quien ha he…</t>
  </si>
  <si>
    <t>Bucet, Joaijuin</t>
  </si>
  <si>
    <t>Joaijuin Bucet</t>
  </si>
  <si>
    <t>D. Juan Víctor, 500. D Pedro Sorela, 200. D. An­ tonio Faxas , 500. D .Joíé Moda , 300. 1). Pedro Perato, lOoO. D. Bernardo• A'uevo-Iglesias , 30,0. D. Joaijuin Bucet. 600. D. José Escardo , 1000. D.Juaa . Xovato , 500. JD. Tomas Ravina, ¿00. D. Luis de Gárgol lo, 1000.1). Fernán*dp.de Gárgol ío, 200. ÍJ. Dionisio Garda de Ug…</t>
  </si>
  <si>
    <t>BuckvroFíh</t>
  </si>
  <si>
    <t>na pierna una bala de cañón; y siento profunda­ mente la muerte def general Houghton y de dos oficiales de esperan­ zas . ísir Guillermo jVíyers y el teniente coronel BuckvroFíh. M í es sumamente agradab’e no solo informar á Y. S. de la firy valerosa conducta-de les tropas españolas , nuestras aliadas, al marido de S. E. el g…</t>
  </si>
  <si>
    <t>BüCtelMio</t>
  </si>
  <si>
    <t>Regencia recuerde á todas las secretaría- y oficinas que no admitan ■pub? C 'K y circular. — Bernardo, obispo de Mallorca, pí^iíkütf. Juan de Valle9‘ diputado BüCtelMio.— José Murta (.■'ak froy.u, di­ puta-* e secí-etarlo. — Dado en Cid; z á 13 de ©mucre de Ifíll.— Al Csüsejo de Regencia. — Y para 1® debida exceucinn y eumplí…</t>
  </si>
  <si>
    <t>Buelna, José</t>
  </si>
  <si>
    <t>José Buelna</t>
  </si>
  <si>
    <t>rcía, 96. El capitán D. Mariano Urrca , 200. El alférez D. José Mena , 10, Don José María Sopeña, 25. D. Antonio Andrade , 5. D. Manuel Rodríguez, G. D. José Buelna , 20. D. Xavier Díaz , 25. D. Ignacio León , 25. D. Ignacio Serrano, 10. D. Tomas Valencia, 10. D. José López, 20. D. Ignacio Noriega , 8. D. Manuel Bailo , tesor…</t>
  </si>
  <si>
    <t>Buenaven</t>
  </si>
  <si>
    <t>limiento de este decre­ Para el deSanta María de Palacios, vacante por to. zz Firmado = YO EL REI. — Por S. M., ei mi­ muerte de D. Pedro Mogollon, á D. Buenaven­ nistro secretario de Estado = Firmados:Mariano tura Santa María , ex-agustino. ‘Luis de Ürquijo.” , Para el de Qnintaniila de Tres-Barrios, vacante por muerte de D.…</t>
  </si>
  <si>
    <t>Buenaventura</t>
  </si>
  <si>
    <t>Gaceta de Madrid n.º 106</t>
  </si>
  <si>
    <t>y formando uno de Franzet.bcrg (D...........), secretario de la Reina. los cabi dos de la iglesia galicana, nos damos , Se­ Guyot de la Posnmeraye ( D. Buenaventura ) , di­ ñor, el parab en de tener parte en el honor de es­ rector general de las fabricas de Guadalaxara. tas iglesias, y de h. Ceros esta representación pa­ Kou …</t>
  </si>
  <si>
    <t>Bueno, Juan</t>
  </si>
  <si>
    <t>Juan Bueno</t>
  </si>
  <si>
    <t>1132</t>
  </si>
  <si>
    <t>1132 Situé sobre la derecha al ayudante de infantería D. Juan Bueno con 40 soldados, y con igual tuerza se colocó á la izquierda el capitán D. Pedro Solegoistoa: una y otra fuerza estaba rauy próxima á la ciudad, oculta, esperando la ocasión de cortar al enemigo en su re­</t>
  </si>
  <si>
    <t>del batalíen en !o mas escarpado, á las órdenes del teniente coronel del mismo D. Juan Antonio Tabucñ ca, encargando al teniente y ayudante interino D. Juan Bueno que con 40 voluntarios les llamase la atención por su derecha, y procu­ rase atraerlas sobre el bárranos», brxo el seguro concepto de que en el acto de romper el fu…</t>
  </si>
  <si>
    <t>a, ¡dignos y beneméritos gefes, tan acreditados por su actividad , valor y patriotismo ; al capitán del batallón de Rioja D. Ramón Araoz, al teniente D. Juan Bueno, al subteniente D. Antonio Aznar , ape­ nas curado de sus heridas, v al cabo primero José Bernardon, y y á los de caballería Pedro Barcenilía, sargento segundo, Jo…</t>
  </si>
  <si>
    <t>Buentitmpo, Nicolás Martin</t>
  </si>
  <si>
    <t>Nicolás Martin Buentitmpo</t>
  </si>
  <si>
    <t>......................................................... 1100 de, por......................................................................... 2 209 D. Nicolás Martin Buentitmpo, natural de Tole­ D. Remigio Fernandez, na'ural de Brea, residen­ do, doffrie reside, por.................................. ......... 2200 te en el …</t>
  </si>
  <si>
    <t>Buis</t>
  </si>
  <si>
    <t>Gaceta de Madrid n.º 168</t>
  </si>
  <si>
    <t>686</t>
  </si>
  <si>
    <t>de enemigos: por nuestra parte demas buques sufrieron un fuego terrible de nues­ ha habido pocos hombres muertos y heridos. tra artillería gruesa. El comandante Buis hace el El señor coronel Steim, comandante de los mayor elogio de los oficiales y soldados que esta­ westfalianos , ha contribuido mucho á las ver.t. jis ban bax…</t>
  </si>
  <si>
    <t>Bul, Luis</t>
  </si>
  <si>
    <t>Luis Bul</t>
  </si>
  <si>
    <t>tán de la primera compañía de los naturales de LiasCanarias avecindados en esta ciudad , por sí y á nombre de los demas de di­ cha su compañía, 1031. D. Luis Bul ge vis , por el prest de dos soldados en quatro meses, durante 3a guerra , 72. D. José Manuel Manzana, por su oferta mensual , 2. D. Pedro Gordifio, como síndico del…</t>
  </si>
  <si>
    <t>Bull</t>
  </si>
  <si>
    <t>ante la acción nuestras tropas sacaron grandes venta ¡as del a.?pvo de las dos pi: z»s de artillería de i caballo, p¿;fenecientes ¿ la c impaíííi del capitán Bull, las cuales paparon el rio por ei vado con la división ligera , y corrieron á sostenerla. A! mencionar la conducta distinguida de la división-ligera, exige de mí la…</t>
  </si>
  <si>
    <t>l noveno cuerpo á la qual obligó á retílarcc y pasar el Turón y Dos*Casas , haciéndole muchos prisioneros. Ca compañía de artillería de á caballo del capitán Bull, hizo en esta ocasión grande estrago en los enemigos, los anales pasaron aquella noche en retirada el Agueda. El enemigo no tiene comunicación alguna con la guarnic…</t>
  </si>
  <si>
    <t>Bullen</t>
  </si>
  <si>
    <t>fuerte de S. Fernando 2000 españoles, y el brigadier D. Pedro Sar-field marchaba en diligencia con los auxilias necesarios para sostenerlos. Añade el capitán Bullen que á consecuencia, de este importante suceso los enemigos habian evacuado á H stalrich y Ge­ rona: que las tripulaciones de I03 buques ingleses del crucero h*bi?…</t>
  </si>
  <si>
    <t>BÚm</t>
  </si>
  <si>
    <t>900</t>
  </si>
  <si>
    <t>ras: laúd correo N. Sra. de! Carmen, y falucho Ídem N. Sra. de B *yj— Para Ceuta y la Coruña: goleta del rey la Liniers. — Para Mallorca: falucho del rey BÚm. 10. — Para Matará: laúd S. Vicente. (1) Cotéjese con esta relación de Dorsenne y las publicadas en nuestros dos números anteriores de Thouveuot y Garrido, la exposi­ ci…</t>
  </si>
  <si>
    <t>Bur, Antonio</t>
  </si>
  <si>
    <t>Antonio Bur</t>
  </si>
  <si>
    <t>1117</t>
  </si>
  <si>
    <t>casa B’anca, ed fic-o si­ tuado á tinas 1700 varas de esta piazi, abren un camino militar. — Flores.— El brigadier, ayudante general de estado mayor,-D. Antonio Bur-</t>
  </si>
  <si>
    <t>Bureyra, Francisco</t>
  </si>
  <si>
    <t>Francisco Bureyra</t>
  </si>
  <si>
    <t>s-"ío y, J&gt;. José Armada; subtenencias á D. Santiago de Armas , D. F¡tapisco P.ieto, D. Antonio Pueyo, D. José Gon­ zález Suarez, D. Ignacio Sánchez, D. Francisco Bureyra, D. Ma­ nuel Rodrigne2, D. Manuel x4ngeira , D. Andrés Raposeiras, y D. José Gaspar y Barca ; subtenencia de bandera á D. Rafael de *¡ftj.ova, rt «* En el r…</t>
  </si>
  <si>
    <t>Burgeois, Luis</t>
  </si>
  <si>
    <t>Luis Burgeois</t>
  </si>
  <si>
    <t>e 5 soldados en 8 meses, 360. El teniente coronel D, francisco Chappotin, para socorro de ías viudas y ^íuérfanos de los defensores de Zaragoza, 204. D. Luis Burgeois , por el prest de 2 soldados en 4 meses, 72. El comisario ordenador D. José de Fuertes, administrador principal de correos de esta ciudad , á cuenta de sii ofer…</t>
  </si>
  <si>
    <t>Burgos</t>
  </si>
  <si>
    <t>618</t>
  </si>
  <si>
    <t>ó n) hab’éndole yo ido á ver, y oyendo que estaba yo allí, abrió sus oí-mí moribundos na.ra nreorintaríiie si había auf,da lo satisfecho del batallón d Burgos ; el toso de la voz tan natural me -dió algunas esperanzas, pero á poros minutos espiró. * Sus soldados, excitados á vengar su muerte por su sargento ma-</t>
  </si>
  <si>
    <t>Burgué, Alexandro</t>
  </si>
  <si>
    <t>Alexandro Burgué</t>
  </si>
  <si>
    <t>iduos de la jnnta criminal. Yandiola, D. Trifon M¿ría de Echevartía , D. Va­ S. M. recibió después en su real cámara á to­ lentín María de Echevarri, D. Alexandro Burgué, das las autoridades expresadas, y otras personas D. Diego Arrióla , D. Josef María Soroa-Soroa, que pasaron á cumplimentar.e. Por la1 noche hubo D. Josef Ma…</t>
  </si>
  <si>
    <t>Burillo, Mariano</t>
  </si>
  <si>
    <t>Mariano Burillo</t>
  </si>
  <si>
    <t>ado. No son menos dignos de la consideración y recomenda­ ción de V. S. el capitán del regMiiento de la Princesa D. Benito Vi­ huela y el de Cariñena D. Mariano Burillo , mis ayudantes de cam­ po , los que distribuyeron mis órdenes por toda la línea con el ma­ yor celo y eficacia, á lo que contribuyó también el capitán del re…</t>
  </si>
  <si>
    <t>Burin, Juan José</t>
  </si>
  <si>
    <t>Juan José Burin</t>
  </si>
  <si>
    <t>Narciso Cuyas, 100, D. Carlos Amelle»’, 500. i). Jayuvc Cn ux , diputado en Cortes por Cataluña , SUO. P. José &lt;¡iore, 160. U. Pedro Zuhmta , ÍOOO. .D. Juan José Burin , 30U. ¡Jopa Moría del Rosario Días ¿ara­ bia . 2000. (Se continuará ) CADIZ : EN LA- IMPRENTA REAL.</t>
  </si>
  <si>
    <t>Burke</t>
  </si>
  <si>
    <t>Sexto , el lord Burghersh , Sir Sidney Smith-, Mr. Ha■niltpn y Mr. Mackenzie. Séptimo, D. Diego Colon, agregado á la jegacion , el lord Holiand , el coronel Burke , y d teniente capitán es­ pañol M. T. Langton. Octavo, D. Hilario Rayas Salmón, vicecónsul de España, D. J. jM; Gandasequi, director de la compañía de Fili .iñas, …</t>
  </si>
  <si>
    <t>Burnes</t>
  </si>
  <si>
    <t>eblo para que se conduzca tranquila varias partidas á todas las avenidas de la ciudad, y pacíficamente. y por las calles andaban patrullas dobles. El capitán Burnes ha sido arrestado y puesto Se determinó también que el asesor fuese á ver­ preso en un qnartel : también había salido para se con el presidente para informarle de…</t>
  </si>
  <si>
    <t>Buróes</t>
  </si>
  <si>
    <t>gran pelotón de gente sin duda mal informado; qne la orden que él ha­ se ha reunido delante de la casa del alca'de Iz.abía enviado la noche antes al capitán Buróes, que guirre y de la del teniente coronel ü. Manuel Ca­ se hallaba en Valparaíso, era el que volviesen los parros. Se ha armado á otros acó hombres en el presos á S…</t>
  </si>
  <si>
    <t>Burrejl, Jayme</t>
  </si>
  <si>
    <t>Jayme Burrejl</t>
  </si>
  <si>
    <t>Gazeta de la Regencia de España e Indias n.º 15</t>
  </si>
  <si>
    <t>17</t>
  </si>
  <si>
    <t>r­ mente al capitán de tirado ras. de Manresa IX Jacinto Miguel-, al sub­ teniente de la segunda compañía de reserva del corregimiento de Bar­ celona D. Jayme Burrejl, al subteniente de húsares españoles D. Joa­ quín Aguiió , y á varios individuos., ele este cuerpo y compañía» de reserva. Valencia 22 de enero.. El comandante …</t>
  </si>
  <si>
    <t>Burriel, Antonio</t>
  </si>
  <si>
    <t>Antonio Burriel</t>
  </si>
  <si>
    <t>público en la gaceta del Gobierno para su satisfacción, y exemplo délas demas. Partes dirigidos por el brigadier, ayudante general de estado mar yor, D. Antonio Burriel, desde el cuartel general de Valencia , al se­ ñor gefe del estado rñayor general. l.° Uno de octubre de 1811. Exorno. Sr.: de orden del Excmo. Sr. D. Joaquín…</t>
  </si>
  <si>
    <t>Burtc</t>
  </si>
  <si>
    <t>estaba con su banda en las cercanías de Belmoa- El mismo general da parre del que le ha remi­ t¿, partido de Tarancon, en la ooehe del 12 al tido el teniente coronel Burtc , comand.inte de 13 del corriente, mandó al comandante Beaussé Santa María de Nieva, reducido á que habiéndo­ acelerar su marcha con la vanguardia de cabal…</t>
  </si>
  <si>
    <t>Busching</t>
  </si>
  <si>
    <t>685</t>
  </si>
  <si>
    <t>presidente, y a otros miembros de distinción. La objeto. El gobierno ha encargado esta comisión al diputación procederá inmediatamente á la elección doctor Busching. de los nuevos vocales , quienes deben entrar á PRUSIA. exercer sus funciones antes del primer día de ju­ lio. Créese que no empezarán á circular hasta prin­ JBer…</t>
  </si>
  <si>
    <t>Buscones, José Díaz</t>
  </si>
  <si>
    <t>José Díaz Buscones</t>
  </si>
  <si>
    <t>voluntarios de la Corola, tenencia á D. Ramón Gayos©; y en el nuevo batallen de tiradores de Badajoz les empleos de comandante y sargento mayor .*&gt;: D. José Díaz Buscones y i). Rodrigo Bernaudez; compañías á í)Friipe Escrio, D. Manuel Cas2.jus,ü. Juan Chaca, D. Cris­ tóbal de B ;ña,-D. Carlos Arias y D. Alexandro Patison; las…</t>
  </si>
  <si>
    <t>Buseh</t>
  </si>
  <si>
    <t>acer en todo las veces del marido. portes á mercancías de mucho volumen, pero de Reina en esta isla la mas bárbara antropofagia, poco valor. El sabio profesor Buseh, de H.mbur— y los habitantes devoran con el mayor placer á sus go, ha representado muchas veces las ventajas qne propios padres é hijos. Hai en la isla ciertas ór…</t>
  </si>
  <si>
    <t>Busí, Fernando</t>
  </si>
  <si>
    <t>Fernando Busí</t>
  </si>
  <si>
    <t>. Doña Rita Tixero, 51. D. Patricio José Gómez , 17. D. Vicente Samper, 20. D. Pedro Macho del Barrio yvsu hermano , 17. D. Juan Barangot, 10 y 4 rs. D. Fernando Busí amante , 34. D. Joaquin Zorrilla, 10 Don Francisco Cagigas, 20. Y D. Isidoro Saenz de Cabia, 17 ; todos naturales del obispado de Santander. D. Pedro y D. Santi…</t>
  </si>
  <si>
    <t>Búsíamante</t>
  </si>
  <si>
    <t>744</t>
  </si>
  <si>
    <t>e dos millones. De los cabezas soto pudo nuu- Iríarte vá quien se iba 'persiguiendo , y ss juzgaba no escapa­ dla* — Ei 24"se supo en Monclova que el capitán Búsíamante habia Salamanca 8 de junio. El exército de Marmcnt, compuesto de ,18000 infantes y 3000 caballos, con 29 piezas de artillería, salió de squí en los días 3,4 y…</t>
  </si>
  <si>
    <t>Büssieres</t>
  </si>
  <si>
    <t>nfantes. Siento tener que decir que no se verificó el objeto, y que permaneció enfrente de dicho pueblo hasta el 2 dd corriente, en que se retiró. El mariscal Büssieres ha vuelto otra vez á Valladolid desde Re­ cávente , y á fines dél raes de junio reunió el enemigo en Valladolid y sus ir.mediaciones un considerable cuerpo de…</t>
  </si>
  <si>
    <t>Bustajnante</t>
  </si>
  <si>
    <t>de la igle­ sia oO voluntarios de Mtdrid, y fuera hasta 140, que por hallarse sin armas estaban allí en depósito. Han sido llevados á Tanmeon con su capitán Bustajnante, y dCs que quisieron fugarse,’ fueron fusilados. Hm sido saqueadas varias eásas del piiebló.-—Por los mismos, días , fa columna francesa de laf: ntes baxó has…</t>
  </si>
  <si>
    <t>Bustamante, Fernando</t>
  </si>
  <si>
    <t>Fernando Bustamante</t>
  </si>
  <si>
    <t>y D. José Chaves , 12. Va­ rios individuos , 145 y 2 rs. — Nota. Ademas de las anteriores donaciones se han hecho las ofertas siguientes. El teniente D. Fernando Bustamante anual­ mente F2. El capitán D. José Loredo, 100. El alférez LE Eduardo García, 96. El capitán D. Mariano Urrca , 200. El alférez D. José Mena , 10, Don Jo…</t>
  </si>
  <si>
    <t>Bustamante, Francisco</t>
  </si>
  <si>
    <t>Francisco Bustamante</t>
  </si>
  <si>
    <t>229</t>
  </si>
  <si>
    <t>valor de retroceder para atacarnos* Son igualmente dignos de la consideración de V. E. el capitán de la primera compañía de voluntarios de Querétaro, D. Francisco Bustamante, segundo ayudante del cuartelmaestre general: el ayudante del cuerpo de frontera de Sierra Gorda , capitán D. Bernardo Tello: el del regimiento provincia…</t>
  </si>
  <si>
    <t>Bustamsnte, Francisco</t>
  </si>
  <si>
    <t>Francisco Bustamsnte</t>
  </si>
  <si>
    <t>venturarse sino con gran reserva á los riesgos de nal, y de la comisión compuesta de los señores perder sus capitales y sus géneros en el tráfico con D. Francisco Bustamsnte, D. Ildefonso Ruiz del las provincias disidentes. Agrégase i todo esto las Rio, D Luis Ciarg'illo , D. Aogel dv Irribarren, crecidas contribuciones y emp…</t>
  </si>
  <si>
    <t>Butke</t>
  </si>
  <si>
    <t>la cámara baxa que m „Voi á informaros de algunos pormenores re­ se erigiese un monumento en la iglesia catedral de lativos á nuestro regimiento. El capitán Butke ha S. Pablo á la memoria del general Houghton, sido muerto: el capitán Cameron ha recibido on muerto en la batalla de Albuera. Esta propuesta balazo en el pecho y u…</t>
  </si>
  <si>
    <t>ButLer, Jayme</t>
  </si>
  <si>
    <t>Jayme ButLer</t>
  </si>
  <si>
    <t>ele diciembre. El 16 del cómeme a las o t.e la mañana ile^ó al • quártel general un oficio del general Ballesteros, avisando "desde Monasterio , que D. Jayme ButLer con el-regiirnento de Eena ^-compañías de Monforte , los tiraeore.s. do la dui.Mon y 40 caballos , habla ------- á- una colufhna enemiga u&lt;tw« atacado en Cazalía …</t>
  </si>
  <si>
    <t>Butrón</t>
  </si>
  <si>
    <t>ro d1 fusil de Llerena. El enemigo siguió su retirada , llegando este dia á Azuaga seguido de los tiradores de Mera y Soto hasta Berlanga. Dia 18. El general Butrón con toda la vanguardia de caballería salió á las 2 de la mañana de Llerena con dirección á Azuaga para perseguir formalmente al enemigo , y á las 11 siguió el mis…</t>
  </si>
  <si>
    <t>Arreglado á mis órdenes , nuestra caballería y la portuguesa debiañ haber venido á esta plaza ti dia 27 : interó h leerlo el 29, según me escribe el general Butrón, y por la oposición d¿ la enemiga, que en­ contró en el Caya , no lo pudo verificar; pero ahora en el dia de hoy ó mañana que deben llegar nuestras divisiones de i…</t>
  </si>
  <si>
    <t>Butrón, Alonso</t>
  </si>
  <si>
    <t>Alonso Butrón</t>
  </si>
  <si>
    <t>ndante de la artillería D. Miguel de Soto, al alférez de fragata D. Francisco de Sevilla, al alférez de na­ vio í). Palio Miélico, y á I03 de fragata D. Alonso Butrón, ü. Jo­ sé Mozo y D. Manuel Arechav-ala, por su firmeza y valor en el ata­ que, c on la circunstancia de qu e el últisao ( A rechava!a ) hallándose enfermo y ca…</t>
  </si>
  <si>
    <t>Buxhowded, Ruso</t>
  </si>
  <si>
    <t>Ruso Buxhowded</t>
  </si>
  <si>
    <t>Gaceta de Madrid n.º 37</t>
  </si>
  <si>
    <t>fizarán la saert* lo sucesivo mas que en lo perteneciente á la repre­ futura de esta provincia. sentación, y dexará el cuidado de la parte econó­ El general Ruso Buxhowded , que «tuvo en­ mica del teatro á un intendente particular. cargado del mando en gefe de los exércitos rusos en las, guerras contra la Francia y la Suecia …</t>
  </si>
  <si>
    <t>Buxhowden</t>
  </si>
  <si>
    <t>BRE DE 1811. RUSIA. rante la campaña, de, 1807, vive ahora como un simple particular en sos- haciendas cerca de Wil. Petersburgo g, de agasto. na. El general Buxhowden ha vivido durante al­ El mayor general Laschakow, que-había sido gún tiempo en sa señorío cerca de Petersbnrgo, y degradado y reducido i soldado raso, se há; d…</t>
  </si>
  <si>
    <t>Buzaran, Diego Guillen</t>
  </si>
  <si>
    <t>Diego Guillen Buzaran</t>
  </si>
  <si>
    <t>Ventura Mena, D. Antonio Puig, graduado de teniente coronel, y Marques de Villacampo; y los de ayudantes segundos á los capitanes D. Angel Saavedra, D. Diego Guillen Buzaran, graduado de teniente coronel, D. José Ezeta y D. Manuel Muñoz. m ----------—---------- L± — ----------------- ---- ------------------- - - ' - -| -ii - …</t>
  </si>
  <si>
    <t>C'udá, José</t>
  </si>
  <si>
    <t>José C'udá</t>
  </si>
  <si>
    <t>ga, y de la segunda D. J :sá Vive!, gTavemeats liando, al teniente D. Francisco Vidal, a! subteniente 13. José G:Ls, á I03 distinguidos de granaderos D. José C'udá, contuso , y D. Francisca Caníalotella , ai sargento primero Antonio Colina y al granadmo Pedro Franquet, quienes con la mas reco­ mendable serenidad ss anejaron s…</t>
  </si>
  <si>
    <t>C, Baltasar</t>
  </si>
  <si>
    <t>Baltasar C</t>
  </si>
  <si>
    <t>rao salvarse: los detrns fueron muertos 6 prisioneros , porque ántes di retirarse estes, el capital Lombas y el teniente D. Baltasar C?Jaiarti de la misma arma , con les 30 caballos que tenia á sus órdenes, vadean* do el rio, se habían ya colocado entre el pueblo de Auñon y el puente. Vencido este obst^eulo , recogidos los</t>
  </si>
  <si>
    <t>C, Gabriel</t>
  </si>
  <si>
    <t>Gabriel C</t>
  </si>
  <si>
    <t>les, 1 63 y l. Vario.- v&lt; tinos del partido de la .Juna-, 41? . IX. José Ramírez , 10 y 4 rs Francisco Fransechi, 50. José María del Carmen , 52 y 1. D. Gabriel C-.diar , alguacil mayor de la villa de Coamo , 160. D. José Grao , 140 y 2. D. Jaime Turró y Vivas* 117 y 4. D. Magia Torres, 242. D. Fernando Fernandez, i90. (Se co…</t>
  </si>
  <si>
    <t>C, Juan</t>
  </si>
  <si>
    <t>Juan C</t>
  </si>
  <si>
    <t>386</t>
  </si>
  <si>
    <t>tiradores de SigíUnza.' Pero por mas dili­ gencia que'hizo no piído llegar hasta después que rechazados por el capitán de v.aluntarips de Guadalaxara D. Juan C &gt;jii, 52 habían re­ tíralo .á Malina , en cuyo camino procuró en vano alcanzarlos. La noche de este dia se reunieron en Torreinocha de’ Pinar , distante dos ligáis de …</t>
  </si>
  <si>
    <t>C, Pedro</t>
  </si>
  <si>
    <t>Pedro C</t>
  </si>
  <si>
    <t>tevideo, con fecha de 17 de noviembre de 1809 dice, que habiendo examinado el diario cb. I pi?oto de la pelacra española el Santo Angel de la Guarda, D. Pedro C.dvet, retal­ ia la confirmación de mi baxo que el capitán de dicho buque D. Juan Marques habla descubierto el viage anterior. A tas 8 de la ui? £nna del 28 de octubre…</t>
  </si>
  <si>
    <t>C, Teodoro</t>
  </si>
  <si>
    <t>Teodoro C</t>
  </si>
  <si>
    <t>ario. D. J osó A ¡íorío Na vaca , alférez. Lio. D. Raraon Garces. II. D. Mamirl Car­ ees. O. ■ Antonio Nieva. D. Gerónimo BaÜeza. D Joaquín Xiinanez. D. Teodoro C3iab;U. D. Francisco Pastor. D. José Mari* Canal. D. Vicente. Fría». D. Pedro Taboada. D. Juan Echáis. D. Sebaptiun Conejo. D. Manuel María Lanza sorta. Lie. D. Jcsé…</t>
  </si>
  <si>
    <t>C-F, Josef</t>
  </si>
  <si>
    <t>Josef C-F</t>
  </si>
  <si>
    <t>). Rafael Orive. D. Josef Goztnan. D. Ramón Ncgtete. Subteniente. D. José! Fernandez de Córdoba. 4 1 D. Rat.iel S^ravia. D. Francisco Sol.no Tablada. D Josef C-F zas. art. iv. En la villa de Cabra se formará UQ D. Miguel Gírela Vizcaíno. batallón. D. Josef Mana Conde. Queda nombrado para comandante de este ba­ D. Antonio Pine…</t>
  </si>
  <si>
    <t>Ca, Antonio</t>
  </si>
  <si>
    <t>Antonio Ca</t>
  </si>
  <si>
    <t>Francisco Suiglesia, D. José.'Vera y PíU:toja, yD'. Joaquín Pardo, D. Miguel Majo y D. Pedro. Mir; les de subteniente á D. Joaquín Savaíla y Besafee, D. Antonio Ca­ sas y D. Miguel Roura. tiuques que han recogido correspondencia en la administración de correos de Cádiz durante la semana finalizada en 28 del pasado.. Para Ai/a…</t>
  </si>
  <si>
    <t>Ca, Félix María</t>
  </si>
  <si>
    <t>Félix María Ca</t>
  </si>
  <si>
    <t>léxico del martes 0 de abril de 1811. Por extraordinario que acaba de llegar ¿ esta cedía! fea recibido el Sr. Virey el oficio siguiente del búgadíer D. Félix María Ca­ lleja, general en gofe del exército del R ;y contra ios insurgení'\s.— Exorno. - Sr.: Ahora que son las 5 y caedla de la Urde recibo del teniente coronel D. J…</t>
  </si>
  <si>
    <t>Ca, Josef</t>
  </si>
  <si>
    <t>Josef Ca</t>
  </si>
  <si>
    <t>casiona mayores perjuicios ai para extraer también de ella el azúcar. crédito público, porqne solo él es la causa de que Los señores Bertoncelli y el doctor Josef Ca— el valor nominal de los billetes de cambio haya perle han fundado en Vetooa , departamento dfcl perdido h*ce unos dias 50 por 100. Es también Adige , un estable…</t>
  </si>
  <si>
    <t>Ca, Juan</t>
  </si>
  <si>
    <t>Juan Ca</t>
  </si>
  <si>
    <t>de Zayas por la derecha desde el Paig ; por el centro el mariscal de campo D. J &gt;sé de Lardizabal con la infantería de su mando, y el de igual clase D. Juan Ca:o con algunos escuadrones de caballería , siguiendo ei arrecife y á la iz­ quierda de este; por la izquierda ei mariscal de campo D. Carlos ODonnell con las divisiones…</t>
  </si>
  <si>
    <t>Ca, Luis Ignacio</t>
  </si>
  <si>
    <t>Luis Ignacio Ca</t>
  </si>
  <si>
    <t>e la guerra, 3S. I). 'Felipe de Li.ua por si y su hijo D.'José María , por el prest,de 2 sol­ dados en 6 mesas durante la guerra , 108. Los regidores D. Luis Ignacio Ca­ li A) ero . y conde ue Sta. María de Lo reto , comisarios del M. 1. ayuntamien­ to por el prest de 100 soldados cu 3 meses que dicho ayuntamiento ha oiréc;tk…</t>
  </si>
  <si>
    <t>Caba, Manuel</t>
  </si>
  <si>
    <t>Manuel Caba</t>
  </si>
  <si>
    <t>de Arce ; tenencias á D. José Viiiaroel, D. José de los Jtav'js, D. Francisco Puebla, D. Antonio Nieto, D. Franc'seo Or iuda? D.-Francisco de Ibarra, D. Manuel Caba­ llero, D Juan Magollo D. José D:az y D P^dro Peynador; subtenenc as á D. Sebastian Salado, D: Felipe Treus,D Santos San­ martín, D. José Mosco30, D. José Ruiz Ro…</t>
  </si>
  <si>
    <t>Caba, Nicolás García</t>
  </si>
  <si>
    <t>Nicolás García Caba</t>
  </si>
  <si>
    <t>ulio. Hai algunas personas que Guadalaxara : á D. Manuel García de la Prada creen que los buques americanos que han sido con­ corregidor de Madrid: é D. Nicolás García Caba­ ducidos á Francia desde i.° de noviembre acá, se­ llero consejero de prefectura de Madrid; y á Don rán puestos en libertad por los tribunales de pre­ Jos…</t>
  </si>
  <si>
    <t>Cabal, Manuela Teresa</t>
  </si>
  <si>
    <t>Manuela Teresa Cabal</t>
  </si>
  <si>
    <t>contador ordenador del tribunal de cuen­ tas, por 2 meses de su oferta , 20. D. José Inocencio, prest de 5 soldados en un mes durante la guerra , 45. Doña Manuela Teresa Cabal ero , por sí y su hijo el cadete de milicias de infantería D. Francisco de Paula de la Luz, por el prest de 2 soldados cu un mes durante la guerra, 18.…</t>
  </si>
  <si>
    <t>Caballero</t>
  </si>
  <si>
    <t>Gaceta de Madrid n.º 254</t>
  </si>
  <si>
    <t>convenir en varios estatutos y orde­ sus armas y caballos, que se conducirán á Jaén al nanzas, que se obligaron á guardar por espacio de cinco señor general Caballero, subinspector de las tro­ años,y armar á su costa varios vecinos que saliesen con­ pas de S. M. católica en aquella provincia, ante tra los malhechores, y los p…</t>
  </si>
  <si>
    <t>Gaceta de Madrid n.º 273</t>
  </si>
  <si>
    <t>d del pueblo, que hubo una conmoción yos nombres son: popular, y Veiasco se vio precisado á recurrir á D. Juan Mtcuel Cavannes. la fuerza militar. El capitán Caballero. A estas noticias podemos nosotros añadir Iai 5-J lian Manuel Gamarra. siguientes: Y sus secretarios son: R. P. F. Fernando Caballero y el doctor «otras cosas …</t>
  </si>
  <si>
    <t>Caballero, Felipe</t>
  </si>
  <si>
    <t>Felipe Caballero</t>
  </si>
  <si>
    <t>del cxércíto les empleos siguientes: E x el regimiento de ir?fardería, de. H¿berniacompañía a D. Cir­ io? Tlorati ; tenencias i D. Francisco Gramari, D. Felipe Caballero,D. Vicente Mosquera , D. Anselmo UUoa y á D. M .miel Parta; subtenencias á D. José Gonzauz, D. Temas Adran, D. José Gar­ cía, D. Silvestre Ibarra, I). Cayeta…</t>
  </si>
  <si>
    <t>Caballero, Francisco Fernandez</t>
  </si>
  <si>
    <t>Francisco Fernandez Caballero</t>
  </si>
  <si>
    <t>María de Espiia y Parreño, ex-fran­ Almagro, por................................................ 2200 ciscana , residente en Madrid , por...... 2200 D. Francisco Fernandez Caballero, ex­ D. Alexo Montalvo , ex-mercenario cal­ trinitario descalzo , residente en Almozado, residente en Guadalaxara , por.. 2 200 dovar del Campo ,…</t>
  </si>
  <si>
    <t>Caballero, José</t>
  </si>
  <si>
    <t>José Caballero</t>
  </si>
  <si>
    <t>Manuel Nieto, Don Juan de Cacho, ü. Agustín Roa, D. Ramón de ArroyueSo, Don Joaquín de Luzuriaga, D. José Francisco de R&amp;viila, D. Vicente Madera, y D. José Caballero. CADIZ EN LA IMPRENTA REAL. &gt;</t>
  </si>
  <si>
    <t>Caballero, Josef Barona</t>
  </si>
  <si>
    <t>Josef Barona Caballero</t>
  </si>
  <si>
    <t>ara capitanes y oficiales de las 3 compañías art. vilr. En ia villa de Be'.mez se formsrá quedan nombrados los individuos siguientes: media compañía. D. Josef Barona Caballero queda nombrada Capitanes. capitán, y D. Antonio Josef Zamora subteniente. D. Joan Manuel Barranco. art. ix. Nuestros ministros de lo Interior y D. Juan…</t>
  </si>
  <si>
    <t>Caballero, Juan Manuel</t>
  </si>
  <si>
    <t>Juan Manuel Caballero</t>
  </si>
  <si>
    <t>ón. de artillería. Dv Julián Lanzarot, sargento i.°, á subtenien­ te de la novena compañía. IMPERIO FRANCES. Octavo batf-Ilon. Liorna j i de octubre. D. Juan Manuel Caballero á teniente de la sex­ Hemos visto con suma satisfacción el segundo ta compañía. •OSayo de la capa hidrostática del capitán Lado- D. Pedro Díaz Ron , sar…</t>
  </si>
  <si>
    <t>Caballero, Luis</t>
  </si>
  <si>
    <t>Luis Caballero</t>
  </si>
  <si>
    <t>-tb: ñas el 7 del comenta: para este tiempo ya tenia premeditado Caben as el plan de ataque, y baxo la dirección del comandante g ñera! de caballería D. Luis Caballero había dispuesto la coas trácelos de un puente, que verificó este benemérito oficial con la destreza del ingeniero mas experto , sin que fuese observada la obra…</t>
  </si>
  <si>
    <t>osta, quien avanzó con la mayor intrepi­ dez sobre la metralla del enemigo con la espada en la mano : tam­ bién murió de muerte natural el benemérito D. Luis Caballero, de resultas de las fatigas en la construcción del puente, cuya obra in­ mortalizará su nombre.</t>
  </si>
  <si>
    <t>st de 6 soldados en 9 meses, 486. D. Juan Montaivo , por el de 6 sol-:lados en 7 meses, 378. D. José X.enes , por el do. 3 soldados en 8 meses , 162. D. Luis Caballero, por igual oferta y tiempo , 162. Joan Faore, j ara el socorro de las viudas y huérfanos de los que murieron en taragoza, 1/. D. Francisco Loynás, regidor, por…</t>
  </si>
  <si>
    <t>Caballero, Luis Ignacio</t>
  </si>
  <si>
    <t>Luis Ignacio Caballero</t>
  </si>
  <si>
    <t>ron, D. José Ignacio Echegoyen , 1146: ei’ conde de Ü.-Reiíy, 210 y 4 rs. D. José de Genes 195 y uno y rneilio. D. Joaquín &lt;ue Herrera , 243 y medio. D. Luis Ignacio Caballero , 933 y G rs. I). Carlos Pea roso, 1138 y 4. El conde de Santa María de Loreto , 518. y 6 y me­ dio. D. Juan Crisóstomo Peñaiver, 1377 y uno. El capitá…</t>
  </si>
  <si>
    <t>Caballero, Manuela Teresa</t>
  </si>
  <si>
    <t>Manuela Teresa Caballero</t>
  </si>
  <si>
    <t>943 ia compañía urbana del real consulado, por el prest de 5 soldados en un mes durante la guerra, 45- Doña Manuela Teresa Caballero , por si y su hijo Don Fra.misccydo Paula de la Luz, por el prest de 3 soldados en un mes, 18. El regidor i). Luis Ignacio Caballero, á cuenta de 50 pesos que ha ofrecido el presbítero D. Jo</t>
  </si>
  <si>
    <t>isario ordenador D. José de Fuertes, administrador principal de correos de esta ciudad , á cuenta de sii oferta de .1000’ pesos eriu-cada afro , 333. Doña Manuela Teresa Caballero , por el prest de 2 'Soldados -"en 2 meses, 36. D.&gt; Manuel Artazo, teniente de rey , -por t i de 4 saldados en tres meses , 60. D. Juan Oovarruhias…</t>
  </si>
  <si>
    <t>Cabañas</t>
  </si>
  <si>
    <t>da de los insurgentes la columna que habla pasado el puente, y mandaban, en gefe el temiente coronel Cabañas, el comandante Ga­ ma! r a y el capitán D. Fulgencio Yegros , con el comandante de ia artillería D. Pascual de Urdapilleta. Sin embargo de que los fuegos del frente al paso principal del ri</t>
  </si>
  <si>
    <t>Cabañas, Diego</t>
  </si>
  <si>
    <t>Diego Cabañas</t>
  </si>
  <si>
    <t>........................ 2200 D. Juiian Martínez, natural de la villa de Uclés, ex-clericos menores. provincia de Cuenca, residente enVillamiel hasta D. Diego Cabañas, natural de la Villa del Prado, que mejoren las circunstancias de su pueblo, por 2200 provincia de Madrid, residente en dicha villa, EX-MBRCENARIOS CALZADOS. Po…</t>
  </si>
  <si>
    <t>Cabañas, Manuel</t>
  </si>
  <si>
    <t>Manuel Cabañas</t>
  </si>
  <si>
    <t>rlo por uaa y otra parte: en esta intermisión ilegó del campo ene­ migo el parlamentario D. José Alberto Echevarría, pidiendo capi­ tulación. El gífs D. Manuel Cabañas se vaia con mas de 100 prisio­ neros, sin seguridad alguna, con pacas municiones de cañan, la gente fatigada ,Jos caballos cansados, y casi á las manos con el …</t>
  </si>
  <si>
    <t>Cabarcas, Juan</t>
  </si>
  <si>
    <t>Juan Cabarcas</t>
  </si>
  <si>
    <t>132</t>
  </si>
  <si>
    <t>pe-sos que le corresponden por su sueldo en 5 meses. El arcediano X). Tomas Antolin J3axo, 100. El chantre Don Ped ro Casis , 100. El magistral 1 &gt;r. D. Juan Cabarcas , 100. El canónigo Don Isidro dé i ílio , 1q0, Di \Santos 'Bartolomé Lauge , 200. D. Bernardo José de Arce , 500. El guarda jmáyor'interino de la aduana D. Juan…</t>
  </si>
  <si>
    <t>Cabazza, Diego</t>
  </si>
  <si>
    <t>Diego Cabazza</t>
  </si>
  <si>
    <t>cedente una cadena sin fin, guarnecida de dientes, que se engranan en una rueda dentad*, que hace parte del teniente de la décima compañía. cilindro. D. Diego Cabazza , sargento primero, á sub­ 3.0 -Una rosca ó tornillo con su tuerca. Si la tuerca teniente de la quarta comp'ñía. está fixa, y que sea el tornillo el que gire* e…</t>
  </si>
  <si>
    <t>Cabello, Plácido Martínez</t>
  </si>
  <si>
    <t>Plácido Martínez Cabello</t>
  </si>
  <si>
    <t>ex-carmelita descalzo D. DL'go Garúa Para el de Zaraves, vacante por maerte de Ororbia , debe decir \D. Diego Grao Ororbia. D. Tomas Roiz Corchon , á D. Plácido Martínez Cabello, clérigo de prima. Para el de Paredes Royas y sn anexo Torral- TEATROS. 'billa, vacanre por muerte de D. Francisco Xavier Eri el del Príncipe , á las…</t>
  </si>
  <si>
    <t>Cabero, Cavetano</t>
  </si>
  <si>
    <t>Cavetano Cabero</t>
  </si>
  <si>
    <t>legado de la intendencia de esta provincia en ei par­ tido del camino real alto, por donativo que han hecho los vecinos de su partido, 2087 y 1 real. D. Cavetano Cabero , subdelegado de la intenden­ cia de- esta provincia en el partido de Sakabchen, por donativo con que han con;ribuido ios vecinos de su partido, 41-9. D. Juan…</t>
  </si>
  <si>
    <t>Cabestany, Martin</t>
  </si>
  <si>
    <t>Martin Cabestany</t>
  </si>
  <si>
    <t>al suelo es. pañol. Dios guarde á V. muchos años &amp;c. — Lo que traslado á V. S. Scs. Sitges 27 de setiembre de 1811. — José Ignacio Alemán?/.” 2. ° De D. Martin Cabestany. u Habiendo tenido noticias que en la Conca de Barberá h&amp;bia muchos quintos, y que los enemigos que permanecen en Momblanch , hacían casi todos los días corr…</t>
  </si>
  <si>
    <t>Cabeza, Trifon Joliau</t>
  </si>
  <si>
    <t>Trifon Joliau Cabeza</t>
  </si>
  <si>
    <t>..... 2527 2 ©oña Francisca Xaviera de Gü?met, 2 D. Francisco Amoros............... 541 su apoderado D. Estéban Corones. 17099 29 j-,6 , 1.P39210 7 2 D. Trifon Joliau Cabeza.......... ......... 7181 22 1 rec.&gt; D. Niuolas Biazco Orozco, su apode* cer.j . rado D. VicenteGonzález Arnao. 2278 Certificaciones procedentes, de accio…</t>
  </si>
  <si>
    <t>Cabezas, Francisco</t>
  </si>
  <si>
    <t>Francisco Cabezas</t>
  </si>
  <si>
    <t>l de Villar de Puerco y su aoexo Bar­ mo órden. quilla , vacante por maerte de D. Francisco Ñi­ Para la rectoría de Aizarnazabal, en /a misma flas* á D. Francisco Cabezas* vicario de la Bou- provincia, vacante por muerte de su último po­ 2a* con la obligación de mantener un teniente en seedor* al presbítero D. Tomas de Lizara…</t>
  </si>
  <si>
    <t>Cabos</t>
  </si>
  <si>
    <t>1076</t>
  </si>
  <si>
    <t>btenien­ tes anexo á él, usán­ dolo como un mero Sargento primero. . D. Joan Odoné....;.. distintivo, y sin obíiv&gt;n - Ro/» _ I» ntinííoJ ’»/4 r**1 V. D Cabos primeros... "ÍD. • j u«ll &lt;«*ivu •* • m mi» *\ •M |M»I Juaa Schumaker. si verifican el ascenso á esta clase, con ar­ reglo á nnestro de­ creto de 21 de julio de 1809....…</t>
  </si>
  <si>
    <t>Cabra, Diego</t>
  </si>
  <si>
    <t>Diego Cabra</t>
  </si>
  <si>
    <t>dados en 3 meses durante ia guerra, 135. D. Antonio Robredo, 400. Deña Rosalía Peñalver, por el prest de 5 soldados en un mes durante la guerra , 45. D. Diego Cabra /comandante del castillo de Jagua, 50. El capitán de.milicias D. Joaquín Vigil, subdelega­ do de real Hacienda de S. Juan de los Remedios, por donativo de varios …</t>
  </si>
  <si>
    <t>Cabrera</t>
  </si>
  <si>
    <t>y un eb is. Pero la noticia de que Bjssmres había entrado el dia antes en Bsna vente con 5000 infintea. y 600 caballos, hizo mudar de propósito, y ei brigadier Cabrera entró en esta villa con su división en la nochs dél i7. Ai día siguiente llegó ei brigadier Torrado, dtexando en Sfca. Co­ loraba .el regimiento de Orense, que…</t>
  </si>
  <si>
    <t>se dirigía á dislocar este exército naciente, y á retardar su organización. Ultimamente, pienso que en el dia de pasado mañana podrá la división dei brigadier Cabrera ponerse en movimiento y obrar ofen­ sivamente* para lo cual ss le han dado instrucciones , previniéndole obre de acuerdo con el gañera! portugués el Si. Süveyra…</t>
  </si>
  <si>
    <t>Cabrera, Alonso</t>
  </si>
  <si>
    <t>Alonso Cabrera</t>
  </si>
  <si>
    <t>mún, del que solo se desconocían las Nombramos para comandante á D. Antonio propiedades. Nada mas común , en efecto, que en­ Pareja ; para ayudante á D. Alonso Cabrera , y contrar en España legoas enteras cubiertas de mapara abanderado á D. Juan Antonio Paez. droñoso (1), que no otra cosa viene á ser el ro­ Asimismo quedan no…</t>
  </si>
  <si>
    <t>Cabrera, Antonio</t>
  </si>
  <si>
    <t>Antonio Cabrera</t>
  </si>
  <si>
    <t>850</t>
  </si>
  <si>
    <t>de esta pro­ Del 2 de julio. vincia , pasó en yo de marzo del presente año, Ayer lunes á las diez y media de la mañana hi­ acompañado de los señores D. Antonio Cabrera, zo su entrada en esta capital el Exento. Sr. mariscal subprefecto de Sevilla; D. Alberto Lista, pro­ duque de Dalmacia , general en gefe del exército im­ cate…</t>
  </si>
  <si>
    <t>Cabrera, Bartolomé</t>
  </si>
  <si>
    <t>Bartolomé Cabrera</t>
  </si>
  <si>
    <t>rancisco Xavier Molina, 50. Doña Sebastiana Guzman , 100. D. Luís Peset, 25. D. Bartolomé Ballester, 50. D. Ventura Martínez, 10. D. Pedro Bonet, 25. D. Bartolomé Cabrera, 10. D. Gregorio López , 10. D. Lope Menendez, 25. D¡* Silvestre Rodríguez, 10. D. José Martínez , 10. D. Jo­ sé María Godoy , 10. Don Angel Alfaro, 10. Don…</t>
  </si>
  <si>
    <t>Cabrera, D Francisco</t>
  </si>
  <si>
    <t>D Francisco Cabrera</t>
  </si>
  <si>
    <t>eron su movimien­ to hádala Baneza, por distintos caminos, dos columnas mandada", la una por ei mariscal de campo conde de Belv^cbr, y la otra por el brigadier D Francisco Cabrera, las que hubieran estado ¿ punto de día sobre dicho pueblo, ocupando la última el paso al puente de con tiempo de Jas alturas del Cármen para asegu…</t>
  </si>
  <si>
    <t>Cabrera, Diego</t>
  </si>
  <si>
    <t>Diego Cabrera</t>
  </si>
  <si>
    <t>o Castañeda., ademas de lo que ha dado id. , 30. La fcqmuúulad de 'indios , 721. El alcalde mayor D. José Puertolas , 20. El refcau.hídor de tribdtos D. Diego Cabrera , 12. D Nicolás Carbajal , 12.— Ckínchxlp:i:&gt;jo. El cura Dr. D. Tomas Guerrero , como vecino priucipal, ade­ mas de híbpr contribuido por m no de su prelado, 50…</t>
  </si>
  <si>
    <t>Cabrera, Diego García</t>
  </si>
  <si>
    <t>Diego García Cabrera</t>
  </si>
  <si>
    <t>no Luis de D. Fernando Sobrino de Huertas,cura beneficiado Urquijo.” de la villa de Morou. Para el de la villa de Santa Olalla, vacante por muerte de D. Diego García Cabrera, al diácono S. M. ha tenido hoi consejo privado de minis­ D. Josef Ramírez Vázquez. tros. Para el de la de Coria , vacante por muerte de D. Pedro Josef d…</t>
  </si>
  <si>
    <t>Cabrera, José</t>
  </si>
  <si>
    <t>José Cabrera</t>
  </si>
  <si>
    <t>cisco Becerra, 10. Antonio Ordz , 10. D. José Espinosa, 10. Doña Rita Viñas , 10. Tomas Herrera , 12. D Juan Ibas , 10. D Francisco Pé­ rez Díaz , 10 D. José Cabrera , G. D. Francisco Púa , 6. D. Roque Beyroa , G. D Venancio Ramírez , 6. D. José M-.irí i Sevilla, G. D. Luis Mén­ dez , 5. D. Antonio Calero, 5. D. Francisca Per…</t>
  </si>
  <si>
    <t>Cabrera, Josef</t>
  </si>
  <si>
    <t>Josef Cabrera</t>
  </si>
  <si>
    <t>ada en el coliseo art. iv. En las nuevas poblaciones del reino del Príncipe. de Córdoba , partido de Ecija, se formará una compañía. PRIMER ARTICULO. D. Josef Cabrera está nombrado capitán , Don Había yo creído hasta ahora que nadie tenia fa­ Alonso Utrilla, teniente, y D. Pablo Valderraba- cultad para alterar los títulos de …</t>
  </si>
  <si>
    <t>Cabrera, Joset</t>
  </si>
  <si>
    <t>Joset Cabrera</t>
  </si>
  <si>
    <t>beranía, conserva, en Iqs estados el buen orden, Martínez. = D. Pedro Dabadie. = D. Juan Moriar« y hace respetar las leyes con que sop goberna- ti. = D. Joset Cabrera. = D. Fernando S. Miilan.= «dos. Sin este freno, los exércitos serian una pía- D. Antonio de Novna.nD'. Francisco G ocia. = *&gt;ga para .el estado qpe deben servi…</t>
  </si>
  <si>
    <t>Cabrera, Juan</t>
  </si>
  <si>
    <t>Juan Cabrera</t>
  </si>
  <si>
    <t>e campanas , pasó el señor con­ guientes: de á la catedral, acompañado de su estado mayor Capitanes. y de todas las personas que se hablan reunido en D. Juan Cabrera. su palacio. D. Juan Josef Ramírez. Luego que tomó asiento S. E. dio orden que D. Josef Cabello Castaños. se bendijesen las banderas, como lo hizo D. Fran­ D. Jo…</t>
  </si>
  <si>
    <t>o, 12. D. Juan Flota y compañía, 12 D. Antonio Guerra, 10. D. Rafael Castilla, 10. D. Gerónimo García, 10. D. Jacinto Perora, 10. D. José Pallan, 10. D. Juan Cabrera, 10. D. Juan Iriarte , 10. D. Agustín Costa, 10. D. Agustín Riera, 10. D Rafael Tomas, 10. D. Juan Puig, 10. D. Francisco Becerra, 10. Antonio Ordz , 10. D. José…</t>
  </si>
  <si>
    <t>Cacho, José</t>
  </si>
  <si>
    <t>José Cacho</t>
  </si>
  <si>
    <t>968</t>
  </si>
  <si>
    <t>DonnclL — Sr. D. Manuel Fray re.—Es copia.— Frej/re. Nú ir . 2.a Oficio dd general en gefe al general O Donnell. Mediante lo que mi tpídante úa campo D. José Cacho me ha d.olio de palabra de paite de Y. S., al tiempo .que me .ha en­ tregado su contesta-clon , no puf-do menos de repetir á Y. S. que su principal cbj to es el de…</t>
  </si>
  <si>
    <t>Cadan, Carlos</t>
  </si>
  <si>
    <t>Carlos Cadan</t>
  </si>
  <si>
    <t>1390</t>
  </si>
  <si>
    <t>o« menos pudientes de esta corte, establecida Sr. D. Salvador Darrigol...... i.................... 80 por real decreto de 19 de nomiflbre último. Sr. D. Carlos Cadan....... ......................... 109 ' Mensualmente. Excmo. ir. marques de Muzquiz............ 109 Rs. vn&gt; Sr. D. Marcos Antonio Michel por una Sr. D. Antonio La…</t>
  </si>
  <si>
    <t>Cadcgan</t>
  </si>
  <si>
    <t>79</t>
  </si>
  <si>
    <t>tes de la tercera división á las órdenes del coronel Freneh. El coronel Caiaeron fué herido gravemente por la tarde, y por esto recayó el mando en el coronel Cadcgan. Estas tropas estaban ademas apoyadas por* los regimientos 74 mandado por el mayor R-ussel Maners y por el 88 del cargo del te­ niente coronel Wallace, perteneci…</t>
  </si>
  <si>
    <t>Cadcgau</t>
  </si>
  <si>
    <t>as que su posesión le acar­ reará pañi sus operaciones ulteriores , reforcé sucesiva mente, el lugar con. * 1 régimifií ta r.iim. 7.1, mandado per el coronel Cadcgau , y con el regimiento 24, á las ór lenes del mayor CTiambeilain. El referido coronel a! frente del regimiento 71 cargó al enemigo, y lo des alejó de una parte de…</t>
  </si>
  <si>
    <t>Cadena, Antonio</t>
  </si>
  <si>
    <t>Antonio Cadena</t>
  </si>
  <si>
    <t>48</t>
  </si>
  <si>
    <t>internas de Nueva-España. TEJAS Bexar. El gobernador D. Manuel Salcedo , 500.— Compañías militárh. Primer teniente D. Miguel Muzqui , 10. Segundó id. D. Antonio Cadena, 25. Primer alférez D. Félix Areiniega&gt; 10. Segundo D, José Ignacio de Elguezabal , 30. Capellán D. Lorenzo Virrareal, 40. Sargentos, cabos y soldados , 482 y …</t>
  </si>
  <si>
    <t>Cadena, José Andrés</t>
  </si>
  <si>
    <t>José Andrés Cadena</t>
  </si>
  <si>
    <t>s.—Monclova. Teniente primero D. José María Guadiana, 60. Id. segundo D. Franciscoddam, 60. Alférez primero D. Juan José JSlguczabal, 50. Id. segundo D. José Andrés Cadena, 40. Capellán D. Juan Ñepomuccno Peña, 50. Los sargentos , cabos y soldados, 1718.—Aguaverde. Capitán D. José Joaquín ligarte, 100. Teniente D. Miguel Me­ …</t>
  </si>
  <si>
    <t>Cadena, José María</t>
  </si>
  <si>
    <t>José María Cadena</t>
  </si>
  <si>
    <t>José Antonio Me riel mea, 12. V arios individuos, 47 y 2 rs. — Santa Rosa. D. Francisco del Prado, 30. D. Melchor Velarde, SO. D. Antonio Muñiz, SO. D. José María Cadena, 20. Don Miguel Sánchez, 35. D. Rafael Valle, 10.—Riogrande. D José le Je­ sús Rodríguez, 10.*D. José Barreda, 6. D. Juan Antonio ’Crtiaga, 25, D. Juan Franc…</t>
  </si>
  <si>
    <t>Cadenas, Pedro</t>
  </si>
  <si>
    <t>Pedro Cadenas</t>
  </si>
  <si>
    <t>mun en este clima, habrá cansado algcn efecto fu­ D. Pedro Cadenas. nesto en el reino de Nápoles , qne siempre ha es- D. Ignacio Baena. t. do illas expuesto que el resto de ia Italia á esta D. Teodoro Sánchez. suerte .de acontecimientos. Esta ciudad no ha</t>
  </si>
  <si>
    <t>Cadisna, Ignacio González</t>
  </si>
  <si>
    <t>Ignacio González Cadisna</t>
  </si>
  <si>
    <t>nm t ■ 17. D. Ignacio González Cadisna, interventor genera! ., alemas de 9 pesos mensuales con que contribuye en la capitanía general , 1?. D. Miguel Baso, jiovtero, 4. D. Juan Alonso Pere&gt;;, portero del rastrillo do la factoría</t>
  </si>
  <si>
    <t>Cádiz</t>
  </si>
  <si>
    <t>Gaceta de Madrid n.º 267</t>
  </si>
  <si>
    <t>ntaron y baterías, las quales al ra­ yar el dia 5 rompieron un fuego mui vivo contra ESPAÑA. la ciudad y ei Simplón. Mr. Dauriac, capitán de fragata, comandante Cádiz 2 de agosto. • de este brick.,'hizo desembarcar su tripulación, y Escriben de Londres lo siguiente: ' la reunid á la guardia, nacional de Parenzo, man­ ,,Ha lle…</t>
  </si>
  <si>
    <t>CADIZ</t>
  </si>
  <si>
    <t>zas ' sutiles .hicieron fuego todo tú dia , y sg-olast^ron á esevaigos desde la boca dél. rio y por la playa-del E.—Exemo. S^.gef.-» del estad® mayor general CADIZ : EN EA IMPRENTA REAL. ^</t>
  </si>
  <si>
    <t>Cadles, Mariano</t>
  </si>
  <si>
    <t>Mariano Cadles</t>
  </si>
  <si>
    <t>o Corrales, D. Fiancisco Lomban y á D, Antonio Pravía : subtenencias á D. Tomas Sal­ cedo, D. Ignacio Pinedo, D. Ignacio Chamuia, D, José Rahamonde,' D. Mariano Cadles, D. José María' Montero, D. Tomas de Castro y D. Baltasar Peusan; subtenencias de bandera á D. Diego del Corral, En el regimiento de infantería de Truxillo; ay…</t>
  </si>
  <si>
    <t>Cadore, Je</t>
  </si>
  <si>
    <t>Je Cadore</t>
  </si>
  <si>
    <t>141</t>
  </si>
  <si>
    <t>nombraron por sus pJenipoten^i^rijOS;,i3fesfi-ber, §. M. el .emperadora-de.'-ios'fcnceses étoc/i á Mr. JUáif ¿í«a.tisltat ^fPpereconde de Champaghy , duque Je Cadore &amp;c; su ministro ÜS negocios: extrangeros; y. S. AÍ. el emperador de Austria á M. .Clemente Wenceslao;, condé de Mettemich , Winneburg, Ochsenhausen 8ce. su minis…</t>
  </si>
  <si>
    <t>Caen</t>
  </si>
  <si>
    <t>Gaceta de Madrid n.º 49</t>
  </si>
  <si>
    <t>larde. Pero á pesar del mérito de esta llevaba 15 af hombres de tropas de tierra á las ór­ obra, con^ de medio siglo á e-ta parte ha habido denes del general Caen, capitán general de todos grandes alteraciones en Ja situación política, civil loi establecimientos del Cabo de Bnena-Esperanza. y comercial de estas islas, no pued…</t>
  </si>
  <si>
    <t>Caen, Ju</t>
  </si>
  <si>
    <t>Ju Caen</t>
  </si>
  <si>
    <t>o á ración de la catedral país donde hai tantas manufacturas? de Cuenca, á D. Luis Arroyo , cura d - C^brejas. Para el de Inés, vac..me por muerte de D. Ju­ Caen 30 de octubre. lián Pablo V' Gandiano, á D. Baltasar Catalina, cura de l.&lt; Gadega. Una corbeta inglesa destacó el 20 de este mes Para ti de doto de S. Estiban, vacan…</t>
  </si>
  <si>
    <t>Cafare</t>
  </si>
  <si>
    <t>mente Ugarle , uno de los mas feroces. De algún tiempo á esta parte, Espoz habió vuelto á or­ ganizar sus cuadrillas en las montciñas de Navarra : el general Cafare• lli se puso en marcha desde Vitoria Sfc.” Cuenta la expedición de Cafatelli á su modo, y concluye.* uEas cuadrillas (de Eap&amp;z) fue­ ron destrozadas ; mas de 600 …</t>
  </si>
  <si>
    <t>Cafarelli</t>
  </si>
  <si>
    <t>del dia 10 dé diciembre. Yo, señores, voi á descubriros las basas de es­ ta institución, de la qual S. M. espera los .resul­ ^ FJ concejero de Estado conde Cafarelli presen­ tados mas ventajosos. tó al senado «1 siguiente informe: £1 Emperador ha reconocido qne la conscrip­ Serenísimo Señor. ción era el único medio de proporc…</t>
  </si>
  <si>
    <t>Gazeta de la Regencia de España e Indias n.º 26</t>
  </si>
  <si>
    <t>209</t>
  </si>
  <si>
    <t>te: a sobre los times que fueron de la corona en Holan­ da , 2 sobre varios bosques de Francia , y 4 sobre el tesoro público. El consej ero de estado conde Cafarelli propuso al senado en el propio día una ley relativa á la conscripción marítima. tc Si imperio , dixo, goza de una paz profunda $ los pueblos que le rodean , conv…</t>
  </si>
  <si>
    <t>CafareUi</t>
  </si>
  <si>
    <t>891</t>
  </si>
  <si>
    <t>ios gencbnn s apostados en todas las puertas siguen mis órdenes al pie de la le­ tra ; por este medio consigo atrapar algunos bergantes y espías. El general CafareUi, luego que. sata» de C or lia (eed, si gus­ táis, mi última carta) fué en derechura á Pamplona, de donde sa­ lió con el general Rñlle á perseguir á Mina; el últi…</t>
  </si>
  <si>
    <t>Caffirelíi</t>
  </si>
  <si>
    <t>1254</t>
  </si>
  <si>
    <t>ali­ nas de Anana, mató 6 franceses y un oficial, hirió á 3, y se llevó el dinero de la administración» El 19 llegó á aquella ciudad desde Vitoria el general Caffirelíi con un convoy de 100 carros y 2600 soldados. — Ei 20 entró en la misma ciudad de Burgos, procedente de ValIadoTid con dirección á Francia,,,, un convoy, compu…</t>
  </si>
  <si>
    <t>Cafíáre</t>
  </si>
  <si>
    <t>869</t>
  </si>
  <si>
    <t>, jamas es bas­ de Pamplona , y que el general Dutnoustier guar­ tantemente remunerado. Toda gloria debe desapare­ daba ciertos pasos importantes. El general Cafíáre- cer delante de la suya; pero esta gloria , este mis­ lii encontró e! 9 de junio una gran qnadriila en el mo honor de su carrera exigen términos y leyes valle de…</t>
  </si>
  <si>
    <t>Caí, Francisco Xavier</t>
  </si>
  <si>
    <t>Francisco Xavier Caí</t>
  </si>
  <si>
    <t>o nacional que han merecido los importantes servicios que ha hecho el capitán general de los reales exercitos,.y general en gefe del quinto exército, D. Francisco Xavier Caí-,taños: y de les que ha contraído dé un modo tan sobresaliente en la memorable batalla de la Albuhera; ha venido ei rey nuestro Sr. D. Fernando vii , y e…</t>
  </si>
  <si>
    <t>Caiaeron</t>
  </si>
  <si>
    <t>a del co­ ronel Ashworths , mandadas por el coronel Pynne , y finalmente por los piquetes de la tercera división á las órdenes del coronel Freneh. El coronel Caiaeron fué herido gravemente por la tarde, y por esto recayó el mando en el coronel Cadcgan. Estas tropas estaban ademas apoyadas por* los regimientos 74 mandado por e…</t>
  </si>
  <si>
    <t>Caíanos</t>
  </si>
  <si>
    <t>I3o4 La guarnición ds Badajos se ha aumentado hasta el número do 4SQO huspjbw*. Del 30 E general Caíanos ha salido hoy para M cuartel bssm úa 1 y í WVikcgton. D arante su ausencia., mandará la imam d-3 &amp; £3 quinto íxsreií© el marques de Monsulad, j la vanguardia ol cojijo di Fsnnc. Sevilla 30 de 72-üTkmbre. Joaa Manuel Lope*,…</t>
  </si>
  <si>
    <t>Caiasola, Andrés</t>
  </si>
  <si>
    <t>Andrés Caiasola</t>
  </si>
  <si>
    <t>ín del Callejo, sargento i.*, á subte­ niente de la primera compañía. D. Diego Miranda, sargento i.°, á subtenien­ TRATROS. te de la quinta compañía. D. Andrés Caiasola , sargento i.*, á subtenien­ En el del Príncipe, á las siete de la noche, se re­ te de la octava compañía. presentará por la compañía española la grande ópera…</t>
  </si>
  <si>
    <t>CaíFarelli</t>
  </si>
  <si>
    <t>180</t>
  </si>
  <si>
    <t>orque dándolos i conocer riores , el conde Regoauh de Saint-Jean-d’Angelí, se puede juzgar del estado de las bellas artes ea ministro de Estado, y el conde CaíFarelli, conse­ cada nación , y contribuir á sus progresos , sino jero de Estado. porque también sirven para juzgar de. los usos y S. A. S. el príncipe archi-canciller …</t>
  </si>
  <si>
    <t>Caífareüi</t>
  </si>
  <si>
    <t>unta sulta de ia defensa de la patria. El honor es ia de Valencia le h„bia enviado algunas armas. El base de la milicia , y se puede decir que siendo general Caífareüi salió de Vitoria, con orden de tan corta su recompeusa en proporción de las pri­ penetrar en Navarra por las montañas de Vizca­ vaciones de todo géoero , de la…</t>
  </si>
  <si>
    <t>Caín</t>
  </si>
  <si>
    <t>Gaceta de Madrid n.º 238</t>
  </si>
  <si>
    <t>lientes tropas I(Q hombres; la cerca principal; la muralla de ¡os del exéraro español, animadas de valor y con- Eseipiones estaba todavía intacta; el general Caín-</t>
  </si>
  <si>
    <t>Cairela, Jayme</t>
  </si>
  <si>
    <t>Jayme Cairela</t>
  </si>
  <si>
    <t>siendo su fuerza la mitad da la d«l eacraigo. ,5Recomiendo no obstante á V. E. á los capitanes B. Francisco Montroz v D. Vicente Sánchez; ni ayudante D. Jayme Cairela, alteniínto D. José Ramón Rodil, y á Loa sargentos heridos el primero Manuel Arnau,y lo-? segundos Miguel Sánchez y José Villa seca, que se portaron con la dist…</t>
  </si>
  <si>
    <t>Cal, Juan</t>
  </si>
  <si>
    <t>Juan Cal</t>
  </si>
  <si>
    <t>....................................... . 2685 23 r? D. Francisco Boulígni........................... 20084 25f D. Luis Eiizalde , su apoderado Doa 4 D. Juan Cal tí lio.................................... 4061 8§ .5 Juan Bautista Goitia................. 31500 H Doña Angela Pineda........... ................ ' ' 3SSO 2i-| 10 D…</t>
  </si>
  <si>
    <t>Cal, Manuel Sánchez</t>
  </si>
  <si>
    <t>Manuel Sánchez Cal</t>
  </si>
  <si>
    <t>D. Antonio Ruiz , 100. D. Nicolás Molleda , 100. D. José González 5 100. D. Francisco Fernandez, 100. D. Antonio Arrí, 100, D. Pedro Ganzalez , 100. D. Manuel Sánchez Cal­ derón, 100. D. Agustín del Piélago, 100. D. Francisco Rodríguez de los Ríos, 100. I). José Gutiérrez y D. Pedro Hidalgo, 100. D. Francisco Fernandez, 100. …</t>
  </si>
  <si>
    <t>Cal, Pedro</t>
  </si>
  <si>
    <t>Pedro Cal</t>
  </si>
  <si>
    <t>ión I.ledó. En el de la Cruz, á las seis de la tarde,-se encin­ D.Huís María Zavala, subteniente, A teniente tará la comedia antigua en tres actos de D. Pedro Cal­ de la déciiha compañía , en la vacante de D. Josef derón titulada ia Vida es sueño: seguirá d fandarv'; Garai. se cantará una buena tonadilla, y se finalizará con …</t>
  </si>
  <si>
    <t>Calas, Luis</t>
  </si>
  <si>
    <t>Luis Calas</t>
  </si>
  <si>
    <t>ñía. que media desde 31 de octubre de 1810 á 28 de Tercer batallón. febrero de 1811. D. Manuel Barrantes, teniente, i capitán de la séptima compañía. D. Luis Calas, sargento primero, á subtenien­ PLAZA DE MADRID. BOLSA. te de la quarta compañía. DIA 13 DE SETIEMBRE DE l8ll. D. Antouio Araujo, sargento primero, á sub­ teniente…</t>
  </si>
  <si>
    <t>Calbache</t>
  </si>
  <si>
    <t>rni­ ciones. ] ais nuestros fueron recibidos con..entusiasmo- por. los 'habi­ tantes del país, que se esmeraban á poiíia en su regalo y obsequio.— El brigadier Calbache acabó gloriosamente su carrera en Villa-carrillo^ en cuya plaza entró solo arrebata;¡o de', su excesivo valor ; y- rodea­ do de 25 franceses murió después de …</t>
  </si>
  <si>
    <t>Calbacho, Alfonso</t>
  </si>
  <si>
    <t>Alfonso Calbacho</t>
  </si>
  <si>
    <t>.............. 23803 9 tiz y Megretc............. .................. • 2 D.-Jcsrí Baidan..................................... *34*3 2 i • 3Í49 H| por D. Alfonso Calbacho...................... 2938 1 D. Nicolás ÜUIazco de Orozco............. 834 20 por D. Juan Estéban dé Trido........... •13563 1 D. Pedro llnañez..............…</t>
  </si>
  <si>
    <t>Calbacho, Ildefonso</t>
  </si>
  <si>
    <t>Ildefonso Calbacho</t>
  </si>
  <si>
    <t>a Concha.. 1022 2 Doña Antonia Pascual Moreao..... 1201 6 D. Ramun Fernandez de Quiroga. 2593 20 D. Félix Ugarte................. ............ 3301 3 D. Ildefonso Calbacho.................... 1088 D. Cayetano d» la Lana................ X978 33 La archicofradía del Santísimo Cris­ D. Antonio Cornide....................... to d…</t>
  </si>
  <si>
    <t>Calderón, José Luis</t>
  </si>
  <si>
    <t>José Luis Calderón</t>
  </si>
  <si>
    <t>avile , 273. El de Santa María , 15. D. IVIarliut "Flores , 500. D. José Fernandez , 200. D. Antonio Palacio, director de. la venta del tabaco , 100. D. José Luis Calderón , 300. D. Joaquín Aecverlo 309. K! real tribunal clel- consulado , del fondo de averías y contrib'uewiPde boletas que han ctíbido eifeste año al comercio, …</t>
  </si>
  <si>
    <t>Calderón, Mariano</t>
  </si>
  <si>
    <t>Mariano Calderón</t>
  </si>
  <si>
    <t>lla, Cristian!, Suarcz , Casañera jr la tercera compañía , en la vacante de D. Pedro AlveráSoler. En el de la Cruz, á las quatro y media de la tarde, D. Mariano Calderón, subteniente, á teniente se executaiá la comedia en tres act&lt; s titulada Si una de la sexta compañía, en reemplazo de D. Manuel %rez llega á querer, la mas f…</t>
  </si>
  <si>
    <t>Calderos, Pedro</t>
  </si>
  <si>
    <t>Pedro Calderos</t>
  </si>
  <si>
    <t>Gaceta de Madrid n.º 221</t>
  </si>
  <si>
    <t>ranadero de la guar­ Nota. Mañana sábado en el coliseo de la Cruz se dia.imperiaL herido mortalmente; tomó sn puesto, executará la comedia antigua de D. Pedro Calderos se hizo acreedor á ocuparlo durante toda la bata­ titulada la Vida es sueño. EN LA IMPRENTA REAL.</t>
  </si>
  <si>
    <t>Calejo, D Francisco José</t>
  </si>
  <si>
    <t>D Francisco José Calejo</t>
  </si>
  <si>
    <t>Nmega , ademas le lo que conuubtyó por mano de ■su prelado , como vecino principal , 23. E! ayudante presbítero O. Francis­ co Flores Calero , 12 E! presbítero D Francisco José Calejo, 13. Id , D. Julián León, 12. La coniniiil de i i líos y de su ant» , 2 id. E' aU cal le mtyor D. José - Santos-', 13. E! del anexo D José Carr…</t>
  </si>
  <si>
    <t>Calero, Antonio</t>
  </si>
  <si>
    <t>Antonio Calero</t>
  </si>
  <si>
    <t>Díaz , 10 D. José Cabrera , G. D. Francisco Púa , 6. D. Roque Beyroa , G. D Venancio Ramírez , 6. D. José M-.irí i Sevilla, G. D. Luis Mén­ dez , 5. D. Antonio Calero, 5. D. Francisca Peralta , 6. Pedro Saboila, 4. X&gt; Ramón Totosans, 4. D. Juan Perez, 4. D. Valerio Grau , á D. Juan de Dios \randa, 8. D. Esteban Borom, 3. D. J…</t>
  </si>
  <si>
    <t>Calhya</t>
  </si>
  <si>
    <t>917</t>
  </si>
  <si>
    <t>leguas, y los derrotó completamente en el rancho del Maguey, apoderándose de 20 cañones de varios calibres. R iyon ha­ bía huido anticipadamente. Eí brigadier Calhya se dedicó desde luego á restablecer ©1 orden y la confianza en aquella populosa ciudad y sus comaToas. C m este objeto publicó el mismo diu 3 de mayo un bando pa…</t>
  </si>
  <si>
    <t>Calíudlero, Manuela Teresa</t>
  </si>
  <si>
    <t>Manuela Teresa Calíudlero</t>
  </si>
  <si>
    <t>100. D. Antonio Arsilu, copitan del partido Horcón, pa&gt;r su oferta mensual, 10. D. Mariano de .'Medina, por el prest de un soldado en. 3 meses , 27. Doña Manuela Teresa Calíudlero , y su hijo L&gt;. Francisco de ifWla de la Luz-, por el de 2 soldados en un mes , *18. I&gt; Manuel Valentín Suurez , alcalde ordinario de la villa de S…</t>
  </si>
  <si>
    <t>Callateili</t>
  </si>
  <si>
    <t>560</t>
  </si>
  <si>
    <t>e tes rcr;s gloriosas , y como presagio de otras maye re*.— IIT. E 14 de j aillo me dirigí desde Lwa á la ciudad de Sasigü a. La madrugada del 16. el general Callateili llegó á T.umbie?; Reide c¿a; chutea por sí camino real de la capital ai pueblo ele mi_ posición, y ai g&lt; neral polaco •_ C optekl venia por las cinco villa» d…</t>
  </si>
  <si>
    <t>Calleja</t>
  </si>
  <si>
    <t>ctos tenían. El 23 de maíz o ei teniente coronel de dragones de PaeVa D Mi­ guel del Campo, que mandaba entoxces la primera div:sion del exército del brigadier Calleja , derrotó un cuerpo de 10000 rebeldes , ca­ pitaneados por el anglo-americano, clérigo Galdida, y Fr. Santiago Rodríguez, religioso dominico. Avisado Campo deq…</t>
  </si>
  <si>
    <t>para si y para los que le acompañaban el indulto que íes fué con­ cedido, y nuestras tropas entraron en el pueblo sin oposición. Ea el momento que el brigadier Calleja había sabido la retirada ‘de Rayón, había enviado en su alcance una división de su exérjho con 6 cañones al mando del coronel D. Miguel José de E uparan. Este …</t>
  </si>
  <si>
    <t>919</t>
  </si>
  <si>
    <t>fuga mataron estos monstruos á 4 europeos pacíficos que hablan sa­ cado de sus casas, cuyos cadáveres dexaren bárbaramente muti­ lado?. Ha avisado el brigadier Calleja que el cura del Real de Catorce D. José María Samper, encargado por el mismo brigadier del mando de una dé las partidas destinadas á la persecución de los malh…</t>
  </si>
  <si>
    <t>Calleja, Félix</t>
  </si>
  <si>
    <t>Félix Calleja</t>
  </si>
  <si>
    <t>eron el dia 2b de setiembre con otros 4 caño­ nes , á la orden del teniente coronel, comandante de la brigada, Don Ramón Díaz Ortega. Al mismo tiempo D. Félix Calleja, comandante de la .brigada de Potosí, marchaba con 3000 hombres en busca de los rebeldes. — Es­ tos, después de haber entrado en Irapuato y Zamora, y saqueado l…</t>
  </si>
  <si>
    <t>52</t>
  </si>
  <si>
    <t>ada de un cuerpo poco considerable ele nuestras .tropas ? se encaminaban hacía esta capital, ha sido totalmente destruido por las tropas del mando de D. Félix Calleja el dia de antes de ayer en el campo de Acúleo, perdiendo toda su .artillería, municiones y equipages. La historia de estos últimos sucesos se verá mejor por los…</t>
  </si>
  <si>
    <t>Calleja, Francisco</t>
  </si>
  <si>
    <t>Francisco Calleja</t>
  </si>
  <si>
    <t>................ 361 derado D. Juan Josef Gamboa..... 361 6 „ Deña Plácida de "Urquijo................... 2°7f 2J 6 D. Ramón Delgado, por su apode­ 2 D. Francisco Calleja...................... 180; rado D. Nicolás Barsanti............... 10 j 9 10 Doña Margarita de Pereda.................. 7039 17 X Doña María Brígida Torilla…</t>
  </si>
  <si>
    <t>Callejo, Vicente</t>
  </si>
  <si>
    <t>Vicente Callejo</t>
  </si>
  <si>
    <t>.................. 2 200 dente en Toledo, por.............................................. 2100 D. F rancisco Terrajas , lego , nalurai de Peraleja, D. Vicente Callejo, lego, natural de Patencia, en en Cuenca, residente en Toledo, por.............. I loo Castilla, residente enToledo , por....,................. 1100 D. Gr ego…</t>
  </si>
  <si>
    <t>Calrow, Guillermo</t>
  </si>
  <si>
    <t>Guillermo Calrow</t>
  </si>
  <si>
    <t>740</t>
  </si>
  <si>
    <t>o mas: 3000' vestua­ rios, 6000 pares de zapatos, 6000 caums , 6000 pams de medias calcetes. — Queda á la disposición de vd. — //. E. Brunbur?/.— Sr. D. Guillermo Calrow.” CADIZ : EN LA IMPRENTA REAL.</t>
  </si>
  <si>
    <t>Calvache, Manuel Osorio</t>
  </si>
  <si>
    <t>Manuel Osorio Calvache</t>
  </si>
  <si>
    <t>.............................. 93i á 94 art. ni. En el regimieato de milicia cívica de Cédulas hipotecarias............................, 94i Granada. D. Manuel Osorio Calvache á coronel en la va­ cante de D. Francisco Cañaveral Ponce. Certificaciones del tesoro pííblico.... Oro español contra plata.................. a art. iv…</t>
  </si>
  <si>
    <t>Calvantes, Manuel</t>
  </si>
  <si>
    <t>Manuel Calvantes</t>
  </si>
  <si>
    <t>. J isé Ortega , D. Juan Vázquez, D Manuel Sánchez, D. An­ tonio Bermejo, D. Luis Puente, D. Aotolin Sigiienza, D Matías Te­ resa, D. Juan González , D Manuel Calvantes, D. Jé Mora, Don Juan Morgaez, D Alfonso Gírela, D. JranGamez , D. L *&gt;n Acnña, D. Esmeraido Acuña, D. José Correa Ioañez,D. Ramón Salas y Don Julián Retana. …</t>
  </si>
  <si>
    <t>Calvo, Basilio Sotelo y D Manuel</t>
  </si>
  <si>
    <t>Basilio Sotelo y D Manuel Calvo</t>
  </si>
  <si>
    <t>Pancovbo , 50. D. Cayetano de Ocampó i 25. D. Juan Bar­ rigón , 25. D: Tomas Negror! , 25. El presbítero D José Silva , 12. D. ■Bernabé Vergara , 12. D. Basilio Sotelo y D Manuel Calvo, 12. D. Ma­ riano de Ojeda y Venero , 7. Varios españoles del pueblo -y su anexo , 71. —Abane ay. El alcalde mayor' D. Juan Antonio Gu'invez, …</t>
  </si>
  <si>
    <t>Calvo, Gabriel</t>
  </si>
  <si>
    <t>Gabriel Calvo</t>
  </si>
  <si>
    <t>ustino vincia , por...................................................... 220Q lego, por........................................................ 1100 D. Gabriel Calvo, ex-franciscano, resi­ Dona María Francisca Fernandez de Cór­ dente en Villaviciosa , por...................... 2200 doba, ex-agustina recoleta del conven­ D. A…</t>
  </si>
  <si>
    <t>Calvo, Joaquin</t>
  </si>
  <si>
    <t>Joaquin Calvo</t>
  </si>
  <si>
    <t>sca Ramos..... D. Fernando de Beingoechea........ 2753 26 522 8 D. Manafel Garda de Montenegro. 28000 D. Sebastian de Otacgui................ 2689 23 D. Joaquin Calvo........................... 14035 6 Doña María Teresa de la Concha.. 1022 2 Doña Antonia Pascual Moreao..... 1201 6 D. Ramun Fernandez de Quiroga. 2593 20 D. Fél…</t>
  </si>
  <si>
    <t>Calvo, Juan</t>
  </si>
  <si>
    <t>Juan Calvo</t>
  </si>
  <si>
    <t>á su estimación, es la que guientes : v debe aumentar su mérito á nuestros ojos , si su Capitanes. fruta , como asegura el inventor, prodnee en azú­ D. Juan Calvo. car la quinta parte de su peso. ¿Qué mas necesi­ D. Bartolomé Velasco. taría la Eoropa para libertarse de la dependencia D. Rodrigo Cañaveral. eo que ha estado de …</t>
  </si>
  <si>
    <t>Calvo, Juan Miguel</t>
  </si>
  <si>
    <t>Juan Miguel Calvo</t>
  </si>
  <si>
    <t>osé Miguel Soler, oficial segundo de la secretaria del gobierno y capitanía general, ppr,el prest de un soldado en dos meses durante la guer­ ra, 18. D. Juan Miguel Calvo, contador ordenador del tribunal de cuen­ tas, por 2 meses de su oferta , 20. D. José Inocencio, prest de 5 soldados en un mes durante la guerra , 45. Doña …</t>
  </si>
  <si>
    <t>Calvo, Lorenzo</t>
  </si>
  <si>
    <t>Lorenzo Calvo</t>
  </si>
  <si>
    <t>Gazeta de la Regencia de España e Indias n.º 82</t>
  </si>
  <si>
    <t>ura. Esia, despees de verlo y examinarlo coa la mayor escrupulosidad y detención , de­ sestimó en 14 de mayo del presente año la recusación hecha por D. Lorenzo Calvo de varios de sus vocales , y acordó que debía con­ firmar y confirmaba la calificación dada por la junta censoria de esta provincia al papel intitulado: El patr…</t>
  </si>
  <si>
    <t>Calvo, Manuel</t>
  </si>
  <si>
    <t>Manuel Calvo</t>
  </si>
  <si>
    <t>Gaceta de Madrid n.º 243</t>
  </si>
  <si>
    <t>994</t>
  </si>
  <si>
    <t>subteniente de la séptima compañía. El lord canciller puso en votación la proposi­ Décimo batallón. ción que habia hecho para enviar un mensage á la D. Manuel Calvo, subteniente, á teniente de cámara baxa ; y fue adoptada unánimemente. la primera compañía. D. Angel Buendia Labastida , sargento punte­ ESPAÑA. ro, á subteniente…</t>
  </si>
  <si>
    <t>Calvo, Narciso</t>
  </si>
  <si>
    <t>Narciso Calvo</t>
  </si>
  <si>
    <t>a. Para el de Valderueda, vacante por muerte Para el de Santa María de Serón, vacante por de D. Bernardo Isla, á D. Ignacio Ramiro, clé­ promoción de D. Narciso Calvo á un curato del rigo de prima. obispado de Palencia, á D. Félix Alvaro, cura de Y para el de Mosarejos y su anexo GdapaMartealai. gaves, vacante por promoción d…</t>
  </si>
  <si>
    <t>Calvólo, Antonio María</t>
  </si>
  <si>
    <t>Antonio María Calvólo</t>
  </si>
  <si>
    <t>ia, y los principios proclamados en ellas , están Nombramos para comandante de las tres com­ fondados en las máximas, en ia doctrina y en La pañías á D. Antonio María Calvólo; para ayudan­ práctica de los siglos mas brillantes del cristianis­ te á D. Bartolomé Roldan , y para abanderado ¿ mo. La España puede gloriarse justame…</t>
  </si>
  <si>
    <t>Calzada, Antonio</t>
  </si>
  <si>
    <t>Antonio Calzada</t>
  </si>
  <si>
    <t>do nuestro consejo de Estado, hemos decretado y _Por............................................................. ;•••■ 2200 decretamos lo siguiente: D. Antonio Calzada , id., residente en id.. articulo i. ,,Se reconocen acreedores al tesoro pú­ por..............................................................................…</t>
  </si>
  <si>
    <t>Calzadilla, Gvegoria</t>
  </si>
  <si>
    <t>Gvegoria Calzadilla</t>
  </si>
  <si>
    <t>ía Morgues, 25. Doña María Josefa Marcin , 50. Doña Gertrudis Gorostiota , 200. Doña Micaela Francisca Montes de Oca, 10. Doña Juana ■ Mareutes, 150. Doña Gvegoria Calzadilla, 100. Doña Josefa de la Fuente y Sarmiento, 800. Do­ ña Rita Machado , 25. — Plateros. Hugo de la Pier , 12. Jo é Tadeo AguiJ.yz , G. Benito Aguilar, 2.…</t>
  </si>
  <si>
    <t>Camacho, José</t>
  </si>
  <si>
    <t>José Camacho</t>
  </si>
  <si>
    <t>15. D. José Antonio dé la Fuente, 20. D. Francisco Barrera, 13. D. 'José- Mari i Suntds, 12. D.. Pablo García, Jó. D. Juan Antonio de Cárdenas , 13. D. José Camacho, 13. D. José Miguel Sánchez, 10. D. Vicente Florez, 10. D. Juan Francisco Roxas, 6. D. José Antonio Villareál, 7. D. Berdírno Vela , 5. D. Manuel de la Garza, 6. …</t>
  </si>
  <si>
    <t>Camacho, Juan</t>
  </si>
  <si>
    <t>Juan Camacho</t>
  </si>
  <si>
    <t>villa presbítero D. Eugenio Josef Gómez. de Gibraleon , vacante por muerte de D. Pedro Para el mas antiguo de Manzanilla, vacante Tamariz Escalera, á D. Juan Camacho, presbíte­ por fallecimiento de D. Alonso Fernandez Cruza­ ro, ex-regular del orden de S. Gerónimo. do, á D. Antonio Morales, presbítero, ex-regular Para el cura…</t>
  </si>
  <si>
    <t>Camafio, Joaquín</t>
  </si>
  <si>
    <t>Joaquín Camafio</t>
  </si>
  <si>
    <t>267</t>
  </si>
  <si>
    <t>. Rafael Ménacho , gobernador de Badajoz*, del comandan­ te de ingenieros de la plaza D.-Julián Alvo, y del ¿eo mandan re de ar­ tillería de la misma D. Joaquín Camafio ¿ por eiias se enterará V. E. del estado del sitio de aquella hasta los dias de su ficha, y se servi­ rá V. E. hacerlo presente á S. A. el Consejo de Regencia…</t>
  </si>
  <si>
    <t>Camargo, Ignacio</t>
  </si>
  <si>
    <t>Ignacio Camargo</t>
  </si>
  <si>
    <t>eneralísimo. D. Mariano Xiroenez, capitán general. D. Juan de Aldama, teniente general. D; Manuel Smta María, mariscal. D. Mariano Abasólo, mariscal. D. Ignacio Camargo, mariscal. D. Nicolás Zapata, mariscal. Don Francisco I^nragorta, mariscal. D. Vicente Valencia, director de ingenieros.- B Manad Ignacio Solia, intendente de…</t>
  </si>
  <si>
    <t>CambrEeng, Esteban</t>
  </si>
  <si>
    <t>Esteban CambrEeng</t>
  </si>
  <si>
    <t>el de 5 soldados en 2 meses, 90. D. Esteban de Zayas, 500. D. Tornas de Juava, síndico del convento de Ca­ puchinos, á nombre del hermano Snmboy , 6. D. Esteban CambrEeng, agre­ gado á la secretaría del gobierno , por '3 meses de su oferta , 18. El marques de SomerueJos, presidente, gobernador y capitán general de esta Isla, …</t>
  </si>
  <si>
    <t>Cambreleng, Esteban</t>
  </si>
  <si>
    <t>Esteban Cambreleng</t>
  </si>
  <si>
    <t>al, par el prest de 4 soldados en un mes durante la guerra, 38. D. José Miguel Soler, oficial segundo de Ja misma, por el de un soldado en un mes, 9. D. Esteban Cambreleng, agregado á la misma secretaría, por oferta mensual, 6. Los re­ gidores D. José María Escovar y D. Francisco Loynaz / por donativo de los barrios extramuro…</t>
  </si>
  <si>
    <t>Cameiro, José</t>
  </si>
  <si>
    <t>José Cameiro</t>
  </si>
  <si>
    <t>io Barbeira, D. Lorenzo Lema, D. Juan Duran, D. Luis Antonio Freise, D, Julián Alvarez, D. Dirgo Fragoso, Don Vicente María López, D. Víctor Urquiza, D. José Cameiro., Doa Manuel Cid, D. Anselmo Quíroga y D. José Tefi; subtenencia de bandera á D. Miguel Mana Nuñez. En el batallón-de infantería .ligera primero de Cataluña; los…</t>
  </si>
  <si>
    <t>Camerino, José</t>
  </si>
  <si>
    <t>José Camerino</t>
  </si>
  <si>
    <t>el Sanz, D. Domin­ go Cierto, I). Antonio Vallaría© y D. Sebastian Peñasco; y subte­ nencias á D. Diego Blanco, D. Manuel Miravete, D. Pablo J *¿ica, D. José Camerino, D. Mariano de Miguel, D. Manuel Nieto, Don Juan de Cacho, ü. Agustín Roa, D. Ramón de ArroyueSo, Don Joaquín de Luzuriaga, D. José Francisco de R&amp;viila, D. Vic…</t>
  </si>
  <si>
    <t>Camero, Tomas González</t>
  </si>
  <si>
    <t>Tomas González Camero</t>
  </si>
  <si>
    <t>Ríos , oficial octavo, 1. D. José Alvarez , escri­ biente primero , 1. D. Juan Manuel de Oroe , id. ¡segundo , 1. D. Miguel Nu­ dez , id. tercero, 1. D. Tomas González Camero, oficial agregado , 1. D. Mi­ guel Román , portero , 1. D. José de la Rosa , oficial primero de la tesorería, 2. D. Matias de Castro Palomino , oficial …</t>
  </si>
  <si>
    <t>Cameron</t>
  </si>
  <si>
    <t>un monumento en la iglesia catedral de lativos á nuestro regimiento. El capitán Butke ha S. Pablo á la memoria del general Houghton, sido muerto: el capitán Cameron ha recibido on muerto en la batalla de Albuera. Esta propuesta balazo en el pecho y una lanzada en un muslo, fue adoptada unánimemente. y ha quedado prisionero. E…</t>
  </si>
  <si>
    <t>Camin, Francisco de Saks</t>
  </si>
  <si>
    <t>Francisco de Saks Camin</t>
  </si>
  <si>
    <t>a, vacante tril, al presbítero D. Julián de Herrera. por muerte de D. Francisco Madrigal, al presbí­ Para el de Isbol y Tablate, vacante por as­ tero D. Francisco de Saks Camin. censo de D. Josef Sánchez Guillen al del Fondon, Nuesrro ministro de Negocios eclesiástico» á D. Josef Mexías, ex-regular recoleto. queda encargado d…</t>
  </si>
  <si>
    <t>Camino, Fernandez</t>
  </si>
  <si>
    <t>Fernandez Camino</t>
  </si>
  <si>
    <t>á D. Joaquín Pardo, Don Aosilpüo Mayoral, D. Pascual Perez, D. Manuel Inostrosa, y Don Ssbíiiiían Sánchez; los de subteniente i D. Facundo Rodríguez, D. Fernandez Camino, D. Joaquín Rubenes, D. Joaquín Peliicei, D. Cayetano Sexto, D. Diego Silva, D. Pedro Pita y Don Manuel Se uto Gonzálezy el de subteniente de bandera á D. Ma…</t>
  </si>
  <si>
    <t>Camón, Josef</t>
  </si>
  <si>
    <t>Josef Camón</t>
  </si>
  <si>
    <t>....... 2200 D. Francisco Muñoz, ex-carmelita des­ D. Manuel Bravo, id., residente en id., por 2200 calzo, residente en Madrid , por............ 22CO D. Josef Camón , ex franciscano, resi­ D. Juan Martin de Urda, ex-carmeiita dente en Ciudad Real, por..................... 2209 calzado, por.....................................…</t>
  </si>
  <si>
    <t>Campa, Manuel Velez</t>
  </si>
  <si>
    <t>Manuel Velez Campa</t>
  </si>
  <si>
    <t>José Pedrosa, 100. D. José Rasilla, 60. D. Eugenio Gutiérrez, 100. D. Antonio Ortegon, 100. D. Manuel Sánchez , 100. D. Francisco de la Ve­ ga, 100. D. Manuel Velez Campa, 100. D. Santiago García, 100. D. José García del Barrio , 100, D. Alexaudro Marina , lOÍ). D. Juan García del Barno , 100. D. Juan de Cebados Argumeda , 10…</t>
  </si>
  <si>
    <t>Campad</t>
  </si>
  <si>
    <t>ía á lo largo del camaio real, con el fin de atacar la posición de la izquierda en ei lo^ar y fue­ ra de é. La sexra división á las órdenes del mayor general Campad), el regimiento de húsares y el de dragones núm. 16 apoyaron á ia di­ visión ligera, el regimiento 14 á la primera división, y. los dragones reales á la tercera. …</t>
  </si>
  <si>
    <t>Campbei</t>
  </si>
  <si>
    <t>enia que avanzar por un camino es­ trecho y próximo á un espeso bosque. Las compañías de cazadores eu­ ropeos que formaban la vanguardia al mando deL teniente coronel Campbei!" def regimiento 33, fcáxo la dirección del mayor general Ward, • -sé:-firmaren- según que el terreno lo permitía, cargaron con ímpetu al enemigo, y - l…</t>
  </si>
  <si>
    <t>Campbell</t>
  </si>
  <si>
    <t>fo­ gueando al enemigo, indicando con este fuego á las demás tropas que formaban el bloqueo de Almeyda, la dirección que debían se­ guir. — E! mr&gt;yor general Campbell también marchó de Malpartida con parte del primer batallón del regimiento 36, pero ely enemigo continuó su marcha en un cuerpo muy cerrado y sin hacer fuego, co…</t>
  </si>
  <si>
    <t>746</t>
  </si>
  <si>
    <t>conducentes para desembarazar ¡as tres colimas de ,, El 15 de abril mt intimó ia rendición el ma­ manera qne queden de pie; y para esto se ha ar­ yor general Campbell »dicicndome que las circuns­ mado mi andamio, por medio del qual se levanta­ tancias de la campaña me privaban de toda espe­ rán de encima de las colunas el Iri…</t>
  </si>
  <si>
    <t>estaba .sitiada por la parte de tier­ 5.a división: general Durclop , en Portaiegre. ra por el exército de Buenos-Aires, el qual había 6.a división: general Campbell, en Alpedrinha. principiado ya á bombardear la plaza. El capitán 7 a división: general Rousioo , en Niza. Farlane cuenta también que á un brick y á una División …</t>
  </si>
  <si>
    <t>el a*. cen que se ha salvado la tripulación. Inmediatamente que partió de Sicilia el lord Al salir de las costal de Africa un barco por­ Bentinck, el general Campbell, que mandaba h? tugués , cargado de esclavos, se han sublevado es­ tropas inglesas en aquella isla, hizo saber en la or­ tos , han muerto á todos los eurepeos ,…</t>
  </si>
  <si>
    <t>Gaceta de Madrid n.º 332</t>
  </si>
  <si>
    <t>e adopte un plan de conducta mas En la orden general del exército, que mandó conforme á su dignidad y á sns verdaderos intere­ publicar en Sicilia el general Campbell inmediata­ ses. Se dice también que lleva encargo de ofrecer mente que salió de aquella isla el lord Bentinck, la mediación de la Inglaterra para terminar la gu…</t>
  </si>
  <si>
    <t>1467</t>
  </si>
  <si>
    <t>ui cerca, pero sin poder po­ tos de comercio.” nerse á tiro. El Rosamond, sloop de guerra de r8 cañones, Nuestros baques han tirado mucfaosggañonazoí capitán Campbell, que arribó el dia íj (fe agosto á todo alcance, dando caza al enemigo,"y él ha al pueito de España (isla de la Trinidad), proce­ correspondido huyendo, sin log…</t>
  </si>
  <si>
    <t>Campbell, Aitxandro</t>
  </si>
  <si>
    <t>Aitxandro Campbell</t>
  </si>
  <si>
    <t>408</t>
  </si>
  <si>
    <t>paban en fuerza con apariencias de querer mantenerla. En aquel dia una patrulla de infantería ligera, perteneciente á la división del mando del mayor general Aitxandro Campbell, á las órdenes del coronel Ramsay, con­ siguió algunas ventajas contra un destacamento enemigo en Avelans: y asimismo una partida de caballería ligera…</t>
  </si>
  <si>
    <t>Campbr</t>
  </si>
  <si>
    <t>erpo de c. ballena é infantería esparcía á Navave!. Por la tarde hice poner en mo cimienta fv. dividou li­ gera co i el fui de que se uniera al mayor general Campbr íl, por ha­ ber sabido que el enemigo se dexaba ver con mucha fueizn lucia aquel sit o; pero hice que retrocediese en la mañana del o para Fuen­ tes de O üoro, po…</t>
  </si>
  <si>
    <t>Campillo, Jcau José</t>
  </si>
  <si>
    <t>Jcau José Campillo</t>
  </si>
  <si>
    <t>a de 2 ofi­ ciales y,85 soldados, se ha embarcado1 son felicidad. — M* temo la libertad de 'asegurar í V. £. que .el ófieial que mandaba eu la torre, D. Jcau José Campillo, hizo cuanto úri español bizarro y leal podía hacer en la situación en que sa hallaba.Iíabia desec&amp;ado con-resolu­ ción la intimación que le habían hecho l…</t>
  </si>
  <si>
    <t>Campillo, Lorenzo</t>
  </si>
  <si>
    <t>Lorenzo Campillo</t>
  </si>
  <si>
    <t>speculo, teniente, á capi­ te por ascenso de D. Ignacio Ramón Velasco ai tán de la segunda compañía. ' de Arroba, á D. Juan Manuel García Fiores, cu­ D. Lorenzo Campillo, sargento primero, á ra de Sto. Tomas de la mi mi ciudad. subteniente de la segunda compañía. Nuestro ministro de Negocios eclesiásticos que­ da encargado de…</t>
  </si>
  <si>
    <t>Campillo, Tomas</t>
  </si>
  <si>
    <t>Tomas Campillo</t>
  </si>
  <si>
    <t>partido de Cincovillas para estorbar la entrada de los nuestros en Navarra; mas no pudo conseguirlo, según los últimos avisos de Es ¿ella. El espitan D. Tomas Campillo acaba de extraer de los pueblos de Monsva y Azuara mas de 600 fanegas de trigo de la pertenencia del arzobispo y cabildo de Zaragoza, y las ha enviado á la div…</t>
  </si>
  <si>
    <t>1272</t>
  </si>
  <si>
    <t>en?m?go8, que componían las compañías de granaderos y ca­ zadores del segundo regimiento de napolitanos. H-ibiéndose puesto ck acuerdo con el GapiUn D. Tomas Campillo para atacarlos, pasó el 08 del- pasado á hacer u» reconocimiento sobre Muniesa*, y La­ tiendo descuidados á .mucho? de los enemigos á la salida del pueblo, mató…</t>
  </si>
  <si>
    <t>Campillos, Tomas</t>
  </si>
  <si>
    <t>Tomas Campillos</t>
  </si>
  <si>
    <t>1 que se_ haliaa ,■ manifiestan los mas vivos deseo? de marchar ai enemigo. Acaban de llegar 52 polacos que el eapitam de voluntarios de Ca­ ri nena D. Tomas Campillos ha enviado desde el lugar-de Cadrete, dUísnte legua y medía do Zaragoza. PersCi.a de confiaivza y veracidad que acaba de llegar de. Fran­ cia , declara que de …</t>
  </si>
  <si>
    <t>io de Eruchaga, que ge adelantó por la parte de Cinco-Villas hasda la de Zuera , distante 3 leguas de Zarrgce-?. Extracto de dos partes dirigidos por D. Tomas Campillos. capitán del regimiento de Cariñena, al comandante general D. José Obispo. 1.® Monforte 9 de mayo de 1811. UJE13 del corriente tuve i.-tticH en Bólchiíe ds qu…</t>
  </si>
  <si>
    <t>Campo</t>
  </si>
  <si>
    <t>López. Por nuestra parís murió el valeroso drrgqn Manuel Sánchez, y quedaron otros 2 gravemente heridos y 12 contusos. Habiendo pasado en seguida el coronel Campo á Car­ donal, halló el pueblo, desierto, y en la plaza el horroroso espec­ táculo de usa cabeza, desollada y colgada de ios cabellos, de un ín»</t>
  </si>
  <si>
    <t>Campo, José Romero</t>
  </si>
  <si>
    <t>José Romero Campo</t>
  </si>
  <si>
    <t>nos,.500.. D. Serafín Alaix , 300. D. Claudio Itoioero, 500, D. Ramón Romero, ¿00. D. Juan Antonio de Criarte, 500. I). Juan Ma­ ría de Inarte , 500. D. José Romero Campo, 400. D. Paulo Larriela y corn•jjanía , 500.IX Antonio y D. Juan Víctor, 500. D Pedro Sorela, 200. D. An­ tonio Faxas , 500. D .Joíé Moda , 300. 1). Pedro P…</t>
  </si>
  <si>
    <t>Campo-Verde</t>
  </si>
  <si>
    <t>Gaceta de Madrid n.º 200</t>
  </si>
  <si>
    <t>l general de Tarragona 29 de junio de 1811. á luz las bellas prendas de que están dotadas dichas personas, y que por desgracia no se conocen bat­ El" general Campo-Verde había conseguido re­ íante todavía,*® nombre del traductor contribuyó</t>
  </si>
  <si>
    <t>luña, y mucho me­ María López y. María Cabo. Señores'Muñoz y Eusebio % aos después de la derrota que padeció el 3 de mayo el Fernandez y Justo Mas. ' general Campo-Verde, el qual, á la sazón en qué se su­ En el de laCnfz; á las quatro y media de la tardé, pone escrita Ja carta, se hallaba á distancia acas? de 50 sq ejecutará …</t>
  </si>
  <si>
    <t>Campoi, Josef Fernandez</t>
  </si>
  <si>
    <t>Josef Fernandez Campoi</t>
  </si>
  <si>
    <t>.................... 17349 1* 3302 IÓ ma de los Dolores de la parro­ D. Fernando de Ecingoechea......... ' 5064 29 quia de S. Sebastian de esta «or-’ D. Josef Fernandez Campoi........... 3314O te por medio de su tesorero Don D. "josef de Corral.......................... 9612 Josef Malladu............................. 502 32 D…</t>
  </si>
  <si>
    <t>Campos, Antonio</t>
  </si>
  <si>
    <t>Antonio Campos</t>
  </si>
  <si>
    <t>esposa , 100. -— Ofertas no realiza-tas aun. E! emule de C isa-rul seis barras de plata que su apoderado entregará en las reales caxas de Guanaxuato. D. Antonio Campos, 3000 ps. para cuando euagene su cosecha. Ofertas anuales. D. Francisco Perez Muñoz , ademas de. los 100 ps. que entregó de pronto , ofrece duran­ te la guerra…</t>
  </si>
  <si>
    <t>Camps, Lorenzo</t>
  </si>
  <si>
    <t>Lorenzo Camps</t>
  </si>
  <si>
    <t>100. D. Juan Pedro Irigoyen, 500. D. Tomas de la Cuesta ,500. D. Antonio Coma y Fortet, 2000. Sres. Su­ birá y Forncs , 1000. D. Manuel Mícheo, 500. D. Lorenzo Camps, 500. Don. Juan Antonio Cobo y Tanderas, 100. D. Miguel Xiqucs,200. D. Guillermo Power, 500. D. Martin de Ujoeta, 400. D. Francisco Buch y Verges, 400. D. Pedro …</t>
  </si>
  <si>
    <t>Camr</t>
  </si>
  <si>
    <t>1145</t>
  </si>
  <si>
    <t>ciendo grandes Varias cartas de'Alicante del 27. de'folio dit' preparativos para pasar á la izquierda del .Danu­ cen qoe ba llegado á aquel puerco el general Camr bio, y penetrar en la Valaquia; para lo qual 3© po-Verde á bordo de lá fragata española la Diana. •carpinteros están trabajan4o dia y noche en la cons­ Se cree que …</t>
  </si>
  <si>
    <t>Can, Antonio María</t>
  </si>
  <si>
    <t>Antonio María Can</t>
  </si>
  <si>
    <t>de Italia. cha S. M. ha nombrado jueces de primera ins­ tancia á D; F rancisco P.oHriguez de Mejorada , de Serenísimo Señor: Taiavera de la Reina ; á D. Antonio María Can- ,, Hemos leído la representación hecha á S. M. L</t>
  </si>
  <si>
    <t>Can, José</t>
  </si>
  <si>
    <t>José Can</t>
  </si>
  <si>
    <t>o.— Gabriel Ciscar, presidente.—Au­ sente D. Joaquín Bfake cisrt permiso de las Oáríes. — Pedro de Agar. — Dado en Cádiz á 15 de octubre de 1S11. — A D. José Can­ ga AqAieiks.” El Excrao. Sr. gefe del estado mayo? general ha recibido del ayudanta genere! D. Antonio Barriel, por orden del capitán gene­ ral B. Jaaquiu Blake, co…</t>
  </si>
  <si>
    <t>Cañada, Antonio González</t>
  </si>
  <si>
    <t>Antonio González Cañada</t>
  </si>
  <si>
    <t>.. 2200 Doña Manuela Saez Martínez, id., por.. 2200 D. Sabino Zapatero, id., por..................... . 2200 Doña María Ignacia García Beltran , id., D. Antonio González Cañada, id., resi­ por.. ................................................................. 2200 dente en C almenarejo, por....................... 2200 Doña M…</t>
  </si>
  <si>
    <t>Canal, José Mari</t>
  </si>
  <si>
    <t>José Mari Canal</t>
  </si>
  <si>
    <t>. Lio. D. Raraon Garces. II. D. Mamirl Car­ ees. O. ■ Antonio Nieva. D. Gerónimo BaÜeza. D Joaquín Xiinanez. D. Teodoro C3iab;U. D. Francisco Pastor. D. José Mari* Canal. D. Vicente. Fría». D. Pedro Taboada. D. Juan Echáis. D. Sebaptiun Conejo. D. Manuel María Lanza sorta. Lie. D. Jcsé Marín Chicc. D. Luis Msrcles. Lie. D. Jo…</t>
  </si>
  <si>
    <t>Canaleta</t>
  </si>
  <si>
    <t>mbres solos. Actores en la comedia. Seño­ les c gaña par-, arruinarlos. • ras Maqueda, Torres y Vargas. Señores Maicpiez , In­ Al pasar por C ,spe el coronel Canaleta, pri- fantes , Avecilla, Caprara , SuarezContador, Mas, tiooero de Tarragona, y pintor antiguo de india­ Casanova, Alverá, Camas y Fabiani. EN LA IMPRENTA REAL.</t>
  </si>
  <si>
    <t>Canaoho, Juan</t>
  </si>
  <si>
    <t>Juan Canaoho</t>
  </si>
  <si>
    <t>o ds la Iglesia y Lnith, subtenientes, el primero del regimiento infantería fizo de Cartagena de Indias y el segundo del de Aragón, como igualmente á D. Juan Canaoho, D. José Aizpurua y D. Cirios Montenegro, cadetes del segundo regimiento de Sevilla , Africa y Corona. Aviso á los navegantes. Habiéndose recopilado en el depósi…</t>
  </si>
  <si>
    <t>Cañas, Aniceto</t>
  </si>
  <si>
    <t>Aniceto Cañas</t>
  </si>
  <si>
    <t>a D. Francisco Masets , y el subteniente D. Manuel Grau, del referido Saboya : tam­ bién se ha hecho acreedor á la misma recomendación el subteniente D. Aniceto Cañas del mencionado regimiento de Saboya. Igualmente se distinguieron , y recomiendo los subtenientes de granaderos provin­ ciales de Castilla la niieva D. Francisco…</t>
  </si>
  <si>
    <t>Cañas, Rafael Barragan</t>
  </si>
  <si>
    <t>Rafael Barragan Cañas</t>
  </si>
  <si>
    <t>mediados de D. Gerónimo Diego. la semana última, ha sido originada de un paseo de­ D Cristóbal Peña. masiado ,-gitado y de muchas horas que dio S. M. D. Rafael Barragan Cañas. por el parque del palacio. (The Sun.) Las embarcaciones que están en las costas de Tenientes. Inglaterra han recibido orden de izar las señales si­ D. …</t>
  </si>
  <si>
    <t>Cañaveral, Rodrigo</t>
  </si>
  <si>
    <t>Rodrigo Cañaveral</t>
  </si>
  <si>
    <t>odnee en azú­ D. Juan Calvo. car la quinta parte de su peso. ¿Qué mas necesi­ D. Bartolomé Velasco. taría la Eoropa para libertarse de la dependencia D. Rodrigo Cañaveral. eo que ha estado de la América hasta aqui por es­ Tenientes. te artículo? Merece pues que los curiosos se dedi­ D. Joaquín de Medina. quen, como el autor l…</t>
  </si>
  <si>
    <t>Candía</t>
  </si>
  <si>
    <t>enetren á Cálle y ó B.-za, para lo qiml 5 como también he expresado á Y= S., cunccp'lúo preciso que ataque á los enemigos en. caso de poder unirse al general Candía, 6 concertar el ataque con él; y si no pudiese u&amp;feee ri concertar dicho ataque, tomará Y. S. la roLeion mas ventajosa, que de fenderá á teda cesta para legrar ei…</t>
  </si>
  <si>
    <t>Canelas, Ramón</t>
  </si>
  <si>
    <t>Ramón Canelas</t>
  </si>
  <si>
    <t>ncia de matriculas. Comandante , el capitán de fragata retirado Don. Martin de Funes , 200. Ayudante , el teniente de navjo D. Luis de Albu­ ra , 20. D. Ramón Canelas , id., 20. El contador D. Mariano Cortés , 20. El escribano D. Joaquín Aparicio , 20. — Ministerio de real hacienda El conta­ dor D. Pedro Baranda; ademas de 25…</t>
  </si>
  <si>
    <t>Cañete, Francisco López</t>
  </si>
  <si>
    <t>Francisco López Cañete</t>
  </si>
  <si>
    <t>viii. En la villa de Almodovar del Rio Oro español contra plata.............. . se formará media compañía. D. Pedro de Luna está nombrado capitán, y D. Francisco López Cañete subteniente. TEATROS. art. ix. En la villa de VilJaviciosa se forma­ En el del Príncipe, á las siete de la roche, se re­ rá media compañía. presentará p…</t>
  </si>
  <si>
    <t>Cañete, Miguel</t>
  </si>
  <si>
    <t>Miguel Cañete</t>
  </si>
  <si>
    <t>en el mismo cante, que en el mismo tér­ término üc Andújar, sitio mino fundó D. Pedro Ca­ de la Ropera ; liúda cm olíllejón , y consisten en 7 vas de D. Miguel Cañete, y aranzadas de olivar viejo, y de D. Miguel ValcnzUela.. 60» 7200 2 fanegas de tierra calma; Una hacienda compuesta dé sitio del pozo de las Atara- casa , moli…</t>
  </si>
  <si>
    <t>Caníalotella, Francisca</t>
  </si>
  <si>
    <t>Francisca Caníalotella</t>
  </si>
  <si>
    <t>á Vive!, gTavemeats liando, al teniente D. Francisco Vidal, a! subteniente 13. José G:Ls, á I03 distinguidos de granaderos D. José C'udá, contuso , y D. Francisca Caníalotella , ai sargento primero Antonio Colina y al granadmo Pedro Franquet, quienes con la mas reco­ mendable serenidad ss anejaron sobre la brecha, despreciand…</t>
  </si>
  <si>
    <t>Cano, Angel Bernardo</t>
  </si>
  <si>
    <t>Angel Bernardo Cano</t>
  </si>
  <si>
    <t>ai para el be­ la que luce el servicio en el palacio de SS. MM. neficio de Villareal , en la de Alava. Esta mañana á las 9 y media salieron SS. MM. A D. Angel Bernardo Cano para el beneficio en coche para Ucrecht. La guardia de honor de á entero de Peñacerrada y sus anexos; y á D. Ma­ caballo los ha acompañado hasta Leerdam, …</t>
  </si>
  <si>
    <t>Cano, Antonio</t>
  </si>
  <si>
    <t>Antonio Cano</t>
  </si>
  <si>
    <t>la antecedente, de 4 fan., 5 cel. y 9 de D. Juan Antonio López, al presbítero ex-re­ ,cst. á 700 rs. Otra donde dicen las Serriilas, de 6 fan. gular D. Antonio Cano. y 8 cel. 'á 800 rs. Otra donde dicen las Viveras, de 5 Para el dei Presidio y Benecid, vacante por fan., 5 cel. y 17 est. á 500 rs. Y otra en la vereda del muert…</t>
  </si>
  <si>
    <t>Cano, Francisco</t>
  </si>
  <si>
    <t>Francisco Cano</t>
  </si>
  <si>
    <t>l de B ;ña,-D. Carlos Arias y D. Alexandro Patison; las ayudauitía3 primera y segunda á D. Francisco Trespalacios y Don Joaquín O'lviras; tenencias á D. Francisco Cano, D. Benjamín D woia, D. Ensebio F reyre, D. Gasnar Escapa, D. Benjamín Barríe, D. Pedro Sánchez, D. Joan Zaldivar, D. Manuel Zeldivar, í). Mdro Caballero, D. B…</t>
  </si>
  <si>
    <t>Cano, Manuel</t>
  </si>
  <si>
    <t>Manuel Cano</t>
  </si>
  <si>
    <t>idas suman, 505407 rs. y 2 90 mrs. Distribución.— Hasta 22 de abril de este año. — Por gastos de los electos embarcados en da fragata Prueba , 889. A D. Manuel Cano, por 3 cana! los, 3800.. A D. Toncas Lunar,, por 52 sillas 4- 320 reales, 16640. A B Domingo González,) por 50 4 300) 15000. AI). Manuel de Roxas, por R. 2-v á.84…</t>
  </si>
  <si>
    <t>Cano, Pedro María</t>
  </si>
  <si>
    <t>Pedro María Cano</t>
  </si>
  <si>
    <t>1046</t>
  </si>
  <si>
    <t>ontadoi. A v oor ' a1 t emoeñarst ■ en oue * se- han de re- Gómez Xara, D« Manuel García de la Piada y unir eD crecido número, á pesar de la proclama D. Pedro María Cano para formar el mismo con­ qne se lo prohíbe. Qualquier hombre racional co­ sejo en la prefectura de Madrid; y á D. Juan Conoce qne los católicos podían segui…</t>
  </si>
  <si>
    <t>Canobas, Antonio</t>
  </si>
  <si>
    <t>Antonio Canobas</t>
  </si>
  <si>
    <t>ido para mantener 2 soldados por tiempo de 2 uóqs, 501). El escribano D. Agustín Cosgaya, en cada més, 6. Administración de correos. El administrador D. Antonio Canobas , 25Ó. El oficial mayor D. Miguel Rengil25. D. Francisco Cosgaya , subalternó, 10, D. José Elisagarate , id., 10. En la jgaceta niím. 12 de! sábado i 6 ¿e ene…</t>
  </si>
  <si>
    <t>Canoque, León</t>
  </si>
  <si>
    <t>León Canoque</t>
  </si>
  <si>
    <t>ao carles noticias interesantes. La persona que tuviere no «Señor? ¿su cerebro está sano? es decir, ¿esbue— ticia de estos sugetos se servirá darla á D. León Canoque vive calle de la Greda, núm. 11, quarto segundo. «na su salud ? ¿ habitan en su palacio de Constan— «tinopla?” Yo le respondí: ,,M¡ Rei, sus nobles «personas goz…</t>
  </si>
  <si>
    <t>Cántalejá, Bernabé</t>
  </si>
  <si>
    <t>Bernabé Cántalejá</t>
  </si>
  <si>
    <t>1088</t>
  </si>
  <si>
    <t>inmediatamente, y al amane* cct del 4 de este mes nos apostamos en la Calzada y sitio del Puente Uñez, en donde se colocaron el escuadrón al cargo de D. Bernabé Cántalejá la derecha del puente, y el de mi mando con los 30 ca* bailes de dicha partida i su izquierda. Así permanecimos hasta las 5 y medii de la tarde, hora en que…</t>
  </si>
  <si>
    <t>Cantarcy, Ignacio</t>
  </si>
  <si>
    <t>Ignacio Cantarcy</t>
  </si>
  <si>
    <t>l Sansón , 50. D. Miguel Lanz, 40. D. Rafael Bailester, 25. D. Gaspar Machín , 25. D. Isidro Arecha,25. D. Nicolás Soriano, 25. D. Pedro í«opea , 35. D. Ignacio Cantarcy , 25. D. Bartolomé Rusconi , 25. D. Joan Villaseca, 25. D. Pablo Soler , 25. Don José Bobos , 25. D. José Ector Padrón, 25. I&gt;. Antonio Castilla, 25. Don Man…</t>
  </si>
  <si>
    <t>Canté, Juart</t>
  </si>
  <si>
    <t>Juart Canté</t>
  </si>
  <si>
    <t>Perez , 100. alférez D/rPedro' Tríe v moí,' 50. La trópa , 452 ;¡—Primera compañíai /leí Ñucvó,Santanderi Capitán P. Ignacio Tj^eviño , 20Q. Teniente D. Juart Canté, lOQj Alférez J). Tomas Gutiérrez, 50. La tropa , ;490 i" i *• ■ ^ (Se continuará.) VI) V”'</t>
  </si>
  <si>
    <t>Caparrds, Josef</t>
  </si>
  <si>
    <t>Josef Caparrds</t>
  </si>
  <si>
    <t>unas qu.intas camisas y zapatos que Je enviaban llera, teniente., á ayudante del primer batallón: para el Empecinado, haciéndole el honor de nombrar­ D. Josef Caparrds, D. Joaquín Marques, D. Juan le su proveedor ó mayordomo, trocando asi las funcio­ del Mármol, D. Antonio Angulo , D. Cirios del nes de ambos; pues al fin el u…</t>
  </si>
  <si>
    <t>CapetidoD, Carlos</t>
  </si>
  <si>
    <t>Carlos CapetidoD</t>
  </si>
  <si>
    <t>íj.^Pa tída "José Gord l’o, D. Mannel G sn’ia , D. .-Ma­ riano Miguel Polo ,D Franchco Barreycua, D. Domingo Luis del Valle, D Mariano deGoic echea ,’D Carlos CapetidoD. JA'éGñativia y D. V cenie de la Encina. ^.En conrecqencia del real ^decreto de 5 de enero del año próximo o ?pasa,dorf^tppdi o. á Tayor dé los Ofensores de G…</t>
  </si>
  <si>
    <t>Capilla, Jasé</t>
  </si>
  <si>
    <t>Jasé Capilla</t>
  </si>
  <si>
    <t>onio Aguado, cadete de! batallón de Campo*; ayor; y en el de Guadalaxara, compañías á D. Ventura Ssgura, D. Vicente Santist-'ban, D. Santiago Moreda, D. Jasé Capilla, D. Joaquín Covisa, D. Ramón Lodares y D. Salvador d® Les; ayudantía á D. Francis­ co de la Torre; tenencias á D. Manuel Medina, D. Francisco de Paula Adames, B.…</t>
  </si>
  <si>
    <t>Capistrano, Juan</t>
  </si>
  <si>
    <t>Juan Capistrano</t>
  </si>
  <si>
    <t>a individuos , 39-y íirs.— Chicha. T&gt;. Carlos Rentería , 100. T). Luís Martí­ nez , 100. D. Juan Capistrano , 30. D. Antonio Moreno, 50. I). Matías Bueno, 14. D. Manuel Montoya , 12. D. Cipriano Rentería, 8. D. Tomas Rentería, 10. D. Francisco Veiez, 12. Varios individuos, 100 y 0 rs. Los vecinos</t>
  </si>
  <si>
    <t>Caprara</t>
  </si>
  <si>
    <t>s de los gran­ des oficiales de U corona y del reino. Pocas horas '' , AUSTRIA. después de haber dado la vireina á luz el príncipe, falió de 'aqui el conde Caprara , cabdíerizo mayor, Viena i.° de diciembre, , para llevar esta feliz noticia á S. M. el E mperador Las cartas de Bucharest, de fecha de $ de no­ y Rei; y el conde …</t>
  </si>
  <si>
    <t>Car</t>
  </si>
  <si>
    <t>s al primer teniente agregado D. Abrrto Suelves, marques de Atizona „ y á les seguidos tenientes D. José Brodoni, D. Wenceslao conde de P-raiir-g , y D. Car os González de .Llanos : segunda teatncia de granaderes a* de fusileros D. Juan de Dios Landáburu; y ssgusda tenencia de cazadores á D. J&lt; sé O agí er Fdiu, capitán de ca…</t>
  </si>
  <si>
    <t>mente dra­ mí iar si debiera haber dado algún grado mas de mática* de que abunda. Los caracteres están mui seriedad y de aprehensión 'al personage de D Car­ bien desempeñados, con mucho arte, propiedad los. Parece que el que tenía á su cargo el papel de! y verdad; y el de D^ña Rosa traída con suma Marques no Sabia que represe…</t>
  </si>
  <si>
    <t>Cár</t>
  </si>
  <si>
    <t>Gaceta de Madrid n.º 157</t>
  </si>
  <si>
    <t>gión , á los El Ex.mo. Sr. D. Blas de Aranza, consejero principios de la iglesia galicana y á ios intereess de Estado de S. M. católica; el caballero D. Cár­ d.-l estado; hemos resuelto reunir para el dia 9 de los P¡g natelli, teniente coronel ai servicio deS.M. juoio próximo , en la iglesia de nuestra Señora de católica; el …</t>
  </si>
  <si>
    <t>Cár'os</t>
  </si>
  <si>
    <t>cito eu ei embocadero del cesado de ir y venir correos de Londres.á Wind­ Guadiana. sor , y los médicos escribían de. dos en dos horas La división de D. Cár'os E paña 9c* ha embarca­ al regente y á los ministros. Todo el tiempo que do en Huclva, y su destino parece que esa Cádiz. S. A. no ha estado ocupado en los negocios del…</t>
  </si>
  <si>
    <t>Car, Mamirl</t>
  </si>
  <si>
    <t>Mamirl Car</t>
  </si>
  <si>
    <t>no Hidalgo. D. Valentín H í man­ de z , alférez. D Ignacio Chaves, capitán honorario. D. J osó A ¡íorío Na vaca , alférez. Lio. D. Raraon Garces. II. D. Mamirl Car­ ees. O. ■ Antonio Nieva. D. Gerónimo BaÜeza. D Joaquín Xiinanez. D. Teodoro C3iab;U. D. Francisco Pastor. D. José Mari* Canal. D. Vicente. Fría». D. Pedro Taboada…</t>
  </si>
  <si>
    <t>Caracuel, Antonio Josef</t>
  </si>
  <si>
    <t>Antonio Josef Caracuel</t>
  </si>
  <si>
    <t>40 hombres ,.y siguientes: cogido un gran número de caballos. Se dice que Capitanes. entre los heridos de la partida uno de ellos es el mismo Abril. D. Antonio Josef Caracuel. E'tas dos acciones, hacen mucho honor á los D. Miguel Serrano. oficiales y soldados que han tenido parte en ellas. D. Pedro García. Tenientes. D. Josrf…</t>
  </si>
  <si>
    <t>Carado, Bernabé</t>
  </si>
  <si>
    <t>Bernabé Carado</t>
  </si>
  <si>
    <t>a compañía de caballería. Durante el baile se sirvió un espléndido ambi­ gú, y en todos los concurrentes reinó una franca Capitán. y cordial alegría. D. Bernabé Carado. Teniente. Continúan sin interrupción en esta corte las fies­ D. Vicente Tenllado. tas con el motivo del nacimiento de S. M. el Rei Subteniente. de Roma. El Ex…</t>
  </si>
  <si>
    <t>Carambó, Manuel</t>
  </si>
  <si>
    <t>Manuel Carambó</t>
  </si>
  <si>
    <t>l’orrens, 100. D. Feliciano Válls, 40. D. Pascual Este vez , 44. José Aliguel Andino, 502. D. Manuel González , 30 y 2. D. Juan Manuel Fe.ixoo , 60. D. Manuel Carambó , 76 y 2. D. Francisco Gómez , 80. D. Antonio Lizurra , *50. Varios vecinos del par­ tido de Toa-baxa, 193. Id. del partido de Toa-alta, 800 y 4. Id. del partid…</t>
  </si>
  <si>
    <t>Carande, Manuel</t>
  </si>
  <si>
    <t>Manuel Carande</t>
  </si>
  <si>
    <t>de 600 infantes y 6Q caballos, salían de la población. Al romper el dia,según esta dispo­ sición , se presentó el subteniente de caballería cántabra D. Manuel Carande con SO caballos, quien á pesar de sostener dos horas el fue­ go contra otros tantos enemigos que se presentaron, no pudo con­ seguir el objeto deseado, saliendo…</t>
  </si>
  <si>
    <t>Carbajal, Nicolás</t>
  </si>
  <si>
    <t>Nicolás Carbajal</t>
  </si>
  <si>
    <t>lo que ha dado id. , 30. La fcqmuúulad de 'indios , 721. El alcalde mayor D. José Puertolas , 20. El refcau.hídor de tribdtos D. Diego Cabrera , 12. D Nicolás Carbajal , 12.— Ckínchxlp:i:&gt;jo. El cura Dr. D. Tomas Guerrero , como vecino priucipal, ade­ mas de híbpr contribuido por m no de su prelado, 50. Li comunidad de indios…</t>
  </si>
  <si>
    <t>Carbalteda, Ramón</t>
  </si>
  <si>
    <t>Ramón Carbalteda</t>
  </si>
  <si>
    <t>aestre, 40; D. Ignacio Salazar , i60. D. Aivrel José Soveron, 50). D 'Carlos Gira1 Jo, 60. D. Nlcoas de Castro , 40. D. Francisco de los .Santos, 20. D. Ramón Carbalteda, 80. D. Juan Miguel de Carlos v D. N. F x rdo, priores; del consulado de Cádiz, 50 pares de zapados. El'muestro p- rt ;g ;cs . vecino de Cádiz.., 12 pares de…</t>
  </si>
  <si>
    <t>Cárboni</t>
  </si>
  <si>
    <t>ió de nuevas fórmulas de juramento : 300 de ellos han sido confi­ nados á Bastía en Córcega : Monseñores Falsacanpa, D” Ar. zzo, Tibery , Serlupi, el cura Cárboni, el célebre abate Pcreyra , el canónigo I?dli,en suma la flor del clero de S. J uan, S, Peí lio, Sfa. Muía la Mayer y de todas las Basílicas, sufren un glorioso des…</t>
  </si>
  <si>
    <t>Carca, Justo</t>
  </si>
  <si>
    <t>Justo Carca</t>
  </si>
  <si>
    <t>Gaceta de Madrid n.º 337</t>
  </si>
  <si>
    <t>s juzgados de dando f muertos en el camino. Solo j hombres se Alzadas. escaparon de la partida , porque no entraron en la Por decreto de 27 del mismo D. Justo Carca emboscada. El comandante Morales no ha perdido Barandalla , oficial primero de la contaduría de So­ ninguno de su tropa , que ha dado pruebas en esta ria , ha sid…</t>
  </si>
  <si>
    <t>Carcelen, Juan</t>
  </si>
  <si>
    <t>Juan Carcelen</t>
  </si>
  <si>
    <t>an­ zado con dos compañías y una partida de caballería de húsares de .Ga líela , saliese sobre eí '.pueblo de Montejos, lo ha verificado esi teniente D. Juan Carcelen con 10 hilares y 50 hombres de las Qompáñías de granaderos y cazadores ; y habiendo hallado entre Villadangos y S Mar­ tin del Camino 70 enemigos, Ies atacó y b…</t>
  </si>
  <si>
    <t>Carcer, Joaquip</t>
  </si>
  <si>
    <t>Joaquip Carcer</t>
  </si>
  <si>
    <t>ai de fusileros D. Luis Monteroj y empleos de al­ féreces de fusileros, á D. Pió Sotolongo , subteniente del batallón d-a voluntarios de Campomayor, D. Joaquip Carcer , teniente del regi­ miento de caballería de A garbe, D. Juan Velarde yRoxas, subtenien­ te de infantería ccn sueldo de tal, y á los cadetes del mismo regi­ mie…</t>
  </si>
  <si>
    <t>Cárcoba, Andrés</t>
  </si>
  <si>
    <t>Andrés Cárcoba</t>
  </si>
  <si>
    <t>s, y el número de heridos fue muy considerable. Por nuestra parte no tuvimos mas que un herido de gravedad, que lo fue el voluntario .de los europeos D. Andrés Cárcoba por el fuego del canon, al tiempo quejo estaba al arando, y otros heridos y coutusos levemente por la muchedumbre de piedras que con hondas y á mano tirabais-l…</t>
  </si>
  <si>
    <t>Cardanne</t>
  </si>
  <si>
    <t>359</t>
  </si>
  <si>
    <t>en ellas de venida de tropas , ri de sucestss f vorabies j lo que pcueba que r.o los hay , é in­ dica que no los esperan. Ay« salió de esta ciudad el general Cardanne con un convoy que</t>
  </si>
  <si>
    <t>Cárdeno, Joaquín</t>
  </si>
  <si>
    <t>Joaquín Cárdeno</t>
  </si>
  <si>
    <t>de subteniente á D. Martin García, D. Manuel Plaza , D Juan, Domínguez, Don Manuel Paez, D.'Rafael Pato, D. Juan Sánchez Bandito, D. Joré Birrientos, D. Joaquín Cárdeno, O. Calixto Ximenez B cerra y I). Valentín García Serrano; el de subteniente de bandera á Don Lorenzo Paez. Concluyen los donativos de varios naturales del ob…</t>
  </si>
  <si>
    <t>Cardona, Ramón</t>
  </si>
  <si>
    <t>Ramón Cardona</t>
  </si>
  <si>
    <t>r su celo los comandantes de escuadrón D Juan Pesquera, D. Martin Collado, D. F^ancicco Or rancia , D. Manuel Oviedo y Cosío, D. Matías A í;u ir­ re, D. Ramón Cardona, D. Francisco Goyenechey D José Gabriel Armijo. El Sr. mayor general de caballería coronel D. Diego Garda Con­ de , y el de infantería teniente corone! D. Manue…</t>
  </si>
  <si>
    <t>Cariaga, Martin</t>
  </si>
  <si>
    <t>Martin Cariaga</t>
  </si>
  <si>
    <t>baton, D. Andrés Pelayo, D. Martin Cariaga, D. Ramón Rienda, E). Joaquín Frayle, O. Manuel del Rio, D. Juan Peña; y ásus ayudances D. Joaquín Castañeda, D. Narciso Salinas, D. Tomas Bermado, D. Francisco Pacheco, y al cabo de volunt</t>
  </si>
  <si>
    <t>Caríbaldi, Celestino</t>
  </si>
  <si>
    <t>Celestino Caríbaldi</t>
  </si>
  <si>
    <t>es, para la vara de alcalde mayor de la villa de Segura de la Siena, territorio de la de Santiago, á D. Angel Peiez del Basto. CARTA INTERCEPTADA. De D. Celestino Caríbaldi, canónigo intruso de Toledo, al duque de Campo - Alange. Excmo. Sr. : muy srñor mío y de toda mi veneración. La con­ fianza en la singular bondad de V. E.…</t>
  </si>
  <si>
    <t>Carimaron, Pablo</t>
  </si>
  <si>
    <t>Pablo Carimaron</t>
  </si>
  <si>
    <t>arbarcar en ellas prusianos, hannoverianos &amp;c. que melita descalzo. ya no pneden servir. Ei dia iy de este mes se ar- Para la de Aimexijar y Notaez á D. Pablo Carimaron varias lanchas á las islas del Ost-Frisia, y tacuel, ex-franciscano observante. una de ellas efectuó un desembarco en Vangeno- Para la de Mairena y Juvar á D.…</t>
  </si>
  <si>
    <t>Cárlos</t>
  </si>
  <si>
    <t>rido reunidas, hi­ cieron á los franceses 18 pris queros, y les cogieron 5000 fanegas de trigo, que entregaron para la subsistencia de la división de D. Cárlos España. . /,l . / A principios de noviembre discurrían por Castilla la Vieja las par­ tidas de D. Tomas Príncipe, D. Gerónimo Fomel, los curas Meri­ no, Tupia y Violad…</t>
  </si>
  <si>
    <t>Carlos</t>
  </si>
  <si>
    <t>Gaceta de Madrid n.º 42</t>
  </si>
  <si>
    <t>responsables de la exe- esta ceremonia eran SS. A A. el Príncipe heredero, cucion de esta orden, como t«mbitn las autorida­ el príncipe Guilleimo, el príncipe Carlos, acompa­ des militares que hau recibido órdenes para el ñados de sus ayos; las princesas Carlota y Ale­ ef-cto. jandra , el príncipe y la princesa Federico, el A…</t>
  </si>
  <si>
    <t>veces, y que no hlcit^e tan repe­ engañado. tidos sacrificio» al empeño de hacer reír. Del papel En el de la Cruz, á las cinco de la tarde, se exede D. Carlos no hai nada que decir; porque el co­ cutará la comedia en cinco actos titulada la Reconci­ mediante que lo representa sabe mui bien quando liación , ó los dos Hermanos;…</t>
  </si>
  <si>
    <t>ez, y tenencias á los subtenientes D. Antonio Nieto, D. Juan Veaegas, D. Raiuoa Dieguez, D. Antonio Mena y D. Juan Antonio Pardo; y en el del infante D. Carlos, en el segundo exército, subtenencia á D. Esteban Falcon. Igualmente ha concedido S. A. en el batallón de voluntarios de Valencia, empleo de capitán primero al capitán…</t>
  </si>
  <si>
    <t>Gaceta de Madrid n.º 205</t>
  </si>
  <si>
    <t>24</t>
  </si>
  <si>
    <t>á su casa , contó su dinero, y no echó menos ni si­ cho del próximo matrimonio de S- A. I. el archi­ quiera una piastra. ¿En qué ciudad de Europa se duque Carlos con una princesa de Alemania. Tamhubiera hecho otro tauto? bieu se asegura' que S. A.vva á emprender un via­ ge con este objeto. El príncipe dé ítófftnfóhe Barténste…</t>
  </si>
  <si>
    <t>nia, líiOO, D. Francisco Basil, 200. D. Clemente Fernandez de Elias , 100. Sres. Hieke, . Zinke y compañía, 100. D. Romualdo Pasqual de Tejada , 200. D. Carlos .García Texudor ,-100. Condesa de Torres, 160. D. José Martínez- de Vcngoa» 100. D. Martin Rolda y Beida , Í300. Sres. Dnwel y compañía , 5000. D. MF gnel Lobo , 000. …</t>
  </si>
  <si>
    <t>te de !a junta mos decretado y decretamos lo siguiente: criminal extraordinaria de Valladoiid. articulo 1. ,,Quedan confirmadas en sus res­ Villegas (D. Carlos), subteniente del regimiento pectivos títulos y dignidades, que gozaban antes de Castilla, i.° de infantería ligera. del 18 de agosto de 1809 por concesión de los Re­ …</t>
  </si>
  <si>
    <t>949</t>
  </si>
  <si>
    <t>príncipe á tomar las riendas del gobierno, como esperaba el pueblo sueco. Bernadotte sigue despachando los negocios, y se de­ cía públicamente que el rey Carlos abdicaría la corona á pretexto de sus achaques y avanzada edad.</t>
  </si>
  <si>
    <t>o formado en escalente, siendo su centro la posición de. Guinaldo , su derecha el puerto de Parales, y su izquierda Navabei. — El maris­ cal de campo D. Carlos España estaba apostado i la izquierda del Coa, y D. Julián Sánchez, con su caballería, fué deatacado ó ia retaguardia del enemigo, — Eq la mismai tasde del 25 el enemi…</t>
  </si>
  <si>
    <t>1236</t>
  </si>
  <si>
    <t>a coríe¿ponáiente licencia y habían pagado el derecho de pa- tf uta. Valencia de Alcántara 25 de octubre. — Carta dirigida por el ma­ riscal de campo D. Carlos España , al general francés TliiebofítU. ‘‘JEx; mo. Si ., H ¿hiendo sido nombrado por ti g b* r n ; ’o* Bfc? y iegíiimo, ci ma daote general de la* t ©pus de S. M. D F…</t>
  </si>
  <si>
    <t>o$f&lt;&gt;riiae al plan que comuniqué á V. JE., en mi oficio de 27 del pasado, retiré el 29 da la parte do allá del, Agui»da la rzi! guardia del exéseito.—D. Carlos España me ha comuuicado, que ataco al enemigo el 2$ del mes último eeu ua destacamentó ¿© infe&amp;toria del cuerpo áe D. J ulian Seachez y «tro del regi­ miento d© la Pri…</t>
  </si>
  <si>
    <t>Carlos, Josef</t>
  </si>
  <si>
    <t>Josef Carlos</t>
  </si>
  <si>
    <t>uestros periódicos se ha inser­ S. M. el Emperador ha escrito de su propio tado el paságe siguiente del Viage d la Laponia ufio la siguiente carta al conde Josef Carlos • de por Leopoldo de Buch: E)¡ctricbsteia , mariscal del país. Viena de enero de 1811. ,íM¡ estimado . r. »»El comercio qae hacen los rusos por el mar Blanco …</t>
  </si>
  <si>
    <t>Carlota</t>
  </si>
  <si>
    <t>Gaceta de Madrid n.º 69</t>
  </si>
  <si>
    <t>das por el gobierno, que les dispensa toda la protección S. M. ha puesto baxo la protección deS. A.R. de que es capaz. Tenemos ya gran cantidad de la princesa Carlota el instituto que ha fundado para azúcar de remolachas, y traemos de Sarept mos­ honrar la memoria de la difunta Reina , y ha deter­ taza tan bueoa como la qne n…</t>
  </si>
  <si>
    <t>1009</t>
  </si>
  <si>
    <t>o; pues no solo es superior á Ja Una carta de rio Janeiro , de fecha del i.° de naestra en número, sino que se halla en estado (Je snayo, dice que la princesa Carlota , esposa del poder resistir las fatigas, llasta tanto que rto po­ Príncipe regente de Portugal, trata, de concierto damos oponerá tos franceses otr^a,semejante,…</t>
  </si>
  <si>
    <t>tores del Semanaria patriótico mlmero 68, pio de los portugueses. Si ¡os amigos ambiciosos de refiriendo esta circunstancia, pero no atreviéndose to­ Doña Carlota no se conducen con mas pendencia, davía á descubrir toda ¡a odiosidad de ella, ni á ,,atrí- bien presto no tendrá ni un solo partidario en las « buir al gabinete de…</t>
  </si>
  <si>
    <t>1146</t>
  </si>
  <si>
    <t>e na res ha habido hace poco de resultas haya mayores desastres en la costa. El tiempo turbulencias mas serias , con motivo de los navíp: de S. M. la Princesa Carlota encalló cerca nuevos impuestos y contribuciones. Los recauda­ de una roca, y es de admirar qué no se hubiese dores de esta* rentas han sido asesinados por el he…</t>
  </si>
  <si>
    <t>ne ' Sentimos tener que anunciar al publico que el este general ios conquistará con suma facilidad. Principe regente, estando bailando con su hija (a princesa Carlota, .resbaló, y se maltrató el pie iz­ Del 2 0. * quierdo. La contusión fue mui fuerte, y el dolor La enfermedad del Rei continúa en el mismo que experimentó S. A.…</t>
  </si>
  <si>
    <t>1393</t>
  </si>
  <si>
    <t>los buques. —- Inconquistable, 26 cañones y 160 hombres. — Palas , VIS y 130. — Indiana ,24 y 120. — Belisa* rio, 18 y 120. -—S”. Miguel, 16 y 100.— Princesa Carlota, 16 y 160. — Totales de o nemes y hambrea , 118 y 730. ^ La principal falta que habla en esta piquen;*, escuadra, era de balaría y otros pertreches navales ; per…</t>
  </si>
  <si>
    <t>Carlota, Lnisa</t>
  </si>
  <si>
    <t>Lnisa Carlota</t>
  </si>
  <si>
    <t>Gaceta de Madrid n.º 268</t>
  </si>
  <si>
    <t>ticiparos úna noticia mui importante paira nuestro país. S. M. el Empe­ Copenhague 17 de agosto. rador Napoleón acaba de declarar á Dantzick puer­ La princesa Lnisa Carlota, esposa del prínci­ to libre y franco para todo comercio , menos el in­ pe Guillermo de Hesse, dio aateayer á luz un gles. Los derechos de entrada qnedah …</t>
  </si>
  <si>
    <t>Carlota, Luisa</t>
  </si>
  <si>
    <t>Luisa Carlota</t>
  </si>
  <si>
    <t>o gobierno la cons­ trucción de nuevas obras, y de fortificaciones de Altana a a de julio. las plazas situadas en las costas. También se han S. A. la princesa Luisa Carlota ha salido de aumentado las fortificaciones de Colberg , cuya aqoi esta mañana para volver á Copenhague. plaza se halla ya en un estado formidable de de­ f…</t>
  </si>
  <si>
    <t>Carlota, María</t>
  </si>
  <si>
    <t>María Carlota</t>
  </si>
  <si>
    <t>sentase; pero vuestro esclavo Mayor, el de los herederos de este, ó los suyos en su no quiso hacerlo por respeto: me lo mandó se­ caso. Dicha señora Doña María Carlota vivía en fin de gunda vez; y viendo que me resistía aun, el maes­ noviembre de 1801 en esra corte, calle del Lobo, nú­ tro de ceremonias me cogió del braA&gt;, y …</t>
  </si>
  <si>
    <t>Carlsruhe, Nathan de Arns</t>
  </si>
  <si>
    <t>Nathan de Arns Carlsruhe</t>
  </si>
  <si>
    <t>Gaceta de Madrid n.º 13</t>
  </si>
  <si>
    <t>49</t>
  </si>
  <si>
    <t>los individuos siguientes : el señor Putho» , ge- GRAN DUCADO DE BADEN. fe de la casa de los señores SchuÜcr y compañía; el señor conde de Tries, el barón Nathan de Arns- Carlsruhe 7 de diciembre. telner, ti señor Geimuller, el ftiayor; el señor Adam de Ncuberg, gtfe de la casa de Franc y El barón de Andfaw tomó ayer posesión…</t>
  </si>
  <si>
    <t>Carmelo</t>
  </si>
  <si>
    <t>68</t>
  </si>
  <si>
    <t>ara, Mancha y la sesión pública. El comandante general acaba de Toledo van desapareciendo Jas guerrillas. El gene­ marchar al exército, acompañado de D. Carmelo ral marques “de Bermui ha destruido enteramente Espían , que fee el primero nombrado para Já jun­ en la de Toledo el 22 del corriente una partida ta-congreso, y esta …</t>
  </si>
  <si>
    <t>Carmen, Juan Manuel</t>
  </si>
  <si>
    <t>Juan Manuel Carmen</t>
  </si>
  <si>
    <t>aría Dana , ‘D. Vicente Sánchez, D. Joaqui« d i la G qz , D Raf el dél-Barrio , D. Miguel S.mtillana y D. Ignacio O ovas: á capitanes á los tenientes D Juan Manuel Carmen/, D José Montes y Fíores, D. Pedro Bringas , D. José A*uirfe, ’D José Segoyia j D Bartolomé'A nat VD. Mariano A bo , Den Frahc rco Lope# , *£); 'Miguel AUie…</t>
  </si>
  <si>
    <t>Carmena, Nicolás María</t>
  </si>
  <si>
    <t>Nicolás María Carmena</t>
  </si>
  <si>
    <t>orenzo Rodríguez, 4768. D. Sebastian Izquierdo , 500. D. Pascual Cebada , 704. D Juan Córd ido , 300. D. Felipe de....... 100. D. Juan Ferrari, 30 ). D. Nicolás María Carmena 1500. D. Angel González Viilauueva, 1000. Total , U,451. ' h'i plata y otros efectos. E! Sermo. Señor presidente D. Pedro de Agar, 25 libras y 8 onzas d…</t>
  </si>
  <si>
    <t>Carmona, Francisco</t>
  </si>
  <si>
    <t>Francisco Carmona</t>
  </si>
  <si>
    <t>Melchor Casanova,'cura tero D. Josef García Escobar. de Jayena. Para el del Fondon, vacante por muerte de Para el de Soportnjar, vacante por renuncia D. Francisco Carmona , á D. Josef Sánchez Gui- de D. Jojef Gnzman, al presbítero £►. Bernardo ¡ler-, cura de Isbol y Tablate. G.rcía Valenzuíia. Para el de Fregenite y sus anexo…</t>
  </si>
  <si>
    <t>Caro</t>
  </si>
  <si>
    <t>zé la función con las mi jares apariencias, ganando terreno nuestras tro­ pas. Comenzaron las de la izquierda á ceder, y los enemas a ade­ lantar. Ei general Caro con la caballería expedicionar a cargó bizar­ ramente á una línea de caballería enemiga que esperaba al ftvor de algunos obstáculos, loa cuales no impidieron que fa…</t>
  </si>
  <si>
    <t>Caro, Josef</t>
  </si>
  <si>
    <t>Josef Caro</t>
  </si>
  <si>
    <t>guientes : tuvieron con S. M. úna conferencia que duró mas Capitanes. de una hora,, t D. Josef Castañeda. yyindsor 4 ae febrero. Mr. Perceval, acom­ D. Josef Caro. pañado de Mr. Yorcke , se presentó esta mañana í D. Sebastian Lequerica. cosa de las 11 en el quarto de la Reina, y tuvo uná Tenientes. consulta con los médicos qu…</t>
  </si>
  <si>
    <t>D. Santos Sabugo. expedirá á favor del tesoro público la correspon­ D. Diego Pimentel. diente carta de pago de lo recibido por mano de! Para ayudante D. Josef Caro. interesado, y una certificación de resto en caso dé art. vil. En ibs batallones de esta capital haber sobrante. Y los portadores satisfarán con di­ «)uedan promov…</t>
  </si>
  <si>
    <t>Caro, Manuel María</t>
  </si>
  <si>
    <t>Manuel María Caro</t>
  </si>
  <si>
    <t>d , 43 y 4. D. Gaspar Viví, 100, Varios vecinos del partido de Bayamon, 4S4 y 1. El licenciado D. José de Eib ra, 200. Juan de la Trinidad Moreno, 4. D. Manuel María Caro, 800 Varios vecinos del partido de Punce, 96 0. Varios individuos del gre­ mio de matrícula déla Aguad illa, 2b. Id. otros desús inmediaciones, 477 y 4. Id.…</t>
  </si>
  <si>
    <t>Caro, Pedro</t>
  </si>
  <si>
    <t>Pedro Caro</t>
  </si>
  <si>
    <t>DE 1811. PORTUGAL. Lisboa 2 de febrero de 181 t. El día 25 de enero falleció en el cuartel general de Cartaxo , á ios 49 ancs de edad , el Excmo. Sr.,D. Pedro Caro .y Sureña, maiques de la Romana , grande de España , cabañero gran-cruz de lartvi orlen .española de Cá los III , tenién.e gM;;ral de los reales exércitos de $. AI…</t>
  </si>
  <si>
    <t>Carozo, Juan Autopio</t>
  </si>
  <si>
    <t>Juan Autopio Carozo</t>
  </si>
  <si>
    <t>Tomas Ravina, ¿00. D. Luis de Gárgol lo, 1000.1). Fernán*dp.de Gárgol ío, 200. ÍJ. Dionisio Garda de Ugaríc ,800. D. José Diez ím* ' bfeelits , 1Ó0: D. Juan Autopio Carozo , &lt;&gt;00.IX Juan Antonio’ Llórente , 1000. Sres. Olasaguilia é Inara, 1000. J&gt;. Pedro Antonio de Aguinre , Diputado en Cóvlcs por Cádiz . 10()(). D. Diego Gu…</t>
  </si>
  <si>
    <t>Carracedo, Rafael Muñoz</t>
  </si>
  <si>
    <t>Rafael Muñoz Carracedo</t>
  </si>
  <si>
    <t>eo de los Reyes, al Vales reales.......................................... 93* a 94 n. Cédulas hipotecarias........................... 94i n* diácono D. Rafael Muñoz Carracedo. Certificaciones del tesoro público... 7'\ á 72 n. Para el tercero de la misma, vacante por falle­ Oro español contra plata................... cimiento…</t>
  </si>
  <si>
    <t>Carrafa, Francisco</t>
  </si>
  <si>
    <t>Francisco Carrafa</t>
  </si>
  <si>
    <t>s Colon» y el Sr D. Mar­ cio mas de media hora como un padre eamedio de co Antonio Colona...................................... 200 sus hijos. E' Sr. D. Francisco Carrafa.......................... acó A las quatro y media , á pesar de que estaba Ei Exmo. Sr. marques de San Adrián....... 2CO lloviendo , S. M. se embarcó cerca …</t>
  </si>
  <si>
    <t>Carranza, Josef</t>
  </si>
  <si>
    <t>Josef Carranza</t>
  </si>
  <si>
    <t>Badan, por...................................... 43850 D. Miguel Amonio de Oqucndo................... 12183.-25^ D. Antonio María y D. Vicente María D. Josef Carranza............................. 209380 Boan.................... 7050 D. Josef Pelaez................................................ 16440 D. Juan Pablo.Imbrea....…</t>
  </si>
  <si>
    <t>Carrasco, Antonio</t>
  </si>
  <si>
    <t>Antonio Carrasco</t>
  </si>
  <si>
    <t>383</t>
  </si>
  <si>
    <t>24 de marzo de - i 811.'- Ventura Marquina. — Exano. Sr. general en gefe del cuarto exército.” En atención á los distinguidos méritos y servicios de D. Antonio Carrasco, comandante que Fué de las partidas de guerrilla de Ante­ quera , y á haberse inutilizado para seguirlos en la carrera de las ar­ mas de resultas de diferente…</t>
  </si>
  <si>
    <t>Carrasco, Diego</t>
  </si>
  <si>
    <t>Diego Carrasco</t>
  </si>
  <si>
    <t>422</t>
  </si>
  <si>
    <t>e quitó la vida. ETdia 6 las partidas de Jubrique, Genalguacil y Farajan con sus respectivos comandantes, la de Alpandeire, que ademas de su caudillo D. Diego Carrasco llevaba al frente á su alcalde D. Cristóbal García Urrego , y las de otros pueblos , baxaron por el puerto de Arrebatacapas á los llanos de Fuente de la arena …</t>
  </si>
  <si>
    <t>Carrasco, José</t>
  </si>
  <si>
    <t>José Carrasco</t>
  </si>
  <si>
    <t>o Gar­ cía Buj.anda, D. Liocente^Argüello, y D. Juan Antonio Tostado; los deteniente á D. Ignacio Perez, D. Vicente Descalz,D. Juan Hi­ dalgo Chacón, D. José Carrasco, D. . Ra r on González y D. Ra­ món Novoa; los de subteniente á D. Juan Rosales y D. Ramón González; y el de subteniente de bandera á D. Venceslao López. . En c…</t>
  </si>
  <si>
    <t>Carrasco, Manuel Celestino</t>
  </si>
  <si>
    <t>Manuel Celestino Carrasco</t>
  </si>
  <si>
    <t>do y decretamos lo que sigue: reales anuales............................................... 29700 articulo 1. ,,Se declaman acreedores del estado por D. Manuel Celestino Carrasco, por 3420 créJitos que han presentado los diferentes interesados reales anuales................................................ 34200 que se expresa…</t>
  </si>
  <si>
    <t>Carreña, Antonio</t>
  </si>
  <si>
    <t>Antonio Carreña</t>
  </si>
  <si>
    <t>674</t>
  </si>
  <si>
    <t>beldes, que al parecer pasaba de 6000: incorporáronsele varios vecinos lea­ les 5 y ios sublevados huyeron con pérdida á las alturas circun­ vecinas. D. Antonio Carreña, 'e ¡lente gobernador y castellano de A capulco, coa Leba ds 14 de febrero avisó que deseoso de evitar la inco­ modidad que causaban á aquel pueblo los sedici…</t>
  </si>
  <si>
    <t>Carreño, Antonio</t>
  </si>
  <si>
    <t>Antonio Carreño</t>
  </si>
  <si>
    <t>346</t>
  </si>
  <si>
    <t>haber hecho 11 prisioneros, se situó en los Cuaulotes. Un destacamento' mandado por, el capitán D. Juan Cosío, que el g binador interino de Acapulco D. Antonio Carreño dirigió al paso de las Cruces , donde los revoltosos tenían 111 piquete de 30 hombres defendidos por un parapeto, dispersó á estos, prendió 11, y se res­ tituy…</t>
  </si>
  <si>
    <t>Carrera, José</t>
  </si>
  <si>
    <t>José Carrera</t>
  </si>
  <si>
    <t>a Habana. D. Francisco Layseca, de Alava, 100. D. Juan José de Sangroniz , de Vizcaya, 34. D. Valentín y IX Basilio Martínez, de Medina de Pomar, 68. D. José Carrera, 50. D. Juan Fernandez , de Zamora , 17. D. An­ tonio Crespo, de Ídem , 8 y 4 rs. D. Gabriel Bombillo, de Castilla, 34. Don Francisco Polo, de id. 20. D. Manuel …</t>
  </si>
  <si>
    <t>Carrera, Juan</t>
  </si>
  <si>
    <t>Juan Carrera</t>
  </si>
  <si>
    <t>1099</t>
  </si>
  <si>
    <t>-JBrunet de Gnardiola 3 de Setiembre. — Esta mañana con 400 bornbresdel somaten, y de acuerda coi D. Domingo Darnís que mandaba ISO de los de Vich, y D. Juan Carrera , que manda una partida patriótica de 94 hom­ bres , atacamos com vigor á los enemigos en el fuerte di Sía. Cecilia, Roca-foradada, Puigfarran y demas puntos de …</t>
  </si>
  <si>
    <t>Carreras, Francisco</t>
  </si>
  <si>
    <t>Francisco Carreras</t>
  </si>
  <si>
    <t>o Esiaracbe , 60. D. Domingo íJarcia , 45 y 3 rs. D. Francisco Grana, 52 y 2 D. Pedro "Rumen , 183 y 3. D. Ignacio Tubores , 30. D. Juan. Rosoli, 40. D. Francisco Carreras, 256 y 4. D, José Xavier de Aranzarnendi , 203 y 6. D. José Geipi , 38. D. Juan Soler, 30. Francisco Aguerra,# 80. D. Andrés Gonza’ez , 40. D. Juan-Mayvnó …</t>
  </si>
  <si>
    <t>Carreras, Juan</t>
  </si>
  <si>
    <t>Juan Carreras</t>
  </si>
  <si>
    <t>r ha habido un ti­ roteo sumamente vivo en las inmediaciones dé la Roca-foradada en la montaña de Monserrate, entre los enemigos y la gente que manda D. Juan Carreras, auxiliada por los somatenes, de cuyas resultas tuvieron aquellos que retirarse hasta los parapetos que tienen en la carretera de Cása-Masana, con pérdida de 23…</t>
  </si>
  <si>
    <t>Carrillo, Jjsc</t>
  </si>
  <si>
    <t>Jjsc Carrillo</t>
  </si>
  <si>
    <t>n el se­ gundo dñ Asturias , ia comandancia del tercer batallón á D. Marce­ lino Calderón : en ei tercero también de A eludas, la tenencia coroneta á D. Jjsc Carrillo y la coman dar: ele. d D. Manuel Gaminde : en el de Tuy , oi empleo de coronel á D. Joaquín Abren, la tenencia coronela i D. Luis Quintero y la sargentía mayor …</t>
  </si>
  <si>
    <t>Carrillo, José</t>
  </si>
  <si>
    <t>José Carrillo</t>
  </si>
  <si>
    <t>cisco José Calejo, 13. Id , D. Julián León, 12. La coniniiil de i i líos y de su ant» , 2 id. E' aU cal le mtyor D. José - Santos-', 13. E! del anexo D José Carrillo , 12 El recaudador de tributos D. Luis de Onmoo ha entregado 1)9pesos y ofre­ ce dar en fin de aña otros 109. D Francisco Borja Aimurza, 12. Di­ ña Bartolina Mon…</t>
  </si>
  <si>
    <t>Carsi, Pascual</t>
  </si>
  <si>
    <t>Pascual Carsi</t>
  </si>
  <si>
    <t>BOLSA. Segundo batallón. OTA. X O DE ACOSTO DE l8ll. D. Francisco Sánchez Mondragon , subteniente, i teniente de la tercera compañía, en reemplazo de D. Pascual Carsi. Curso de ios cambios. D. J ¡ime Rostan, subteniente, i teniente de 30 ds. 6 0 ds. 90 ds. la sexta compañía, en la vacante de D. Antonio Fueotes; París.........…</t>
  </si>
  <si>
    <t>Carteret</t>
  </si>
  <si>
    <t>e coa 7 pramas, cada una de 12 cañones de 24 y 120 hombres de tripulación, atacase i la fragata inglesa Na yade, que estaba fon­ deada á la vista. Su capitán Carteret, deseoso de llegar á las manos, no quiso levar anclas, porque el viento y la marea conspiraban á separarlo de la costa, y hubieran imposibilitado el combate. As…</t>
  </si>
  <si>
    <t>Carvajal</t>
  </si>
  <si>
    <t>a de gloria: pero el enemigo :se ha retirado inopinada­ mente hacia Daroca, y los nuestros: vuelven á ocupar la posición de Alfambra. - .. Partes del general Carvajal a la junta de Aragón. “ Excmo. Sr.: Desde que los enemigos se retiraron de Teruel con.duciendo la artillería , de que se apoderaron en Alv'entosa , ,dispuse la …</t>
  </si>
  <si>
    <t>in, segun parece, cleapoderar.se de los acopios de víveres que tiene liechos por aque­ lla parte el enemigo. Siguen los documentos que ha remitido el general Carvajal, relativos á la' acción de Villel y al juramento de Jideüdad á las Cortes prestado por sus tropas. num. 1. Parte del general Villacampa. ¿íA las 10 de la noche …</t>
  </si>
  <si>
    <t>hablan sido colocados te, gefe del estado mayor generalasSaint-Cir Nu-4® hombres formados en escalones. El general de __ __ *• ingenieros Cabrera, el general Carvajal, con Mar­ có ¿el Pont, y muchos generales y oficiales, -perma­ AVISO. necían en el Cuervo con la esperanza de reunir aut meras levas , dispersas desde 31 de oct…</t>
  </si>
  <si>
    <t>Carvajal, Ciríaco</t>
  </si>
  <si>
    <t>Ciríaco Carvajal</t>
  </si>
  <si>
    <t>or y oficiales de esta administración general de correos , 300. Don José Sentestillana , 00, D. Bernardo Martin , U)b. D. Pascual Gulez y T i n, 820. D. Ciríaco Carvajal, 1000. D. José María de Roxas, 120 D Gerón mo Diego Sánchez , 20. D. Julián Sandalio Aguado , 20 D. Baltasar Martin?., de Ari/a, 60. D. Segundo García Cid, 1…</t>
  </si>
  <si>
    <t>Carvajal, Josef</t>
  </si>
  <si>
    <t>Josef Carvajal</t>
  </si>
  <si>
    <t>món de los Re&gt;es. tos titulada la Crueldad y sinrazón la vence auxilio y D. Francisco Aritonio Rot. valor, Magencio y Constantino, adornada con todas D. Josef Carvajal. sus decoraciones nuevas: se bailará'el bolero; y se dará Tenientes. fin con el sainete el Hambriento de noche buena. Se D. Josef Molina. cobrará de subida. EN…</t>
  </si>
  <si>
    <t>Carvallo, Francisco</t>
  </si>
  <si>
    <t>Francisco Carvallo</t>
  </si>
  <si>
    <t>icios sus pasados quilidad del pais. Los pocos que seguían al Fraile , no yerros. habiéndose atraiddo á entrar qn Cazalla, donde fue co­ El caballero D. Francisco Carvallo, maestrante do gido á fuerza de armas, se han dispersado después de Ronda, y vecino de Tocina, merece lo* mayores ele­ su prisión, libertando esta á los pa…</t>
  </si>
  <si>
    <t>Cas</t>
  </si>
  <si>
    <t>498</t>
  </si>
  <si>
    <t>a de nuestras lí­ des tu rz is desde el momento de su llegada. neas de Santi Petri, y su retaguardia estaba sobre ,, El 5 4 l.,« tres de la mañana el general Cas- una altura cerca de la orilla del mar, á cosa de una sagne me avisó que el enemigo habia evacuado á Ca- legua de nuestras líneas, quando yo salí por el S..S vh Es, …</t>
  </si>
  <si>
    <t>Cas, Fh José</t>
  </si>
  <si>
    <t>Fh José Cas</t>
  </si>
  <si>
    <t>fantería de A u son a, 300 vomb¿‘cs del de Pal­ ma, bata don de casad o-tís de Catalana y nra- 200 c&amp;baltas, habien­ do" r?:uy de antemano enviado al coronel Fh José Cas*-s, para oue con su batallón de tiradores y regimiento de Léate.* znanresn* os, faldean• do la montaña, ocupare el paso ds*i vd‘e de Qan’cd . y flanquease la…</t>
  </si>
  <si>
    <t>Cas, Francisco Josef</t>
  </si>
  <si>
    <t>Francisco Josef Cas</t>
  </si>
  <si>
    <t>encio Se prohibe por dicha orden pescar de noche, y González, del mismo órden. que los pescadores se alejea de dia á mas de dos Para la de Castaras á.D. Francisco Josef Cas­ millas de la costa. (Monitor de las Dos-Skilias.) tillo, del mismo órden. Para la de Murtas y Mecina de Jedel á Don IMPERIO FRANCES. Manuel Bueno , ex-ag…</t>
  </si>
  <si>
    <t>Cas, Francisco Paula</t>
  </si>
  <si>
    <t>Francisco Paula Cas</t>
  </si>
  <si>
    <t>ses vino Blake eon un exército el mas luci­ briso, ex-franciscano descalzo. do que ha pisado el Ar*goa. ¿Quién no diría que P.tra la de Iiisiiücioo á D. Francisco Paula Cas- cifrándose en éi toda la esperanza de los necios con­ treño, ex basilio. dados, cayendo él, hab:ao de caer de sus castillos, Para la de Rsgol á D. Josef …</t>
  </si>
  <si>
    <t>Cas, Manuel</t>
  </si>
  <si>
    <t>Manuel Cas</t>
  </si>
  <si>
    <t>n de tiradores de Badajoz les empleos de comandante y sargento mayor .*&gt;: D. José Díaz Buscones y i). Rodrigo Bernaudez; compañías á í)Friipe Escrio, D. Manuel Cas2.jus,ü. Juan Chaca, D. Cris­ tóbal de B ;ña,-D. Carlos Arias y D. Alexandro Patison; las ayudauitía3 primera y segunda á D. Francisco Trespalacios y Don Joaquín O'…</t>
  </si>
  <si>
    <t>Cas, Miguel</t>
  </si>
  <si>
    <t>Miguel Cas</t>
  </si>
  <si>
    <t>ói6 mero to, manz. 189.......... 73* 5840 vento de Santo Domingo, Otta, calle ancha del Perchel, arrendada á D. Miguel Cas­ núm. 21 , m tnz. 203.......... 1095 8760 talio............................. . 144° II 5 20 Otra , calle Nueva, núm. 9, Otra , contigua á la anterior, manz. .................................. 36</t>
  </si>
  <si>
    <t>Casa, Angel</t>
  </si>
  <si>
    <t>Angel Casa</t>
  </si>
  <si>
    <t>ra, como todos los demas ; ai teniente de navio D. Rafael Lu­ na , que se distinguió también en las partidas avanzadas , á loa capi­ tanes ele Toluca D. Angel Casa val y D. Joaquín Mondragon; al ayu­ dante D. Joaquín Loaiza ; á I03 tenientes D. Francisco A cal, D. Jo­ sé de Tejada, D. Luis Aguirre y D. Joaquín Suarez, ytá los…</t>
  </si>
  <si>
    <t>Casa-mayor, Pedro</t>
  </si>
  <si>
    <t>Pedro Casa-mayor</t>
  </si>
  <si>
    <t>la comandancia general de Panamá. Partido de la villa de los Santos. Fr. Francisco Vidal , cura interino, 10'). D. Isidro Conde , teniente cura , 15¿ D. Pedro Casa-mayor , sacristán n.avor , 2o. D. Gerardo de Casas , id menor , 15. E! presbítero O. .Manuel ViU dáz, \0.~—Jurisdicción de Parita. D. José Santos del Bosque , vica…</t>
  </si>
  <si>
    <t>Casado, Tomas</t>
  </si>
  <si>
    <t>Tomas Casado</t>
  </si>
  <si>
    <t>o Lope/. Quintana, 20. D. Bernardo Gome , 20. D. Antonio Muño/. , 20. El señor marques viudo de las Hormazas , 2000. D. Francisco Demande Mputañs, 40 D. Tomas Casado , 20. D. José .María I’aniagua, 20. D. Loren o Ci-neros y Toledo , 0‘*&gt;. D. Nicolás Hernández, 60. X). Agustín Maestre, 40; D. Ignacio Salazar , i60. D. Aivrel J…</t>
  </si>
  <si>
    <t>Casado, Vicante</t>
  </si>
  <si>
    <t>Vicante Casado</t>
  </si>
  <si>
    <t>rcía, D. José Gil Malfeito y D. José Muñiz; subtenencia de bandera á D. Francisco Zívihí-ano.- En el regimiento ds iafa*vAria da Zamora ; compañías é D. Vicante Casado, D. Horm'jnegiido- Mancebo y D, Antonio Marga­ do; ayudantía á D D o Asió de Arce ; tenencias á D. José Viiiaroel, D. José de los Jtav'js, D. Francisco Puebla,…</t>
  </si>
  <si>
    <t>Casales, Pedro Pascual</t>
  </si>
  <si>
    <t>Pedro Pascual Casales</t>
  </si>
  <si>
    <t>uenaventura Macia ; ios de ayudante á D. Francisco Lacón y D. Andrés Linda; los de capitán segundo ¿ D. Rafael OJeriz, D. Tomas Sacz, D. Juan Dañoso, D. Pedro Pascual Casales, D. Romualdo Cortazar y D. José Alguacil Car­ rasco; los de teniente á D. Ramón Herveila, D. José de las Hera?, D. AN’xandro Rab’ej, D. Celestino' Cuell…</t>
  </si>
  <si>
    <t>Casano, Juan Serra</t>
  </si>
  <si>
    <t>Juan Serra Casano</t>
  </si>
  <si>
    <t>esentaron ;» Emperador las au­ El Sr. D. A eustin De pres.............................. 2,0 toridades civiles y militares , y S. M. estuvo ha­ El Sr. D. Juan Serra Casano......................... 100 blando con los miembros de la cámara de comer­ El Sr. D. Carlos Colon» y el Sr D. Mar­ cio mas de media hora como un padre eame…</t>
  </si>
  <si>
    <t>Casanova, Francisco Pedro</t>
  </si>
  <si>
    <t>Francisco Pedro Casanova</t>
  </si>
  <si>
    <t>promoción de D. Antonio Rubio al'%^. Luis, at presbítero* ex-mercenario calzado D/^Mcent# Gil. Para el de Montillana , vacante por renuncia de xvrso. D. Francisco Pedro Casanova, al diácono D. Jo­ En virtud de real decreto de S. M. se venden las sef Sánchez ‘Barrionuevo. tierras sitas en término de Vallecas, que son las sigui…</t>
  </si>
  <si>
    <t>Casanova, Melchor</t>
  </si>
  <si>
    <t>Melchor Casanova</t>
  </si>
  <si>
    <t>de Daifontes, vacante por ascenso de Para el de Bagal, vacante por muerte de Don D. Vicente del Castillo al de Iznalloz, al presbí­ Juan de Murcia, á D. Melchor Casanova,'cura tero D. Josef García Escobar. de Jayena. Para el del Fondon, vacante por muerte de Para el de Soportnjar, vacante por renuncia D. Francisco Carmona , á…</t>
  </si>
  <si>
    <t>Casarubios, Miguel García</t>
  </si>
  <si>
    <t>Miguel García Casarubios</t>
  </si>
  <si>
    <t>l Rio, provincia de Córdoba, residente en Toledo, residente en su pueblo, por................... 2200 Toledo hasta que pueda trasladarse á su pueblo, D. Miguel García Casarubios, natural de Lillo, por.................................. ........ ..................... ..... 2 200 provincia de Toledo, residente en su pueblo, por …</t>
  </si>
  <si>
    <t>Casas</t>
  </si>
  <si>
    <t>o lo arrolló, asegurando la presa que cons­ ta da 150 muías cargadas de harina, 700 cabeos de ganado y otros efectos. Ss ha distinguido nuevamente el coronel Casas, una parte del regimiento de húsares de Cataluña á las órdenes del espitan D. Jcaquin Ilerran, los Leales manresanos y ®. Antonio Rodé3, sub­ teniente del minino r…</t>
  </si>
  <si>
    <t>pocos caballos y un canon de n 4 ; inmediatamente envié contrae jilos al coronel de húsares de Cataluña con iodo sn re­ gimiento , 40 coraceros y el coronel Casas con 250 infantes: l*s al­ canzaran, , formaron en maca, y nuestra caballería no pudo es.trsr. A su paso poi 'Tárrega se.les agregó el destacamento que tenían allí. …</t>
  </si>
  <si>
    <t>H%6 do este emprendió su retirada hácia Líivlá , sin que tuviese lugar el coronel Casas de concluir sú movimiento, por haber perdido el eamino con la obscuridad de la noche. Con todo los he perseguido hasta Cod de Rigat, y el teniente coronel D. José Manso, i qsien destaqué por el paso de Sareíxa con p</t>
  </si>
  <si>
    <t>Casas, José</t>
  </si>
  <si>
    <t>José Casas</t>
  </si>
  <si>
    <t>e, mandé toma1' posición á cubierto de sus fuegos, eosteniendo ai mismo tiempo k las gasrri las y cazadores, que á las ór­ denes dú arrsjidó coré a«l D. José Casas , estaban en el pueblo, re­ cogiendo los Laoeeaes que se habían podido librar del primer furor de nuestras ¿ropas , fusiles, caballos y I03 equipages de I03 oficia…</t>
  </si>
  <si>
    <t>Casas, Josef</t>
  </si>
  <si>
    <t>Josef Casas</t>
  </si>
  <si>
    <t>ano Fernandez del Canto, «obteniente, á plazo de D Juan Antonio Bracjos. teniente de la sexta compañía. art. v. En el batallón de la ciudad de Avila. D. Josef Casas, sargento primero, á subteniente D. Julián Estéban Secilia, ayudante mayor, á co­ de la segunda compañía. mandante en la vacante de D. Manuel de Lara. D. JoaquiQ …</t>
  </si>
  <si>
    <t>Casas, Pedio</t>
  </si>
  <si>
    <t>Pedio Casas</t>
  </si>
  <si>
    <t>1385</t>
  </si>
  <si>
    <t>que fueron ¿«simados al trabajo. — Nuestra pérdida cor sitie en 5 muertos, entre clics 2 artilleros, é igual maneto de heridos, siéndolo el teniente D. Pedio Casas, hermano del coronel, y el capellán del primer batallón do Ausona D. Francisco Elias, qne le fueron por su sobrado arrojo. — D os guarde á V. S. muohcn años. Cervt…</t>
  </si>
  <si>
    <t>Caseros, Francisco</t>
  </si>
  <si>
    <t>Francisco Caseros</t>
  </si>
  <si>
    <t>s del mencionado regimiento de Saboya. Igualmente se distinguieron , y recomiendo los subtenientes de granaderos provin­ ciales de Castilla la niieva D. Francisco Caseros , y D. Segundo Maldorado , quienes fueron de guerrilla á las órdenes de D. José Dar­ quines, y todós los individuos que expresan las adjuntas relaciones;</t>
  </si>
  <si>
    <t>Casi, Francisco Xavier</t>
  </si>
  <si>
    <t>Francisco Xavier Casi</t>
  </si>
  <si>
    <t>ibe al gobernador y al prefecto de Salamanca que José B*maparte vendrá á España en todo julio con 60900 hombres. ARTICULO DE OFICIO. * El Exorno. Sr. D. Francisco Xavier Casi i, ríos álce con fecha de 20 de julio lo que sigile: “ Excmo. Sr. — E-brigadier D. Pablo Morillo , comandante de la columna móvil del quinto exérciio , …</t>
  </si>
  <si>
    <t>Casi, Juan Patarea y D</t>
  </si>
  <si>
    <t>Juan Patarea y D Casi</t>
  </si>
  <si>
    <t>CETA DE LA REGENCIA DE ESPAÑA E INDIAS DEL JUEVES S DE ENERO DÉ 1811. ESPAÑA. PARTIDAS PATRIOTICAS DE GUERRILLA. En la noche &lt;lcl 17 al IB de octubre D. Juan Patarea y D&gt; Casi­ miro Moraleja, plisaron el Tajo con sus partidas, de orden del corríandaide general interino de la provincia de Cuenca, y cerca de Yuncías á 4 leguas …</t>
  </si>
  <si>
    <t>Casianos</t>
  </si>
  <si>
    <t>563 amisn sin hacerle otro d.:%J : en ai?unas rr.1velones se habla alribuielo ■ quí ¡V! ■■Hb míeme esta circunstancia ai general Casianos, El gencred Bacaoadi. di (l ¿BE -i ' ’ f&gt; -f/í’. ^ i o * - t t, loi/ t’v.iíít/:»..fC/ tit- t, l l// (í -,V (r s: »^ ¡ .Los cuerpos de cara Jxcal han mantenido su antigua y merecida repuí ¡c</t>
  </si>
  <si>
    <t>Casilla, Francisco</t>
  </si>
  <si>
    <t>Francisco Casilla</t>
  </si>
  <si>
    <t>tían á Salamanca el fruto de sus rapiñas. En Valiadodd hay poca gente y nuestras guerrillas de patriotas que discurren por ios contornos, al mando de D. Francisco Casilla, les incomodan sobre manera $ ha llegado fel caso de aproximarse 12 lum­ bres solos al puente ms^or de aquella ciudad, y sacaron de la caxa del registro que…</t>
  </si>
  <si>
    <t>Casimiro, Juan</t>
  </si>
  <si>
    <t>Juan Casimiro</t>
  </si>
  <si>
    <t>duos, 38 y 4 rs.—Hacienda del Alamo. D. Ig­ nacio Elizondo, 200. D. Nicolás Elizondo, 25. D. Vicente de los San­ tos , 25. D. Santiago Fernandez, 12. D. Juan Casimiro, 10. D. José María de la Garza, 10. D. José María Elizondo, 20. Varios indivi­ duos, 15.— Villa del Saltillo. D. Francisco Antonio Farias , 50. Don Cristóbal Ro…</t>
  </si>
  <si>
    <t>Casis</t>
  </si>
  <si>
    <t>patrañas, y les dicen que van solo para guarnecer á Cádiz. —- En el puente de Toledo se clíó á les soldados en la urden del dia la noticia de que el general Casis ños había sido derrotado completamente. A pesar de todo es inexplicable la repugnancia con que marcha la tropa, y la oficialidad no disimula su disgusto.</t>
  </si>
  <si>
    <t>Casmova, José</t>
  </si>
  <si>
    <t>José Casmova</t>
  </si>
  <si>
    <t>tro q le ss halla, en Congosto, me dice lo si­ guiente: Habiendo dispuesto en 23 de febrero que el capitán de cazadores del regimimiehto de mi ct.rgo D. José Casmova, que se Italia avan­ zado con dos compañías y una partida de caballería de húsares de .Ga líela , saliese sobre eí '.pueblo de Montejos, lo ha verificado esi ten…</t>
  </si>
  <si>
    <t>Casquero</t>
  </si>
  <si>
    <t>nemigo. Ertos eran en número de 600 e? ballos for­ mados sn escalones en el camino real, en lugar de 200 que se había dicho; y hubo quien advirtió al coronel Casquero sería conveniente advenir estas circunstancias al conde, para que no ignorase la exhorbitante superioridad del enemigo j pero aquel bizarro gefe solo t ía Jas a…</t>
  </si>
  <si>
    <t>Casquero, Juan</t>
  </si>
  <si>
    <t>Juan Casquero</t>
  </si>
  <si>
    <t>chazáudolis ha ti el pueblo p?ro sin pasar el puente para no caer en alguna em­ boscada : el regimiento de caballería de Burbon al muido del erox.&lt;e! D. Juan Casquero debía sostener á los tiradores , y las columbas cubrían el camino de Zafra para tener,segura la retirada , á medida que las trepas de vanguardia arrojaban al en…</t>
  </si>
  <si>
    <t>Casquietar</t>
  </si>
  <si>
    <t>ado en do enviarme parte de sus fuerzas. Pedí al general la Isla. Sebastiani que maniobrase per Estepona para in­ „ Esta noticia, y la que me daba el general Casquietar al enemigo, y comprometerle si llegaba á sagne de que el enemigo no se dexabi ver por el exrcutar su movimiento contra mí; pero este cuer­ lado de Alcalá y de…</t>
  </si>
  <si>
    <t>Casr</t>
  </si>
  <si>
    <t>eón se le logasen tod.-s s-s proyectos , y así que debiamos someremos á sus dec et s (7). Con este morivo se alarmó ía junta y desterró al obispo, al general Casr ñas y a todos los individuos de li antigua Regencia , é hizo pren er á míichos de ios principales vecinos de Cá i z (8). El duque de B lnne, encargado con especiali…</t>
  </si>
  <si>
    <t>Casrriiloo, Ramón García</t>
  </si>
  <si>
    <t>Ramón García Casrriiloo</t>
  </si>
  <si>
    <t>f de Ulloa. D. Manuel García S¿nz, sargento primero, á D. Josef de Loque Beltran. subteniente de la quinra compañía. D. Francisco de P iula deVárga*. D. Ramón García Casrriiloo, sargento prime­ D. Joaquín Fernandez Tcxeiro. T ro, á subteniente de l„ sexta compañía. art. v. En la ciudad de Bujalsnce se aameu- / tara una compañ…</t>
  </si>
  <si>
    <t>Cassagne</t>
  </si>
  <si>
    <t>te dia. “La memorable acción del dia 5 de este mes ha cubierto de gloria al primer cuerpo del exército al mandó del Sr. mariscal duque de Beílune. El general Cassagne que estaba en Medina Sidonia tuvoórden de ha­ cer un reconocimiento sobre Conil. Al mismo tiempo el Sr. mariscal mandó al general VtUate que se adelantase, y al…</t>
  </si>
  <si>
    <t>.;i--5e por Arcos a Medina, y que se incorporase ,,Tomé mis disposiciones para sorprehender al enemigo en su marcha y frustrar sus esperanzas. con el general Cassagne. „ El 5 á las cinto de la mañana salieron los 10 ,,Un fuerte destacamento del exército obligó á un piquete del i.° de dragones á evacuar á Ve- batallones de la …</t>
  </si>
  <si>
    <t>ado coo la izquierda de l«s españoles, y á mi les y soldados todos han cumplido con sn deber. izquierda al general Ruffin, que ocupaba la altu­ ,, El general Cassagne y !»¡ guarnición de Me­ ra; su izquierda estaba apoyada en el mar , y su dina no ¡legaron hasta dos horas después de con­ derecha distaba joo á 600 toesas del g…</t>
  </si>
  <si>
    <t>8a¿ dia:iunenre te reciben noticias de la destrucción Oro español contra plata............... , ti de alguim partidas: por el lado de Ronda el sefioi general Cassagne ha ganado acciones memora­ TEATROS, ble»; algunos pueblos dependientes de Cíórdoba han preso gran número de malhechores: las com­ En el del Príncipe , á las sie…</t>
  </si>
  <si>
    <t>Cassague</t>
  </si>
  <si>
    <t>to, se hizo á la ,,Los volteadores del 95.° se han llenado de vela, y se dirigió hacia Tarifa. gloria en este combate, y han manifestado la ma­ ,, El general Cassague, que guarnecía á Medi­ yor serenidad y el mayor denuedo. Han peleado na sidonia con tres batallones y el 5.* regimiento de baxo el luego continuo del fuerte de …</t>
  </si>
  <si>
    <t>Cassi</t>
  </si>
  <si>
    <t>Gaceta de Madrid n.º 68</t>
  </si>
  <si>
    <t>n morias par í la historia de las ciencias y del observato­ todavía durmiendo. Treinta y ocho de ellos han rio de Parts, acompañadas de la Vida de J. D. Cassi­ sido muertos, entre estos dos oficiales. El gefe ha ni. escrita por él mismo, y de los Elogios de Mrs. Maraldi, Saron y Legentil, astrónomos de la peademia de sido con…</t>
  </si>
  <si>
    <t>Casta, Felipe</t>
  </si>
  <si>
    <t>Felipe Casta</t>
  </si>
  <si>
    <t>la caballería, que sacó 3 heridas, dos de ellas graves en la cab za, y perdió el caballo que ie mataron de una lanzada; el alfé­ rez del mismo cuerpo D. Felipe Casta a ón; ei ca pitan de Puebla Don Francisco Guízarnokgui, de 60 años de edad, que hervía de una bala de cañón en el taion derecho, no quiso r tirarse tetéta que ¿i…</t>
  </si>
  <si>
    <t>Castañ</t>
  </si>
  <si>
    <t>81</t>
  </si>
  <si>
    <t>pe de Orange, á quien se aguarda desde el exército ingles de Portugal. Según lat últimas noticias de Extremadura , lord Wellington dió un banquete ai general Castañ s 1 19 le jubo en memoria del triun­ fo de Baylen: y el general Castaños -se ■p*,oprvria celebrar el 2S el -arriversr rio de Talayera en compañía. de lord Wblling…</t>
  </si>
  <si>
    <t>Castañas, Francisco Xavier</t>
  </si>
  <si>
    <t>Francisco Xavier Castañas</t>
  </si>
  <si>
    <t>1218</t>
  </si>
  <si>
    <t>y herido». — Nuestro Señor guarde la preciosa vida de V. JS. muchos año?. Lumbrales y octubre 16 de 1 SI 1.— Exornó. Sr. — Cárhs Espana.— Excmo. Sr. D. Francisco Xavier Castañas.— P. D. Eí ge­ neral Rtgnajilt os. general de brigada, ba-oa del imperio, caballe­ ro de ia cotona de hierxo, de la orden del mérito militar ce VYurt…</t>
  </si>
  <si>
    <t>Castañe, Marcos Fernandez</t>
  </si>
  <si>
    <t>Marcos Fernandez Castañe</t>
  </si>
  <si>
    <t>vero , id., 3. D. Geróni­ mo José de Aguiar, oficial de libros, 1. D. Tomas Ruiz Solana , sobrestante segundo, 3. D. Rafael Rensoli, id, tercero , 1. D. Marcos Fernandez Castañe­ da, id. cuarto y fiel de peso, J y 4 rs. D. Gabriel de Lamas Pardo, agrega­ do, 1 • D. Sebastian de Rives y Noriega , capellán de la factoría, 8 y 2…</t>
  </si>
  <si>
    <t>Castañeda, Antonio</t>
  </si>
  <si>
    <t>Antonio Castañeda</t>
  </si>
  <si>
    <t>Gazeta de la Regencia de España e Indias n.º 121</t>
  </si>
  <si>
    <t>991</t>
  </si>
  <si>
    <t>denes de !d$ tenientes coroneles D. Francisco Freyre y D. Auíon;o de Roxasyllevando de reserva la división exifem?:ña, mandada por m sar­ gento mayor D. Antonio Castañeda : en vañgüefdte' fn^rchsbim kís tiradores mandados por el coronel D. Jann de Soto ? y ei conde de Pehkie se puso á la cabeta db é¿ta trépa, pattipoder jh^g:…</t>
  </si>
  <si>
    <t>Castañeda, Joaquín</t>
  </si>
  <si>
    <t>Joaquín Castañeda</t>
  </si>
  <si>
    <t>baton, D. Andrés Pelayo, D. Martin Cariaga, D. Ramón Rienda, E). Joaquín Frayle, O. Manuel del Rio, D. Juan Peña; y ásus ayudances D. Joaquín Castañeda, D. Narciso Salinas, D. Tomas Bermado, D. Francisco Pacheco, y al cabo de voluntarios D. Juan Valdes. El enemigo tuvo de pérdida un gran número de muertos y heridos y 300 pris…</t>
  </si>
  <si>
    <t>Castañeda, José</t>
  </si>
  <si>
    <t>José Castañeda</t>
  </si>
  <si>
    <t>or D. Angel Reyes, 25. El re­ caudador de reales tributos. D. Mariano Pimentel por sí y por su tía Doña Cristina,Salís , 2-5. -r- Suriti, El cura Dr. D. José Castañeda, como vecino principal, ademas de io que ha dado por mino de su prelado, SL El presbítero D. Antonio Castañeda., ademas de lo que ha dado id. , 30. La fcqmuúul…</t>
  </si>
  <si>
    <t>Castañeda, Josef</t>
  </si>
  <si>
    <t>Josef Castañeda</t>
  </si>
  <si>
    <t>individuos si­ qne se anuncia que los señores Perceval y Yorcke guientes : tuvieron con S. M. úna conferencia que duró mas Capitanes. de una hora,, t D. Josef Castañeda. yyindsor 4 ae febrero. Mr. Perceval, acom­ D. Josef Caro. pañado de Mr. Yorcke , se presentó esta mañana í D. Sebastian Lequerica. cosa de las 11 en el quart…</t>
  </si>
  <si>
    <t>Castañeda, Juan</t>
  </si>
  <si>
    <t>Juan Castañeda</t>
  </si>
  <si>
    <t>spués de esta conferencia se haa Subtenientes. puesto los dos en camioo para Lisboa.'* D. Víctor Fernandez. De algún tiempo á esta parte apenas había D. Juan Castañeda. habido variación en el precio de las acciones del D. Josef Hidalgo Avellaneda. banco ; pero ayer subieron repentinamente un 9 art. ni. En la villa de Fuentes …</t>
  </si>
  <si>
    <t>Castañen</t>
  </si>
  <si>
    <t>ón este joven héroe murió i peces dias. Se han recibido cartas de Moa de principios de mayo : refieren que había llegado i aquel pueblo un pliego del brigadier Castañen, en que decía bab- r sabido con sus tropas para Tama, y que al pasar por S. Pedro de B^ñal le salieron 600 franceses que venían de León, Bunavente y Mansilia …</t>
  </si>
  <si>
    <t>Castañete, Santiago</t>
  </si>
  <si>
    <t>Santiago Castañete</t>
  </si>
  <si>
    <t>,'500. D. Juan Vaidés 400. D. Fiaticúsco Jert.'s , 200. I). Miguel Mateu, 2000 D. José Balboa, 40. D. José Puyade , 100. D. Tomas SoW y Molins , 100. D. Santiago Castañete», 500. D. Pedro Raynaud , 400. D. Esteban Gas'taca y sobrino Vadillo , 300. I). Jorge Montañés. 500. D. Antonio Suris, 200. í&gt;..Domingo Gual, 500. DrAntoni…</t>
  </si>
  <si>
    <t>Castaño</t>
  </si>
  <si>
    <t>general en Castelobranc®, y acuden allí algunas divisiones. Los franceses ocupan á Piaseneia, Csría, y toda aquella parte de la dsredia del Tajo. El general Castaño? está en Valencia de Alcántara, y el general Morillo cu Cáceles con 2 í 3000 infantes y 900 caballos. José -Socaparte llegó á Madrid el 15 del pasado. ARTICULO DE…</t>
  </si>
  <si>
    <t>al general Semelé para que envíe tropas á marchas debí ¿- G/anada. Habían nicho ios franceses afic se habían hecho 500 pasione­ ro» del txércijo del general Castaño*: pero se hau reducido á 47, que han Legado hoy , inclusos 3 oficiales y un cadete. Scralt ha di ho que va &amp; salir para hacer naa visita á B Iksteros y acabar con…</t>
  </si>
  <si>
    <t>Castaño, Antonio</t>
  </si>
  <si>
    <t>Antonio Castaño</t>
  </si>
  <si>
    <t>s rieming , 200. D. José Fray le Jarro , 12 0. Varios emigrados, 122. Un ma­ drileño , GO. D. Juan Antonio Llórente, 1000. D. Martin de Ujueta, 3tX). D. Antonio Castaño, 100. D. Juan Manuel de Gandasegui , &gt;000. I). Isidoro Sartorio , 300. Dos Sras. viudas, de Madrid , 200. D. J. R G. S., 32.». El administrador y oficiales de…</t>
  </si>
  <si>
    <t>Castañoa</t>
  </si>
  <si>
    <t>s masasr compuestas:-de las tres armas, emprendiéndose $csde luego un vivo tiroteo de tropas ligeras , sostenido por Ies de ía sec­ ción al mando del brigadier Castañoa y coronel Masca*eñis, que ocupaban respectivamente los indicados lugares. — Los enemigos hi­ cieron descender sus masas por su derecha í S. Román, permane­ ci…</t>
  </si>
  <si>
    <t>Castañon</t>
  </si>
  <si>
    <t>a comitiva, y se les cogió ua buen caballo. A Metaca le mataran ua cabe *-y le hicieron prisionero un soldado. El 2 de abril atacaron 2*as tropas del brigadier Castañon á las guarniciones de Ujo, Vi Hay ana y Segadera, que se encerraron-en sus fuertes. Murieron en esta ocasión 3 enemigos, y se les cogieron 2 ca­ ballos y algu…</t>
  </si>
  <si>
    <t>turias. A Ies 13 del dia han llegado á este cuartel general los regimientos de Zaragoza y Mondoñedo que formaban la reserva. En seguida ha entrado et brigadier Castañon con el resto de su división que formaba la izquierda de la línea, pues qus la restante se replegó sobre mi reserva, y los cuer­ pos que formaban la división d…</t>
  </si>
  <si>
    <t>Castañon, Federico</t>
  </si>
  <si>
    <t>Federico Castañon</t>
  </si>
  <si>
    <t>se su partida con pocas; por lo que le he dado unu carga. — Dios guarde á V. S. muchos años. Huyeres y- noviembre 25 de 1810,— Francisco Berros.-—Sr. D. Federico Castañon.” Tarragona 6 de enero-tifa 181L El general en gefe interino de. es­ te, exército D. Miguel Iranzo ha recibido del brigadier D. Gervasio Gasea, comandante a…</t>
  </si>
  <si>
    <t>Castañon, Rodrigo</t>
  </si>
  <si>
    <t>Rodrigo Castañon</t>
  </si>
  <si>
    <t>e déla caballeril D. Bartolomé Amor, del comandante del batallón de Numantinos D. R+c nn Antentas, de mis dos ayudantes de campo D. 'Hilario Arnedo y D Rodrigo Castañon; y fioalmente del comisario de guerra interino D. Jóhé 'Z aválela y del; interventor. de la: real hacienda D. Anselmo FareZ de Galvez^ que siguieron:muy de ce…</t>
  </si>
  <si>
    <t>Castanoná</t>
  </si>
  <si>
    <t>840 h asares. --La sección del brigadier Castanoná cuerpo descubierto despreció el viro fuego de los enemigos parapetados, sin perder Un palmo de terreno después de haber tomado una posición avanzada — Los enemigos dexaron en nuestro poder algunos prisioneros, y tu­ vieron bastantes muertos y heridos: su pérdi</t>
  </si>
  <si>
    <t>Castaños</t>
  </si>
  <si>
    <t>os visto prisión alguna de estas que aquí se anuncian. De los individuos de la Regencia anterior, el Sr. Saavedra vive por elección suya en Ceuta; el general Castaños, nombrado general del quinto exército, salió á encargarse de su destino ; el obispo de Orense se pié el mes pasad &lt; a su diócesis; los dos restantes continúan h…</t>
  </si>
  <si>
    <t>s...... ,,Una hora antes de amanecer del 19 la caba­ ,, Esperaban de nn momento á otro en Badajoz lleril de reserva pasó el Gébora por un hado que al general Castaños, á quien la junta ha nombrado Libia reconocido mas abaxo de una ermita, y se para reemplazar á la Romana; pero es probable dirigió rápidamente al camino que va …</t>
  </si>
  <si>
    <t>l fuego de los enemigos, y que el conde de Penne recomienda, pidiendo un escudo de distinción para los quatro individuos, cuyo premio ha concedido el general Castaños. El conde de Penne ocupó á Mérida el dia 8, habiendo salido el 7 los enemigos. El excicito aliado se colocó el dia 9 entre Badajoz y OÜvencia. El 15 estaba el c…</t>
  </si>
  <si>
    <t>a y hacia Z fra y Lkrena, conservando el punto de Mérida la división de infantería al mando del brigadier Morillo. En tales circuns­ tancias tiene el general Castaños la satisfacción de ver en tan breves dias casi teda Extremadura libre de enemigos, pues apenas pisan una parte de su f onrera , con !a esperanza de la pronta te…</t>
  </si>
  <si>
    <t>El general Castaños salió antes de ayer de Villaviciosa ú establfcsr sn cuartel general en Valverde , cerca de Olivencia. Don Cirios España había llegado antes con algunos fusiles de Lisboa. Se ae'vi mucho la reunión de dispersos, y se asegura que en Mérida so’o se hn sacado 200 pertene</t>
  </si>
  <si>
    <t>tillería que viene marchando j y se asegura que el mariscal Bere¿ford ha re­ cibido 8® hombres de refuerzo. Este genera! estaba en Tala veril Ja , el general Castaños en Mérida, el conde de Peone en Zafra, y el briga­ dier Morillo á la derecha de! Guadiana j el general Bíake en Monas­ terio , y el general Ballesteros en Santa…</t>
  </si>
  <si>
    <t>544</t>
  </si>
  <si>
    <t>de un bote de lanza. D. Emeterio Velarde , ayudante de la división de Ballesteros está gravemente herido. Este general tuvo dos caballos muertos. Al general Castaños le rozó también el uniforme por el hombro una bala. Todos los gefes. oficiales y tropa se han conducido con el mayor valor y bravura. La memorable batalla de la …</t>
  </si>
  <si>
    <t>­ do una gran victoria que nos ofrece otros resultados de la mayor consecuencia.—.Dios guarde a,V- E, muchos años. Campo de h Albuhera &amp;c. Oficio del general Castaños d lord• TVcllington• Excmo. Sr. : La extraordinaria avenida del rio Guadiana que tantos perjuicios causó en aquellas circunstancias , me privó de la satisfacció…</t>
  </si>
  <si>
    <t>igo ho puede desmembrarse ni extenderse , se niegan á contribuir con raciones ó prenden, á ios que vem por ellas, como ya ha sucedido alguna vez.— El general Castaños tuvo el 25 una conferencia con el lord Wellisgton en ’Wlves. F $ lia antes se ha­ bia intimado *de nuevo la rendición n Badajoz , enviando alguno de les prision…</t>
  </si>
  <si>
    <t>596</t>
  </si>
  <si>
    <t>ría gruesa, y según escriben de allí, el lord Wellington iba á acamparse en Sta. Engracia, á poco mas de tiro de cañón del fuerte de S. Cristóbal. El general Castaños se traslada aquí mañana des­ de Valverde. Cádiz 3 de jimio. Antes de ayer llegaron de Inglaterra 13000 fu­ siles y todas las demas armas, efectos y útiles de to…</t>
  </si>
  <si>
    <t>a de la respuesta que me ha dado, así como de la carta que le he escrito con fecha de 13 del corriente. — En mi opinión nada puede ser mas honroso al general Castaños que este acto de desprendimiento, el cual espero sea apreciado debidamente por la Regencia , como lo es por mí. ~— Tengo el hono? Seo.— JVellington.— Al Sr. D. …</t>
  </si>
  <si>
    <t>según las órdenes que tenia, se había retirado á medida que el enemigo avanzaba, se reunió en Santa Marta con la caballería del general B-ake; la del general Castaños, al mando del conde de Penne Villemur , hrbia estado siempre con la britá­ nica.— Como nuestra posición en Valverde , aunque mas fuerte , dexaba libre la comuni…</t>
  </si>
  <si>
    <t>con las del general B’ake, las puso baxo sus órdenes, asistiendo en perrona á la batalla. No solo en esta sino en todas fas ocasiones, debo mucho al general Castaños, por la buena voluntad con que se anticipa á cohceder cuanto puede ser provechoso al bfien éxito de la causa común. — Aunque por desgracia no puedo indicar ios c…</t>
  </si>
  <si>
    <t>ciendo en lo sucesivo, atestigüe la sabido íi y benefi­ cencia del gobierno consolidado. en aquella memorable jornada. Dias pasados llegó á manos del general Castaños una carta del gobernador francés de Córdoba á Soult, ea que después de referir que había tomado en rehenes las justicias y otros vecinos d los pue­ bles ds Bvia…</t>
  </si>
  <si>
    <t>do poí una batería colocada á su frente. .Los ene­ migos tiran muy poco, y se conoce que quieren economizar las ma­ liciarles , que no les sebran. El general Castaños paco ayer á Yelve3 á coafererciar con el lord Wellingten, y hoy ha regresado i esto cuartel general.— Soult sigue con sus tropas en Llerena, Vilkgircía y Usagre…</t>
  </si>
  <si>
    <t>0© libras; y aunque en el ron de Xerez de los Caballeros á Barcarrota. Ei ma­ dia no se gastan menos sombreros que entonces, lo riscal Beresford y el general Castaños reconcen­ cierto es que en el año último no ha producido traron el dia 13 sus fuerzas en Valverde, donde mas que 29332 libras L&lt; cámara tendrá presente parece q…</t>
  </si>
  <si>
    <t>Según lat últimas noticias de Extremadura , lord Wellington dió un banquete ai general Castañ s 1 19 le jubo en memoria del triun­ fo de Baylen: y el general Castaños -se ■p*,oprvria celebrar el 2S el -arriversr rio de Talayera en compañía. de lord Wbllington* — Ei ge­ neral Marmont tenia su cuan: ' traerá! en N valmorai. Alg…</t>
  </si>
  <si>
    <t>s veces hemos tenido que apartat del general Blake es embarcar sus tropas para Cá­ la vista de tan triste qnadro; pero no por eso he­ diz; pero ni el general Castaños ni yo sabemos na­ mos cesado de combatir en favor de la verdad : he­ da de él desde el 18 de junio, en qoe salió de Jn- mos rasgado el velo con que la cubrían e…</t>
  </si>
  <si>
    <t>ííe su énifáda én el Tajo, donde ha construido ya algunas bate­ rías.; El cuartel general de Iftrd WeUingion continúa en Fuente* Guinaldo , y él del general Castaños en Valencia de Alcántara. Ei 14 del corrio.nte fondeó en este pueTto el bergantín español Catalina, procedente de Veracmz, con frutos y 254000 pesos fuertes;</t>
  </si>
  <si>
    <t>1123</t>
  </si>
  <si>
    <t>ynos de Andalucía contestan en los apuros do los gefes franceses para sostenerse y acudir á todas partes* Da Extremadura escriben que el exárcito del general Castaños ha­ bía hecho movimiento: que el brigadier Morillo se hallaba ó fines de agosto á 3 leguas de T ruxillo, y que empezaban lo» franceses á sa­ car de esta ciudad …</t>
  </si>
  <si>
    <t>ampo dtl principa Nuifehate!, que hecho prisionero por un i partida pa­ triótica con otros oficiales , encontró en el cuartel general del Exorno. Sr. general Castaños los recursos y consueles que hubiera podido desear en medio de les suyos : yo mismo podría ma^ifistar recibos de muchos que han sido igualmente socorridos , seg…</t>
  </si>
  <si>
    <t>Castaños, Fraocísco Xavier</t>
  </si>
  <si>
    <t>Fraocísco Xavier Castaños</t>
  </si>
  <si>
    <t>cuencias que el que intentaba evitar ; pues si gal , y que le sucede en el mando dtl quinto exér­ tenia por inverosímil el que un principe ó una cito D. Fraocísco Xavier Castaños. reina salieren para instruir al espectador á contar á sus confidentes cosas que ya debían saber , ó re­ Madrid 1.® de marzo. velarles secretos que …</t>
  </si>
  <si>
    <t>Castaños, Josef Cabello</t>
  </si>
  <si>
    <t>Josef Cabello Castaños</t>
  </si>
  <si>
    <t>anes. y de todas las personas que se hablan reunido en D. Juan Cabrera. su palacio. D. Juan Josef Ramírez. Luego que tomó asiento S. E. dio orden que D. Josef Cabello Castaños. se bendijesen las banderas, como lo hizo D. Fran­ D. Josef de lá Torre Montoro. cisco Arribas, arcediano de Burgos y capeilan de D. Francisco González…</t>
  </si>
  <si>
    <t>Castaños, Xavier</t>
  </si>
  <si>
    <t>Xavier Castaños</t>
  </si>
  <si>
    <t>6$ sé Martínez , diputado secretario. — José Aznares, diputado secre­ tario. — Sr. D. Xavier Castaños, Continúan los donativos de la provincia de Tejas. Segunda id. Capitán D. Juan Bautista Casas, 360. Teniente D. Miguel Angel de la Garza, 100. La tropa , 573.:—Tercera id. Capitán D. Pedro</t>
  </si>
  <si>
    <t>Castellá</t>
  </si>
  <si>
    <t>Gaceta de Madrid n.º 344</t>
  </si>
  <si>
    <t>ilán se ha visto la cima de Kinsmuchos habían muerto de frió, cansancio y ham­ ter Aar-Horn. bre. Por espacio de 4 dias no ha sido posibje ad­ Mr. el coronel Castellá pasó por Dijou el s-r° de quirir agua para el exército y su* agregados; se noviembre con 2 batallones de su regimiento. h.t pagano hasta piastra y media (30 rs.…</t>
  </si>
  <si>
    <t>Castellano, Gerónimo</t>
  </si>
  <si>
    <t>Gerónimo Castellano</t>
  </si>
  <si>
    <t>z y D. Manuel Aragón. D. Josef Ladrón. Admismo quedan nombrados para capitanes y D. Josef Cisneros. oficiales de las doce compañías, inclusos los que D. Gerónimo Castellano. lo estaban para el primer batallón, los individuo* siguientes: De la compañía de caballería. Capitanes. Capitán. D. Ignacio Argc te. D. b vderico mií. D.…</t>
  </si>
  <si>
    <t>Castellanos, Anastasio</t>
  </si>
  <si>
    <t>Anastasio Castellanos</t>
  </si>
  <si>
    <t>de dos soldados en un mes durante la guerra , 18. José Riera, ayudante gar­ zón del propio cuerpo, por dos meses de su oferta durante la guerra, 10. D. Anastasio Castellanos , habilitado del regimiento de infantería de la Habana por oferta de los gefes y oficiales de dicho cuerpo, *921. D. Ma­ teo Leal, escribano de la Villa …</t>
  </si>
  <si>
    <t>Castellanos, Antonio Ximenez</t>
  </si>
  <si>
    <t>Antonio Ximenez Castellanos</t>
  </si>
  <si>
    <t>e á continuación se expresan D. N ¡colas de Avila. los batallones y compañías de miliqia cívica que á D. Francisco de la Torre. cada uno se detallan. D. Antonio Ximenez Castellanos* art. u. Eo la ciudad de Córdoba se aumen­ tará un batallón, que con el ya formado, com­ Tenientes, pondrá un regimiento.__ D. Pedro Reqneoa. Nomb…</t>
  </si>
  <si>
    <t>Casteñon, Rafael</t>
  </si>
  <si>
    <t>Rafael Casteñon</t>
  </si>
  <si>
    <t>o de la caballería en los bosques contiguos á Sah.:gun, y colocando el pri­ mer batallen de la legión y una compañía cáitabra, al cargo del ca­ pitán D. Rafael Casteñon, á cubierto de las alturas; todo lo que quedé practicado en la noche del 27 de julio, con el fin de ver si presentando una pequeña partida solamente al amanec…</t>
  </si>
  <si>
    <t>Castilla, Rafael</t>
  </si>
  <si>
    <t>Rafael Castilla</t>
  </si>
  <si>
    <t>Martin , 20. D. José Mauricio Rodríguez, 12. D. Alexmidro del Campo, 12. D. Antonio Montero, 12. D. Juan Flota y compañía, 12 D. Antonio Guerra, 10. D. Rafael Castilla, 10. D. Gerónimo García, 10. D. Jacinto Perora, 10. D. José Pallan, 10. D. Juan Cabrera, 10. D. Juan Iriarte , 10. D. Agustín Costa, 10. D. Agustín Riera, 10. …</t>
  </si>
  <si>
    <t>Castillejo, Joaquin</t>
  </si>
  <si>
    <t>Joaquin Castillejo</t>
  </si>
  <si>
    <t>e 24! aranzadas en el tamenudos, compuesta de mismo partido del Carmo12 hazas, y en ellas 92 fa­ njl y Campillo: linda con negas de olivar arreglado, D. Joaquin Castillejo......... 1113..25 13364..25 y 5 fanegas de manchón, Una suerte de viña de 4CJ con sn casa de habitación. 3387 40644 aranzadas en el mismo par­ El lagar de …</t>
  </si>
  <si>
    <t>Castillo, Esteban</t>
  </si>
  <si>
    <t>Esteban Castillo</t>
  </si>
  <si>
    <t>o allí siempre un militar mente á los Sres. D. Francisco Espoz y Mina, D. Gre­ de algún carácter, que podría asegurar nuestras vidas gorio Guruchaga, D. Esteban Castillo, D. Hilario Pe­ en todo tiempo: asi pues, si puede ser, haga vmd. ven­ ralta, D. Andrés Berrueta, D. Juan Ignacio Noain, ga también este gefe , quien le pare…</t>
  </si>
  <si>
    <t>Castillo, Francisco</t>
  </si>
  <si>
    <t>Francisco Castillo</t>
  </si>
  <si>
    <t>e? j I?. Rodrigo Flores Picón: (esencias á D. Juan B *yona O. Mariano Caballé**, D. Pedro Alcántara GaÍindo, O. Juan Kamen González&gt; D. Miguel Marín, D. Francisco Castillo, Don Manuel Romeio, D. Pedro Fülol, D. Ignacio José Fo?n&amp;t, Don José María Laroza , D. Francisco Serrano, y D. Padtro Sen-ano; y subtenencias á D.- Francis…</t>
  </si>
  <si>
    <t>Castrcño, Josef María</t>
  </si>
  <si>
    <t>Josef María Castrcño</t>
  </si>
  <si>
    <t>Cas- cifrándose en éi toda la esperanza de los necios con­ treño, ex basilio. dados, cayendo él, hab:ao de caer de sus castillos, Para la de Rsgol á D. Josef María Castrcño, y reducirse á la razón? Pues uo fue asi, pues aun ex fraticiscauo descalzo. después que ie vieron completamente derrotado y Para la de Bayarcal á D. Fran…</t>
  </si>
  <si>
    <t>Castro, Diego</t>
  </si>
  <si>
    <t>Diego Castro</t>
  </si>
  <si>
    <t>los de ayudantes á D José A-abez y D. Jo é Fue­ llo ; los de capitán segundo á D. Francisco Sierra y D. José Guiña; les de teniente í D. José Biiosa, D. Diego Castro, I). Ignacio Rebo­ llo y D. Francisco Valles; los de subteniente á D. Gabriel Larín y D. Pedro Galan. ' CADIZ : EN LA IMPRENTA REAL.</t>
  </si>
  <si>
    <t>Castro, Dionisio</t>
  </si>
  <si>
    <t>Dionisio Castro</t>
  </si>
  <si>
    <t>: 2 folletos ta de ellas: rústica, á 7 rs. Se hallarán en la librería de la viuda do Capitanes. Quiioga , calle de las Carretas. 1 D. Rodrigo Moreno. D. Dionisio Castro. Tenientes. PLAZA DE MADRID. BOLSA. DIA 9 DE NOVIEMBRE HB l8ll. D. Juan Román Cerezo. D. Fernando Moreno. Subtenientes. Efectos públicos. D. Francisco Jurado …</t>
  </si>
  <si>
    <t>Castro, José</t>
  </si>
  <si>
    <t>José Castro</t>
  </si>
  <si>
    <t>individuos, 15. — Parras. Don Juan Tágíe, 50. Don Juan Nava, 25. Don Francisco Antonio Gutiérrez, 50. D. Juan Antonio Paez, 12. D. Pedro España, 10. D. José Castro, 1.0j Varios individuos, 61. — Nueva Bilbao. El subdelegado D. José Herrera, TOÓ.' D. Tomas Ramón de' Z avala,* 12. El cura D. Mariano Riaño , 25. Varios individuo…</t>
  </si>
  <si>
    <t>Catalina</t>
  </si>
  <si>
    <t>Gaceta de Madrid n.º 41</t>
  </si>
  <si>
    <t>se. numeroso en las inmediaciones de Felowa y otro Ayer se celebró el cumpleaños de S. A. I. la en Taslitepi. Hasta ahora no hai anuncio ninguno gran duquesa Catalina, y la fiesta de la órden de de que proyecten penetrar en lo ioterior de la santa Catalina. Las damas de la órden y otros mu­ Bulgaria. chos personages de distin…</t>
  </si>
  <si>
    <t>cnela alemana , y demuestra que esta para Ir á pasar alguno» alias eo Twer con su her­ se formó al mismo tiempo que la escuela italiana, mana ja gran duquesa Catalina. sin que deba nada á la imitación de aquella ; que so&lt;- las pinturas alemanas m s antiguas eftán visible­ GRAN DUCADO DE VARSOVIA. mente calcadas en las obras d…</t>
  </si>
  <si>
    <t>Catalina, Baltasar</t>
  </si>
  <si>
    <t>Baltasar Catalina</t>
  </si>
  <si>
    <t>acturas? de Cuenca, á D. Luis Arroyo , cura d - C^brejas. Para el de Inés, vac..me por muerte de D. Ju­ Caen 30 de octubre. lián Pablo V' Gandiano, á D. Baltasar Catalina, cura de l.&lt; Gadega. Una corbeta inglesa destacó el 20 de este mes Para ti de doto de S. Estiban, vacante por uno de sus botes coatra un pequeño barco f/anc…</t>
  </si>
  <si>
    <t>Catalina, Josef</t>
  </si>
  <si>
    <t>Josef Catalina</t>
  </si>
  <si>
    <t>ntes, Avecilla, Suarez y Alverá. Para la vicaría de Alcoba de la Torre, vacante En. el da * Cruz, á las quatro de la tarde, se eje­ 1 por renuncia de D. Josef Catalina &gt; á D. Juan An­ cutará la comedia en tres actos titulada el Gran Vantonio Corchon, ex-carmelita descalzo. dido :de :Ve|iecia ó el Hombre de tres caras; seguirá…</t>
  </si>
  <si>
    <t>Catatan, Manuel Estébaq</t>
  </si>
  <si>
    <t>Manuel Estébaq Catatan</t>
  </si>
  <si>
    <t>.......... 0220 D. Pedro Miranda....»......,............ 3M4 14 D. Juan de Gaona , como tutor de D. Bernardo Iriarte.............. ......... 35641 19 D. Manuel Estébaq Catatan...... I4883 22 D. Miguel Antonio Oquendo....... 4696 ¿4 D. Ignacio Martin Agudo.............. 10200 Doña Rafaela Ortiz de Rosas, mar­ D. Domingo de Ara…</t>
  </si>
  <si>
    <t>Catión, Sir Stnpleíon</t>
  </si>
  <si>
    <t>Sir Stnpleíon Catión</t>
  </si>
  <si>
    <t>o por su Izquierda, la división ligera que haba vuelto de las inmediaciones de Á buey da, fué enviada coa la caba­ llería, á las órdenes del teniente general Sir Stnpleíon Catión á apo­ yar aí mayor general liuuston. Por lo que toca á las divisiones prime­ ra y tercera hachan un movimiento hacia la derecha á lo largo de las a…</t>
  </si>
  <si>
    <t>Catnacho, Josef</t>
  </si>
  <si>
    <t>Josef Catnacho</t>
  </si>
  <si>
    <t>onzalo Díaz de Ribera.......... . 7 Doñ« Margarita Macarthi..................i: 397 1 9 10125 4 D. Mateo Gil de Sola......................... 44 IQ 1 D. Josef Catnacho............................... • 90 8| 4 Doña María Micaela Girard..............- l8l8 16 D. Sebastian Loche............................. - 15342 17 2 D. Josef…</t>
  </si>
  <si>
    <t>Cauzot</t>
  </si>
  <si>
    <t>Gaceta de Madrid n.º 97</t>
  </si>
  <si>
    <t>307</t>
  </si>
  <si>
    <t>uebradas huyendo de nuestra que nos dispense el favor de elevarlos hasta el «ro­ caballería. ño de nuestro augusto Monarca. Una colana mandada por el capitán Cauzot al­ ,,Somos con el mayor respeto de V. A. I. canzó el mismo día cerca de Lavajos á las guerri­ mui humildes , obedientes y fieles ser» ¡dores — Fir­ llas reunidas…</t>
  </si>
  <si>
    <t>Cavalleri, Bernardo</t>
  </si>
  <si>
    <t>Bernardo Cavalleri</t>
  </si>
  <si>
    <t>n Secilia, ayudante mayor, á co­ de la segunda compañía. mandante en la vacante de D. Manuel de Lara. D. JoaquiQ María Fernandez, sargento primero, á D. Bernardo Cavalleri á ayudante en reemplazo subteniente de la quarta compañía. de D. Julián Estéban Secilia. D. Alexandro Moya, «argento primero, á subte­ art. vi. En la milic…</t>
  </si>
  <si>
    <t>Cavannes, Juan Mtcuel</t>
  </si>
  <si>
    <t>Juan Mtcuel Cavannes</t>
  </si>
  <si>
    <t>compuesta de sugetos respetables , ca­ voluntad del pueblo, que hubo una conmoción yos nombres son: popular, y Veiasco se vio precisado á recurrir á D. Juan Mtcuel Cavannes. la fuerza militar. El capitán Caballero. A estas noticias podemos nosotros añadir Iai 5-J lian Manuel Gamarra. siguientes: Y sus secretarios son: R. P. F…</t>
  </si>
  <si>
    <t>Caxanovas, Jaime</t>
  </si>
  <si>
    <t>Jaime Caxanovas</t>
  </si>
  <si>
    <t>He-ros........• 8750 D. Mariano Herran....... ,,............... 930 33 D. Fernando Bernardo de Quiios. 12472 2 Doña María del Carmen Herran... 930 33 D. Jaime Caxanovas.......... ............* 3082 7 D. Francisco Fernandez.................. 7775 27 Doña Paulina Gil de Terreros....... 3904 D. Joaquín Josef de Ayanz y Doña Marí…</t>
  </si>
  <si>
    <t>Caya, Fernando</t>
  </si>
  <si>
    <t>Fernando Caya</t>
  </si>
  <si>
    <t>es, vacante por promoción de D.. Nicolás Pas­ Para el de Muriel Viejo, vacante por pro­ cual á una capéllañía de rnjrnero de la catedral de moción de D. Fernando Caya á ración de ia ca­ Osma, al ex-agustino D. Norberto Sebastian. tedral de Osma , á D. Joan Ramos Zarra, ex-car- Nuestro ministro de Negocios eclesiásticos melita…</t>
  </si>
  <si>
    <t>Cayetano</t>
  </si>
  <si>
    <t>cisco), comisario real en Extre­ sonas pidiendo la confirmación de sus títulos y madura. dignidades ¿ y oído nuestro consejo de Estado , he­ Torres ( D. Cayetano de), presidente de !a junta mos decretado y decretamos lo siguiente: criminal extraordinaria de Valladoiid. articulo 1. ,,Quedan confirmadas en sus res­ Villegas (D.…</t>
  </si>
  <si>
    <t>940</t>
  </si>
  <si>
    <t>s, de los cuales 9 fueron muertos y 8 heridos, y los restan­ tes han sido conducidos en el mismo dia á Caí bájales ; habiendo concunido á esta acción D. Cayetano E 3 canelón el de la legión de Castilla , con un corto destacamento del regimiento de Logroño, al Toando del capitán D. Pedro Celestino Fabro; las compañías de gra­ …</t>
  </si>
  <si>
    <t>... 1201 6 D. Ramun Fernandez de Quiroga. 2593 20 D. Félix Ugarte................. ............ 3301 3 D. Ildefonso Calbacho.................... 1088 D. Cayetano d» la Lana................ X978 33 La archicofradía del Santísimo Cris­ D. Antonio Cornide....................... to del Olvido y María Santísi­ D. Mariano Herran.-.…</t>
  </si>
  <si>
    <t>Cazarla, José María</t>
  </si>
  <si>
    <t>José María Cazarla</t>
  </si>
  <si>
    <t>Pascual del Castillo, D„ Antonio Elers, D. Melchor Moya, D. José Matras, D. Aarustin Scrra, D. Antonio Quircó, D. Cristóbal Alvaro, Don José Torreas, D. José María Cazarla, D. Vícente Crosal. D, Ma­ nuel Dorado, D. Francisco Colmenero, D. Juan B anco, D.. Miguel Albert, D. Antonio José Ranee, í). Joaquín Mateos, D Luis Ma­ ri…</t>
  </si>
  <si>
    <t>Cbari, José María</t>
  </si>
  <si>
    <t>José María Cbari</t>
  </si>
  <si>
    <t>Moreno , 30, D. Francisco Ximenez , teniente del batallón fixo , y comandante del desta­ camento de Chepo , en alhajas y dinero, 92 y 6 rs. y medio. D. José María Cbari , teniente del batallón fixo y comandante del destacamento de Penonorné , 100. D. Gabriel Guerrero , subteniente del regimiento de milicias blan­ cas discipli…</t>
  </si>
  <si>
    <t>Cbener</t>
  </si>
  <si>
    <t>Gaceta de Madrid n.º 284</t>
  </si>
  <si>
    <t>1175</t>
  </si>
  <si>
    <t>edad introducir víveres en Figneras, ni impedir que se murió de resultas de un ataque de perlesía. El rinda Tarragona, siendo nna plaza que puede ser doctor Cbener, sabedor de lo que la había ocurri­ socorrida por mar. ¿No hubiera sido mejor haber do, disecó el cadáver, y encontró nn globo osifi­ enviado á Tarragona el exérci…</t>
  </si>
  <si>
    <t>Cbn, Soult</t>
  </si>
  <si>
    <t>Soult Cbn</t>
  </si>
  <si>
    <t>riunfo, repartida tan abundantemente y con tal igualdad cine todos arrastran trofeos, y tftingáUó tiene que mendigar á sombra de laureles ágenos. El' mariscal Soult Cbn exercito algo inferior al nuestro en el número de su infantería , pero superior en caballería y artillería , no ese detuvo un momento en el ataque-'premeditad…</t>
  </si>
  <si>
    <t>Ce, Juan</t>
  </si>
  <si>
    <t>Juan Ce</t>
  </si>
  <si>
    <t>án del partido de ¿Vionagua, por el prest de un soldado en un mes, 9. El teniente coronel D. Luis Roca, comandante de! castillo de la Ca­ balla, 100. D. Juan Ce va! los, alguacil mayor de la capitanía general, por el. prest xle ua soldado en dos meses,l8. D. Ni colas fie la Cruz y D.Francisco Miraval, al,cuLes ordinarios de l…</t>
  </si>
  <si>
    <t>Ce, Migael</t>
  </si>
  <si>
    <t>Migael Ce</t>
  </si>
  <si>
    <t>Para la del Presidio y Beoecí ¿ D. Migael Ce- tro mases vino Blake eon un exército el mas luci­ briso, ex-franciscano descalzo. do que ha pisado el Ar*goa. ¿Quién no diría que P.tra la de Iiisiiücioo á D. Francisco Paula Cas- cifrándose en éi toda la esperanza de los necios con­ treño, ex b</t>
  </si>
  <si>
    <t>Cea</t>
  </si>
  <si>
    <t>966</t>
  </si>
  <si>
    <t>, se dirigió el general O. José Lirdizabal con la vanguardia en columna cefra­ da, á la sierra que se hallaba i mi derecha, protegiendo su marcha el brigadier Cea con su división de caballería, que se situó en !a falda de la-misma. La pegunda división de infantería al cargo del g. fe del estado- mayor D. ¿osé O Donnell ( por …</t>
  </si>
  <si>
    <t>Cebada, Pascual</t>
  </si>
  <si>
    <t>Pascual Cebada</t>
  </si>
  <si>
    <t>an Ayllon, 32. Doña Ana Rabel , viuda de Conturie , 100. D. Mateo Rodríguez Sánchez, 1215. i). Lorenzo Rodríguez, 4768. D. Sebastian Izquierdo , 500. D. Pascual Cebada , 704. D Juan Córd ido , 300. D. Felipe de....... 100. D. Juan Ferrari, 30 ). D. Nicolás María Carmena 1500. D. Angel González Viilauueva, 1000. Total , U,451.…</t>
  </si>
  <si>
    <t>Cebalios, Pedro</t>
  </si>
  <si>
    <t>Pedro Cebalios</t>
  </si>
  <si>
    <t>463</t>
  </si>
  <si>
    <t>án del regimiento de infantería de Ciudad-Real D. Juan Hiua go, al teniente del propio cuerpo D. Juan de la Calle; al cadete de la aca­ demia militar D. Pedro Cebalios, y al teniente de navio D. Santiago Ort’Z de Zarate, enmandante del cañonero núm. 17 &gt; heridos todos en la misma acción, el primero de gravedad y el segundo le…</t>
  </si>
  <si>
    <t>Cebollinoteniente, José Antonio</t>
  </si>
  <si>
    <t>José Antonio Cebollinoteniente</t>
  </si>
  <si>
    <t>do D. Francisco de la Cueba. Igualmente se ha servido nombrar coroneles de los regimientos de infantería de Almansa, Gerona, Ultonia y Femando Vil, á D. José Antonio Cebollinoteniente coronel del de Fernando VII: al coronel D. Julián de Estrada , teniente coronel del de Ilibernia; y por hallarse este prisionero de guerra, al …</t>
  </si>
  <si>
    <t>Cebrian, Andrés</t>
  </si>
  <si>
    <t>Andrés Cebrian</t>
  </si>
  <si>
    <t>y Para la primera de Dalias y Celin á D. Ma­ nuel García Vinüesa , ex-eartuxo. «como acabamos de ver que nuestro molino, trabajanPara la de Paterna á D. Andrés Cebrian , ex­ «do 8 horas por dia, levanta un peso de i9 libras á « 11 8 pies en un minuto, su efecto equivaldrá al trafranciscano descalzo. x bajo diario de 6 1 hambr…</t>
  </si>
  <si>
    <t>Ceca, Nicolás</t>
  </si>
  <si>
    <t>Nicolás Ceca</t>
  </si>
  <si>
    <t>osé de la Rosa , oficial primero de la tesorería, 2. D. Matias de Castro Palomino , oficial segundo, 1. D. Francisco Alvarez, reconocedor primero, 3. D. Nicolás Ceca, id. segundo , 3. D. José Hernández de Acosta , id. agregado , 1. D. Juan Remi, peón de confianza , 1. D. Félix ¡Sánchez, id, 1.1). Manuel Francisco de Aranguren…</t>
  </si>
  <si>
    <t>CecJcbum</t>
  </si>
  <si>
    <t>e número de los segundos por la mucha sangre que dearáron,?*' Cádiz 40 de febrero. Antes de ayer fondeó en este puerto el navio de guerra Implacable, capitán CecJcbum, procedente de Vera-</t>
  </si>
  <si>
    <t>Cédulas</t>
  </si>
  <si>
    <t>e los Cultos asistió también Efectos públicos. á las exfiquias. Vales reales..................................... . Se asegura qne deben acompañar al Emperador Cédulas hipotecarias............................... en su viage cinco ministros, que son el de Rela­ Certificaciones del tesoro público.. ciones exteriores, el de lo I…</t>
  </si>
  <si>
    <t>Cédulas, Antonio Parias</t>
  </si>
  <si>
    <t>Antonio Parias Cédulas</t>
  </si>
  <si>
    <t>ctos públicos. D. Luis de los Ríos queda nombrado capitin; Vales reales........................................ 9* P1D. Ignacio Iglesias teniente , y D. Antonio Parias Cédulas hipotecarias.......................... 94Í «**• subteniente. Certificaciones del tesoro público.... 7n ¡d. art. viii. En la villa de Almodovar del Rio …</t>
  </si>
  <si>
    <t>Cédulas, Dubourdieu</t>
  </si>
  <si>
    <t>Dubourdieu Cédulas</t>
  </si>
  <si>
    <t>Gaceta de Madrid n.º 123</t>
  </si>
  <si>
    <t>an perecido, y los Efectos públicos. ingleses una fragata y un navio. Vales reales............................... ...... pjl ,,Es indudable que si el capitán Dubourdieu Cédulas hipotecarias....................... 9¡:áá|n. hubiera querido esperar á que hubiese Llegado su Certificaciones del tesoro público 78 i división, este d…</t>
  </si>
  <si>
    <t>Cédulas, Vicente de En</t>
  </si>
  <si>
    <t>Vicente de En Cédulas</t>
  </si>
  <si>
    <t>uiz de Mendoza. Subprefecto de ia subprefectura de Sigiienza, Vales reales.... .................................... 9° i prefectura de Guadalaxara, á D. Vicente de En- Cédulas hipotecarias........................... 94Í detiz. Certificaciones del tesoro público..... 79Í Subprefecto de la subprefectura de Huete , en Oro españo…</t>
  </si>
  <si>
    <t>Cejaibo, José María</t>
  </si>
  <si>
    <t>José María Cejaibo</t>
  </si>
  <si>
    <t>a'go y D. José Soldes, y al ayudante D. Valentín Alegre; ayudan tí i al teniente D Joaquín Henriquez ; tenencias í los subtenientes D. J *só Fierra , D. José María Cejaibo, D. José Márquez y D. P dro Bi­ en; y subtenencias á los sargentos primeros D. Jo é M up y Doa Jorge García, y á los cadetes D. Manuel Aranda, D. Pedro Lil…</t>
  </si>
  <si>
    <t>Celborne</t>
  </si>
  <si>
    <t>601</t>
  </si>
  <si>
    <t>ía española (la única que hubo en el campo) vi que también fué bien y bizarramente servida. En la desgracia que ocurrió á la bri­ gada mandada por el teniente coronel Celborne (de-quien el general Stuart refiere que se -canduxo y estaba portándose á la sazón del mo­ do mas distinguido, dirigiendo la brigada con un orden admir…</t>
  </si>
  <si>
    <t>Celedonia</t>
  </si>
  <si>
    <t>Gaceta de Madrid n.º 62</t>
  </si>
  <si>
    <t>­ ría &amp;c.- bién ba heredado sus talentos en el arte,1' y ep el 'L;« h'íitri. galeota inglesa de 93 toneladas, qoe dia suple completamente la falta de D. Celedonia iba en ¡a ;re d- pibraltar á Londres, ha sido apre­ en ei desempeño del destino de maquinista de ios sada por el Curioso, corsario de Boloña. Esta em­ referidos est…</t>
  </si>
  <si>
    <t>Cenen</t>
  </si>
  <si>
    <t>secretario general de U ñas y de las lnoias. superintendencia de la real casa. Vista la solicitud que ha hecho D. Cipriano R&lt; candió de Somodevi.ia (D. Cenen ), intendente Pala fox pidiendo ia confirmación dei título de conde - de Falencia. de Teva; y oido nuestro consejo da Estado , he­ Romero ( D. Gerardo), oficial de la co…</t>
  </si>
  <si>
    <t>Cenen, Juan Sabater</t>
  </si>
  <si>
    <t>Juan Sabater Cenen</t>
  </si>
  <si>
    <t>e tropa de.Milans solo ha tenido ; un corro nú.-ñero de' muertes y herí des. Ei comandante, mi­ litar iriíexinode Palomos y contador de la provincia, D. Juan Sabater Cenen , 'que para hallarse mas inmediato, se ene entraba en Arens, de dende se habla retirado á la enerada del eaem'go, .volvió á la villa e» Ies primeros moment…</t>
  </si>
  <si>
    <t>Centeuo, Juan Alonso</t>
  </si>
  <si>
    <t>Juan Alonso Centeuo</t>
  </si>
  <si>
    <t>ante por efectuar su retirada; executó este movimiento con fallecimiento de D. Juan Antonio de Palma, á su acostumbrada inteligencia ; mas viendo que D. Juan Alonso Centeuo, presbítero, teniente de Morillo hacia esfuerzos para escapar , le cargó con Fuente* Palmera. impetuosidad al frente de 40 hombres de caballe­ Para el cur…</t>
  </si>
  <si>
    <t>Cepeda</t>
  </si>
  <si>
    <t>pu­ diese enviarle alguna tropa , y para pore al mismo tiempo en sal­ vo todos los efectos pertenecientes al Rey que habla en Algeciras. En­ cargó-ai brigadier Cepeda la defensa de S. Roque con ios dependien­ tes del resguardó , y la gente armada y dirigida por el corregidor de Ja du :ad D. Pedro Rqytra. C:&gt;mo los éneorgos • …</t>
  </si>
  <si>
    <t>Cepeda, Cárlos</t>
  </si>
  <si>
    <t>Cárlos Cepeda</t>
  </si>
  <si>
    <t>D. A ¿toaio Alvarez Vega, sargento mayor retirado. D V ícente-A costa , sa'geato mayor. D. M vilano Olivares , teniente coronel. D. Jo¿é Mina Echáis. D. Cárlos Cepeda, coronel, f). José de los A agoles , teniente. D. Mariano Hidalgo. D. Valentín H í man­ de z , alférez. D Ignacio Chaves, capitán honorario. D. J osó A ¡íorío N…</t>
  </si>
  <si>
    <t>Cepeda, Francisco</t>
  </si>
  <si>
    <t>Francisco Cepeda</t>
  </si>
  <si>
    <t>328</t>
  </si>
  <si>
    <t>328 de 17 del actual, remite el parte que le ha dirigido el comandante militar de S. Raque D. Francisco Cepeda, que en substancia dice. Que lus enemigos en la corta estancia que hicieron eti S. Roque en su ultima entrada en él, cometieron toda especie de desórdenes dexa ado al pueblo en uua situació</t>
  </si>
  <si>
    <t>Cerdan, Ambrosio María</t>
  </si>
  <si>
    <t>Ambrosio María Cerdan</t>
  </si>
  <si>
    <t>33°45 iS 4188 238 [j D. Martin de Vergara.................... 13076 8f D. Francisco Xavier Porto.......... D. Joaquín de Cordero y Vargas. 1354 22 90 D. Ambrosio María Cerdan........... 1 80 24 P. Antonio de Castilla.....f............ 280 17 Doña María Aatonia de Arrieta y L&gt;. Francisco Sevane....................... 2 &gt;66 Mas…</t>
  </si>
  <si>
    <t>Cerdan, Margarita</t>
  </si>
  <si>
    <t>Margarita Cerdan</t>
  </si>
  <si>
    <t>tros títulos. k D. Josef Badao......... ......................... - 115038 12 Certificaciones. 613203 6 2 D. -Vicente de Andoaga por boletas. 1x150 1 Doña Margarita Cerdan id..;............ 1500 libranzas ele consolidación contra la casta de descuentos 1 D. Felipe Moreno y D. Tomas Recio. 1500 procedentes del préstamo'de 20 m…</t>
  </si>
  <si>
    <t>Cerdoso, Manuel Vicente</t>
  </si>
  <si>
    <t>Manuel Vicente Cerdoso</t>
  </si>
  <si>
    <t>ablo Arribas. — u Exorne . Sr.: Eí grande temporal y mar fuerte que hemos tenido estos días, obligó ai díate portugués , nom­ brado el Brillante y su capitán Manuel Vicente Cerdoso, á entrar el 25 i las 7 de la tarde en el puerto de S. Mastín de la Arena, car­ gado con 2 ó 3000 fanegas de sal, habiendo salido de Setubal con d…</t>
  </si>
  <si>
    <t>Cerezo</t>
  </si>
  <si>
    <t>975</t>
  </si>
  <si>
    <t>0 infantas y 500 caballos , en que ■convenido casi todos ios oficios (extracto núm. l.°&gt;, cuyas noticias remití &lt;i Y. S. Ea el momento envié'orden al comandante Cerezo que estaba en O-iesada (núm. £.°), para que luego que supiese que loa enemigos de Jó lar hacían algún movimiento, se retirase con toda la tropa de infantería p…</t>
  </si>
  <si>
    <t>Cerezo, Agustín</t>
  </si>
  <si>
    <t>Agustín Cerezo</t>
  </si>
  <si>
    <t>re discurrían por Castilla la Vieja las par­ tidas de D. Tomas Príncipe, D. Gerónimo Fomel, los curas Meri­ no, Tupia y Violado , D. Lorenzo Aguilar, D. Agustín Cerezo, Don Vicente Olivera , Afórales, D. Julián Sánchez , y otras menos cono­ cidas.^ Las gacetas de Córdoba del mes de noviembre dan noticia de las Íjartidas de Pe…</t>
  </si>
  <si>
    <t>Cerezo, Juan Román</t>
  </si>
  <si>
    <t>Juan Román Cerezo</t>
  </si>
  <si>
    <t>o Capitanes. Quiioga , calle de las Carretas. 1 D. Rodrigo Moreno. D. Dionisio Castro. Tenientes. PLAZA DE MADRID. BOLSA. DIA 9 DE NOVIEMBRE HB l8ll. D. Juan Román Cerezo. D. Fernando Moreno. Subtenientes. Efectos públicos. D. Francisco Jurado Almiron. Vales reales...................................... 9‘i Cédulas hipotecaria…</t>
  </si>
  <si>
    <t>Cerezo, Lorenzo</t>
  </si>
  <si>
    <t>Lorenzo Cerezo</t>
  </si>
  <si>
    <t>979</t>
  </si>
  <si>
    <t>insinúa, se retirará también sin. demora alguna, y del mismo modo. Dios, guarde á Y. muchos años. Pozo 7 de agosto de 1S1I. — Pedro Por tillo. — Sr. D. Lorenzo Cerezo.</t>
  </si>
  <si>
    <t>Cérlos</t>
  </si>
  <si>
    <t>1372 Gliraent, y D.. Nicolás Eseríbé: en el del infante D. Cérlos, com­ pañías á D. Nicolao Bolea , D, Francisco García y D. José Quin­ tana : ayudantía á D. Jmé Aguado: tenencias á D. R araos Nave-, Ha, D. Vicente Jasen, D. Fernando María, D. Ramón Laraz</t>
  </si>
  <si>
    <t>Cernadas, José</t>
  </si>
  <si>
    <t>José Cernadas</t>
  </si>
  <si>
    <t>a , D. Anselmo UUoa y á D. M .miel Parta; subtenencias á D. José Gonzauz, D. Temas Adran, D. José Gar­ cía, D. Silvestre Ibarra, I). Cayetano Várela, D. José -Cernadas, y á D. Manuel Sánchez Mayoral; sugbtenencia- de ~~ a Don Ignacio Parada.</t>
  </si>
  <si>
    <t>Cernes, Mncuel</t>
  </si>
  <si>
    <t>Mncuel Cernes</t>
  </si>
  <si>
    <t>do de O. Pedro Bayona', Ha recibido dos balas en la p?sa. Los des faluchos de Pcñísccte también rec bieron algún de ño, mayormente el que capitaneaba D. Mncuel Cernes , al que se ie-reventó e! ceñan que montaba de á 16 ya en el principio de la acción , con rot' ble falta para nosotros : por lo que *e han retirado para reparar…</t>
  </si>
  <si>
    <t>Cerra, José Antonio</t>
  </si>
  <si>
    <t>José Antonio Cerra</t>
  </si>
  <si>
    <t>áavedra, 1000. Francisco Javo , G. D Juan de Drizar , 25..-Contaduríay Juzgado de censos de indios. D. Gaspar Corrochano , contador, IOS y 2 y medio. D. José Antonio Cerra , oficial de la contaduría , 41 y 5. D. José Her rera, defensor déla caxa, 50. D. Francisco Elias, escribano del juzgado, 83 y 2 y medio. D. José da Echa* …</t>
  </si>
  <si>
    <t>Cerrato, Vicente</t>
  </si>
  <si>
    <t>Vicente Cerrato</t>
  </si>
  <si>
    <t>sef de lá Torre Montoro. cisco Arribas, arcediano de Burgos y capeilan de D. Francisco González. la milicia cívica , del qual las recibieron el señor D. Vicente Cerrato. coronel y el primer gefe de batallón D. Juan de Tenientes. Ortega , y estos las entregaron á los dos abandera­ D. Francisco de Paula Valle. dos , quienes las…</t>
  </si>
  <si>
    <t>Cerro, Manuel Calvo</t>
  </si>
  <si>
    <t>Manuel Calvo Cerro</t>
  </si>
  <si>
    <t>or mui activa lá navegación ^en’el Adriático, y los muerte de D. Luis Francisco Muñoz, al presbíte­ habitantes están animados^ del mejor espíritu. ro D. Manuel Calvo Cerro.</t>
  </si>
  <si>
    <t>Certificaciones</t>
  </si>
  <si>
    <t>......................... 921 :&gt;93 «reunión de vuestros afectos." Cédulas hipotecarias............................ Concluida esta ceremonia del señor gobernador Certificaciones del tesoro público.... 77 é pasó revista á sus tropas y á la guardia cívica qne Oro español contra plata................... •i i i estaban firmadas, h…</t>
  </si>
  <si>
    <t>Gaceta de Madrid n.º 198</t>
  </si>
  <si>
    <t>94$ n* están bien cultivadas, pobladas, y podrían.hacer Cédulas hipotecarias........................ 95 «• un gran comercio. Los pormenores queda el autor Certificaciones del tesoro público.. 70 n. Oro español contra plata............. . son claros é interesantes, como se puede ver por lo dicho anteriormente. Pero Mr. Le Dm t…</t>
  </si>
  <si>
    <t>Cevaiios, Juan</t>
  </si>
  <si>
    <t>Juan Cevaiios</t>
  </si>
  <si>
    <t>n un mes durante la guerra , 27. El coronel D. Manuel Artazo , por el de 4 solda­ dos en un mes durante - la guerra, 41). I). Matías de la Cruz , 17. D. Juan Cevaiios, por eí prest de un soldado en un mes durante la guerra , 9. El regidor I). Carlos Pee!roso, por el de 3 soldados en tres meses durante la guerra, SI. El capota…</t>
  </si>
  <si>
    <t>Cevallos, Juan</t>
  </si>
  <si>
    <t>Juan Cevallos</t>
  </si>
  <si>
    <t>auricio de Zúñiga, -comandante del tercer ba­ tallón del regimiento fixo de la Habana, por el prest dedos soldados en 0 meses durante la guerra, 83. -D. Juan Cevallos, por el de un soldado id. , 9. D. Antonio Arsiht, capitán del partido del Horcon, en cada mes , 10. Don José de Flores, cadete del regimiento de infantería de m…</t>
  </si>
  <si>
    <t>uos, 500. Doña Blasa María Bosmeniel , por 5 meses de su oferta mensual para el socorro de las viudas de los españolea que han muerto en campaña, 50. D. Juan Cevallos , por el de un soldado en 4 meses, 36. D.Juan Bautista Jguregui, por el de'2 soldados en 6 meses ,108. B. Francisco Ganuza , subteniente del regimiento de milic…</t>
  </si>
  <si>
    <t>Cevallos, Pedro</t>
  </si>
  <si>
    <t>Pedro Cevallos</t>
  </si>
  <si>
    <t>e infantería, ligera tercero de caz?; ¿ores de Valen ern al teniente coronel D. Cáilos Libtráli: la dsl segunde de cazado* res de Valencia al coroael D. Pedro Cevallos; la comandancia del tercer batallón de! regimiefnto de voluntarios de Castilla, al sargento mayor D. Isidro Montaba!’; las sáfrgmtíaa imayoTes del regimiento d…</t>
  </si>
  <si>
    <t>Cevaüos, Felipe de Hoyos</t>
  </si>
  <si>
    <t>Felipe de Hoyos Cevaüos</t>
  </si>
  <si>
    <t>por la centtítncion de! eiudo, REI de las Espa­ D. Felipe de Hoyos Cevaüos....... *3*7 das y de las Indias. 1980 D. Rafael Reinal te......................... 4569 16 vistas las 37 consultas de la comisión de li­ D. Josef Escalera............................ quidac</t>
  </si>
  <si>
    <t>Cfcstañss</t>
  </si>
  <si>
    <t>326</t>
  </si>
  <si>
    <t>elto la mitad , les restantes lian quedado muertos , heridos y prisioneros. Entre los muchos muertos de los franceses se halla un. edecán que fuá del general Cfcstañss, juramentado, al servicio de la Francia, llamado Valbuena. E*tc hombre cruel, á una con el vil equ ñ A D. Francisco Mazarredo, había mandado afusilar á la sali…</t>
  </si>
  <si>
    <t>Cfeapie, Gaspar</t>
  </si>
  <si>
    <t>Gaspar Cfeapie</t>
  </si>
  <si>
    <t>mate, agente, 3. D. Juan Francisco García, escribano, 1 y 4 rs. 13. Francisco Alonso Pelaez, encargado de venta, parala manutención de un soldado, 9. D. Gaspar Cfeapie , id., 2. D. Antonio José Ximenez , id , 2. 3). José García, id., 2. D. Francisco González, id., 1. D. Domingo Sán­ chez , sobrestante del molino , 4. D. Juliá…</t>
  </si>
  <si>
    <t>Cha, Juan</t>
  </si>
  <si>
    <t>Juan Cha</t>
  </si>
  <si>
    <t>las que los cuerpos sonoros excitan en ri ai­ das y de las Indias. re, son capaces de propagarse en todas direccio­ Hallándose vacante por muerte de D. Juan Cha­ nes, y producen las alteraciones de temperatura, cón el b¡n. ficto de la sacristía de la parroquia de que turban ó restablecen el equilibrio termométrila Magdalna de…</t>
  </si>
  <si>
    <t>Chacón, Juan Bautista</t>
  </si>
  <si>
    <t>Juan Bautista Chacón</t>
  </si>
  <si>
    <t>la Garza, 10. D. José María Elizondo, 20. Varios indivi­ duos, 15.— Villa del Saltillo. D. Francisco Antonio Farias , 50. Don Cristóbal Rodríguez, 5. D. Juan Bautista Chacón, 25. D. Manuel Alcalá, 5..D. Miguel de -Rumayor , 20. D. Toribio Alcalá , 5. D. Nepomuceno Váleles , 8. D. Juan de Aguirre , 10. D. Cristóbal Domín­ guez…</t>
  </si>
  <si>
    <t>Chacón, Nicolás</t>
  </si>
  <si>
    <t>Nicolás Chacón</t>
  </si>
  <si>
    <t>ha servido conferir el regimiento de dragones de! Rey al coronel D. José Lanzarote, capitán de la brigada de Carabineros reales, y el de Nutnancia á D. Nicolás Chacón , teniente coronel del de dragones de Granada. CADIZ : EN LA IMPRENTA REAL.</t>
  </si>
  <si>
    <t>Chacón, Pedro</t>
  </si>
  <si>
    <t>Pedro Chacón</t>
  </si>
  <si>
    <t>147a Asi tratan indistintamente esos malvados , á D. Manuel Kens. quienes la regencia de Cádiz provee de armas y de D. Pedro Chacón. medios de destrucción, á sos amigos, á sus aliados Subtenientes. y á sus enemigos, quando estos son poco numero­ D. Juan Djego Agullar. sos, y solo pueden hacer una resistencia inútil. D.</t>
  </si>
  <si>
    <t>Chacón, Prdrn</t>
  </si>
  <si>
    <t>Prdrn Chacón</t>
  </si>
  <si>
    <t>en sil pueblo, por.................. 2300 laxar.1 , residente en la misma villa, por........... 2200 D. Antonio Cirilo y Scdazo, natural de Salmerón, D. Prdrn Chacón, n.itmal de la ciudad de Huctc, provincia de Burgos, residente en Toledo, por 2200 en Cuerea, residente en la misma, por.............. 2200 D. Basilio Casas y Bo…</t>
  </si>
  <si>
    <t>Chafino</t>
  </si>
  <si>
    <t>474</t>
  </si>
  <si>
    <t>o que sufrían, que tuvieron los nues­ tros que retirarse, trayendo heridos al capitán Inchansti de muerte, y levemente i Cabañas, y dexando muerto al capitán Chafino, que des­ pués de haber tomado una bandera , se adelantó demasiado y feé en­ vuelto. Al mismo tiempo que esto sucedía en el pueblo, per la otra orilla del rio se…</t>
  </si>
  <si>
    <t>Chafino, Agustín</t>
  </si>
  <si>
    <t>Agustín Chafino</t>
  </si>
  <si>
    <t>tandad , y los obligó a retirarse i las calles que desembocan en las principales , des Je donde hac^n fuego. Ententes man ó Recacho que les capitanes D Agustín Chafino, Don Felipe Inchausti, D. Dionisio Cabañas y D. Francisco P .checo con la caballería de su mando, saliesen espada en manó á dispersarlos; pero fueron tantos lo…</t>
  </si>
  <si>
    <t>Chainorin</t>
  </si>
  <si>
    <t>* mahdada por el del exército * = conde Gazan. teniente Michei. El 14.0 de dragones, mandado por el gefe de esquadron Fl .rdi. El i6.° de dra¿»oDes, coronel Chainorin. {Se ha podido para este ofi­ PLAZA DE MADRID. BOLSA. cial el grado de general de brigada ) El 2.0 de hú­ OIA 12 DI MAXZO DI l8ll. sares, coronel Vinot. El io.°…</t>
  </si>
  <si>
    <t>Chaix, Santiago</t>
  </si>
  <si>
    <t>Santiago Chaix</t>
  </si>
  <si>
    <t>otros Y no habiendo acudido los interesados en dos, que contenían géneros da seda, se entre­ dichos efectos á recogerlos, les señalo el tér­ garon á D. Santiago Chaix, negociante fran­ mino de dos meses, contado desde este día, cés, baxo el pago de todos les correspondientes para que dentro de él puedan presentarse los derech…</t>
  </si>
  <si>
    <t>Chalcea, Francisco Abad</t>
  </si>
  <si>
    <t>Francisco Abad Chalcea</t>
  </si>
  <si>
    <t>Gazeta de la Regencia de España e Indias n.º 159</t>
  </si>
  <si>
    <t>q«© á continuación se expresan, dirigidos todos al capitán general D. Xavier de Catanes. Del comandante de los escuadrones de. húsares de Valdepeñas, D. Francisco Abad Chalcea. “Exorno. Sf. : Ya dkxe á V. E. coa fecha de 13 del que rige, oe■9 por los partes convocatoria que habla dirigido á io?; corsead actos D. Alexandro Fer…</t>
  </si>
  <si>
    <t>Chamuia, Ignacio</t>
  </si>
  <si>
    <t>Ignacio Chamuia</t>
  </si>
  <si>
    <t>Psreyra, D. Antonio T«rrer, D. Francisco Corrales, D. Fiancisco Lomban y á D, Antonio Pravía : subtenencias á D. Tomas Sal­ cedo, D. Ignacio Pinedo, D. Ignacio Chamuia, D, José Rahamonde,' D. Mariano Cadles, D. José María' Montero, D. Tomas de Castro y D. Baltasar Peusan; subtenencias de bandera á D. Diego del Corral, En el r…</t>
  </si>
  <si>
    <t>Chañes, Francisco Xavier</t>
  </si>
  <si>
    <t>Francisco Xavier Chañes</t>
  </si>
  <si>
    <t>1219</t>
  </si>
  <si>
    <t>cia de la jsylud de V. E. — Dbs guarde á Y. E. muchos míos. LumbraW 15 de ecíubre de J811— Exorno. S/. &amp; L. M de Y. E. — Julián Sánchez.— Exhibo. Sr. D. Francisco Xavier Chañes. — Es corda confc-rme.— Girón.” Nú ?;. 3.° “Mí g¿«eral: dfspnes de salir de esta villa con ío: 360 ií £¿*.tts y ISO ca?: ai los de la priu&amp;cTa bagada …</t>
  </si>
  <si>
    <t>Chanfo, Eugenio Josef</t>
  </si>
  <si>
    <t>Eugenio Josef Chanfo</t>
  </si>
  <si>
    <t>a de Fondon á D. Joaquio de los Ríos, tistas de todos tiempos. ex-mercenario calzado. ■ Se pueden consultar las obras siguientes: Para la de Pitres á D. Eugenio Josef Chanfo’i, Descripción Jet arte de construir los molinos , por ex-franciscano JSeyer , aumentado por YVeinhold. Y para la de Trevelezá D. Antonio María Gon­ Dibu…</t>
  </si>
  <si>
    <t>Chapman</t>
  </si>
  <si>
    <t>rvicio de Francia, ha sido con­ fundar esperanzas de buen éxito en su ataque. Re­ decorado con la cruz de la misma orden. comiendo particularmente al capitán Chapman , el Escriben de Triesre que ha causado allí la ma­ qual en todas ocasiones me ha hecho grandes ser­ yor aiegria la noticia de que desde el año de 18 rt vicios.”…</t>
  </si>
  <si>
    <t>Charoieo, Beltran</t>
  </si>
  <si>
    <t>Beltran Charoieo</t>
  </si>
  <si>
    <t>hemos decretado y decretamos lo siguiente: D. Fernando Antonio Moran..................... 5225..12 articulo i. „Se declaran acreedores del estado en D. Beltran Charoieo....................................... 722 conformidad al artículo viide nuestro real decreto de 9 D. Josef Antonio Rodríguez...................... .902.. 17 …</t>
  </si>
  <si>
    <t>Charos, Juan</t>
  </si>
  <si>
    <t>Juan Charos</t>
  </si>
  <si>
    <t>995</t>
  </si>
  <si>
    <t>ses del Ampurdan padecen muchas en­ fermedades , y que hay 4000 de ellos en !os hospitales ds Perp nao. Oliana 9 de agosto. Los somatenes y tropas de D Juan Charos han tenido varios choques con la división francesa que ayer ocu­ paba el punto de la Manresana. Antes de ayer llega*on á Corvara muchos carros de enemigos heridos …</t>
  </si>
  <si>
    <t>Chartener</t>
  </si>
  <si>
    <t>paró en­ quadrilia de estos malhechores babia cogido en aque­ tonces una andaaadat á la qual contestó coa otra lla mañana. el barco ingles.” El señor comandante Chartener alaba sobre ma­ Si esto es asi, y el gobierno americano declara nera la bizarría y buena combinación coa que se que la Presidenta no ha obrado de ana manera…</t>
  </si>
  <si>
    <t>Chataux</t>
  </si>
  <si>
    <t>al Leval contra la izquierda de los ingleses tes de campo, principalmente de mi primer ayu­ y contra la derecha de los españoles, teniendo á dante el coronel Chataux. Pero por otra parre no mi derecha al general Viliatte, que estaba inui em­ puedo nombrar á nadie en particular , pues oficia­ peñado coo la izquierda de l«s esp…</t>
  </si>
  <si>
    <t>Chauvin</t>
  </si>
  <si>
    <t>retirar la artillería de sitio; el 17 habian tres veces cargaron, y 7.J .valientes mandados por desaparecido rodas las tropas enemigas, ye I 18 se el capitán Chauvin, del regimiento 88.V,, los re­ volvió á abrir la comunicación con Badajoz por chazaron constantemente, causándoles una gran pér­ medio de los destacamentos que v…</t>
  </si>
  <si>
    <t>Chavarría, Alfonsa</t>
  </si>
  <si>
    <t>Alfonsa Chavarría</t>
  </si>
  <si>
    <t>9 1 D. Gregorio de los Tueros......... . 1805 2 D. Juan Bautista Condestable........... 545 17 1 Doña Angela Imperial........................ 18c j 1 Doña Alfonsa Chavarría.................... 185 17 I D. Josef Jesús García, por su apo­ 2 D. Andrés Tarancon........................... 361 derado D. Juan Josef Gamboa..... 361 6…</t>
  </si>
  <si>
    <t>Chaves, Francisco de Paula</t>
  </si>
  <si>
    <t>Francisco de Paula Chaves</t>
  </si>
  <si>
    <t>Gaceta de Madrid n.º 293</t>
  </si>
  <si>
    <t>11. Nombramos para comandante de este PLAZA DE MADRID. BOLSA. batallón á D. Bartolomé Ortiz de Paz ; para ayu­ »IA Ip DS OCTUBJtB I&gt;* 181 I. dante á D. Francisco de Paula Chaves j y pata abanderado á D. Clemente Domínguez. art. ni. Afimismo nombramos para capitanes Curso de los cambios. y oficia’es de las 4 compañías de este …</t>
  </si>
  <si>
    <t>Chaves, Ignacio</t>
  </si>
  <si>
    <t>Ignacio Chaves</t>
  </si>
  <si>
    <t>oronel. D. Jo¿é Mina Echáis. D. Cárlos Cepeda, coronel, f). José de los A agoles , teniente. D. Mariano Hidalgo. D. Valentín H í man­ de z , alférez. D Ignacio Chaves, capitán honorario. D. J osó A ¡íorío Na vaca , alférez. Lio. D. Raraon Garces. II. D. Mamirl Car­ ees. O. ■ Antonio Nieva. D. Gerónimo BaÜeza. D Joaquín Xiinan…</t>
  </si>
  <si>
    <t>Chiari, Pedro</t>
  </si>
  <si>
    <t>Pedro Chiari</t>
  </si>
  <si>
    <t>entes. D. José María Chiavi, 100. D. Felq e Fábrega , 40. D. José Toribio Frontis a , 25.|D. Francisco Ximenez en diñe, o y alhajas, 92, G y medio rs.D. Pedro Chiari, 36. D. Félix Paredes, 36. D. Ma* too Matos , 3G. Subtenientes. D. José María Ayala , 25. D. Carlos del Casti­ llo , 20. D. José María Velarde , 29. D. Juan Pare…</t>
  </si>
  <si>
    <t>Chiavi, José María</t>
  </si>
  <si>
    <t>José María Chiavi</t>
  </si>
  <si>
    <t>or castellano interino de Chagre todo el tiempo que sirva este empleo , 200. D. Nicolás Remon 500. El ayudante mayor D.Baftasar Avala, 40. Tenientes. D. José María Chiavi, 100. D. Felq e Fábrega , 40. D. José Toribio Frontis a , 25.|D. Francisco Ximenez en diñe, o y alhajas, 92, G y medio rs.D. Pedro Chiari, 36. D. Félix Pare…</t>
  </si>
  <si>
    <t>Chica, Mutual</t>
  </si>
  <si>
    <t>Mutual Chica</t>
  </si>
  <si>
    <t>laico , ir!. D. Joan Ignacio ífc\mon , id. D. José Santos Villa , coro­ nel. D. Mutual Chica, coronel retirado. D. Pidro L’jon, mayor de plaza. D. Vicente Sildieraa, tenieata coronel retirado. D. José Mi­ guel Arroyo. D. A ¿toaio Alvarez Vega, sargento mayor retirado. D V ícente-A</t>
  </si>
  <si>
    <t>Chicano, Josefa</t>
  </si>
  <si>
    <t>Josefa Chicano</t>
  </si>
  <si>
    <t>El teniente coro­ nel I). Lucas Alvarez , por su oferta mensual, 9. Doña Bárbara de Estrada , á cuenta de su oferta anual de 2.50 pesos , 11 y- 5 rs. Doña Josefa Chicano, 4. 1). Joaquín Midan, capitán de la primera compañía de los naturales de LiasCanarias avecindados en esta ciudad , por sí y á nombre de los demas de di­ cha…</t>
  </si>
  <si>
    <t>Chicc, Jcsé Marín</t>
  </si>
  <si>
    <t>Jcsé Marín Chicc</t>
  </si>
  <si>
    <t>D. Francisco Pastor. D. José Mari* Canal. D. Vicente. Fría». D. Pedro Taboada. D. Juan Echáis. D. Sebaptiun Conejo. D. Manuel María Lanza sorta. Lie. D. Jcsé Marín Chicc. D. Luis Msrcles. Lie. D. José María Letona. D. Jacoho A rctdo, teniente coronel. D. Luis Malo, coronel. D. José María Segura, car» . genio-mayor. D. Francis…</t>
  </si>
  <si>
    <t>Chinchón, Francisco</t>
  </si>
  <si>
    <t>Francisco Chinchón</t>
  </si>
  <si>
    <t>tro exército que á continuación se expresan. Premios. Clases. Nombres. De 6. De 9. De 90. De rg.5Primer batallón del Real Cuerpo de Artillería. e . &lt;-D. Francisco Chinchón. I. Sargentos segundos.-{Joa(iu¡a Da¿ñ-S........... X</t>
  </si>
  <si>
    <t>Chiopiski</t>
  </si>
  <si>
    <t>o, no obstante ser de 80 Ebro hasta delante de las Teúazasi el general Ha- tocias, sin otra pérdida qne la de tres á qnatro rispe, con la brigada del general Chiopiski, los muertos, y cinco á seis heridos. También ha sido húsares y cna compañía de zapadores, trepando muerto en el ataque de la derecha el capitán de in­ por las…</t>
  </si>
  <si>
    <t>Chiquete, Pedro</t>
  </si>
  <si>
    <t>Pedro Chiquete</t>
  </si>
  <si>
    <t>D. Juan Ortigosa , 50. D. Antonio Inchauitegui, 10. D. Lorenzo Lizagarra, 10. D. Manuel Tirado, IG. D. Ig­ nacio Fletes, 20. D. Joaquín de Osuna, 10. D. Pedro Chiquete, 40. Don Vicente Osuna , 10. Varios individuos, 8G y 2 rs. — S. Ignacio. El subde­ legado D, Francisco Figueroa, G. D. Juan Luis Elizarde , 25. Doña Manuela El…</t>
  </si>
  <si>
    <t>Chlapowski</t>
  </si>
  <si>
    <t>Gaceta de Madrid n.º 67</t>
  </si>
  <si>
    <t>iario de S. M. el Rei de Saxonia , gran tenia, tod *s sus efectos y su dinero. duque de Varsovia, No se pueden calcular aun los daños que ha El señor conde Chlapowski, gentilhombre por ocasionado este accidente. el ducado de Varsovia. (1) Es indudible que las providencias que dostruyan Lóndres, aunque se ha impuesto allí la p…</t>
  </si>
  <si>
    <t>Chlopiski</t>
  </si>
  <si>
    <t>i mando dei 121.%, ORDEN DEL EXERCITO. ha manifestado desde Juego á sm regimiento y al exército quan digno era de la confianza del Empe­ ,,No bien el general Chlopiski habia hecho en­ rador. trar en Zaragoza .la artillería enemiga tomada en. „Ef general en gefe tiene el mayor placer en&lt; Alventosa t qnatido marchó en seguimien…</t>
  </si>
  <si>
    <t>ndonados en la costa un buque ingles. El hambre es atenían; ha Zaragoza 26de diciembre. servido de sargento en el regimiento 60.0 de in­ Informado el coronel Chlopiski de que Vilíafantería inglesa, y estando U bordo del refeiido campa, que siempre tiene ia prudencia de refugiar­ buque, fue atacado de un accidente de perlesía,…</t>
  </si>
  <si>
    <t>ALIA. que repelieron en los meses de julio y agosto las salidas dcL enemigo. Et 31 de octubre y el 12 de Verana 25 de diciembre de j8jo. noviembre el general Chlopiski derrotó en Aragón á Villac áiiipa , y le tomó seis cañones y una comEsta mañana hemos sentido en esta ciudad un p.ñía de artillería ligera. El 19 de noviembre …</t>
  </si>
  <si>
    <t>Gaceta de Madrid n.º 279</t>
  </si>
  <si>
    <t>que lia tomado el nombre de sociedad patrió­ zando ventajas y triunfos contra los enemigos. tica de Caracas. Su objeto es emplear todos los El señor general Chlopiski, encargado de cu­ medios posibles para separar la América española brir desde las Cinco-Villas la frontera de Aragón* de la metrópoli. Ha mandado publicar un pe…</t>
  </si>
  <si>
    <t>Chorlo</t>
  </si>
  <si>
    <t>e se realizarían mis ideas ; pero tuve el sentimiento de no vertas execnt&amp;das por un accidente propio de las circunstan­ cias , aunque inesperado. Ei brigadier Chorlo venia replegándose con el mayor orden, y I© mismo executaba el de la propia cíase Loy, á presencia de algunas guerrillas francesas contenidas por las nues­ tras…</t>
  </si>
  <si>
    <t>Chrischron</t>
  </si>
  <si>
    <t>Gaceta de Madrid n.º 139</t>
  </si>
  <si>
    <t>de executar algún desembarco en las cos­ fundar en la Taurida , con el nombre de Sofiópolis. tas prusianas , ó en qualquier otro punto de les mi­ El doctor Chrischron, ingles , tiene el encargo de res del Norte y del Báltico, saldrán bien escar­ executar las obras para los baños de aguas terma­ mentada*. El número de tropas a…</t>
  </si>
  <si>
    <t>Christian, Lodulfo</t>
  </si>
  <si>
    <t>Lodulfo Christian</t>
  </si>
  <si>
    <t>lotáis. 1000 Se­ ñores. F. íl., 100. D. Joaquín Sapera, 100. IX Antonio Rarceló y Prats, 200. I), Diego García Pinto y i). Felipe de los Heros, 1000. D. Lodulfo Christian. •Whtooir, 300. D. N, 20. I). Joaquín Viüamieva, 160. D. José María Sán­ chez , 100. XX Domingo Duch, hermanos y compañía, 300. D. Juan José Offerrall, 30Í)…</t>
  </si>
  <si>
    <t>Chuliz, Mariano</t>
  </si>
  <si>
    <t>Mariano Chuliz</t>
  </si>
  <si>
    <t>s á D. Manuel Medina, D. Francisco de Paula Adames, B. Rafael del Rio y D. Pedro Aguila? A vala; y subtenencias i. D. José Mateo, D. Ramón Hernández, D. Mariano Chuliz, D. Matías Farras, D. Modesto de la Torre y D. Antonio Loma. Muques que ¡ion recogido correspondencia en la administración de correos de Cádiz, durante la sema…</t>
  </si>
  <si>
    <t>Churracr, José</t>
  </si>
  <si>
    <t>José Churracr</t>
  </si>
  <si>
    <t>slo Ximenez, caballería de Cacocrv, capitán. D. Juan Ncguen , agregado á guardias W¿lenas , íí.L.ií, D. Jorge S vrtol, tiradores de Cuenca, teniente. D. José Churracr., infantería de León , idetñ, D. Juan Maroto, primero de .Badajos, ídem. - D. Vicente S. Pedro, io fas feria de T.obera , í-Enn. D. Pedro A!varez , ir.fanfnín. …</t>
  </si>
  <si>
    <t>Chuz</t>
  </si>
  <si>
    <t>971</t>
  </si>
  <si>
    <t>a me atacarían en columnas, y por es®, dispuse en aquel punto dos, co'unmas cerradas-de los do3¿ batallones dé la Pair a , que coi ■ aci­ das por .el general Chuz, que mandaba en la ,izv¿uierdíi, debían car­ gar en tal caso con bayoneta áI03 atacantes quaulo estuy osen cer­ ca dé la cumbre; pero los enemigos que vieron mi dis…</t>
  </si>
  <si>
    <t>Chwostow</t>
  </si>
  <si>
    <t>Gaceta de Madrid n.º 193</t>
  </si>
  <si>
    <t>sátira de Hora­ frutos á los mercados. cio. 4.0 Una carra en verso sobre la sátira, escrita Escriben de Buda que el 21 de mayo falleció por el señor conde Chwostow. 5.0 Dos idilios, in­ en aquella ciudad, á la edad de 78 años, el barón titulados el Arroyo y las Flores , escritos por el Cárlos de Weídenfeld , teniente feld-mar…</t>
  </si>
  <si>
    <t>Ciaberot, Roberto</t>
  </si>
  <si>
    <t>Roberto Ciaberot</t>
  </si>
  <si>
    <t>ni , 25. D. Joan Villaseca, 25. D. Pablo Soler , 25. Don José Bobos , 25. D. José Ector Padrón, 25. I&gt;. Antonio Castilla, 25. Don Manuel Salecio, 25. D. Roberto Ciaberot, 35. D. Joaquiu Español, 25. (Se continua* d.J i? CADIZ : EN LA IMPRENTA REAL.</t>
  </si>
  <si>
    <t>Cíaparede</t>
  </si>
  <si>
    <t>Gaceta de Madrid n.º 76</t>
  </si>
  <si>
    <t>301</t>
  </si>
  <si>
    <t>ía llegado,’ se^ui decían, cíot es ocapadas por el exército enemigó cufrente de St. Ubes á Falmouth, de que el exército alia­ del mío. Supongo que el general Cíaparede un ha­ do se hábia visto precisado á abmdonar su po­ brá recibiio la orden que le feovuba .¿1 general sición de Ca tató después de haber sufrido una Dro-et de …</t>
  </si>
  <si>
    <t>Ciar, Josef</t>
  </si>
  <si>
    <t>Josef Ciar</t>
  </si>
  <si>
    <t>justificará su propia opinión, que le demos á conocer las qualidades que tauto ha sabi­ PLAZA DE MADRID. ‘BOLSA. DIA 8 DB ACOSTO DB l8ll. do estimar. D. Josef Ciar!, sobrino de la Reina de Espa­ ña , era el solo que parecía ignorar su ilustre pa­ rentesco; no ha buscadb’ni obtenido la estimación, Efectos públicos. y lo que es…</t>
  </si>
  <si>
    <t>Ciare, Ambrosio</t>
  </si>
  <si>
    <t>Ambrosio Ciare</t>
  </si>
  <si>
    <t>lamuelas, resi­ ledo, por............................................................... 2100 dente en Toledo, por.............................. 2200 D. Ambrosio Ciare ía Caballero, natural de Mon- EX-rRANCISCANOS. tanehes, en Extremadura, residente en Toledo, D. Benito Mateos, natural de Tembleque, provin­ por...............…</t>
  </si>
  <si>
    <t>Ciarg'illo, Luis</t>
  </si>
  <si>
    <t>Luis Ciarg'illo</t>
  </si>
  <si>
    <t>sus capitales y sus géneros en el tráfico con D. Francisco Bustamsnte, D. Ildefonso Ruiz del las provincias disidentes. Agrégase i todo esto las Rio, D Luis Ciarg'illo , D. Aogel dv Irribarren, crecidas contribuciones y empréstitos forzados que D. Joan Larrieta , D. Martin de lrignyen , D. Jose han exigido de .los comerciante…</t>
  </si>
  <si>
    <t>Ciari, Mario</t>
  </si>
  <si>
    <t>Mario Ciari</t>
  </si>
  <si>
    <t>la Emperatriz para Delft, de donde han sa­ El Sr. D. Cristóbal CimbolÜ......................... 50 lido SS. MM. inmediatamente para Rotterdam. El Sr. D. Mario Ciari..................................... 200 A las once y media entraron en esta ciudad, en El Sr. marques de Bt nabent........................... ico donde han sido …</t>
  </si>
  <si>
    <t>Ciato</t>
  </si>
  <si>
    <t>», D. F«iip5 Ma varíete, D. Jo&amp;quin Gomez, D. F:ranr?ísco Lop:.z Salazar, D. Manuel BjUmonts, D. José Giiau-de., D. Gaspar Surianor, D. Pablo Lozano, D. Ciato.Eguimbái, y D. Fabián Mantilla; y subtenr notes á D. Juan'Psu*»!», D. J«&amp;é A ios'Ós , D. Pedro Lí/ó, D. Akonio Bereitgtier, D. «José- Cueva?, D. Jasé S&amp;rnpér, D. Aídolu…</t>
  </si>
  <si>
    <t>Ciausd</t>
  </si>
  <si>
    <t>marchar, y 3200 caballos. Su situarles era la siguiínte-: la prinura di valor? , ti mande del ganei&amp;l Fey , ea Toledo y sus cocc -rno?*: la segunda. general Ciausd , en A v a : la tercera . geucr&amp;l Tcrry , en Arena», NavatmorU, Calzada de O¿opesa y T&lt;d&amp;v¿*&amp; - clond’e se hílií'b^ el cuartel general y el parque ds íes «va, comp…</t>
  </si>
  <si>
    <t>Cibat, Antonio</t>
  </si>
  <si>
    <t>Antonio Cibat</t>
  </si>
  <si>
    <t>y media entraron en esta ciudad, en El Sr. marques de Bt nabent........................... ico donde han sido recibidos con el momo entusiasmo Ei Sr. D. Antonio Cibat................................ 150 que en Amsterdan y en la H.&lt;ya. Todas Ls calles Ei Excmo. Sr. D. Juan Antonio Llórente.. 3C0 de la carrera estaban adornadas…</t>
  </si>
  <si>
    <t>Cicero, Francisco</t>
  </si>
  <si>
    <t>Francisco Cicero</t>
  </si>
  <si>
    <t>296</t>
  </si>
  <si>
    <t>osé .Bello , id. 10. D. Ga­ briel Santos, id., 10. D. Juan Truxillo , subteniente, 50. MT. José María Ibarra, id, ¿ ó.^D.v^hiyiteo Ortega , id: 10. * D. Francisco Cicero, id/, 25. DVCÍemente Trdxillo,/id., ágj,*eg(ado, teniente, 50. .Los individuos de, tjjypa , ipdusos los retirados / 519.. JLos individuos del mismo batallón.…</t>
  </si>
  <si>
    <t>Cid, Segundo García</t>
  </si>
  <si>
    <t>Segundo García Cid</t>
  </si>
  <si>
    <t>Ciríaco Carvajal, 1000. D. José María de Roxas, 120 D Gerón mo Diego Sánchez , 20. D. Julián Sandalio Aguado , 20 D. Baltasar Martin?., de Ari/a, 60. D. Segundo García Cid, 100. Los oficiales de la secretaría del con­ sejo y cámara de Castilla ,513. D.. Manuel Chasco , 60. La condesa viuda de Lcrena , o30. D. Antonio Lope/. Q…</t>
  </si>
  <si>
    <t>Ciemencin, Felipe</t>
  </si>
  <si>
    <t>Felipe Ciemencin</t>
  </si>
  <si>
    <t>ar alcalde* mayor, de la villa de- Carabaca« a D. An­ tonio 'Abketo ;SaPch-é¿-; de-bride &amp;. Vicente,^ :D. --José (Xcoz y Recarte; de la de Cit-za , á D. Felipe Ciemencin; del Q ¡intimar de la Ordf n ,'rá 'D". Ignacio' María de Funés ETíloá de la Moca del Cuervo, á D. bus Vicente'Montañés i y de Ceclavin, á D, Lucas de la Gala.</t>
  </si>
  <si>
    <t>Cievcs</t>
  </si>
  <si>
    <t>echa ; del teniente coronel Framingham , comandante dé arti­ llería ; del mayor Dlckson. oficial adicto al seiyicio de la artillería portuguesa; clel capitán Cievcs, de la artillería hanncvrríana, de los varios destacamentos de los regimientes de artillería portuguesa que sirvieron las baterías , y de la compañía de artillero…</t>
  </si>
  <si>
    <t>Cieza, José María</t>
  </si>
  <si>
    <t>José María Cieza</t>
  </si>
  <si>
    <t>ta, 372. El doctor D. Joaquín Cabrejo , teniente Gobernador, audi­ tor de guerra y asesor general de este gobierno en libranza contra Cá­ diz , 3000. D. José María Cieza , 50. Varios vecinos, 143. El Sr. Obispo de la diócesis Dr. j). Manuel Joaquín González de Acuña Sanz Merino , 2000. El Alcalde mayor de Nata D. Víctor de la…</t>
  </si>
  <si>
    <t>Ciifiord</t>
  </si>
  <si>
    <t>có á las órdenes del teniente M’Adara, se apoderó de la torre, hizo 80 prisioneros con un oficial, y ahuyentóá les restantes enemigos. Entre tanto el capitán Ciifiord tomaba posesión de*l con­ voy, que quedó todo en nuestro poder, sin mas pérdida que 5 he­ ridos. Las dos fragatas inglesas Diana y Semíramis entraron en la Gi* …</t>
  </si>
  <si>
    <t>Ciifton</t>
  </si>
  <si>
    <t>ara Ronda, quedando la ca­ ballería en Alfayates. Con mucha satisfacción puedo mencionar la admirable conducta de los dragones reales mandados por el teniente coronel Ciifton, y de un escuadrón del 14 de drrgones ligeros, que faé todo lo que se em­ pleó para cubrir maestra freo té desde Egea hasta Espeja, y se reu­ nieron al …</t>
  </si>
  <si>
    <t>Ciimeat</t>
  </si>
  <si>
    <t>los que murieron aquella misma noche en dicha villa 6 oficiales , y otros muchos que vieron las gentes arrojar al rio. Entre los heridos se cuenta el general Ciimeat que mandaba la acción j bieri que de esto no puedo salir garante* No hemos cogido mas que 10 prisioneros y 2 caballos con sus ar­ reos , porque ó bien, les hnbuy…</t>
  </si>
  <si>
    <t>Ciiment, José</t>
  </si>
  <si>
    <t>José Ciiment</t>
  </si>
  <si>
    <t>1300</t>
  </si>
  <si>
    <t>e que las partidas llegasan á los puntos se­ ñalado?. El teniente d« granaderos D. Mariano Gil, llevando de se­ gundo al de su misma clase y compañía D. José Ciiment, entró á to­ do correr en dicha villa , y encontrando en la plaza á unos coraceros, les disparó un tiro de fusil con 7 balas, matando un caballo, é hiriendo á ot…</t>
  </si>
  <si>
    <t>Cijiz</t>
  </si>
  <si>
    <t>684</t>
  </si>
  <si>
    <t>, mandada publicar por el Go­ bierno , para honrar á los valientes que la ganaron , y de que da­ remos aquí un extracte. u Antes de amanecer, dice el brigadier Cijiz al señor virey , salí con todo el exércifco de Ttasasalca para buscar á los enemigos, y á dos leguas de camino tuve aviso de que sedí visaban en las alturas del …</t>
  </si>
  <si>
    <t>Cilos</t>
  </si>
  <si>
    <t>814</t>
  </si>
  <si>
    <t>s titulada Mi tía Aurora, en los mismos términos ver todas las vent-jis que lleva este instrumento á que se executó la última vez; y el fin de fiesta D. Cilos anteojos. Verdad es que el descubrimiento del riteca. acromatismo y de la pronta oxidación de una mez­ En el de la Cruz, á las siete de la tarde, ie executará la comedi…</t>
  </si>
  <si>
    <t>CimbolÜ, Cristóbal</t>
  </si>
  <si>
    <t>Cristóbal CimbolÜ</t>
  </si>
  <si>
    <t>ción de cañones, y en seguida salió con El Sr. D. Mariano Luis Cujucc..................... 80 S. M. la Emperatriz para Delft, de donde han sa­ El Sr. D. Cristóbal CimbolÜ......................... 50 lido SS. MM. inmediatamente para Rotterdam. El Sr. D. Mario Ciari..................................... 200 A las once y media en…</t>
  </si>
  <si>
    <t>Cincha, Gregorio</t>
  </si>
  <si>
    <t>Gregorio Cincha</t>
  </si>
  <si>
    <t>&lt;J -i { gando D. Gregorio Cincha ga. Dcxé dos cómpralas Je cabnllcna é infantería respectivamente al frente de la guarnición continuando la mina, dirigiendo otra igual feeiza por el camina de J üCtí , por dunda persiguieron e</t>
  </si>
  <si>
    <t>Ciotet, Agustín</t>
  </si>
  <si>
    <t>Agustín Ciotet</t>
  </si>
  <si>
    <t>o de Gardea/abal, 200. D. Juan Soler y G-arceran, 400. D. Alexandro Firpo , 300. D. Pablo Roura, 400. D, Gaspar Remisa, 1000. D. Francisco Díaz, 500. D. Agustín Ciotet, 200. D. Jacinto Alvarez de Pazos , 1000. D. Domin­ go José Cierto , 1000. D. Ramón de barreta, 200. Sres. Gordon Shaw y com­ pañía , 10Ó0. D. Joaquín y D. Jua…</t>
  </si>
  <si>
    <t>Cir</t>
  </si>
  <si>
    <t>cia se ha servido conferir ¿n los cuerpos de infaríerís del cxércíto les empleos siguientes: E x el regimiento de ir?fardería, de. H¿berniacompañía a D. Cir­ io? Tlorati ; tenencias i D. Francisco Gramari, D. Felipe Caballero,D. Vicente Mosquera , D. Anselmo UUoa y á D. M .miel Parta; subtenencias á D. José Gonzauz, D. Temas …</t>
  </si>
  <si>
    <t>Ciríaco</t>
  </si>
  <si>
    <t>os y Robles (D. Josef de) , maestreescuela de la cate­ por la constitución del estado, REI de las Espa­ dral de Granada. das y de las Indias. Romano (D. Ciríaco), teniente del regimiento 3.* Oído nuestro gran consejo de la- Orden Real de cazadores á caballo. de España, hemos decretado y decretamos lo si­ Ruiz (D. Vicente), co…</t>
  </si>
  <si>
    <t>Cirios</t>
  </si>
  <si>
    <t>Gaceta de Madrid n.º 43</t>
  </si>
  <si>
    <t>ente que en vista de las severas providencias tomadas S. A. la duquesa Francisca , viada del difanto por el gobierno americano, se veian precisados á duque Cirios, ha muerto esta mañana en Kirch- suspender los encargos que tenían hechos en las fá­ beim al cabo de una larga enfermedad. Había na­ bricas , y á descargar los barc…</t>
  </si>
  <si>
    <t>Gaceta de Madrid n.º 46</t>
  </si>
  <si>
    <t>do á dar.parte al diván de su comisión. No se ha firmado ningún armisticio, .Dresde t.° de enero. porque las condiciones preliminares que ha pues­ El conde Cirios d' Eiostedcl, que ha sido en­ to el general ruso no han sido aceptadas por el en­ cargado de varias embaxadas, y consejero íntimo viado turco , cuyos poderes erao b…</t>
  </si>
  <si>
    <t>Gaceta de Madrid n.º 50</t>
  </si>
  <si>
    <t>iete de Ir, noche , se re­ de Juana, y la que representó á Doña Tecla. El presentará por la compañía española la comedia en un actor que representó á D. Cirios no debiera haber acto titulada el Zeloso por fuerza, y la opereta el Mé­ manifestado tanta modestia, pues hai otro papel dico turco. Actores en Ja comedia. Señoras Gar…</t>
  </si>
  <si>
    <t>ssau. por la tarde todo lo contrario de lo que se negó por la trunana. Kn fin, admitido el carácter de Las fragatas francesas la Rev.mche y la Prevel D. Cirios , el Fiiósoto casado es una comedia de</t>
  </si>
  <si>
    <t>Gaceta de Madrid n.º 143</t>
  </si>
  <si>
    <t>569</t>
  </si>
  <si>
    <t>ncipado de Pless, en donde vo del nacimiento del Reí de Roma. S. E. irá encontró 100 ó 300 paisanos , que estaban can­ acompañado de su familia y del conde Cirios de tando y h.ion ir» »n celebridad, de la pretendi­ Lowenhjeltn. da libertad que les había concedido S. M. , y o\aaDicese que se han hecho ahora muchas promo­ dó ha…</t>
  </si>
  <si>
    <t>688</t>
  </si>
  <si>
    <t>O. En el regimiento de reales guardias walonas ha concedido el consejo ds Regencia agregación de segundos tenientes á D. Edmun­ do, barón Droste, y á D. Cirios ds Ciery, primeros tenientes que eran del cxércllo austríaco ; y ha concedido asimismo empleo de al­ férez en el propio real cuerpo á D Augusto de Buzzi, teniente que …</t>
  </si>
  <si>
    <t>con exefcicio Gambari (D. Josef), oficial de la compañía, de cazadores de montaña de. Badajoz. A los señores duque de M.hon, marques de la Gimbernat (D. Cirios), segundo director.del retí Vega barco oe Ciaste, masques de Crevccoeur, gabinete ae Historia natural. y conde de Beirbcrana. dGlutz ( D. Víctor), teoiénte del regimie…</t>
  </si>
  <si>
    <t>onor de nombrar­ D. Josef Caparrds, D. Joaquín Marques, D. Juan le su proveedor ó mayordomo, trocando asi las funcio­ del Mármol, D. Antonio Angulo , D. Cirios del nes de ambos; pues al fin el uno peleaba mientras el Castillo, D. Andrés Guerra y D. Josef María Ga- otro se hallaba en Cádiz en las delicias de Capua , que mez, s…</t>
  </si>
  <si>
    <t>148</t>
  </si>
  <si>
    <t>eniosa conjetura de lebridad del cumpleaños de su Soberano. Asistie­ Mr. Lessing, de que los antiguos representaban la ron S. A. el Príncipe Real, el príncipe Cirios y muerte baxo la figura de ua hermoso niño. mas de 200 personas de la primera gerarquía. Augs burgo 21 de noviembre. AUSTRIA. Una carta particular de Copenhague,…</t>
  </si>
  <si>
    <t>Ciríreca</t>
  </si>
  <si>
    <t>r escri­ tres actos titulada Avelino, 6 el hombre de tres caras, to de un descubrimiento, cuya gloria debía de recaer y el fin de fiesta el Mayordomo D. Ciríreca. Actoree' sobre la ciudad y provincia que habían sido las prime­ «n la comedia. Señora María García. Señores Gonzá­ ras i ver semejante espectáculo, que fue en 5 de …</t>
  </si>
  <si>
    <t>Ciritec</t>
  </si>
  <si>
    <t>entará por la compañía española la ópera en dos ac­ sitásemos hacer costosos sacrificios, nuestros cora­ tos titulada el Gulistan, y el fin de fiesta D. Ciritec». zones est.in prontos á hacerlos. ’ En el de la Cruz, á las quatro y media de la tarde, „Tenemos el honor &amp;c. (Signen las firmas). se executará la comedía en tres ac…</t>
  </si>
  <si>
    <t>Ciriteca</t>
  </si>
  <si>
    <t>ubeas \ y eo efecto Mr. Can­ actos titulada Mi tía Aurora, y el fin de fiesta titulado dolle la había colocado en ella aunque con alguna el Mayordomo D. Ciriteca. Actores en la ópera. Seño­ duda. Mr. Richard , qne há tenido ocasión de ana­ ras Lledó, Torres y Cabo. Señores Muñoz , ■ Cristian!, lizar la flor de esta planta rar…</t>
  </si>
  <si>
    <t>mirar la tres actos titulada Avelino, ó el hombre de tres caras, barbarie horrible de estos isleños, quienes por otra y el fin de fiesta el Mayordomo D. Ciriteca. parte están dotados de una hermosa fisonomía , y En el de la Cruz, á Ia9 quatro y media de la tarde, se executará la comedia en tres actos titulada Hacer su de un c…</t>
  </si>
  <si>
    <t>ra el de Bogajo, vacante por ascenso de Don actos titulada las Monjas Visitandinas, y el fin de Domingo Román á canongía de dicha catedral , &amp; fiesta D. Ciriteca. Actores en la ópera. Señoras María D. Manuel Blanco Arroyo, beneficiado de Aldea López, Maqueda, Torres y Cabo. Señores Muñoz, Cristiani, Fernandez, Camas y Justo M…</t>
  </si>
  <si>
    <t>Ciscañon, Federico</t>
  </si>
  <si>
    <t>Federico Ciscañon</t>
  </si>
  <si>
    <t>del dey dé Argel, que trae una numerosa comitiva, y regalos de mucha curiosi­ dad y valor para S. M. ESPAÑA. Castrepol 28 de diciembre. El brigadier*D Federico Ciscañon des­ tinado á la parte oriental del principado por el mariscal de campo D. Xa­ vier Losada, ha dirigido á este general el parte siguiente: “El 26 á las rodé l…</t>
  </si>
  <si>
    <t>Ciscar</t>
  </si>
  <si>
    <t>, qu i le gu¿rien y hagan guardar, cumplir y cxjcuiar en toia# sus paries. Teudreido entendido, y dispondréis lo necesario i su cumplimiento. — Gal ,'d Ciscar, presidente— Au­ sente D. Joaquín Blake coa permiso d« tas Cor*-:?. — Pedro de Agar.— En Cáaiz á 4 de setiembre de 1811.—A D. José Cansa A‘"i^usiies. •• n i» O £ D. Fer…</t>
  </si>
  <si>
    <t>Ciscar, Cibriel</t>
  </si>
  <si>
    <t>Cibriel Ciscar</t>
  </si>
  <si>
    <t>ponían á la instrucción , no obstante era tal la importancia que con razón se daba á estas ciencias, que ademas del curso que escribía el Exorno. Sr. D. Cibriel Ciscar para ios que se dedicaban á la marina, se estaban escribiendo, en virtud de reales órdenes, á un mismo tiem­ po tres cursos elementales. Uno para uso de los in…</t>
  </si>
  <si>
    <t>Ciscar, Gabriel</t>
  </si>
  <si>
    <t>Gabriel Ciscar</t>
  </si>
  <si>
    <t>n este puerto la corbeta del rey la Paloma^ procedente de Alicante, al mando del teniente de navio D. Luis Navarrete : conducía al Excmo. Sr. Regente D. Gabriel Ciscar. Circular comunicada por el ministerio de hacienda á las juntas superiores de provincia, y á los intendentes y subdelegados de rentas. „ La extracción del gana…</t>
  </si>
  <si>
    <t>los 4 meses de la presidencia del Excm©. Sr. D. Pedro Agar, individuo del Consejo de Regencia, le ha sucedido en este importante cargo el Serme.. Sr. D. Gabriel Ciscar, según Ies términos prevenidos en el reglamento. Nota dirigida por el Sr. jD. Enrique Wellesley, ministro de In­ glaterra , al Excmo. Sr. D. Eusebia de Bardaxí…</t>
  </si>
  <si>
    <t>Ciscos, José María</t>
  </si>
  <si>
    <t>José María Ciscos</t>
  </si>
  <si>
    <t>&gt; mas quí romperle el pell jo , y de que llegando.. oportuiarnent-* Guerrero, dexó muerto de un balazo al enemigo.—Al atacar una batéda , el teniente D. José María Ciscos avisó de un canoa que estaba por lá izquierda, y aVanznadó-con el expresado Panciano de Arcos , se apoderaron del c? ñon en el acío mismo de estarlo cargand…</t>
  </si>
  <si>
    <t>Cisnero, Lorenzo</t>
  </si>
  <si>
    <t>Lorenzo Cisnero</t>
  </si>
  <si>
    <t>1000. Total , U,451. ' h'i plata y otros efectos. E! Sermo. Señor presidente D. Pedro de Agar, 25 libras y 8 onzas de plata labrada en varias piezas. D. Lorenzo Cisnero$, un vale real de i50 pesos, de l.° de setiembre. D. Francisco de la Peña Ilodrigo ,13 piezas de lienzo listado con 193 varas. D. José Eduardo de Cárde­ nas ,…</t>
  </si>
  <si>
    <t>Cisneros, Josef</t>
  </si>
  <si>
    <t>Josef Cisneros</t>
  </si>
  <si>
    <t>nandez , y para abanderados á D. Vicente D. Mariano Pineda. Fernande z y D. Manuel Aragón. D. Josef Ladrón. Admismo quedan nombrados para capitanes y D. Josef Cisneros. oficiales de las doce compañías, inclusos los que D. Gerónimo Castellano. lo estaban para el primer batallón, los individuo* siguientes: De la compañía de cab…</t>
  </si>
  <si>
    <t>Cisneros, Tomas</t>
  </si>
  <si>
    <t>Tomas Cisneros</t>
  </si>
  <si>
    <t>rancisco Aguirre ,. 59. D. Lucas Pichardo y Cereceda , adminis­ trador de rentas de. la misma , 100. Los empleados en la administración , 105 y 4 rs. D. Tomas Cisneros vecino de la referida villa; 800..D. Bernabé Sán­ chez, de la misma vecindad , 175, D._ Jopé BernaJ,Kid. GJO.. j). .Ignacio.de Baraorva, id. 750. D. Juan Benit…</t>
  </si>
  <si>
    <t>Cívico, Juan</t>
  </si>
  <si>
    <t>Juan Cívico</t>
  </si>
  <si>
    <t>ta aqui por es­ Tenientes. te artículo? Merece pues que los curiosos se dedi­ D. Joaquín de Medina. quen, como el autor los convida , á comprobar sus D. Juan Cívico. aserciones. Si ea efecto llegasen á realizarse las es­ D. Antonio Tejada. peranzas que ha concebido de sus primeros ensa­ Subtenientes. yos , el descubrimiento e…</t>
  </si>
  <si>
    <t>Ckainberlaync</t>
  </si>
  <si>
    <t>■T2&amp;3 castro 10 as?barcacioaes menores, que navegaban de Plazo á'-N tpoUq. El capitán Ckainberlaync de !a fragata Unidad, echó á piqns el l.Q de julio en la boca del Tiber á un bergantín -francés de 10 cañones, y apresé otro» 3 buques junto á Givitavecehia. El 21 del mismo, eá la costa de Cal</t>
  </si>
  <si>
    <t>Ckampalimond</t>
  </si>
  <si>
    <t>por el regimiento de cazadores portugueses núm. 6 á las órdenes del te­ niente coronel Pinto, perlas compañías ligeras déla brigada por­ tuguesa del coronel Ckampalimond, mandadas por el coronel Sutton, por las de las mismas tropas de la brigada portuguesa del co­ ronel Ashworths , mandadas por el coronel Pynne , y finalmente…</t>
  </si>
  <si>
    <t>Claió, Juan</t>
  </si>
  <si>
    <t>Juan Claió</t>
  </si>
  <si>
    <t>LLA. En I.° de octubre una partida de 18 franceses que salió de Pont de JMolins en Cataluña, fué sorprehendija en JLlers por otra nuestra enviada por D. Juan Claió;, que les hizo 4 prisioneros, cogió 9 fu­ siles, mató 2 hombres , hirió 3, y los persiguió hasta la casa fortifi­ cada que ocupa el enemigo en la baxada de Lltrs. …</t>
  </si>
  <si>
    <t>Clapare</t>
  </si>
  <si>
    <t>dos comparativamente. El 30 de diciembre el genera» Silveira atacó La agua del galbanómetro cargada de sal es un con­ cerca de Troncoso al cuerpo del general Clapare- ductor tanto peor quanto mas se acerca á la saturación. de; peto las milicias de La negó y todas las de­ Era preciso saber qual era la influencia de la longitud…</t>
  </si>
  <si>
    <t>Claparede</t>
  </si>
  <si>
    <t>ometan las tropas que dantes segundos de estado mayor, establecidos por se le confien." el reglamento de 23 de marzo de 1801 , se deno­ La marcha del general Claparede hacia el Due­ minarán para lo sucesivo ayudantes comandantes y ro ha obligado al general Silveira á pasar este rio ayudantes de estado mayor. con mucha precipi…</t>
  </si>
  <si>
    <t>a 27 de febrero Oficio de lord TFellington a D. Manuel Te reyra Forjaz , de su cuartel general de Cartaxo d 23 de febrero de 1811. ** La div.sion dei general Claparede, perteneciente al 9.0 cuerpo* exí re todavía en la ciudad de Guarda, teniendo su vanguardia en Belmontesegún las úitimas noticias que he recibido de aquella pa…</t>
  </si>
  <si>
    <t>mpo español, y se ha apoderado las circunstancias actuales. , de él, y de toda la artillería y bngages. „Qae Mrs. Tomas Reíd, J. J. Angerstein, ,, El general Claparede permanece en Guarda, Juan Tunno, Juan Inglis, y los diputados de y su vanguardia está en BelmoHte. G&lt;a&lt;gow y de Paislei, presenten at canciller del ,,El enemig…</t>
  </si>
  <si>
    <t>Clari</t>
  </si>
  <si>
    <t>a et&gt; su cam­ cua para .Luxémburgo, donde se establecerá sa po de J&gt; hom'a. corte durante L primavera. Se ha renovado con m yor rigor que antes la E¡ príncipe Clari ha sido nombrado para ir £ prohibición de extraer grmos de eda capital La P ¡ris, en lugar del conde Esther«z¡ , á felicitará prt hiíicion se &gt;x. e .de «hora á b …</t>
  </si>
  <si>
    <t>ar las reatas por junio. cuenta de la real cámara de Hacienda. Paris 2 7 de jimio. S. M. ha concedido íioi una audiencia de des­ pedida al Excmo, Sr. príncipe Clari, enviado por ALEMANIA. S. M. el Emperador de Austria para felicitar á S. M. con motivo del nacimiento del Reí de Ro­ Darmstadt rj de junio. ma; al Excmo. Sr. prín…</t>
  </si>
  <si>
    <t>Clari, Josef</t>
  </si>
  <si>
    <t>Josef Clari</t>
  </si>
  <si>
    <t>uere en circuriífuacias nidad de la edad madura. tan extraordinarias como las actuales. Las qualidades y virtudes qué reunidas en este La pérdida d*e D. Josef Clari , coronel dd re­ jóven han podido grangearle el aprecio de los an­ gimiento de fusileros de la guardia real, ha de­ tiguos soldados francesesy de los españoles, l…</t>
  </si>
  <si>
    <t>Clark</t>
  </si>
  <si>
    <t>á subsistir en la travesía á Europa de los viveres que robaba á otras embarcaciones, llegó a Brest en el estado mas miserable el 23 de setiembre. El capitán Clark ha apresado ©l 6 del corriente á la altura de Fecarap al corsario francés Esperanza de 16 eañ ?aes y 50 ham­ bres. — El mismo dia la fragata Nat/ñde, que los diario…</t>
  </si>
  <si>
    <t>Claros, IX Juan</t>
  </si>
  <si>
    <t>IX Juan Claros</t>
  </si>
  <si>
    <t>o del principado, y del valer , siempre admirable y muchas veces feliz y con que Catalu­ ña resiste el yugo que quieren imponerle pus opresores. £)ei coronel IX Juan Claros.— Tora 33 de agosto de 1811. — No­ ticioso de que un cuerpo enemigo de 1600 ir fíintts v 150 caballos . se dirigían á la villa de Calaf, dispuse mi gente,…</t>
  </si>
  <si>
    <t>Clary</t>
  </si>
  <si>
    <t>63</t>
  </si>
  <si>
    <t>habiéndolas alcanzado á Cosa de 2 leguas, les han hecho volver aquí. Ha pasado por primera vez revista O-Farrill al regimiento espa­ ñol , de que es coronel Clary, el sobrino de Jo-é, y se lia extrañado no lo haya hecho Belliard como siempre. Las cartas de Málaga anuncian la llegada de Sebastiani el 30 de noviembre, y haberse…</t>
  </si>
  <si>
    <t>Claudio, Francisco</t>
  </si>
  <si>
    <t>Francisco Claudio</t>
  </si>
  <si>
    <t>Gaceta de Madrid n.º 103</t>
  </si>
  <si>
    <t>istorios lu­ Francisco Miguel Cabello, y D. Francisco de Pau­ terano y calvinista, y el instituto, fueron sucesivamente la..1González; para tenientes D. Francisco Claudio conducidos á la sala del trono por un maestro y un ayu­ Baena y D. Francisco de Yuste Osuna, y para dante de ceremonias, introducidos por S. E. el gran subt…</t>
  </si>
  <si>
    <t>Claudio, Josef</t>
  </si>
  <si>
    <t>Josef Claudio</t>
  </si>
  <si>
    <t>leon (D. Luis), mayor y gefe del esta­ Por S. M., el gran canciller de la Orden duque do mayor del gobierno de Madrid. del Campo de Alange.” Salgado (D. Josef Claudio), canónigo de Sala­ manca. Salinero (D. Cipriano Josef), oficial de la secre­ taría del ministerio de Negocios eclesiásticos. PLAZA DE MADRID. BOLSA. Sansot (D.…</t>
  </si>
  <si>
    <t>Clausd</t>
  </si>
  <si>
    <t>mo Erskine que manda los puestos avanzados del ala izquier­ da d-a exé c to, que confirman haber sido hecho prisionero el ¿ ya­ cíante de órdenes del general Clausd el 19 del corriente con un des­ tacamento de caballería é .infantería enemiga, por el alférez S.reerubitz dd regimiento de húsares, capa empresa es digna de la at…</t>
  </si>
  <si>
    <t>Clausel</t>
  </si>
  <si>
    <t>o que tuvo cerca de Alcañede con las patrullas francesas, á quienes hizo prisioneros 20 in­ fantas y \ dragones, con un oficial, que era ayudante del general Clausel. Ha llegado un paquebote de Inglaterra que trae diarios hasta 1 9 del corriente. Las noticias mas interesantes que contienen, son que el Gran Señor anunció de of…</t>
  </si>
  <si>
    <t>CLbk</t>
  </si>
  <si>
    <t>iones de Astorga a aparecieron formada/al mp*’ uve ato, y el enemigo no adelantó, comearwando las cabezas de. sus cAumims al borde do les alturas. Él brigadier CLbk ir n , viet-do la inacción fiel enemigo, mandó salir dos wsnapañias de cazadores cea 20 caballos de húsares asturiones, los qmr p rkgidcrcn á iss gn rxiI!as enemi…</t>
  </si>
  <si>
    <t>Clement</t>
  </si>
  <si>
    <t>ersuadido de que la uniformidad de senti­ el 14 de febrero el puesto de Bañólas, donde se mientos y la profesión de ana misma doctrina han hallaba el general Clement. El enemigo, cuya formado siempre contra los enemigos de la religión fuerza era de i© hombres poco mas ó menos, fue de nuestro señor Jesucristo nna de las prueba…</t>
  </si>
  <si>
    <t>Clemente, Ifndyes</t>
  </si>
  <si>
    <t>Ifndyes Clemente</t>
  </si>
  <si>
    <t>tiradores de Castilla; los df; «paitan primero ó D. Ramón López Bastamante, D. Joaquín Hdiv.ncks y D, Fí&amp;nciaco Cabelmates; el de primer ayudante á -D. Ifndyes Clemente; los de capitán segundo á D. Juan Antonio CxOtygz, D- Pedro Meriel, D. Pedro Cortijo, D. Francisco Delirado. y DfFarn&amp;ndo Rosales; los de teniente á D. Joaquí…</t>
  </si>
  <si>
    <t>Clemente, Josef</t>
  </si>
  <si>
    <t>Josef Clemente</t>
  </si>
  <si>
    <t>ez de Arintero............. 9661..14 D. Antonio Ordoñez, id., por.................... 2200 D. Fe rmin de Urja Nafarrondo................... 24ü3I3-1^ D. Josef Clemente , id., por........................ 2200 D. Josef López de Arcos................................ 8942..!, D. Juan Flores, ex agusritfo recoleto, re­ D. Raimundo…</t>
  </si>
  <si>
    <t>Clemente, Juan</t>
  </si>
  <si>
    <t>Juan Clemente</t>
  </si>
  <si>
    <t>... 1100 clérigos naturales de Madrid , por mano D. Carlos Perez, ex escolapio, lego, por 1100 de D. Agustín López Hermosa................. 41340.. S D. Juan Clemente, ex-agustino calzado, D. Felipe Hoyos............................................... 4680-19 lego, residente en Chinchón, por........ 1100 D. Gabriel de Alcaraz…</t>
  </si>
  <si>
    <t>Clilton</t>
  </si>
  <si>
    <t>­ 29° Un soldado herido. bre estos movimientos. Resulta de é! que el i.° ds 45.° Un soldado muerto; quatro soldados heridos. dragones, mandado por el teniente coronel Clilton, y 51.° Un teniente, jó soldados muertos; un cjp¡trn, un esquadron del 14.", se han distinguido baxo el inun­ dos tenientes , seis sargentos, 63 soldado…</t>
  </si>
  <si>
    <t>Climen, José</t>
  </si>
  <si>
    <t>José Climen</t>
  </si>
  <si>
    <t>ureTe , 253 rs. D. Alberto Monge , 39. B. Agustin Reguera, 27S. D. José Martos, 1S6. D. Dionisio José Sanche# , 600. D. Juan Rodríguez Sánchez , 272. D. José Climen , 132. D. José Salinas, 224. D. Pedro Robles , 3G7. D. Feli­ pe Rafael de Robles, 938. D. Antonio M azuco y Chazari, 500. D. José Mon­ tano, 52. D. Manuel Portill…</t>
  </si>
  <si>
    <t>Climent</t>
  </si>
  <si>
    <t>a , y que no pudo participar del combate por razón dé la distancia , á pesar del esmero de su digho coronel: y es positivo^que si llega á tiempo , el general Climent y sus 3000 selectos hubieran dexado de existir. Dios guarde á V. E. muchos años. Olot 10 de diciembre de 1810. Excmo. Sr. — El barón de Eróles— Excmo. Sr. D. Enr…</t>
  </si>
  <si>
    <t>Clo</t>
  </si>
  <si>
    <t>139</t>
  </si>
  <si>
    <t>qun lo%i españoles se defe»dierou'_cuerpo &amp; cuerdo en el pu bio de Pozal: pero *sn dice que la izquierda d?. BU-ke iaé rechazada ías. j»onto, que el general Clo^iski que lo verificó, tuvo tiempo para toma? pa.rts en la acción contra el centro. Los españoles de la izquierda y d«í ¿zafiovién* dose igaal mente desmochos , parece…</t>
  </si>
  <si>
    <t>Clopiski</t>
  </si>
  <si>
    <t>he obscura y tempestuosa, y la artillé. ía sufrió averías que retardaron su marcha por algunas horas. Los franceses en número de 5500 mandados por el general Clopiski, entraron en Te­ ruel á las 5 de la tarde ; y á pocas horas de descanso, su caballería siguió á toda furia por el camino de Sarrion, adonde llegó á poco mas de …</t>
  </si>
  <si>
    <t>Clopisld</t>
  </si>
  <si>
    <t>1119</t>
  </si>
  <si>
    <t>ara donde di el punto de reunión. Los ene­ migos , que según las noticias menos exageradas, eran 1000 infantes y de 2 á 300 caballos, mandados por el general Clopisld, se dirigie­ ron á corlar nuestra retirada al punto por donde hablamos pasado el Gálíego, y entre tanto penetré á Eybar en Navarra, donde perma­ necí 3 días, re…</t>
  </si>
  <si>
    <t>Closa, José</t>
  </si>
  <si>
    <t>José Closa</t>
  </si>
  <si>
    <t>y Verges, 400. D. Pedro Mártir Pascual , 200. 1). José TraseiJas, 150. D. José Sopeña , 3,20. IX José Alvareda , 3000. D. Manuel Ferrer y Sans, 1000. D. José Closa, 4-00. D. Antonio Guirií'au , 4üü. D Simón de Agreda , 200. IX José Cubero , 200. i). Cristóbal Vidal, 120 D. Ricardo Mea.de , 1000. D. Jacobo Enrique Mistíer , 40…</t>
  </si>
  <si>
    <t>Cmwford</t>
  </si>
  <si>
    <t>que hacia marchar el enemigo mucho número de su caballería por este punto, juzgué prudente hacer retirar la divi­ sión ligera mandada por ehbrigadier general Cmwford , que en con­ secuencia se retiró de Gallegos y Espeja á las 2 de la madrugada para Navabd. — Observando la rapidez del adelantamiento del ene­ migo y el número …</t>
  </si>
  <si>
    <t>Co, Bartolomé</t>
  </si>
  <si>
    <t>Bartolomé Co</t>
  </si>
  <si>
    <t>* la humanidad y de la patria, se 2n\ servido aprobar con techa de 15 del pasado el de una. academia médica en esta ciudad, segur» le había propuesto D. Bartolomé Co­ lé-mar, doctor en medicina. Esta academia celebró su primera sesión ti 22, según se manifiesta por el siguiente oficio que la junta -a man-</t>
  </si>
  <si>
    <t>Co, José</t>
  </si>
  <si>
    <t>José Co</t>
  </si>
  <si>
    <t>n Whitte , 500. D. Miguel Boldíi, 200. D. Juan Imbert, 40. D. Juan Sans de Sto. Domingo, 200. D. Jo­ sé Gordoa, diputado en Cortes por América, 2000. D. José Co!í, 1000. Don Ignacio Garceran , 200. D. Pascual Moreno de. Mora, 200. D. Antonio Cortes y Coll, 300. D. Félix Pulí, 200. D. Mariano Lobera, 400. D. José Solernou, 200…</t>
  </si>
  <si>
    <t>CO, Morillo</t>
  </si>
  <si>
    <t>Morillo CO</t>
  </si>
  <si>
    <t>es hicieron los 200 que se quedaron para eíte efecto, que han sido muchos mas de los que se había creído. Entre Villafranca y los Santbs ha cogido el brigadier Morillo 2CO caballos enemigos que estaban tomando verde. --Se asegura que vie­ ne al exército del mariscal Bsrcsfcrd un refuerzo de 2CC00 hombres. —■ Aquí hay des escu…</t>
  </si>
  <si>
    <t>Coarten</t>
  </si>
  <si>
    <t>­ gadas de Tortosa, y que se hallaban en la plaza el dia, ;$, ascienden á 500 Jes heridos que tuvo. c* No -téng’i''expresiones suficientes ( dice .él general Coarten ) para peder ;rhr niltscar á V.: E. mi satisf.ceiba , al ver el válor -y bizarría de ks trepar que he tenido el li mor de mandar : paree i a que cada uno iba á p…</t>
  </si>
  <si>
    <t>Otras noticias de la frontera confirman las del coronel Espoz en orden al transito de tropas h cia Francia. Tarragona 16 de abril. Eas divisiones del general Coarten y del brigadier D, Pedro Sarsfield se pusieron en movimiento á mediados de marzo para hacer un reconocimiento sobre Barcelona , y lo exec.ula• ron mandadas por e…</t>
  </si>
  <si>
    <t>Cochrane</t>
  </si>
  <si>
    <t>Cour.) para las costas. Una carta de la Guadalupe refiere un aconteci­ * Del 7. miento bastante desagradable , de resultas de una proclama en que el gobernador Cochrane llamaba Extracto de una carta de un oficial que se halla á los habitantes, imponiéndoles una multa si 00 so d bordo de los buques que cruzan delante del prese…</t>
  </si>
  <si>
    <t>Cockrane</t>
  </si>
  <si>
    <t>uerpo que se hallaba en S. Felices, se formó luego que oyó el fuego del otro lado del rio, con el fia de proteger el paso de los que se escapaban: el teniente coronel Cockrane del regimiento 36 que habla pasado á la orilla opuesta .del rio con un destacamento del referido regimiento y del núm. 4, fuá por consi­ guiente obliga…</t>
  </si>
  <si>
    <t>Codoni, Francisco</t>
  </si>
  <si>
    <t>Francisco Codoni</t>
  </si>
  <si>
    <t>9 cienda, y oido á nuestro consejo de Estado, hemos decre­ 3 D. Francisco Heraso...i....................... 1263 17 tado y decretamos lo siguiente: 1 D. Francisco Codoni..................... ..... 54i 27 articulo i. „Se declara acreedores del estado por ré­ 2 D. Jorge Galbatt, por su apoderado daos de vales reales á D. Es'éba…</t>
  </si>
  <si>
    <t>Codronchi</t>
  </si>
  <si>
    <t>UEVES 28 DE FEBRERO DE 18ti. GRAN B R E T AÑA. REINO DE ITALIA. " ¿Londres de eñero. Milán 20 dé enero. Nueva-Yorck ió de diciembre de 1810. S. E. el conde Codronchi, limosnero mayor, Se da por seguro, dice na diario de la nueva ha presentado hoi á S. A. I. en nombre del pue­ Orleans, que Folk , gobernador Parizacola , es­ bl…</t>
  </si>
  <si>
    <t>Coeln</t>
  </si>
  <si>
    <t>mbros de la nobleza , junto con Acaban de publicarse los documentos relativos los oficiales de artillería , se dirigieron en procesión á la causa del consejero Coeln , acusado de haber el dia 17 á la iglesia de Werchneukalski, donde el faltado á los intereses y secretos del estado. El archimandrita Paulow celebró la' misa por…</t>
  </si>
  <si>
    <t>Cohniro, Bernardo</t>
  </si>
  <si>
    <t>Bernardo Cohniro</t>
  </si>
  <si>
    <t>Gil, D. Salvador PJau , D. José Manri£b&gt;, D. Rimon Lanza, D. Agustín Magi Domenec, D. Juan Ma­ nuel Suero y D. Isidro' Parrado; los de subteniente á D. Bernardo Cohniro, D J mn La*o Policarpo, D. Juan Corvera, D. Manuel T-boada, D. Nicolás Pardo, D. Juan Mosquera. D. Manuel Varo, D. Francisco García, D. Ojmingo de Torres y D.…</t>
  </si>
  <si>
    <t>Coimbis, Manuel</t>
  </si>
  <si>
    <t>Manuel Coimbis</t>
  </si>
  <si>
    <t>de dicho real cuerpo de ingenieros, y al capitán D. Angel Valiejo, teniente de húsares de Cantabria. El oidor honorario de la audiencia de Guatemala D. Manuel Coimbis, asesor del consulado de la'Habaüa, siguiendo en sus prin­ cipios de auxiliar, en cuanto !e permiten mis circunstancias, á la causa justa que defienda ha nación…</t>
  </si>
  <si>
    <t>Coiuinbini</t>
  </si>
  <si>
    <t>n D, Pedro Yandiola. Su pérdida consistió en 73 muertos y 94’prisioneros ; de nuestra parte solo hubp,algunos con­ fusos , e'ritre ejlos.cl caf&gt;ita,n conde Coiuinbini, qup hallándose'con otra comisiosb en: Tolúca , quiso.participar d? la gloúá de pelear’contra los enemigos de i. rey-y de la patria. ¡ . Dzí 17. de'&lt;etiero. La …</t>
  </si>
  <si>
    <t>Cojos</t>
  </si>
  <si>
    <t>madera. cas, en donde habia colocado su caballería, tomó La situación miserable de estos dos infelices,' le­ sus disposiciones , de concierto con el coronel Cojos de mover'Úrcompaston al comandante del bar­ chonoski , para desalojarlo de ellos. co ingles, parece,que le incomodaba demasiado, y En la oOcbe del 19 el coronel Kli…</t>
  </si>
  <si>
    <t>Col, Manuel Diaz</t>
  </si>
  <si>
    <t>Manuel Diaz Col</t>
  </si>
  <si>
    <t>de Reguar, por el sueldo de 4 meses que ha ce­ dido para las urgencias de la guerra , 500. D. José Prieto y Raidos ^ y D. Pedro de Olasagarre, 2000. D. Manuel Diaz Col unge , 250. (Se conliriuará.) CADIZ: EN LA IMPRENTA REAL.</t>
  </si>
  <si>
    <t>Colbert, Luis</t>
  </si>
  <si>
    <t>Luis Colbert</t>
  </si>
  <si>
    <t>o.” Continúa la lista de los subscriptores en favor da Exento. Sr. D. Pedro de Moray Loma!. loo la comisión de beneficencia para socorrer los ve­ Sr. D. Luis Colbert............................... . 12 f cino« menos pudientes de esta corte, establecida Sr. D. Salvador Darrigol...... i.................... 80 por real decreto d…</t>
  </si>
  <si>
    <t>Colé</t>
  </si>
  <si>
    <t>o dJ rcryor general Pictoa se formó en las márgenes del pinar en dos lí neas c igualmente 3cbre la derecha : la cuarta división mandada por él rsayor general Colé, formada eri dos lineas en el centro , tenia la briga­ da del brigadier general Pack apoyándole su derecha y comunicando ccn la división tercera, y la división lige…</t>
  </si>
  <si>
    <t>desalojarlos de ia posición que ocupaba por medio de mo vi:níentos sobre sus flancos. En consecuencia hice mover la cuarta divi­ sión, mandada por el general Colé, sobre PeneiJa, con el fi i de ase­ gurar el páso del rio Eza y ía comu aleación con E&lt;pi hal, certa de cuyo pueblo el mayor general Nightingaie htbia estado en obs…</t>
  </si>
  <si>
    <t>373</t>
  </si>
  <si>
    <t>ioneros m°.s de 22® hombres de tropas españolas. -T- Tengo la honra &amp;c. Cuartel general de Yillaseca 14 de marzo de i3ti.--IFellington” II. “El mayor general Colé se reunió con el mayor general Nigfitingale en el Espinhü en la tarde del 14 del corriente. Este movimien­ to , con el cual quedó pasado eb rio Eza, nos dexó en dis…</t>
  </si>
  <si>
    <t>eren valerosamente el ataque : pero conti­ nuándolo el enemigo con empeño y con nuevas fuerzas, fueron au­ xiliados los españoles por la división del general Colé que llega­ ba del campo de Badajoz, y reunidos rechazaron al enemigo y mantuvieron su posición. Después hubo ataques mas ó menos fuertas de infantería y varias carg…</t>
  </si>
  <si>
    <t>i duba plaza, y bocho marchar la infantería á la posición que e?‘á epíVeme cié Valverds, excepto la división del mayor general, el honorable teniente general Colé , á quien dexé con 2000 hot- bres de tropa española para cubrir la evacuación de nuestras provisiones.</t>
  </si>
  <si>
    <t>hasta la noche , ni colocarse en posición hasta la ma­ ñana del 16 ; en cuyo dia se juntó también un poco antes de empezar la acción, la división del general Colé con la brigada española á las órdenes de D. Cários España. — Nuestra caballería se había visto forzada en la mañana del 15 á retirarse de Santa Marta, y tan-bien se…</t>
  </si>
  <si>
    <t>r general el ho­ norable Guillermo Lumley que mandaba la caballería aliada, aun­ que esta era sumameate inferior en numeró á la contraria. El ma­ yor general Colé, en vista del ataque del enemigo, movió acertada­ mente un poco su izquierda, marchó en línea á atacar la izquierda del enemigo, y llegó oporf ttnísimaifiente para …</t>
  </si>
  <si>
    <t>encontraban ni pan ni agua,'ni. 3.a división: general Picton, en Castel-Branco." provisiones de ninguna espfcfcie , y lo mas particular 4.a división: general Colé, en Estremoz. es qpe la ciudad estaba .sitiada por la parte de tier­ 5.a división: general Durclop , en Portaiegre. ra por el exército de Buenos-Aires, el qual habí…</t>
  </si>
  <si>
    <t>fayatéR. A este tiempo mandé que el general Pack-snbnm los atacase con la brigada de su mando, perteneciente á la cuarta división, y que ei leu ¡ente general Colé con el resto de la mi3ma división y ia caba­ llería de Sir Stapíeten Cotton lo so3tuvi«se ; con efecto, el an-sraigo tuvo que retirarse á través de Aldea de la Puen…</t>
  </si>
  <si>
    <t>Colero, Juan Antonio</t>
  </si>
  <si>
    <t>Juan Antonio Colero</t>
  </si>
  <si>
    <t>az , 40. D. Jorge Montero , 25. Don Domingo'Mosqueira, 25. D. Aiidres Pumar , 25. Jóse Antonio Perez, 15. Santiago Forco , 6. D. Agustín Ferrer , 10. D. Juan Antonio Colero , 6. Mar­ celo Perez , 6. Juan de Dios Perez, 6. Andrés González , 6. José Más , 6. Nicolás Mas, 5. Anastasio Noriega , 5. Juan Alvarez , 4. Carlos Morale…</t>
  </si>
  <si>
    <t>Colín</t>
  </si>
  <si>
    <t>Gaceta de Madrid n.º 156</t>
  </si>
  <si>
    <t>cupan con grandes fuer­ Berlín *6de abril. t zas la posición de Ternocsa en el camino de Aqdrinópolis. La guarnición de Varna ha sido refor­ El señor consejero Colín, bien conocuíófi per zada con 500 bostangis. sus escritos, ha publicado hace poco uqa Bueyk Seiman-agá, uno de los géfes y de los mayo­ obra intitulada materiale…</t>
  </si>
  <si>
    <t>Coll</t>
  </si>
  <si>
    <t>z y OÜvencia. El 15 estaba el cuartel general en la Albuhera , habiendo ido el 14 dos di­ visiones á Tala vera la Real y Santa Marta; la división del general Coll quedó bloqueando á Olivencia. El mariscal Morder, según noti­ cias contestes, había salido de Badajoz con cinco regimientos de infan­ tería , dexando de guarnición …</t>
  </si>
  <si>
    <t>Collado, Julián</t>
  </si>
  <si>
    <t>Julián Collado</t>
  </si>
  <si>
    <t>nito de Torres, natura! de Sis inte, e:i la Man­ ES-IENEDICIINOS. Rs. vn. cha , residente en su pueblo , p ,r......................... 22 00 anuales. D. Julián Collado, natural de Cuenca, residente D. Cipriano Bjyol, residente en Toledo, por........ 2200 en Toledo, por.................................................... 2200 …</t>
  </si>
  <si>
    <t>Collado, Martin</t>
  </si>
  <si>
    <t>Martin Collado</t>
  </si>
  <si>
    <t>buena disposición y deseos de llegar á las manos, con el enemigo , haciéndose recomendables por su celo los comandantes de escuadrón D Juan Pesquera, D. Martin Collado, D. F^ancicco Or rancia , D. Manuel Oviedo y Cosío, D. Matías A í;u ir­ re, D. Ramón Cardona, D. Francisco Goyenechey D José Gabriel Armijo. El Sr. mayor gener…</t>
  </si>
  <si>
    <t>Collins</t>
  </si>
  <si>
    <t>ue se les ha ofrecido de cbRtinwvdrse: no sé de un solo individuo que no haya cumplido con tu obligación. 'f\ mo que quede inútil para el servicio el coronel Collins, co­ mandante de una brigada portuguesa, y oficial de gran mérito, por haberle llevado una pierna una bala de cañón; y siento profunda­ mente la muerte def gener…</t>
  </si>
  <si>
    <t>su esquadrilia delante d« nerales Houghton y sir W. Miers y el coronel Gacta. Duckworth han sido muertos, y heridos los ge­ nerales Colé y Stuari; el coronel Collins ha per­ IMPERIO FRANCES. dido una pierna. Otros muchos oficiales han sido Niza { Alpes marítimos) n de mayo. muertos. Se esperaba de la parte del norte al lotd W…</t>
  </si>
  <si>
    <t>Colmenares, Pedro</t>
  </si>
  <si>
    <t>Pedro Colmenares</t>
  </si>
  <si>
    <t>Medina y Don Valentín Ampliáis: á tenientes, á los subtenientes D. Franc s :o Pr-yricr y Moreno , graduado de teniente , D. José Seguido Iz­ quierdo, D. Pedro Colmenares, D. Pedro de la Castalia ,r D.'J&amp;cé Nicolás de Chimioni y D. Antonio Fernandez. :</t>
  </si>
  <si>
    <t>Colmenero, Francisco</t>
  </si>
  <si>
    <t>Francisco Colmenero</t>
  </si>
  <si>
    <t>sé Matras, D. Aarustin Scrra, D. Antonio Quircó, D. Cristóbal Alvaro, Don José Torreas, D. José María Cazarla, D. Vícente Crosal. D, Ma­ nuel Dorado, D. Francisco Colmenero, D. Juan B anco, D.. Miguel Albert, D. Antonio José Ranee, í). Joaquín Mateos, D Luis Ma­ riano Espinosa, D. Jo3¿ García Saez, D. Bernardo González'y D. R…</t>
  </si>
  <si>
    <t>Colon, Diego</t>
  </si>
  <si>
    <t>Diego Colon</t>
  </si>
  <si>
    <t>do á la legación, el Dr. La Carrera y Mr. Ri­ cardo Wellesley. Sexto , el lord Burghersh , Sir Sidney Smith-, Mr. Ha■niltpn y Mr. Mackenzie. Séptimo, D. Diego Colon, agregado á la jegacion , el lord Holiand , el coronel Burke , y d teniente capitán es­ pañol M. T. Langton. Octavo, D. Hilario Rayas Salmón, vicecónsul de España…</t>
  </si>
  <si>
    <t>Colon, Josef</t>
  </si>
  <si>
    <t>Josef Colon</t>
  </si>
  <si>
    <t>a patria está en peligro, y se Leyóse á continuación un oficio- del decano del tomasen grandes medidas para su remeció. El señor consejo de ('astilla D. Josef Colon, remitiendo la García Herreros: que el asunto que se trataba era mas piotesla del obispo de Orense, diciendo que sin darla transcendental de lo que parecía; que h…</t>
  </si>
  <si>
    <t>Colonna, Allano</t>
  </si>
  <si>
    <t>Allano Colonna</t>
  </si>
  <si>
    <t>Cari.ti, oficial de orde­ nanza de S. M. el Rei de las Dos- Siciiias; el se­ ñor Cárlos Carafa, gentilhombre napolitano, y PLAZA DE MADRID. BOLSA. el príncipe Allano Colonna , gentilhombre de S. M. DIA 5 DB JUNIO DB l8ll. Por el Excmo. Sr. de Ceito, ministro plenipo­ tenciario de*S. M. el Rei de Bdviera: l j El príncipe de Oc…</t>
  </si>
  <si>
    <t>Colorado, Valentín</t>
  </si>
  <si>
    <t>Valentín Colorado</t>
  </si>
  <si>
    <t>................ 2 300 D. Lid ro Alcaide, natural de Carbajales , partido EX-DO.lL IV ICOS. de Zamrra , residente en Toledo, por................ 2200 D. Valentín Colorado, natural de Toledo, en don­ D. Josef Monasterio , natural del lugar de Ccceda, de reside, por................. -.................................... 2 200 d…</t>
  </si>
  <si>
    <t>Colville</t>
  </si>
  <si>
    <t>ntería ligera perteneciente á la división del mayor general Picton, mandada por el teniente coronel Wiíliams , y sostenida por la brigada del ma­ yor general Colville, se presentó y rompió su fuego contra el ene­ migo. En este mismo momento la cabera de la columna del mayor gej^rai Dunlop pasó el puente del Coa, y subió las a…</t>
  </si>
  <si>
    <t>Coma, Ignacio</t>
  </si>
  <si>
    <t>Ignacio Coma</t>
  </si>
  <si>
    <t>gui.............................. 6012 D. Juan de Lecanda........................ 6407.. 251 D. Julián Ruiz de Reajal........ .............. 3039.. 4 D. Ignacio Coma....................................... 1083 Doña María Arquedas............................... 202 50 Doña María Petra Pastor.......................... 1263.. 17…</t>
  </si>
  <si>
    <t>Coma, Pablo</t>
  </si>
  <si>
    <t>Pablo Coma</t>
  </si>
  <si>
    <t>a.. 2223 10 encargado de la eXecüeion del presente decreto. = D. Josef Ignacio de Mcndia......... 9449 &lt;5 Eirmado = YO EL REI. = Por S. M., el minis­ D. Pablo Coma......... .......... .......... 1400 tro secretario de Estado=Firmado — Mariano Luis D. Josef Fernandez de la Cuesta.. 215000 25 de Urquijo.“ D. Juan López Guzman..…</t>
  </si>
  <si>
    <t>Comadira, Antonio</t>
  </si>
  <si>
    <t>Antonio Comadira</t>
  </si>
  <si>
    <t>a , 30. Don Juan Fuertes , 75. D. José Batí le , hermanos y conpañía , 303 y 5. D, Ense­ bio Gómez , 50. D Jaymc Kernati, 25. D Antonio Moreno,- 100. D. Antonio Comadira, 2.0. D. Andrés Moreno , 330. D Gerardo Bas.,‘300. D. Juan .Mar­ ti y Robus , 62 v 6 rs. D. José Ferrer, 75. IX Matias Rere/., 50. D. Gaspar Bavi , 50. D- Ja…</t>
  </si>
  <si>
    <t>Combate</t>
  </si>
  <si>
    <t>Gaceta de Madrid n.º 22</t>
  </si>
  <si>
    <t>ertos en el campo to los grandes reverberos que se han puesto en él* de batalla ó ahogados en el Drina. Después del Después que ha subido ai trono el Emperador Combate hubo una conferencia entre el visir y reinante Se han colocado en todos los faros de las Gzerni-Jorge Petrowitsch, en la que se convino costas del Báltico algu…</t>
  </si>
  <si>
    <t>Combé</t>
  </si>
  <si>
    <t>1347</t>
  </si>
  <si>
    <t>s acciones ka sido el haber perdido los cnsaaigos m el campo de batulia 5 ofid&amp;tes y 215 ii&lt;\¡Qftbr#s, y tenido 137 teid^s, centándosc cutre tilos o! coronel Combé. Elogia parti­ cularmente Lo&amp;ga la conducta ¿i?,• todos los oficiales y tropa, aseguraatlo que nada han dexad® que desear.— El c-íuiiundantá de las «aosíf ña* de E…</t>
  </si>
  <si>
    <t>Comes, Antonio</t>
  </si>
  <si>
    <t>Antonio Comes</t>
  </si>
  <si>
    <t>1384</t>
  </si>
  <si>
    <t>siguiente estaba ya todo ¿n dispo­ sición de obrar: pero ¿rites de romper el fuego, envié al comandan­ te enemigo por medio de mi ayudante el espitan D. Antonio Comes, la intimación del número primero. La del número segundo fuá bu contestación, y mi réplica la boca del canon y el vivo fuego de la fusilería". A tes primeros ti…</t>
  </si>
  <si>
    <t>Comino, Gaspar Juan</t>
  </si>
  <si>
    <t>Gaspar Juan Comino</t>
  </si>
  <si>
    <t>ijares, á D. Diego tero D. Vicente García. Coimeras, diácono. Para el del Salar, vacante por promoción de Para el de Huetor Tajar, vacante por muerte D. Gaspar Juan Comino á un beneficio de Loza, de D. Fabian Roelas, al presbítero D. Josef An­ al presbítero ex-regular de S. Gerónimo D. Juan tonio Rodríguez. Josef García. Para…</t>
  </si>
  <si>
    <t>Comten, Juan</t>
  </si>
  <si>
    <t>Juan Comten</t>
  </si>
  <si>
    <t>418</t>
  </si>
  <si>
    <t>. Del 9 de marzo El $ del corriente se publicó de orden del coman­ dante general marques de Campo verde el aviso siguiente: cc El maris­ cal de campo D. Juan Comten me da parte verbal por medio de un oficial que á el efecto llegó anoche diciendo, que en el dia anterior hsfeia batjdo los enemigos del Píate y pueblos de Pe reli…</t>
  </si>
  <si>
    <t>Con, Juan</t>
  </si>
  <si>
    <t>Juan Con</t>
  </si>
  <si>
    <t>.t-ra de xin mü:rto y'otro harid:-. Se distinguieron en esta facción' ios alféreces D. Juan Con es y D. Minuel Vamba. Nucirás tropas cubren la frontera , de este reyno por la portade Angón, donde el enemigo hi disminuido sus fuerzas, destinando parte de ellas á Navarra, contra ei coronel Esp</t>
  </si>
  <si>
    <t>Concha</t>
  </si>
  <si>
    <t>1036</t>
  </si>
  <si>
    <t>de artillería. Con esta noticia , dexando al capitán Linares en aquel punto, salió con una compañía de voluntarios de Cslaya, á que se reunió la del capitán Concha, y juntas con una partida ele drago­ nes de España á cargo del subteniente D. Juan Lopes, atacaron con tal impetuosidad al cuerpo opuesto de enemigos,-que. .sin.da…</t>
  </si>
  <si>
    <t>Concha, Sebastian Francisco de Paula</t>
  </si>
  <si>
    <t>Sebastian Francisco de Paula Concha</t>
  </si>
  <si>
    <t>teniente , á tenien­ de la compañía ya citada ; por capitán de una de te de la tercera compañía en la vacante de Don Jas que compongan el esqoadron á D. Sebastian Francisco de Paula Concha. Gil; por teniente á D. Pablo Teófilo Gonet, y art. viii. Nuestro ministro de la Gnerra que­ por subteniente á D. Antonio Fernaadez y Don …</t>
  </si>
  <si>
    <t>Concha, Viceace</t>
  </si>
  <si>
    <t>Viceace Concha</t>
  </si>
  <si>
    <t>nes de España y México a:fé ez D Ja é María Barfieri ..y „D- Ignacio Iberri; los de dragones de Qjeré car o , Puebla, S Luis y ¡Sfc C^rips, tenientes D. Viceace Concha, D. Vicente B asta manee, D. Pedro Iitíaz y D. José Mora , los alféreces deL cuerpo de</t>
  </si>
  <si>
    <t>Conchero, Pedro Rodríguez</t>
  </si>
  <si>
    <t>Pedro Rodríguez Conchero</t>
  </si>
  <si>
    <t>ral de los tres nuevos de­ vicario general de Polonia, Prusia y Lituania; tradu­ partamentos (bocas del Eba, bocas del Weser y cido al castellano por D. Pedro Rodríguez Conchero, Ems superior ) , ha llegado esta mañana a Hambnr- presbítero: un tomo en 8.°, con una estampa fina alu­ go. Había hechos grandes preparativos' para …</t>
  </si>
  <si>
    <t>Condado, Joseí Castro</t>
  </si>
  <si>
    <t>Joseí Castro Condado</t>
  </si>
  <si>
    <t>nacional, se ha visto á lá marina francesa ta vacante por ascenso del insinuado Abarutegui, renacer Como el fénix de sus propias ceoizas cada al Dr. D. Joseí Castro Condado, alcalde mayor vez mas fuerte, y cada vez mas formidable. de Ciudad-Rodrigo. Apenas se oyó el canon por la vez primera en las batallas navales, qoando ya …</t>
  </si>
  <si>
    <t>Conde, Isidro</t>
  </si>
  <si>
    <t>Isidro Conde</t>
  </si>
  <si>
    <t>de S. A.” Concluyen los donativos de la comandancia general de Panamá. Partido de la villa de los Santos. Fr. Francisco Vidal , cura interino, 10'). D. Isidro Conde , teniente cura , 15¿ D. Pedro Casa-mayor , sacristán n.avor , 2o. D. Gerardo de Casas , id menor , 15. E! presbítero O. .Manuel ViU dáz, \0.~—Jurisdicción de Par…</t>
  </si>
  <si>
    <t>Conde, Jo'cf Antonio</t>
  </si>
  <si>
    <t>Jo'cf Antonio Conde</t>
  </si>
  <si>
    <t>Jock , oficial d&gt;1 D. Vicente González Arnao. regimientp de caballería ligera de la casa dei R5i D, Peoro Estala. -j . • 1 • t..&lt;: , ■ de Suéciá. ’! D. Jo'cf Antonio Conde. ■ 1 ; Por 1S, - JE., el barón de .VValtersrorf, ministro D. Tomas García Suelto! v plenipotenciario ,de S. M. ei .Rei de Dinamarca, • . D. K-inon Moreno. …</t>
  </si>
  <si>
    <t>Conde, Josef Antonio</t>
  </si>
  <si>
    <t>Josef Antonio Conde</t>
  </si>
  <si>
    <t>ganes y Posada. bilí le parece que es;el.camino mas largo; que ne­ D. Martin Fernandez Navarrete. cesariamente dcdier ocasionar dilaciones, y que lo. D. Josef Antonio Conde. que mas itnporta eo este, momento es suplir quan- D. Josef Marcbena. to. antes- la. suspensión: de. la autoridad real. Desde . art. 11. Nuestro ministro …</t>
  </si>
  <si>
    <t>Conde, Josef Mana</t>
  </si>
  <si>
    <t>Josef Mana Conde</t>
  </si>
  <si>
    <t>1 D. Rat.iel S^ravia. D. Francisco Sol.no Tablada. D Josef C-F zas. art. iv. En la villa de Cabra se formará UQ D. Miguel Gírela Vizcaíno. batallón. D. Josef Mana Conde. Queda nombrado para comandante de este ba­ D. Antonio Pineda. tallón D. Francisco María Lechuga; para ayudan­ tes D. Carlos Buil y D. Francisco A nropio Quev…</t>
  </si>
  <si>
    <t>Conde, Tomas</t>
  </si>
  <si>
    <t>Tomas Conde</t>
  </si>
  <si>
    <t>novecientos reates de vellón. D. Rodrigo Zorrilla...................................... 53714.. 9 art. íi. Se entregarán las correspondientes cédulas D. Tomas Conde............................................. 3471 hipotecarias, en conformidad á lo prevenido en el artí­ D. Joaquín Pclaez................................. 4459 …</t>
  </si>
  <si>
    <t>Condestable, Juan Bautista</t>
  </si>
  <si>
    <t>Juan Bautista Condestable</t>
  </si>
  <si>
    <t>n. M34 8|l 3 D. Juan de Iriarte..-............................ 16335 üí Josef Gamboa.............. 6859 1 D. Gregorio de los Tueros......... . 1805 2 D. Juan Bautista Condestable........... 545 17 1 Doña Angela Imperial........................ 18c j 1 Doña Alfonsa Chavarría.................... 185 17 I D. Josef Jesús García, …</t>
  </si>
  <si>
    <t>Conejo, Sebaptiun</t>
  </si>
  <si>
    <t>Sebaptiun Conejo</t>
  </si>
  <si>
    <t>rónimo BaÜeza. D Joaquín Xiinanez. D. Teodoro C3iab;U. D. Francisco Pastor. D. José Mari* Canal. D. Vicente. Fría». D. Pedro Taboada. D. Juan Echáis. D. Sebaptiun Conejo. D. Manuel María Lanza sorta. Lie. D. Jcsé Marín Chicc. D. Luis Msrcles. Lie. D. José María Letona. D. Jacoho A rctdo, teniente coronel. D. Luis Malo, corone…</t>
  </si>
  <si>
    <t>Conf</t>
  </si>
  <si>
    <t>ue retirarse con bas­ tante pérdida. Parte de la guarnición de Barcelona salió de la pla­ za al advertir ni fuego , y se encontró con la división del general Conf­ ien , quien tuvo por conveniente retirarse , porque la obscuridad de la noche le impidió conocer ei número de ios enemigos. El general en ge fe deseando atraerlos,…</t>
  </si>
  <si>
    <t>Conoce, Juan</t>
  </si>
  <si>
    <t>Juan Conoce</t>
  </si>
  <si>
    <t>ar de la proclama D. Pedro María Cano para formar el mismo con­ qne se lo prohíbe. Qualquier hombre racional co­ sejo en la prefectura de Madrid; y á D. Juan Conoce qne los católicos podían seguir su pretensión tnin y Quilti, D. Toief Gordon y Gomes y Dos sin necesidad de reunirse en asambleas de 6co á Dionisio Juan Caballero…</t>
  </si>
  <si>
    <t>Conrado</t>
  </si>
  <si>
    <t>ón. Bermudez ( D. Luis), individuo de nuestra guar­ Dubreuii ( D. Jorge), capitán del regimiento Real dia de honor de Sevilla. Extrangero. Bidekavis (D. Conrado), tambor del regimiento Dupui (D Juan Bautista), ayudante mayor da Real Fxtrangero. Caballé,ía ligera de nuestra guardia real. Blancas (D. Mariano) , oficial de la se…</t>
  </si>
  <si>
    <t>Conronx</t>
  </si>
  <si>
    <t>vela para Cádiz, dexando en el país 2® desertores ó disper­ IMPERIO FRANCES. sos , y en nuestro poder 300 prisioneros, que les hizo la vanguardia del general Conronx en ia jor­ Parts 10 de julio. nada del 2 en Calañas, 6 que la guarnición de S. A. Ema. Morí. el cardenal Fesch ha dirigi­ Niebla les cogió quando salió en su seg…</t>
  </si>
  <si>
    <t>Conssj</t>
  </si>
  <si>
    <t>servido expedir el destelo que sigue s ' .' . ' D. Fernando víi , por Iá gracia de Dios, rey de España y de las Lidia», y en su ausencia y cautividad d Conssj-.s do Rvgenoia, autorizado interinamente, á todos' íóstqne las pre-i^ntes vie; ?i y en- . tendieran , sabed: Qué en las Córte» general* s y extraordinarias,, congregada…</t>
  </si>
  <si>
    <t>Constantino</t>
  </si>
  <si>
    <t>rden á |o$ géneros coloniales ; conformándose con tería y caballería, mandados por S. A. I. el gran las instrucciones /qne ha recibido, ordena lo si­ duque Constantino. El Emperador pasó á las n guiente: • £ revista -á estas tropas. Concluidos los oficios divi­ „ Toda mercancía de fábrica inglesa existente nos, salió la proce…</t>
  </si>
  <si>
    <t>r de (a galería de Schieisheim se ha tomado trin­ cosaco que ha obtenido til distinción. cho trabajo en desembrollar la historia de los prin­ El gran duque Constantino «alió esta mañana cipios de la escnela alemana , y demuestra que esta para Ir á pasar alguno» alias eo Twer con su her­ se formó al mismo tiempo que la escuela…</t>
  </si>
  <si>
    <t>ado los em­ otro ce proponen mas objeto que el bien púb#fco. pleados de rentas. El museo de historia uatural de la nueva uni­ Ayer llegó aquí la gran duquesa Constantino versidad de Berlín ha recibido de S. M. el Re¡ de de Rusia, que viene de Venecia. Prusia una rica colección de objetos zoológicos del El gobierno ha dirigidó…</t>
  </si>
  <si>
    <t>o. presentado á S. M. la Emperatriz reinante; á S. M. la Emperatriz madre; á 5. A. I. la gran duquesa GRAN DUCADO DE BADEN. Ana, y á S. A. I. el gran duque Constantino. El duque de Vicenza y el conde de Lauriston tuvie­ Manheim 4 de junio. ron aquel día el honor de eonier con S. M. el Em­ El 31 del mes de mayo próximo pasado …</t>
  </si>
  <si>
    <t>está hecha en grande por el inventor, que SS. MM. el Emperador y la Emperatriz, y es de la ciudad de Gratz, el qual ha explicado to­ S. A. R. el gran duque Constantino presenciaron dos sos pormenores, y ha hecho algunos ensayas el día 5 de este mes el acto de botar al agua los para satisfacer á los curiosos, dos navios de lín…</t>
  </si>
  <si>
    <t>a que fueron allá vieron que en América las Emperatrices Isabel y María , y de SS. A A. II. habia menos libertad real que en Inglaterra, y el e! gran duque Constantino y la gran duquesa Ana republicanismo los hizo realistas. Los holgazanes y P.^wlowna. Los grandes dignidades del imperio, ociosos vieron que en América era prec…</t>
  </si>
  <si>
    <t>Constautini</t>
  </si>
  <si>
    <t>s de Ei segundo cuerpo pudo coo esto executar sus semina santa y las funciones de la pascua. movimientos con todo sosiego y .tranquilidad , y La gran duquesa Constautini ha regresado de verificó tu retirada por escalones.coa e! mayor or­ Ñapóles, y va á salir para Venecia. den. Los ingleses intentaron arrollar el último es­ E…</t>
  </si>
  <si>
    <t>Continúan</t>
  </si>
  <si>
    <t>Gaceta de Madrid n.º 86</t>
  </si>
  <si>
    <t>nacidos excede al‘ de los muertos ea de vender todos sus bienes í la lotería. MI estado 19021 individuos. taca un 15 por too del ingreso. El antigao general Continúan siendo mui frecuentes los robes en al servicio de la Prnsia Mr. Ruche! ha ganado can­ esta" capital. El día 6 de este mes robaron á un co­ tidades considerables…</t>
  </si>
  <si>
    <t>Contreraa</t>
  </si>
  <si>
    <t>mente que les enemigos no esperan refuerzos muy prontos de Francia.— Habiéndose publicado en alguno de los periódicos una carta que se supone ser del general Contreraa, gobernador que faé de la plaza de Tarragona, en que se manifiesta que había deseado dicho general que las tropas británicas hubiesen desembarcado, y que el no…</t>
  </si>
  <si>
    <t>Contreras</t>
  </si>
  <si>
    <t>Gazeta de la Regencia de España e Indias n.º 108</t>
  </si>
  <si>
    <t>. — A Valls se ha pedido el cum­ plimiento de 500 colchones que se le habían impuesto. Algunas personas que han salido de Tarragona , aseguran que el general Contreras está prisionero y herido. Se escapan muchos de los \</t>
  </si>
  <si>
    <t>1031</t>
  </si>
  <si>
    <t>1031 de'los alía los , pues repentinamente, y casado no se esperaba, dió el asalto. Qie el general Contreras había distribuido muchas copias da una órd¿n suya entre li guarnición, y eres el coronel Skerrett que alguna cayó en poder del enemigo, y fué la causa deí ataque repentino é inesperado. Qile las tropas británicas se di…</t>
  </si>
  <si>
    <t>Contreras, Alonso</t>
  </si>
  <si>
    <t>Alonso Contreras</t>
  </si>
  <si>
    <t>reedores del estado por ré­ 2 D. Jorge Galbatt, por su apoderado daos de vales reales á D. Es'éban Corones Alverols........ 3249 Recibos. Re.' Mrs. 2 D. Alonso Contreras............................ 24187 5 D. Antonio, Doña M«ríi Gar&lt;.és y 2 D. Juan de Llagona........................... 1173 8§ Doña Crispina Guches , herederos…</t>
  </si>
  <si>
    <t>Contreras, Eduardo</t>
  </si>
  <si>
    <t>Eduardo Contreras</t>
  </si>
  <si>
    <t>concederán á todos y á cada uno de lól Ca­ casa del Nuevo Rezado, en L calle dei León, á pellanes del exército y armada licencias absolutas poder de D. Eduardo Contreras para el 27 del de confesar luego que les conste el nombramiento; de manera, que con solo este puedan los nombra­ corriente. dos usar de Ls facultades presunt…</t>
  </si>
  <si>
    <t>Contreras, Juan</t>
  </si>
  <si>
    <t>Juan Contreras</t>
  </si>
  <si>
    <t>la compañía española la comedia de Lo­ Queda nombrado capitán D. Manuel Nevado, pe de Vega en tres actos titulada la Melindrosa, ó loa y subteniente D. Juan Contreras. Esclavos fingidos , y el fin de fiesta el Triunfo del ín­ art. x. En ia villa de Guadatclzar se formará teres. Actores en la comedia. Señoras María García, med…</t>
  </si>
  <si>
    <t>Contreras, Pedro</t>
  </si>
  <si>
    <t>Pedro Contreras</t>
  </si>
  <si>
    <t>; Otra con árboles frutales de 3 al sur con otras del vínculo cuerdas y 3 celemines, li­ de los Carvajales y oliva­ tio de Pozuela ; linda con res de D. Pedro Contreras; - el rio y con huerta de las al no te con la vereda que monjas Bernardas de Jaén.. 1100 13209 va á dicha villa , y á po­ Otra en Viñas nuevas de 6 niente con…</t>
  </si>
  <si>
    <t>Contribuciones</t>
  </si>
  <si>
    <t>te medio Su industria. Los socios llegan ya á Idem de 18 ti........................................, 5.000000 2oo , y han elegido por presidente á la princesa Contribuciones é impuestos de guerra, ao.ooocoo de Taxis, princesa de Lobkowitz. S. A- 1. el ar­ Lotería..................................................... 300000 chi…</t>
  </si>
  <si>
    <t>Cooke</t>
  </si>
  <si>
    <t>m indar en calidad de segundo del en donde se amontonan botas , medias, casacas, lord Wcllingron. sombraros.......... Fanatismo : duende que mdie E' general Cooke ha quedado de comandante hada , lino los filósofos. Filo■'ofia: ciencia del interino en Cádiz, adonde ira á la mayor breve­ charlatani mo. Humanidad: amor á los m„ …</t>
  </si>
  <si>
    <t>Copenhague</t>
  </si>
  <si>
    <t>Gaceta de Madrid n.º 145</t>
  </si>
  <si>
    <t>577</t>
  </si>
  <si>
    <t>costado mucha sangre á unos y í otros. Después DINAMARCA. de haberla asaltado por quatro veces fue tomada al fin por un cuerpo roso á las órdenes del general Copenhague /j de atril. St. Priest. Es digno de citarse con los mayores elo­ La cámara de aduanas ha poblicado el 10 el gies un rasgo verdaderamente esparciata del co­ r…</t>
  </si>
  <si>
    <t>Copocs, F-anchen</t>
  </si>
  <si>
    <t>F-anchen Copocs</t>
  </si>
  <si>
    <t>13¿6 do campo D. F-anchen Copocs, con fecha de 3 de diciembre en el punto &lt;is la Luz, que es coaao sigue : r “Exorno. Sr.: Con fecha de l.° tíi parto á V. E. de rai preciso re­ greso i esta piaz%9porque el enemigo su decía</t>
  </si>
  <si>
    <t>Copons</t>
  </si>
  <si>
    <t>e su evacuación de algu­ nas dificultades que se han vencido felizmente bako la escolta de una partida de 200 hombres destacados á este efecto por el general Copons. t—De orden del .mismo genervl se han extraído de los pueblos ocupados por el enemigo mas de 30000 cabezas de ganado que se han conducido á la Sierra. . , , : r '</t>
  </si>
  <si>
    <t>Cópons</t>
  </si>
  <si>
    <t>sobresaltada la noche de resultas de las señales que hizo por divertirse á costa de ellos la cañonera. Castillejos 13 de enero. La graii-gu ardía del general Cópons que estaba en S. Bartolomé de las Torres, entró en este pueblo á las 8 de la mañana, y se espera que vengan aquí todas las demas tropas. Almonte 14 de enero. Los …</t>
  </si>
  <si>
    <t>Cor, Antonio</t>
  </si>
  <si>
    <t>Antonio Cor</t>
  </si>
  <si>
    <t>uadalaxara, y 140 rusues, anny¡ é 6000 que les acometieron con un arrojo indecible , y recomienda especialmente ¿ los oxídales D. Juan José Echarte , D. Antonio Cor-</t>
  </si>
  <si>
    <t>Cor, Nmroírío</t>
  </si>
  <si>
    <t>Nmroírío Cor</t>
  </si>
  <si>
    <t>íui xcyi09 D. Ignacio Martínez Caveto y D. Jo3é Mana Arizala; te­ nencias á D. Blas María Sola, D. Jo?é Carrasco, D. Nmroírío Cor­ vino, D. Biitoiomé Wüitt, D. José Wüitt, D. Manuel Vago, Don Simón d&amp; la Greta, D. Ramón Lanctoy, D. José Andalo, D. José García, D. Francisco Gómez, B. Antonio Díaz, D. Juan Sánchez y D. Gregor</t>
  </si>
  <si>
    <t>Corbet</t>
  </si>
  <si>
    <t>icadas en este último artículo de la capitulación que los muertos y heridos gravemente en el com­ que os concedo. bate; entre estos últimos estaba el capitán Corbet. No dudo que subscribiréis á las referidas con­ El capitán Hamelin, comandante de la fragata diciones ; y os prevengo que para hacerlo os en­ Vénus , dio caza el …</t>
  </si>
  <si>
    <t>Corchon, Fidel</t>
  </si>
  <si>
    <t>Fidel Corchon</t>
  </si>
  <si>
    <t>loria. ;, ñía D. Josef Candan y Peña; para teniente D. Ma­ „ Os do i gracias por los sentimientos que me erpresáis." nuel Taboada, y para subteniente D. Fidel Corchon. Después de estas audiencias.el tribunal de Casación, art. 111. En la villa de Fernan-Nuñez se for­ •1 tribunal de Cuentas, el consejo de la Universidad, marán …</t>
  </si>
  <si>
    <t>Corchon, Tomas Roiz</t>
  </si>
  <si>
    <t>Tomas Roiz Corchon</t>
  </si>
  <si>
    <t>artin de Rejas. dice*, al ex-carmelita descalzo D. DL'go Garúa Para el de Zaraves, vacante por maerte de Ororbia , debe decir \D. Diego Grao Ororbia. D. Tomas Roiz Corchon , á D. Plácido Martínez Cabello, clérigo de prima. Para el de Paredes Royas y sn anexo Torral- TEATROS. 'billa, vacanre por muerte de D. Francisco Xavier E…</t>
  </si>
  <si>
    <t>Córd, Juan</t>
  </si>
  <si>
    <t>Juan Córd</t>
  </si>
  <si>
    <t>abel , viuda de Conturie , 100. D. Mateo Rodríguez Sánchez, 1215. i). Lorenzo Rodríguez, 4768. D. Sebastian Izquierdo , 500. D. Pascual Cebada , 704. D Juan Córd ido , 300. D. Felipe de....... 100. D. Juan Ferrari, 30 ). D. Nicolás María Carmena 1500. D. Angel González Viilauueva, 1000. Total , U,451. ' h'i plata y otros efec…</t>
  </si>
  <si>
    <t>Corde, José</t>
  </si>
  <si>
    <t>José Corde</t>
  </si>
  <si>
    <t>mperio, prefecto marítimo del sexto distrito. Siguen los donativos de la provincia de ’Úonora. Cósala. El cura D. Jacinto Vatiz , 120. El subdelegado D. José Corde­ ro, 25. El tesorero interino D. Manuel Bailo , 20; El contador interino Don Francisco Vázquez , 20. D. Bernabé Escobosa , 6. D. José Banga, 100. Don Nicolás Gaxio…</t>
  </si>
  <si>
    <t>Córdoba</t>
  </si>
  <si>
    <t>Gaceta de Madrid n.º 87</t>
  </si>
  <si>
    <t>...... efectivo. 3 hallándose divertido, perdona con facilidad los me­ Valladolid............. efectivo. z dios empleados para ello. Fuera de esto el autor Córdoba...»....... 1 ha sabido conservar la dignidad y decoro que con­ Efectos públicos. viene at augusto personage de Rei; siendo de no­ Vales reales........ ............…</t>
  </si>
  <si>
    <t>l barón de San Pol, gobernador de Córdoba, cor-andante de una columna de 2000 franceses, per el brigadier D. Pablo Morillo en Villanueva de Cárdenas. D Córdoba escribían el 25 que todos los enemigos que liabia en aquella ciudad, inclusos los enfermos, no pasaban de 7000, au.„-</t>
  </si>
  <si>
    <t>Gaceta de Madrid n.º 290</t>
  </si>
  <si>
    <t>ba del ai de setiembre.) existen en esta prefectura. (Gazeta de Sevilla del so de setiembre.) Del ¡ de octubre. El 26 de setiembre informado el señor coronel Córdoba ai de setiembre. barón de Lallemand, comandante superior de la El dia 30 de agosto sorprehendió nna partida provincia de Jaén, dé que unas partidas de bandi. de …</t>
  </si>
  <si>
    <t>Cornbelle</t>
  </si>
  <si>
    <t>Gaceta de Madrid n.º 283</t>
  </si>
  <si>
    <t>El general insurgente Castaños, que se habia coronel Cornbelle, al mayor de ingenieros Legenrefugiado hacia Valencia de Alcántara con las re­ til, y al gefe de esquadron Kosman , del 2.0 de liquias dei antiguo exército de Extremadura , des­ dragones. O</t>
  </si>
  <si>
    <t>Cornide, Antonio</t>
  </si>
  <si>
    <t>Antonio Cornide</t>
  </si>
  <si>
    <t>........... 3301 3 D. Ildefonso Calbacho.................... 1088 D. Cayetano d» la Lana................ X978 33 La archicofradía del Santísimo Cris­ D. Antonio Cornide....................... to del Olvido y María Santísi­ D. Mariano Herran.-........................ 17349 1* 3302 IÓ ma de los Dolores de la parro­ D. Fernando …</t>
  </si>
  <si>
    <t>Corones, Estéban</t>
  </si>
  <si>
    <t>Estéban Corones</t>
  </si>
  <si>
    <t>1 Recibos. 1 Doña Feliciana Fernandez................. 2527 2 ©oña Francisca Xaviera de Gü?met, 2 D. Francisco Amoros............... 541 su apoderado D. Estéban Corones. 17099 29 j-,6 , 1.P39210 7 2 D. Trifon Joliau Cabeza.......... ......... 7181 22 1 rec.&gt; D. Niuolas Biazco Orozco, su apode* cer.j . rado D. VicenteGonzález …</t>
  </si>
  <si>
    <t>Corral, D Luis</t>
  </si>
  <si>
    <t>D Luis Corral</t>
  </si>
  <si>
    <t>El coronel D. Manuel Gisternes , comandante de la caballería ,. los car­ gó á todo escape con el‘ escuadrón: de húsares de Castilla: al mando, de su comandante D Luis Corral , sosteniéndole el provisional de San­ tiago , el batallón-, ligero de Bárbastro, y el de línea de Cangas, de Tineo. Los enemigos se pusieron: en precipi…</t>
  </si>
  <si>
    <t>Corral, Josef</t>
  </si>
  <si>
    <t>Josef Corral</t>
  </si>
  <si>
    <t>ran acreedores del esta- D. Josef López Arcos.......... ................... 31587-17 ^ Rs. vn. Mrs. D. Ambrosio Martínez Negrece............ 7129-25! D. Josef Corral......................................... 8844..17 D. Francisco Xavier Duran............... 3690..14 Doña María Gavier............... .................. 722 D. F,…</t>
  </si>
  <si>
    <t>Corrales, Francisco</t>
  </si>
  <si>
    <t>Francisco Corrales</t>
  </si>
  <si>
    <t>iento de infantería primero de la Princesa; ayudan­ tía á D. Miguel B\1 buena; tenencias á D. Juan de la Fuente, Don José Psreyra, D. Antonio T«rrer, D. Francisco Corrales, D. Fiancisco Lomban y á D, Antonio Pravía : subtenencias á D. Tomas Sal­ cedo, D. Ignacio Pinedo, D. Ignacio Chamuia, D, José Rahamonde,' D. Mariano Cadle…</t>
  </si>
  <si>
    <t>Corrales, Pedro</t>
  </si>
  <si>
    <t>Pedro Corrales</t>
  </si>
  <si>
    <t>l del lugar de Ccceda, de reside, por................. -.................................... 2 200 diócesis de Oviedo, residente en Argés, por.. 2200 D. Pedro Corrales, natural de Sonseca, residente D. B.-nito Cabreros, natural de Toledo, donde re­ en Toledo, por...................................................... 2200 side…</t>
  </si>
  <si>
    <t>Correa, Joaquín</t>
  </si>
  <si>
    <t>Joaquín Correa</t>
  </si>
  <si>
    <t>omo to­ piedad de una casa sita en Madrid en la calle de S. Pe­ dos los fluidos susceptibles de dilatación. El señor dro y S. Pablo, que perteneció á D. Joaquín Correa, Imhof ha confirmado esta teoiía con varios expe­ y en que son interesados por su fallecimiento la real rimentos. El dia ] 2 de febrero último, estando el herm…</t>
  </si>
  <si>
    <t>Correa, Manuel</t>
  </si>
  <si>
    <t>Manuel Correa</t>
  </si>
  <si>
    <t>1283</t>
  </si>
  <si>
    <t>villa, y la.sargentía mayor á D. F.macisno Auxinot, capitán del de dragones d« la Rey na : en el de. C-datrava, la-comandancia del cuarto escuadrón á.D. Manuel Correa, ca­ pitán del de Santiago: t,n el de dragones de Almansa, el ecípieo de sargento mayor á D. Pedro Aíclna, capitán del propio cu*?no : en el el» dragones de Gra…</t>
  </si>
  <si>
    <t>Corrochano, Gaspar</t>
  </si>
  <si>
    <t>Gaspar Corrochano</t>
  </si>
  <si>
    <t>el Cillao. El administrador D. Dernardo Car­ de ¡Sáavedra, 1000. Francisco Javo , G. D Juan de Drizar , 25..-Contaduríay Juzgado de censos de indios. D. Gaspar Corrochano , contador, IOS y 2 y medio. D. José Antonio Cerra , oficial de la contaduría , 41 y 5. D. José Her rera, defensor déla caxa, 50. D. Francisco Elias, escrib…</t>
  </si>
  <si>
    <t>Corsé</t>
  </si>
  <si>
    <t>. ^nñon, d* la acción que el dia 5 tuvo coa los enemigos en las montañas ele Buhar, cuyos pueblos iban ¿ recorrer en nú meto de 800, que al mando del general Corsé salieron de León con objeto de cobtar el contingente mersurl, y destruir un destacamento de tropas cántabras que se hallaba en V?’gandan para sostener el paso del …</t>
  </si>
  <si>
    <t>Corsin</t>
  </si>
  <si>
    <t>nte por las montañas de Orense...... El enemigo tuvo 3000 muer­ tos y heridos , y 200 prisioneros. Nosotros no hemos tenido ni un hombre mv.erto : el general Corsin , el coronel Bartez y 2 cazadores han quedado he­ ridos. Todas las noticias confirman la dispersión cutera del exército de Ga­ licia , y la imposibilidad de que v…</t>
  </si>
  <si>
    <t>Cortarramont, Bernarda</t>
  </si>
  <si>
    <t>Bernarda Cortarramont</t>
  </si>
  <si>
    <t>nda , y oido nuestro consejo de Es­ D. Josef Vasallo....................................... 9476- 8f tado, hemos decretado y decretamos lo siguiente: Doña Bernarda Cortarramont................ 10469 articulo 1. „Se declaran acreedores del esta- D. Josef López Arcos.......... ................... 31587-17 ^ Rs. vn. Mrs. D. Ambr…</t>
  </si>
  <si>
    <t>Cortés, Mariano</t>
  </si>
  <si>
    <t>Mariano Cortés</t>
  </si>
  <si>
    <t>tán de fragata retirado Don. Martin de Funes , 200. Ayudante , el teniente de navjo D. Luis de Albu­ ra , 20. D. Ramón Canelas , id., 20. El contador D. Mariano Cortés , 20. El escribano D. Joaquín Aparicio , 20. — Ministerio de real hacienda El conta­ dor D. Pedro Baranda; ademas de 25 ps. mensuales que ha ofrecido durante l…</t>
  </si>
  <si>
    <t>Cortes, Rafael</t>
  </si>
  <si>
    <t>Rafael Cortes</t>
  </si>
  <si>
    <t>Saucedo, 20. D. José Angel Navarro, 10. D. José María Zambrano, 10. D. Pedro L'ongueville, 30. D. Félix Estrada, 10. D. Fran­ cisco Col jantes , 40. D. Rafael Cortes , 10. D. Juan José Zambrano, 10. El barón de Bastrop, 100. D. Pedro Giral, 50. D. Manuel Delgado, 10. D. Luis Galan, 10. D. Félix Mencliaca, 50. D. Manuel Nunez,…</t>
  </si>
  <si>
    <t>Cortijo, Pedro</t>
  </si>
  <si>
    <t>Pedro Cortijo</t>
  </si>
  <si>
    <t>Hdiv.ncks y D, Fí&amp;nciaco Cabelmates; el de primer ayudante á -D. Ifndyes Clemente; los de capitán segundo á D. Juan Antonio CxOtygz, D- Pedro Meriel, D. Pedro Cortijo, D. Francisco Delirado. y DfFarn&amp;ndo Rosales; los de teniente á D. Joaquín Pardo, Don Aosilpüo Mayoral, D. Pascual Perez, D. Manuel Inostrosa, y Don Ssbíiiiían …</t>
  </si>
  <si>
    <t>Cortijo, Valerio</t>
  </si>
  <si>
    <t>Valerio Cortijo</t>
  </si>
  <si>
    <t>uel Sauturio García Sala, 160. El patriota J. C. , 1420 y una ISO y 17 tnrs. Otro patriota J. C., 782. D. Francisco de Paula Martines Sal­ cedo , 60V'D. Valerio Cortijo, en 4 resguardos de intereses de vales, 1444 jr 2 pistolas. D. Diego García Pinto y D. Felipe de los Meros , 400. 1) Tomas rieming , 200. D. José Fray le Jarr…</t>
  </si>
  <si>
    <t>Corvera, Juan</t>
  </si>
  <si>
    <t>Juan Corvera</t>
  </si>
  <si>
    <t>. Rimon Lanza, D. Agustín Magi Domenec, D. Juan Ma­ nuel Suero y D. Isidro' Parrado; los de subteniente á D. Bernardo Cohniro, D J mn La*o Policarpo, D. Juan Corvera, D. Manuel T-boada, D. Nicolás Pardo, D. Juan Mosquera. D. Manuel Varo, D. Francisco García, D. Ojmingo de Torres y D. Andrés Lapido; el de subteniente de bander…</t>
  </si>
  <si>
    <t>Cos</t>
  </si>
  <si>
    <t>tos so a-, el co­ mandante D. Pedro Brito , el capitán D. Francisco Cantón $ los .tenien­ tes D. Valerio Gome* y D. Juan Palacios $ el ayudante mayor D. Cos­ me Martínez j los alféreces JD. Lucas Molbaedo, D. Ju n Caníbn, Don José Rodríguez , y D. Juan Alvarez, los porta-estindartes , D. Hilario Echevarría , y D. Angel M:riño…</t>
  </si>
  <si>
    <t>ntillon, ano dorp, edecanes de S. M.; los condes Praslin y de 1804. Se publica en 181 t.crNoticias ycogr íicas Gornelissen, caballerizos de S. M.; el barón Cos- del mar Mediterráneo, y de la Carta que se publica taz, intendente de la corona ; el barón Beaussety baxo la dirección de D. Isidoro Antillon en Valencia, prefecto de…</t>
  </si>
  <si>
    <t>Cos, Manuel</t>
  </si>
  <si>
    <t>Manuel Cos</t>
  </si>
  <si>
    <t>otras cosas lo ber leído, según ¿1 mismo confiesa , el papel de lasenuo Tostado, lo había impugnado. Añade el Duende, siguiente. que el voto d«l Sr. D. Manuel Cos, como interesado „No, no puede existir la libertad con la in­ en el tribunal.de la inquisición , nada vale en este asun­ quisición. Encadenaríase de nuevo la impren…</t>
  </si>
  <si>
    <t>Cosgaya, Agustín</t>
  </si>
  <si>
    <t>Agustín Cosgaya</t>
  </si>
  <si>
    <t>el González.Rueda, en cada més, 1. El guarda mayor D. Francisco Tarrazo ha ofrecido para mantener 2 soldados por tiempo de 2 uóqs, 501). El escribano D. Agustín Cosgaya, en cada més, 6. Administración de correos. El administrador D. Antonio Canobas , 25Ó. El oficial mayor D. Miguel Rengil25. D. Francisco Cosgaya , subalternó,…</t>
  </si>
  <si>
    <t>Cosgaya, Francisco</t>
  </si>
  <si>
    <t>Francisco Cosgaya</t>
  </si>
  <si>
    <t>ribano D. Agustín Cosgaya, en cada més, 6. Administración de correos. El administrador D. Antonio Canobas , 25Ó. El oficial mayor D. Miguel Rengil25. D. Francisco Cosgaya , subalternó, 10, D. José Elisagarate , id., 10. En la jgaceta niím. 12 de! sábado i 6 ¿e enero último, se padeció la equivocación de llamar partida deD. An…</t>
  </si>
  <si>
    <t>Cosgaya, Juan Ignacio</t>
  </si>
  <si>
    <t>Juan Ignacio Cosgaya</t>
  </si>
  <si>
    <t>entino Sánchez , 2. Antonio'Car­ ril lo , l. Manuel Camilo, 1. Juan de Dios Martínez,!. Rafael Pavía, 1. D. Gregorio Feroz, vecino de Kalkini , 100." D. Juan Ignacio Cosgaya, 50. D. Gregorio Marcad al, líX). D. Hipólito Olivera, vecino de Bacalar, 50. D. José Nicolás Guerra , 25. Dona Juana Felipa Romero , 100. D. Juan da Dio…</t>
  </si>
  <si>
    <t>Cosinski</t>
  </si>
  <si>
    <t>1261</t>
  </si>
  <si>
    <t>sanos qne tomen por su cuenta el ense­ cibieron á SS. MM. el waiwoda de Dzialinski , el ñar su profesión ú oficio á qualquier sordo-mado prefecto, el general Cosinski, y todos los demas que salga de los establecimientos que mantiene el magistrados, quienes acompañaron á SS. MM. has­ gobierno en esta ciudad y cu Lcipsick. ta s…</t>
  </si>
  <si>
    <t>Cosío, Juan Diaz</t>
  </si>
  <si>
    <t>Juan Diaz Cosío</t>
  </si>
  <si>
    <t>Diego de los Ríos , 100. D. Francisco Eugenio del Corral, 100. D. Pedro de Hoyos, 100. D. Ildefonso del Corral , lOU. D. José González de Rueda , 60. D. Juan Diaz Cosío. 10Q. D. Antonio Gómez Porras, 100. D. Joaquín Sánchez, 1.09 D. José Vela Mesones, 100. D. Manuel Sán­ chez de la Torre, 100. D. Carlos de Hoyos, 100. D. Feli…</t>
  </si>
  <si>
    <t>Cosío, Nicolás</t>
  </si>
  <si>
    <t>Nicolás Cosío</t>
  </si>
  <si>
    <t>cación que le corresponde por herido, otro escudo igual al de Chavez con la pa­ labra bandera en vez de Cañón. Posteriormen e ha participado el mismo D. Nicolás Cosío con fe-; cha del 6, que habiendo cumpadó en el cerro del Calvario para dar al­ gún descanso á las tropas, se presentáron los rebeldes al dia siguiente en, númer…</t>
  </si>
  <si>
    <t>455</t>
  </si>
  <si>
    <t>bres para tomar ei puerto de Acapuico, Este se halla defendido por ¡500 europeos y algunas tropas del pais ¿ y ademas sabemos que el sar­ gento mayor D. Nicolás Cosío se hallaba en la costa con i 'j infantes y $00 caballos, y no es dudable que se dirija á aquel punto. Apenas hay carta en que no se confirme la prisión del sang…</t>
  </si>
  <si>
    <t>Costa, Agustín</t>
  </si>
  <si>
    <t>Agustín Costa</t>
  </si>
  <si>
    <t>nio Guerra, 10. D. Rafael Castilla, 10. D. Gerónimo García, 10. D. Jacinto Perora, 10. D. José Pallan, 10. D. Juan Cabrera, 10. D. Juan Iriarte , 10. D. Agustín Costa, 10. D. Agustín Riera, 10. D Rafael Tomas, 10. D. Juan Puig, 10. D. Francisco Becerra, 10. Antonio Ordz , 10. D. José Espinosa, 10. Doña Rita Viñas , 10. Tomas …</t>
  </si>
  <si>
    <t>Costa, Tomas</t>
  </si>
  <si>
    <t>Tomas Costa</t>
  </si>
  <si>
    <t>Gazeta de la Regencia de España e Indias n.º 119 (suplemento)</t>
  </si>
  <si>
    <t>en obedecer.”— El Consejo de Regencia se ha servido promover á coronel del real cuerpo de ingenieros en la división de ludias, al teniente coro­ nel D Tomas Costa; á este empleo al sargento mayor de brigada D. Juan Perchet; y á sargento mayor de brigada al capitán D. Juan Fio de la Cruz, CADIZ: EN LA IMPRENTA REAL.</t>
  </si>
  <si>
    <t>Coste</t>
  </si>
  <si>
    <t>2*&amp; umchef*Ty^*»i£0*ip*ftíaF3Íe«padoí*i^ manda­ te, y pcrsepfldte’hllta el.glacis def. faerte de PI-. da JporéT capitán Coste, como también el 4.0 re­ curina y de la'plazaí . .. . gimiento dedragones mandado par eLserípr coro­ . El enemigOjdgjcó en el. campo de, buaila t jo nel Farine p s¿ distinguieron por *u val</t>
  </si>
  <si>
    <t>Costeros, José Nicolás</t>
  </si>
  <si>
    <t>José Nicolás Costeros</t>
  </si>
  <si>
    <t>do , 6. D. Pedro Kd'.irul! , 100. El administrador'de correos y demas empleados, 720. Don. Francisco Rimen ei , 25. I). Juan Rodríguez Calderón, 2Ó0. D. José Nicolás Costeros , 50. D. Antonio Izquierdo , 100. i). José Vendino Ró.baldo, 200. I). Agustín Maigual, teniente á guerra det partido de Maya&amp;ftfd/1091. Doña Ménica Tint…</t>
  </si>
  <si>
    <t>Cotta</t>
  </si>
  <si>
    <t>Gaceta de Madrid n.º 159</t>
  </si>
  <si>
    <t>s sumisión á la órdeu del Gran Señor , ia qual se le obras completas del inmortal Schiller. Su amigo el ha comunicado por medio del caballerizo mayor doctor Cotta, de Sruttgardt, dueño de una de lal de S. A. El gran visir ha entregado el sello del mayores librerías de Alemania., establecida enTu- imperio y el mando del exérci…</t>
  </si>
  <si>
    <t>Cotterell</t>
  </si>
  <si>
    <t>s de húsares, el de búlanos y la artillería. apostados eft las islas de Sotavento. La fragata la Esperamos que lleguen á esta ciudad las mer­ Niaden, capitán Cotterell, ha perdido 47 hom­ cancías inglesas que han si,10 confiscadas en Pillau, bres, inclusos nueve oficiales. La Tetis aun ha Colberg y otros puertos prusianos; y …</t>
  </si>
  <si>
    <t>Cotton, Sir Srapleton</t>
  </si>
  <si>
    <t>Sir Srapleton Cotton</t>
  </si>
  <si>
    <t>570</t>
  </si>
  <si>
    <t>rs trepas se h'z~* en circunstancias muy críticas , fué muy bien dirigido por ei mayor general Houston, el brigadier general Craufora , y el teniente general Sir Srapleton Cotton. La séptima división fué protegí la en su paso de Turón pur la división ligera mandada por el bíigadi r general Creuford ; y esta en la marcha que h…</t>
  </si>
  <si>
    <t>Couder, Rarnon Gil</t>
  </si>
  <si>
    <t>Rarnon Gil Couder</t>
  </si>
  <si>
    <t>etario perpetuo de la clase de ciencias físicas. D. Pablo Biosca. •«t D. A lexandro Merino de Porras. Mr. de Fourcroi ha hecho un gran número de aná­ D. Rarnon Gil Couder. lisis , tanto de minerales en su estado concreto, como x D. Vicente Ramón Vázquez. de aguas mas ó menos mineralizadas.</t>
  </si>
  <si>
    <t>Coupigni, Aicxandro</t>
  </si>
  <si>
    <t>Aicxandro Coupigni</t>
  </si>
  <si>
    <t>católicos , y ademas a dos dia­ 9 D. Josef Zapiain.......... ....................... 11010 17 ristas por haber publicado las deliberaciones dé las 8 D. Aicxandro Coupigni...................... 4512 17 asambleas. 18 D. Vicente González Arnao.............. 8303 4 D. Pedro de Mora y Lomas............. 992 Al; ESPAÑA. 2 D. Tomas …</t>
  </si>
  <si>
    <t>Courten</t>
  </si>
  <si>
    <t>retener la guarnición del fuerte, é impedir socorriese á los del Perelló y Píate, obligándola á disparar algunos cañonazos , por los que canociese el general Courten que estaba empeñada , y siguiese coa mayor desembaraza su ataque , seguro de que las fuerzas enemig :s con­ tra que se batía no podian esperar socorro de Balaguó…</t>
  </si>
  <si>
    <t>enemigos. a El comandante general del campe de Gibraltar ha recibido con fecha del 6 del corriente aviso de que se ha pasado á uuestias par­ tidas el coronel Courten, gobernador é&amp; M irbella por los franceses. ARTICULO DE OFICIO. El marques ríe Astorga, conde de Alíamír* , ha hecho presente al Conseja de Regencia, qoe pms ía …</t>
  </si>
  <si>
    <t>Covisa, Joaquín</t>
  </si>
  <si>
    <t>Joaquín Covisa</t>
  </si>
  <si>
    <t>te de! batallón de Campo*; ayor; y en el de Guadalaxara, compañías á D. Ventura Ssgura, D. Vicente Santist-'ban, D. Santiago Moreda, D. Jasé Capilla, D. Joaquín Covisa, D. Ramón Lodares y D. Salvador d® Les; ayudantía á D. Francis­ co de la Torre; tenencias á D. Manuel Medina, D. Francisco de Paula Adames, B. Rafael del Rio y…</t>
  </si>
  <si>
    <t>Cower</t>
  </si>
  <si>
    <t>rfldia del gobierno ingles. aquella flota. Paris jo de noviembre. Dial jef cié noviembre. Los desastres que los convoyes ingleses han ex­ El Chafan , capitán Cower , acaba de llegar á perimentado este año han debido de ser mui gran­ Portsmouth. Ea su viage ha tenido un encuentro des, pues :id; mas de I ;s perdí ¿ • que han pu…</t>
  </si>
  <si>
    <t>Cradock</t>
  </si>
  <si>
    <t>71</t>
  </si>
  <si>
    <t>o , Adria , B reí cía, „ S. M. sigue tao bueno como la semana pa­ Forli, Verona , Vigevano, y los arzobispos de sada.” Udina y de Ravena. El teniente general Cradock ha sido nombrado gobernador del Cabo de Buena- Esperanza. Cherburgo 2 y de mayo. En la gazirta ministerial se ha insertado una re­ SS. MM. entraron ayer á las tr…</t>
  </si>
  <si>
    <t>Craso</t>
  </si>
  <si>
    <t>ce que tratan tos franceses de una gran reunión en Burgos, de donde salie­ ron la semana anterior unos 1000 hombres para Cameros para perse­ guir al .comandante Craso, y han cometido en todas paites,excesos horribles y rmichbs asesinatos.—La división del general Roque! está en Soria.—De Asturias escriben que allí quedan pocos…</t>
  </si>
  <si>
    <t>Cratowinski, Constantino</t>
  </si>
  <si>
    <t>Constantino Cratowinski</t>
  </si>
  <si>
    <t>146</t>
  </si>
  <si>
    <t>enen í expensas de S. M,, y otros pagan Hat» llegado aquí el príncipe Consrautino Pocierta pensión; pero no se hace distinción ninguna ciatnwski y el príncipe Constantino Cratowinski. entre los nebíes y ios que no lo ron: todos lucea EL día 2a de este mes pasaron por Metz el el exercicio militar , y luego que concluyan los rí…</t>
  </si>
  <si>
    <t>Crauford</t>
  </si>
  <si>
    <t>ra y cuarta, la brigada de infantería del general Pa&lt; k , y las brigadas d» caba­ llería de los generales Alten, De Greys y S’ade, ordenando al mayor general Crauford que se retirase con la división lig?ra atravesando el Agueda , y que la séptima división se formase en el lagar de Al­ bergaría : previne al teniente general G/…</t>
  </si>
  <si>
    <t>Crawfurd</t>
  </si>
  <si>
    <t>general Crawfurd, y por ana brigada de portu­ Dices# que el lord Barghenh , que llegó de gueses á las órdenes del brigadier general Park, y Portugal el miércoles , viene enviado por Weiiirg{&gt;or la brigada d</t>
  </si>
  <si>
    <t>Creacli</t>
  </si>
  <si>
    <t>Gazeta de la Regencia de España e Indias n.º 81</t>
  </si>
  <si>
    <t>coa un sargento del es­ cuadrón cíe ligeros, también heridos. Se me lia dicho que de la des­ cubierta del regimiento de Alpujarras que hizo salir el brigadier Creacli, comandante general da la segunda división de infantería, murió un subteniente, que fuá asesinado después de hecho prisione­ ro : estos son los rasgas de valor …</t>
  </si>
  <si>
    <t>Creagh, Juan</t>
  </si>
  <si>
    <t>Juan Creagh</t>
  </si>
  <si>
    <t>uó en !a falda de la-misma. La pegunda división de infantería al cargo del g. fe del estado- mayor D. ¿osé O Donnell ( por enfermedad del bri­ gadier D. Juan Creagh). toxió un bosque que existe á la izquierda de las Vertientes, y pasó aquella noche á Oria sin ser incomodada, sucediendo lo mismo á la tercera mandada por el bri…</t>
  </si>
  <si>
    <t>Crell, Sebastian</t>
  </si>
  <si>
    <t>Sebastian Crell</t>
  </si>
  <si>
    <t>del exército á los capitanes de in­ genieros! D. Francisco López y D. Juan Cini, y tenencia en el regi­ miento de infantería de África al subteniente D. Sebastian Crell. "* Con arreglo al real decreto de 5 de enero de 1810 expedido á fa­ vor de los defensores de Gerona, ha concedido el mismo Consejo gra­ do de teniente-corone…</t>
  </si>
  <si>
    <t>Cremata, Vicente</t>
  </si>
  <si>
    <t>Vicente Cremata</t>
  </si>
  <si>
    <t>o y fiel de peso, J y 4 rs. D. Gabriel de Lamas Pardo, agrega­ do, 1 • D. Sebastian de Rives y Noriega , capellán de la factoría, 8 y 2 y me­ dio rs. D. Vicente Cremata, sobrestante «el embotado, 2. D. José Rodrí­ guez Amate, agente, 3. D. Juan Francisco García, escribano, 1 y 4 rs. 13. Francisco Alonso Pelaez, encargado de v…</t>
  </si>
  <si>
    <t>Crens, Pedro</t>
  </si>
  <si>
    <t>Pedro Crens</t>
  </si>
  <si>
    <t>era! Castaños le ha conferido el grado de brigadier ccn universal aplauso de nacionales y aliados. ARTICULO DE OFICIO. El comisionado regio de Mahon, D. Pedro Crens, ha dado par­ te al Consejo de Regencia de la generosid d con que ei comercio-de aquella plaza se ofreció á entregar por va de. préstamo, sin interés-aíguno y por…</t>
  </si>
  <si>
    <t>Crespo, Agustín</t>
  </si>
  <si>
    <t>Agustín Crespo</t>
  </si>
  <si>
    <t>individuos siguientes; En nuestro palacio de Madrid á 12 de marzo Capitanes. de-iSri. D. Antonio Miranda. Don Josef Napoleón por la gracia de Dios y D. Agustín Crespo»</t>
  </si>
  <si>
    <t>Creuford</t>
  </si>
  <si>
    <t>, y el teniente general Sir Srapleton Cotton. La séptima división fué protegí la en su paso de Turón pur la división ligera mandada por el bíigadi r general Creuford ; y esta en la marcha que hacia para rcii: fice á ia primera división , lo fué por la caballería británica. Niu-ríra pusieron se extendió entonces en las alturas…</t>
  </si>
  <si>
    <t>Criado, Manuel</t>
  </si>
  <si>
    <t>Manuel Criado</t>
  </si>
  <si>
    <t>numero­ D. Juan Djego Agullar. sos, y solo pueden hacer una resistencia inútil. D. Salvador Guipado. Todos esos miserables caerán tarde ó temprano en D. Manuel Criado. manos de la justicia , y el exemplar que se hará art. v. Es la villa de Hornachuelos se for­ con ellos intimidará á quantos propendan á imi­ mará media compañí…</t>
  </si>
  <si>
    <t>Cris</t>
  </si>
  <si>
    <t>eos de comandante y sargento mayor .*&gt;: D. José Díaz Buscones y i). Rodrigo Bernaudez; compañías á í)Friipe Escrio, D. Manuel Cas2.jus,ü. Juan Chaca, D. Cris­ tóbal de B ;ña,-D. Carlos Arias y D. Alexandro Patison; las ayudauitía3 primera y segunda á D. Francisco Trespalacios y Don Joaquín O'lviras; tenencias á D. Francisco C…</t>
  </si>
  <si>
    <t>Cris, Estéban</t>
  </si>
  <si>
    <t>Estéban Cris</t>
  </si>
  <si>
    <t>368</t>
  </si>
  <si>
    <t>ca en Acuerdo del cabildo de la catedral de Pavía en dos actos titulado el Saúl, composición del maestro la sesión celebrada el 4 de febrero de sSii. D. Estéban Cris:uní, adornado con todo su aparato y magnificencia; y para finalizar la función se bailará un ,,Hoi 4 de febrero de 1811 el cabildo de la ca­ terceto nuevo. Se co…</t>
  </si>
  <si>
    <t>Crisliani, Esteban</t>
  </si>
  <si>
    <t>Esteban Crisliani</t>
  </si>
  <si>
    <t>Gaceta de Madrid n.º 94</t>
  </si>
  <si>
    <t>,,Tenemos el honor de ser con un profando res­ dos actos titulado el Saúl, composición del maestro peto de V, A. I. mui humildes y fieles servidores D. Esteban Crisliani, adornado con todo su aparato y el cabildo de la catedral de Vicenza. = Firmado = magnificencia; y para finalizar la función se bailará un Joan Francisco Mal…</t>
  </si>
  <si>
    <t>Crispin</t>
  </si>
  <si>
    <t>embarcaciones apresadas por este último se li dia­ PrSspero, de 14 , capitán Golboi; el Kite, de 16, ban el mayor general Layard, que fue últimamen­ capitán Crispin; el Parthian, de i6, capitán Tom- te gobernador de Curazao: ,Mr. Vanderspiegel, kiruon; t\ Drake, de 1 o , capitan Brrwel; el Bri- director de las aduanas de aque…</t>
  </si>
  <si>
    <t>Crist</t>
  </si>
  <si>
    <t>nuestras tropas ocupan-a-L ere na , Cali, Saota O alia, Bodonal, Segura y Fuente'de'Cantos. Lx división de! general Bihsieros está en esta villa, el general Crist? ños en Sao-a Mar­ ta.-Sa han pasado á nuestro exército 4 francesas que se qu- daren ocul«’ tos en Aracena al retirarse de allí las tropas de su na tico: y lo mis­ …</t>
  </si>
  <si>
    <t>Cristian, Esteban</t>
  </si>
  <si>
    <t>Esteban Cristian</t>
  </si>
  <si>
    <t>364</t>
  </si>
  <si>
    <t>cutará el oratorio sacro de versos y música en dos acfns titulado el Saúl, composición del maestro deriva inmediatamenre de Jesucristo sn institutor, D. Esteban Cristian!, adornado con todo su aparato y y ningona autoridad humana puede arrogarse el magnificencia; 7 para finalizar la función ae bailará un' derecho de alterarle…</t>
  </si>
  <si>
    <t>Cristianí, Esteban</t>
  </si>
  <si>
    <t>Esteban Cristianí</t>
  </si>
  <si>
    <t>alia , solícitos como los cabildos del centro de él dos actos titulado el Saúl, composición del maestro de rendir un nnevo bomenage de fidelidad y de D. Esteban Cristianí, adornado con todo su aparato y amor, nos atrevemos á suplicar á V. A. I. y R. magnificencia; y para finalizar ia función se bailará un terceto nuevo. tenga…</t>
  </si>
  <si>
    <t>Cristíani, Estéban</t>
  </si>
  <si>
    <t>Estéban Cristíani</t>
  </si>
  <si>
    <t>Gaceta de Madrid n.º 93</t>
  </si>
  <si>
    <t>el oratorio sacro de versos y música en var la unidad, el órden y la paz en la iglesia de dos actos’titulado «1 Saúl, áomposicion del maestro Dios. 1 D. Estéban Cristíani, adornado con todo su aparato y ,,Eo consecuencia de estos priacipios dimana­ magnificencia; y para finalizar la función se bailará un dos del derecho públi…</t>
  </si>
  <si>
    <t>Cristiani, Esteban</t>
  </si>
  <si>
    <t>Esteban Cristiani</t>
  </si>
  <si>
    <t>i dichoso sí antes que la muerte me arrebatase dos actos titulado el Saúl , composición del maestro viera establecido por consentimiento de todas las D. Esteban Cristiani, adornado con todo su aparato y iglesias, y en las formas legítimas y regulares , un magnificencia; y para finalizar Ja función se bailará un plan que asegu…</t>
  </si>
  <si>
    <t>Cristiano</t>
  </si>
  <si>
    <t>onvidadas 580 personas de ambos demas estaban tripulados por dos ó tres hombres sexos. El baile se principió á las nueve de la no­ del regimiento del príncipe Cristiano, los quales, che , y JFue interrumpido por una espléndida y ¿ pesar de su corto número, residieron con vigor suoruosa cena. La mesa de la familia real, en la …</t>
  </si>
  <si>
    <t>Croguer, Tomas</t>
  </si>
  <si>
    <t>Tomas Croguer</t>
  </si>
  <si>
    <t>lomas Bell, que con sus valientes soldados entró voluntariamente en acción, por­ tándose con la mayor bizarría durante ella, y el comisario de guerra D. Tomas Croguer, que también voluntario, asistió en una de las lan­ chas por todo el tiempo que duró el fuego. — No hago particular men­ ción de los gefes que tuvieron la direc…</t>
  </si>
  <si>
    <t>Cronstedt</t>
  </si>
  <si>
    <t>Gaceta de Madrid n.º 141</t>
  </si>
  <si>
    <t>Núm. 141. liÉMmattc^iaaai GAZETA DE MADRID DEL MARTES 21 DE MAYO DE 18x1. RUSIA. gado’aquí de la Pomerania. También ha venido á esta ciudad el conde Cronstedt. Riga ij de marzo. Por el miuístério de la Guerra-se ha publicado El deshielo y las lluvias que haí aquí hace ocho lo siguiente. dias, han hecho salir de madre á todos …</t>
  </si>
  <si>
    <t>Crosal, Vícente</t>
  </si>
  <si>
    <t>Vícente Crosal</t>
  </si>
  <si>
    <t>„ Antonio Elers, D. Melchor Moya, D. José Matras, D. Aarustin Scrra, D. Antonio Quircó, D. Cristóbal Alvaro, Don José Torreas, D. José María Cazarla, D. Vícente Crosal. D, Ma­ nuel Dorado, D. Francisco Colmenero, D. Juan B anco, D.. Miguel Albert, D. Antonio José Ranee, í). Joaquín Mateos, D Luis Ma­ riano Espinosa, D. Jo3¿ G…</t>
  </si>
  <si>
    <t>Crtiaga, Juan Antonio</t>
  </si>
  <si>
    <t>Juan Antonio Crtiaga</t>
  </si>
  <si>
    <t>nio Muñiz, SO. D. José María Cadena, 20. Don Miguel Sánchez, 35. D. Rafael Valle, 10.—Riogrande. D José le Je­ sús Rodríguez, 10.*D. José Barreda, 6. D. Juan Antonio ’Crtiaga, 25, D. Juan Francisco de la Garza, 15. Varios individuos , 30. El preben­ dado D. Miguel Sánchez Navarro , 500. El cura de Monclova, 100.— Hacienda de …</t>
  </si>
  <si>
    <t>Cruz</t>
  </si>
  <si>
    <t>, y ia } rtsenv'a del santísimo Sacramento , contuvieron á ios furiosos, y el alboroto pudo sosegarse. El ayuntamiento de Valladolid, dando parte ai brigadier Cruz de estos acontecimientos, le participaba al mismo ti:mpo que la ciudad se hallaba libre délos tiranos que la habían oprimido, y deseosa de ver en su recinto á tes …</t>
  </si>
  <si>
    <t>431</t>
  </si>
  <si>
    <t>eriendo huir á favor de las tinieblas, se precipitó per un der­ rumbadero , donde al siguiente dia se halló su cadáver. Según aviso comunicado per el brigadier Cruz en 14 de febrero al coronel D. Manuel Pastor, comandante de las armas en Guadalaxara , se sabe que el 8 del mismo mes el coronel de provincias internas Viliaescus…</t>
  </si>
  <si>
    <t>Gazeta de la Regencia de España e Indias n.º 56</t>
  </si>
  <si>
    <t>ando sus municiones y de­ xando quatro cañones de á 24 y dos de á 8, llevando únicamente el cura Mercado hacia S. Blas cinco del calibre de á 4, y el general Cruz contaba con que los alcanzaría un destacamento que envió al in­ tento. — En estas operaciones se ha cubierto la tropa de una gloria inmor­ tal , habiendo sido neces…</t>
  </si>
  <si>
    <t>te comunicaré á V. S. Dios guarde &amp;c. S. Blas 3 de febrero de 1811. — Lie. Nicolás Santos Verdín. — Sr. comandante general de las tropas del Rey.” El brigadier Cruz contestó inmediatamente al cura de S. Blas , ma­ nifestándole su complacencia por setvicio tan importante , aprobando las providencias que había tomado, y recomen…</t>
  </si>
  <si>
    <t>Gazeta de la Regencia de España e Indias n.º 90</t>
  </si>
  <si>
    <t>pre exagerado hasta que la experiencia lo confirmó. No era ni ánimo hacer solo el ataqse con ei exé ‘cito de mi man­ do, sino el de aguardar a que el brigadier Cruz concu .'riese á él al propio tiempo ó con corta diferencia, para que cayendo coa todas las fuerzas sobre ei enemigo, y e rrándole la retirada, resultasen las mayo…</t>
  </si>
  <si>
    <t>970</t>
  </si>
  <si>
    <t>é la sección de Polo que estaba en marcha para el Manzano, contramarcharse á situarse en Cuevas de Zújar, reforzada con el batallón de walones que el general Cruz le envió , quedándose con la otra sección de su divi­ sión sobre el rio Guarda!; como sé lo previne ; y despaché oficiales con repetidos avisos á Cuadra y Loy para …</t>
  </si>
  <si>
    <t>972</t>
  </si>
  <si>
    <t>guida p *: ella | y no hizo poco en distraerla con su movimiento. -—La quarta división se retiró en derechura á Cubar, en virtud de lo que previne al general Cruz ; y para ase­ gurar tu marcha por el gran llano que debía atravesar, me quedé con la caballería de Loy en posición al frente de los enemigos , á quienes pudo impone…</t>
  </si>
  <si>
    <t>Cruz, Josef</t>
  </si>
  <si>
    <t>Josef Cruz</t>
  </si>
  <si>
    <t>beza, y la Carlota Linares, viuda del comendador de Bastimentos tuvo ati en las manos. Al mismo tiempo el chah de Castilla , en la órden de Santiago, D. Josef Cruz v tne mandó que me sentase; pero vuestro esclavo Mayor, el de los herederos de este, ó los suyos en su no quiso hacerlo por respeto: me lo mandó se­ caso. Dicha se…</t>
  </si>
  <si>
    <t>Cruza, Alonso Fernandez</t>
  </si>
  <si>
    <t>Alonso Fernandez Cruza</t>
  </si>
  <si>
    <t>aleon , vacante por muerte de D. Pedro Para el mas antiguo de Manzanilla, vacante Tamariz Escalera, á D. Juan Camacho, presbíte­ por fallecimiento de D. Alonso Fernandez Cruza­ ro, ex-regular del orden de S. Gerónimo. do, á D. Antonio Morales, presbítero, ex-regular Para el curato mas antiguo de ia villa de Mon- de los clérig…</t>
  </si>
  <si>
    <t>CsíFarelli</t>
  </si>
  <si>
    <t>181 L— Jasé Garrís.— Sr, D. ¿'..áncisco E?poz y Mina.”— II. k-Ei 13 de junio estando sitiado en Menciigorría con 2 batallones, ‘tuve aviso de que el general CsíFarelli d/?bia marchar coa su columna sobre Puente da h Hcyna, ei general Rciile con Sa suya para Tu­ fada , y el coronel Bnm desde Logroño sobre EstcrlU. E ta combi­ …</t>
  </si>
  <si>
    <t>Csvallos, Juan</t>
  </si>
  <si>
    <t>Juan Csvallos</t>
  </si>
  <si>
    <t>o á D. Miguel Diez, D. ‘Miguel A rióla y D. Joaquín Rodríguez; el de primer ayudante á D. Miguel Me­ ra; los de capitán segundo á D. Mariano Ó diana, D. Juan Csvallos, D. Juan Vergas, D. Manuel Melgares y D. José Morera; les de teniente i D. Antonio García , D-' Mateo Peñaranda, D. Pedro Vizcaíno. D. Tomas Rodríguez, D Pedro …</t>
  </si>
  <si>
    <t>Ct, Antonio Jceé</t>
  </si>
  <si>
    <t>Antonio Jceé Ct</t>
  </si>
  <si>
    <t>uesta ; y los.de ay.iidaat s segnudos al capitán del regi.miento de infantería de Raza D. Pedro"Rodríguez, y al tenieute de fragata de Ia,ie¡A armada D. Antonio Jceé Ct traen!. *Ta moten se ha servido conceder grado de teniente coronel de in­ fantería, á TK Joaquín de UL barrí, capitán del batallón de volúnte­ nos cUsüuguteto…</t>
  </si>
  <si>
    <t>Cta, José</t>
  </si>
  <si>
    <t>José Cta</t>
  </si>
  <si>
    <t>a, D. Antonio G.:.t. ? Herraros y D. Francisco Lasa; subtenencia de bandera k i). P tal Mido®. Ea el regimiento de infantería de Toledo ; compañías á D. José Cta.5, O. Cirios S-Jdos y D. Alberto Urbiaa; ayudantía á Don Jtaé Mo-renG; tenencias 3 D. José Mosquera, D.B ¿as Feynador, D. José Vui, D. Jcsé Petan, D. Benito (Grabarr…</t>
  </si>
  <si>
    <t>Ctaparéele</t>
  </si>
  <si>
    <t>s. E¿ 23 lí?gó el general Drouet con su piaña mayor, 600 infantes y 200 caballos : y á estos siguieron el 24 2600 í 2800 hombres de mfiratexía coa el general Ctaparéele. — Las divirio íes de ambos generales pertenecen al noveno cuerpo áe exárcito , quí sigua afirman los franceses, marcha Ijá socorrer á Soidt, alargándose aigu…</t>
  </si>
  <si>
    <t>Ctlíeja</t>
  </si>
  <si>
    <t>456</t>
  </si>
  <si>
    <t>emor que no es verosímil esperen á nuestras tropas. Del 13. Se ha dicho hoy aquí que Abas do, uno de los gtfes de la i surrección se ha presentado al general Ctlíeja pidiendo el indulto, y que se le ha concedido con algunas restricciones. Del 16. Ds Qusrétaro. y Valiadoiid escriban que el cura Hidalgo, Alíenle, y demos cabeci…</t>
  </si>
  <si>
    <t>Cuadra</t>
  </si>
  <si>
    <t>ndaba e-t.e, había sido batida dei mo co que se refiere en eí parte que me ha da­ do , y acompaño original núm. 4.°, sin que se le hubiese reunido el general Cuadra con la división de cu mando, por la imposibilidad en que se hedió de verificarlo, sc-gun ha expuesto esi.su oficio que h*5- pasado original á V. E. En tal situaci…</t>
  </si>
  <si>
    <t>era que se alimentasen las tropas para emprender nueva­ mente su marcha á ocupar iá línea de Lorea y Carayaca, á cuyo fin expedí diversas órdenes al general Cuadra. Lo mucho que habían andado les franceses, y lo poco que me habían molestado, rae hizo confiar en que se realizarían mis ideas ; pero tuve el sentimiento de no ver…</t>
  </si>
  <si>
    <t>969</t>
  </si>
  <si>
    <t>io del mismo, y este deberá hacer lo propio con V. S. si fuese el mas cargado por los enemigos, para lo qual hallo indispensable ei que Y. S. y dicho general Cuadra se comuniquen 6 acuerden , y por si esto no puede ser , indica Y. S. mis ideas á fin de que se verifiquen del modo mas ventajoso, que será sin duda juntándose las…</t>
  </si>
  <si>
    <t>s enemigas á larga distancia en la cresta de dichas altu.as , reforzándose de continuo hasta que reunie­ ron toda su fuerza , que según el aviso, del general Cuadra conste ba de 4000 infantes, TOO caballos y 3 ó 4 piezas de artillería de mon­ taña , de que hicieron después uncy buen mso. Entre tanto sus caza­ dores bagaron á …</t>
  </si>
  <si>
    <t>fe 7). MaJiiiel Freyre. ~ Excíuo. Sr.: con fecha de 11 del comente se sirve V. E. preve­ nirme que ponga en clp.ro los movimientos de la división del general Cuadra, y para dar á V. E. conocimiento de ellos, nada pnelo ha­ cer mejur que acompañar original él parte que dicho general me ha dado, por el cuál se enterará Y. E. de…</t>
  </si>
  <si>
    <t>ños. Añora 17 de agosto de 1811. —Ambrosio de la Cuadra, — Sr.. IX Manuel Freyre. Copia: de varios oficios i/ documentos que se citan en el parte del general Cuadra. , Núm. 1Extracto de varios oficios — Parle Gimen adel 6 de agosto..— Los enemigos , en número de 460 de caballería y 3000 in­ fantes, salieron á las 6 de esta me…</t>
  </si>
  <si>
    <t>Cubentzvl, Felipe</t>
  </si>
  <si>
    <t>Felipe Cubentzvl</t>
  </si>
  <si>
    <t>e en fuegos artificiales. medio de esta carestía general se hallan á un vil precio Jos bienes raíces. La deliciosa hacienda del TRANSILVANIA. difunto conde Felipe Cubentzvl , llamada el Reiserb, situada en las cercanías de Viena en una Pancsowa g de enero. posición mui hermosa, y que tiene un valor intrín­ Se ha calmado enter…</t>
  </si>
  <si>
    <t>Cubero, Lorenzo</t>
  </si>
  <si>
    <t>Lorenzo Cubero</t>
  </si>
  <si>
    <t>*39* Milán 1° de noviembre. Quinto batallón. Ayer llegaron á Villa Real de Monza SS. AA. IT, D. Lorenzo Cubero , sargento x.°, á subtenien­ «1 Príncipe virei y la PrÍDcesa su augusta esposa, te de ia tercera compañía. habiéndose anunciado este feliz acontecimiento á los habitantes de esta capital con</t>
  </si>
  <si>
    <t>Cubóla, Timas</t>
  </si>
  <si>
    <t>Timas Cubóla</t>
  </si>
  <si>
    <t>o de Negocios eclesiásticos, nombramos; quidos. Para el curato Oc Ca'tilfrio, vacante por muer­ Es de creer que algunas de las personas ricas 6 te de D. Timas Cubóla, á D. Ignacio Duarte, industriosas , de que abunda este departamento, cura de los Villares. establecerá alguna fábrica de añil, siguiendo el mé­ Para el de la co…</t>
  </si>
  <si>
    <t>Cúbrales, Juan Isíepcmucene</t>
  </si>
  <si>
    <t>Juan Isíepcmucene Cúbrales</t>
  </si>
  <si>
    <t>espo, de Ídem , 8 y 4 rs. D. Gabriel Bombillo, de Castilla, 34. Don Francisco Polo, de id. 20. D. Manuel Gutiérrez, de id. 8 con 4. D. M. A. 8 con 4. D. Juan Isíepcmucene Cúbrales , de Asturias , 4 con 2. D. Víctor Igi csias , de Burgos, 8 con 4. D. Anselmo del Val, del vallé de Tobalina, 204, B. Julián dei Val, de id., 25. (…</t>
  </si>
  <si>
    <t>Cueliar, Pedro Coca</t>
  </si>
  <si>
    <t>Pedro Coca Cueliar</t>
  </si>
  <si>
    <t>oua, ayuuaore segundo, á ca­ ta compañía, y de la ya formada, los individuos pitán de la octava compañía. siguientes : .1Capitanes. Séptimo batallan. D. Pedro Coca Cueliar. D. Nicolás J‘ *ndei. sarpecro primero, á sub­ D. Francisco Navarro López. teniente de la ottav* comp: nía. Tenientes. Noveno batallón. D. Juau de Coca Tor…</t>
  </si>
  <si>
    <t>Cuella, Celestino</t>
  </si>
  <si>
    <t>Celestino Cuella</t>
  </si>
  <si>
    <t>Pascual Casales, D. Romualdo Cortazar y D. José Alguacil Car­ rasco; los de teniente á D. Ramón Herveila, D. José de las Hera?, D. AN’xandro Rab’ej, D. Celestino' Cuella , D. Andre» Abollo, Don José Cubilar, D. Anselmo Muiré, D. José María Garza, í). «Fosé Navajas y D. Verdura Mosquera; los de subteniente á D José González Am…</t>
  </si>
  <si>
    <t>Cuello, Alonso</t>
  </si>
  <si>
    <t>Alonso Cuello</t>
  </si>
  <si>
    <t>evaderos: linda Buenaventura, de 6 cuer­ toda la p«'Sesión con tierras das y 10 celemines; linda de Torre dtl Alamo, de con tierras de la santa igle­ D. Alonso Cuello , del cor­ sia , y con otras de Juan tijo de Cirueña , del Gala- Nebrera................................ 500 6009 pagar y Barranco de la sa­ Tres suertes de tie…</t>
  </si>
  <si>
    <t>Cuenca, Vicente</t>
  </si>
  <si>
    <t>Vicente Cuenca</t>
  </si>
  <si>
    <t>jD,• Josef Madruga, ex-carmelita descal­ zuela de las Torres, por............................ 2200 zo, residente en Almagro, por................ 2200 D. Vicente Cuenca, id., por..................... 2200 D. Juan Bautista Varea Arcayos, id., re­ D. FranciscoGabaidon , id., residente en sidente en Ciudad R-éal, por.............…</t>
  </si>
  <si>
    <t>Cuesta, Feliciano</t>
  </si>
  <si>
    <t>Feliciano Cuesta</t>
  </si>
  <si>
    <t>P. D. La ma­ yor parte de los carros los traían tirados de muías de brigada, las tjU£;también pasarán á disposición de Vi S. — Martin.” '-' Parte de D. Feliciano Cuesta d X). Julián Sánchez. --- " Ahora que Serán como las cuatro de la tarde del ¿ia 30 del que4 rige, acabo de llegar con mi partida de las inmediacionts del rio …</t>
  </si>
  <si>
    <t>a con fecha de 17 del pasado que la fanega _'de-trigo ge'vendía á 210 rs. Extracto del parte dirigido por el comandante- de húsares francos toledanos D. Feliciano Cuesta al capUan general JJ Xavier de Cas­ taños.— Aldea de Centenera 2 de noviembre de 1811.—r ‘Tí \í án íome apostado 4 la otra parte del Tajo en el.-qamiuo. seal…</t>
  </si>
  <si>
    <t>1378</t>
  </si>
  <si>
    <t>e la provincia de- Exírem;*dava , con fecha de 6 de i saes actual, dios ai Exorno. S r. gefe de i estado .mayar ggnei&amp;l fi? siguiente: «Exaran. Sr. s D. Feliciano Cuesta , comandante de- ios húsares franca»' ttuxillanca, coa facha de 27 d??i- próximo pasado , tus dice la que copio. — Excmo, Sr, : Con motivo da -hallarme curan…</t>
  </si>
  <si>
    <t>Cuesta, Félix</t>
  </si>
  <si>
    <t>Félix Cuesta</t>
  </si>
  <si>
    <t>raz 5 lega'xe, y deudoso da contribuir con aqu-rüa actividad y esmero % que aspira tme-stsa angela libertad é .independencia, mandé que el subimiento D. Félix Cuesta, con la tercera compañía de mi escuadren, que ss halla á su cargo, saliesela moche del 22 del que rige:, y sin pasar un momento se trasladase á Puentfr.-Gci&amp;aldo…</t>
  </si>
  <si>
    <t>Cuesta, Manuel</t>
  </si>
  <si>
    <t>Manuel Cuesta</t>
  </si>
  <si>
    <t>odas clases, hierro-,-xabon&amp;c. De aquí Para el curato dé Navalmoral de Posa, vacan­ han salido 283 buques cargados de las produccio­ te por muerte de D. Manuel Cuesta, á D. Mateo nes del país y de manufacturas, y hemos enviado Razóla, cura de Torija. á lo interior 185 barcos grandes, cargados tam­ Para el del Castañar de Ibor…</t>
  </si>
  <si>
    <t>Cuesta, Seba-tsán</t>
  </si>
  <si>
    <t>Seba-tsán Cuesta</t>
  </si>
  <si>
    <t>ía de los reales exéreitos. El Consejo de Regencia se ha servido conferir en el estado ma­ yor del exército el empleo de ay udante primero al segundo D. Seba-tsán Cuesta ; y los.de ay.iidaat s segnudos al capitán del regi.miento de infantería de Raza D. Pedro"Rodríguez, y al tenieute de fragata de Ia,ie¡A armada D. Antonio Jc…</t>
  </si>
  <si>
    <t>Cueto, Jo e Mana</t>
  </si>
  <si>
    <t>Jo e Mana Cueto</t>
  </si>
  <si>
    <t>tes: t E-i el regimiento de línea de Cuenca, 'el empleo de corone! á Dr Joaquín da los Ríos, teniente ccrónsl del de Farnesio; la tenencia coronela á D. Jo&amp;é Mana Cueto, comandante de escuadrón dd ex­ tinguido de Y® tantalios de Sevilla, y la.sargentía mayor á D. F.macisno Auxinot, capitán del de dragones d« la Rey na : en el…</t>
  </si>
  <si>
    <t>Cueto, Rafael</t>
  </si>
  <si>
    <t>Rafael Cueto</t>
  </si>
  <si>
    <t>nder. D. Pedro y D. Santiago de la Cuesta Manzanal , .natu­ rales del reyno de León , 1000. D. José María de Allende , 4. D. Juan de la Cruz Ríos, 4. D. Rafael Cueto, 0, y D. Francisco Eusebio González Tixero, 17, naturales de la Habana. D. Francisco Layseca, de Alava, 100. D. Juan José de Sangroniz , de Vizcaya, 34. D. Valen…</t>
  </si>
  <si>
    <t>Cueva, María Gregoria</t>
  </si>
  <si>
    <t>María Gregoria Cueva</t>
  </si>
  <si>
    <t>y Carrasco, calzado, residente en Casarubios del id., por...................... 2200 Monte, por................................................. 2200 Doña María Gregoria Cueva , id., por.... 2200 D. Ramón Rodriguez, id., residente en Doña María Juana Remariinez, id., por 2200 Valmojado , por...................................…</t>
  </si>
  <si>
    <t>Cuevas, Francisco Crpero</t>
  </si>
  <si>
    <t>Francisco Crpero Cuevas</t>
  </si>
  <si>
    <t>recibido orden de izar las señales si­ D. Antonio Hernández Méndez. guientes para avisar que hai á la vista algao boque D. Antonio Ordoñez. enemigo. D. Francisco Crpero Cuevas. Para señalar una &lt;5 mochas fragatas enemigas, D. Matías Perez. una bo a ó giobo sobre el pabellón. Subtenientes. Para señalar que andan cruzando corsa…</t>
  </si>
  <si>
    <t>Cujucc, Mariano Luis</t>
  </si>
  <si>
    <t>Mariano Luis Cujucc</t>
  </si>
  <si>
    <t>visitó esta mañana mui tempra­ Ei St. D. Noei Varin..................................... 50 no la fundición de cañones, y en seguida salió con El Sr. D. Mariano Luis Cujucc..................... 80 S. M. la Emperatriz para Delft, de donde han sa­ El Sr. D. Cristóbal CimbolÜ......................... 50 lido SS. MM. inmediatamen…</t>
  </si>
  <si>
    <t>Culo, José</t>
  </si>
  <si>
    <t>José Culo</t>
  </si>
  <si>
    <t>de era necesaria su presencia y mayor el riergo, oenriando á su lado al subteniente de tiradores de Cádiz D. Cándido Huertas. El comisario de guerra D. José Culo, á quien se habilitó para llevar órdenes , mandes ó su genis! actividad y valor. Todos los oficiales y tropa se esmeraron á porfía, manifestando el soldado una al? g…</t>
  </si>
  <si>
    <t>Cunpopueden</t>
  </si>
  <si>
    <t>la r/ns glo- fiinz? , como lo acreditaron en Lis repetidas y vi­ fima é importante de quantas operaciones mimares gorosas s^lidis que execr.taroTi: e general Cunpopueden presentarse, Es por consiguiente Ja que exi­ V crde , haciendo un postrer csluozo, h .bia le­ ge en quien ¡a dirige unos conocimientos y un vantado tilda la …</t>
  </si>
  <si>
    <t>Cuntieras</t>
  </si>
  <si>
    <t>as de campiña. Que sin ernbargo de esto y de estar las *&gt;Ias muy agitadas, ss halló practicable d desembarco ; pero era necesario tratar antes con el gobernador Cuntieras, quien parecía no deseaba mucho que las tropas inglesas desembarcasen en la ciudad, sino que prefei</t>
  </si>
  <si>
    <t>Cur</t>
  </si>
  <si>
    <t>zar el cordon El tribunal de presas ha condenado el dia 2 de es­ de aquella frontera. En Belgrado y en las demas te mes al navio ingles la Aurora, tu capitán Cur­ plazas de la Servia se trabaja con actividad en la tís, con rodo su ca'gamento. fabricación de fusiles y de cartuchos, y se han D-sde el dia 9 hasta el 12 han entra…</t>
  </si>
  <si>
    <t>Curbaj</t>
  </si>
  <si>
    <t>dante general D. Luis deBassecourt, pa 6 i prime­ ros del mes del cuartel general de XcriCa á Vivel, donde revistó el se­ gundo batallón de Avila. El general Curbaj d se halLbi el 4 dei cor­ riente en Cañete con las tropas de su aun lo. La fortaleza de Murviedro presenta en el di a un iiexpug iable pun­ to de apoyo para nuest…</t>
  </si>
  <si>
    <t>CureTe, José</t>
  </si>
  <si>
    <t>José CureTe</t>
  </si>
  <si>
    <t>án de Lis, 3000. P- Juan Rovira Fonnosa , 4000. D. Benito de la Plaza, 200. Total, 180,850. JSn drogas y medicinas, cuyas valores se han computado. — D. José CureTe , 253 rs. D. Alberto Monge , 39. B. Agustin Reguera, 27S. D. José Martos, 1S6. D. Dionisio José Sanche# , 600. D. Juan Rodríguez Sánchez , 272. D. José Climen , 1…</t>
  </si>
  <si>
    <t>Cusa, Agustín</t>
  </si>
  <si>
    <t>Agustín Cusa</t>
  </si>
  <si>
    <t>36 A D. Pablo Portifo: y los de ayudantes segundos á D. Agustín Cusa, D. Francisco Mo tenegra, D. Mariano Villa y D. Vicente Ugarce. En, el regimiento de reales guardias españolas ha conferido el Con­ sejo de Rjge cía compañía al primer teniente cón grado de</t>
  </si>
  <si>
    <t>Custerec, Rafael</t>
  </si>
  <si>
    <t>Rafael Custerec</t>
  </si>
  <si>
    <t>destruir la trinchera construida ayer por el enemigo sobre la de­ recha del rio Francolí. Nuestra^derecha al mando del teniente co­ ronel de Hiberia D. Rafael Custerec debía atacar á viva fuerza el íianco izquierdo dé las obras enemigas: nuestra izquierda á las ór­ denes del coronel D. José C.tníerac, sostenida por la caballe…</t>
  </si>
  <si>
    <t>Cuzeses, Bjnito</t>
  </si>
  <si>
    <t>Bjnito Cuzeses</t>
  </si>
  <si>
    <t>l Corral, En el regimiento de infantería de Truxillo; ayudantía á Don Cristóbal Montero; tenencias á D, Diego Antonio Bsrnardo, Don Juan Serradilla y D. Bjnito Cuzeses; subtenencias á D. dementa Menacho y á D. José de Dios ; subtenencia de bandera á D. Joaquín Rodríguez, Ea ei batallón de infantería ligara primero de B ircelc…</t>
  </si>
  <si>
    <t>Cz, Adam</t>
  </si>
  <si>
    <t>Adam Cz</t>
  </si>
  <si>
    <t>Gaceta de Madrid n.º 8</t>
  </si>
  <si>
    <t>asados, y &lt;m cuerpo de tropas para cercar la fortaleza de pronto saldrá para continuar su viage. Turna. Los turcos, deseando reforzar é introducir El príncipe Adam Cz rtoriski , antigao minis­ víveres en esta fortaleza , destacaron el 5 de octu­ tro de N.g»eios extrargeros de Rusia, laiió tres bre de la guarnición de Nicópoli…</t>
  </si>
  <si>
    <t>Czatoriski, Constantino</t>
  </si>
  <si>
    <t>Constantino Czatoriski</t>
  </si>
  <si>
    <t>edel, minis­ TEATROS. tro plenipotenciario de S. M. el Rei de Saxonia, gran duque de Varsovia : En el del Príncipe, i las ocho de le noche, se re­ El príncipe Constantino Czatoriski, coronel; el presentará por la compañía española la comedia anti­ conde Goud.kowski, teniente coronel; el señor gua de Calderón en tres actos tit…</t>
  </si>
  <si>
    <t>Czcrnitcheff</t>
  </si>
  <si>
    <t>e dicho an­ tes , caso que los franceses intenten pasarlo. Pero Parts 5 de enero de 18ti. por ahora no es posible ataque ninguno, á causa de El señor conde Czcrnitcheff, coronel edecán las lluvias abundantes que hemos tenido, y que del Emperador de Rusia, llegó ayer á París. Ha han echo crecer el río ue manera que r.i -güiro …</t>
  </si>
  <si>
    <t>Czermchcsv</t>
  </si>
  <si>
    <t>Gaceta de Madrid n.º 130</t>
  </si>
  <si>
    <t>, muchas damas de la corte, muchos maris­ cales y generales, el general bavaro conde de En el del Príncipe, á las ocho de la noche, se re­ Wrede , el conde Czermchcsv, edecán del Empe­ presentará por la compañía española Ja comedia en tres rador de Rusia, y el conde de H.ichberg. actos titulada la Melindres», y el fin de fies…</t>
  </si>
  <si>
    <t>Czerni</t>
  </si>
  <si>
    <t>r comestibles de do per la Francia , el comercio de la Inglaterra ninguna especie. prospera cada dia mas; y alegan para prueba de La semana pasada el general en gefe Czerni— esta prosperidad el producto de los derechos que Jorge tuvo en Belgrado una sesión extraordinaria se pagan por las exportaciones, las quales han ren­ de …</t>
  </si>
  <si>
    <t>Czerni-Jorge</t>
  </si>
  <si>
    <t>as informaciones que se hicieren contra la ’ Según las últimas noticias de la Servia parees comisión de amortización de la qne se diere alguna que el general en gefe Czerni-Jorge no ha ido aun queja. al quartel general de Deiigrad, y qoe permanece 7.0 „S¡ zigana de estas qoatro comisiones dieta en su casa de campo. Sin e.nbar…</t>
  </si>
  <si>
    <t>ifestado en la Servia en el distrito de 7 de este mes á púbijci subasta no mas que en ‘Vuiiowa. xotO florines; pero se cree que .eVWribnnal encar­ El general en gefe Czerni-Jorge fya marchado gado de la tutela de lo:- herederos menores no con­ con sus secretarios en la semana última desde su sentirá en la adjudicación. haciea…</t>
  </si>
  <si>
    <t>citar al cai­ jowa, ciudad de Valaquia, con dos regimi.ntr.s macán por este feliz suceso. rusos, que traen orden de ocupar la plaza de Bel­ grado. El general Czerni-Jorge quería que estas Fronteras de Turquía 2 de febrero. tropas fuesen á las orillas del Drina; pero los ru­ El gobierno continúa tratando con el mayor ri­ sos h…</t>
  </si>
  <si>
    <t>Gaceta de Madrid n.º 140</t>
  </si>
  <si>
    <t>el que tiene mucha confianza la corte* desunión y mala inteligencia entre los gefes y el Este .médico ha recetado áS. M. los baños senci­ pueblo. El general en gefe Czerni-Jorge y el co­ llos del Danubio, y después de estos, por espacio ronel ruso Feodorowitch se observan uno á otro, de ocho dias, los baños aromáticos, de los…</t>
  </si>
  <si>
    <t>Gaceta de Madrid n.º 146</t>
  </si>
  <si>
    <t>mpo turco-que genizaros reciben so sueldo. había delante deNissa. Este cuerpo estará á las ór­ El Gran Señor ha mandado ahorcar á jo geni'' denes del general Czerni-Jorge, que ha salido ya jiros, que fueron los que mas se encarnizaron ea de Belgrado. el alboroto que hubo aquh á principios de este SAXONIA. mes. Tiresde iS de a…</t>
  </si>
  <si>
    <t>Czerní-Jorge</t>
  </si>
  <si>
    <t>to es, enemigos de reli­ giones extrangerai. La principal causa de la re­ Pancso-wa ta de abril. unión de los miembros de esta secta es so descon­ El comandante Czerní-Jorge ha logrado por lío tento del gobierne actual, y el odio que todo* hacer salir de la Sccvia á los comandantes Mcico-</t>
  </si>
  <si>
    <t>721</t>
  </si>
  <si>
    <t>mui reflexivo y pensativo, preguntó precipi­ Es tan grande la escasez que se padece en la tadamente y con la mayor viveza al comerciarte Servia, y el general en gefe Czerni-Jorge ha pe­ si tomaría billetes de banco rotos. £1 negociante dido con tantas instancias que se le envíen pronta­ respondió que no; y el incógnito, por.i…</t>
  </si>
  <si>
    <t>mas que viejos, mugeres y sonas qoe se hallen en el caso de poder couttibuir niños; todos los dema^ habitantes están en el exérá dicho plan. cito. El comandante Czerni-Jorge ha reunido, co­ AUSTRIA. mo el año pasado, sus principales fuerzas en el cam­ po atrincherado de Deligrand ; y _ si ios rurcos Viena 2 de octubre. quiere…</t>
  </si>
  <si>
    <t>CzerniArcdttgelo</t>
  </si>
  <si>
    <t>Gaceta de Madrid n.º 10</t>
  </si>
  <si>
    <t>EBBHMI 3 GAZETA DE MADRID DEL JUEVES io DE ENERO DE i8n, RUSIA. conde Kamenski, general en gefe del exército ruso, el senado servio ba hecho saber al general CzerniArcdttgelo 2j&gt; de octubre de 1810. Jorge y á todos los desas comandantes servios Un práctico, que ha llegado aqai hace ano» que se habían entablado negociaciones e…</t>
  </si>
  <si>
    <t>D'arripe, Pedro</t>
  </si>
  <si>
    <t>Pedro D'arripe</t>
  </si>
  <si>
    <t>sa­ lud ^tenernos mal tiempo hace § días, hace frió y llueve. — A Dios, querido amigo, te abrazo; no dudes nunca del muy tierno afecto de — Julia” De D. Pedro D'arripe, comisario de policía de Santander , á D. Pablo Arribas. — u Exorne . Sr.: Eí grande temporal y mar fuerte que hemos tenido estos días, obligó ai díate portugu…</t>
  </si>
  <si>
    <t>D, Alexandro Psrezj</t>
  </si>
  <si>
    <t>Alexandro Psrezj D</t>
  </si>
  <si>
    <t>. Abdon Ruis y Camón, D. Ventura Mol­ ió.; D. Francisco de F ula Lopes, D, Tomas Ríos , D. Andrés Rodrigo y D. Francisco Gor-znlea ; y subtenencia» i D. Alexandro* Psrezj D, Mariano C'uluby, D. Aütaaio Sq2W¿o, D. Vicente Ji re­ velo , D. Dkgo Fénollet , B; J*sé Saezy D. José Romero , y Dm Jo-é Aguí lar; en el de Valencia, com…</t>
  </si>
  <si>
    <t>D, Antonio</t>
  </si>
  <si>
    <t>Antonio D</t>
  </si>
  <si>
    <t>................ 10358-25 El cabildo eclesiástico de la villa de D. Pedro del Rio...................................... 5923-16 Chinchón, por mano de D. Antonio D. Fermín de Zelayeta............................ 8953..22 Morndillo.............. ............................ 14801 D. Fernando Martínez de Huete.......... 3476-28 …</t>
  </si>
  <si>
    <t>D, Antonio Valcarcel Pió de Sa</t>
  </si>
  <si>
    <t>Antonio Valcarcel Pió de Sa D</t>
  </si>
  <si>
    <t>ero y Do­ El marques del Norte.................... 902 *7 ña María del Carmen Meló....... 20521 12 D. Santiago Aguillo....................... 5595 17 D. Antonio Valcarcel Pió de Sa­ D. Josef Agustín de Fatiregui....... 1263 *7 baya , marques de Castel-Ro­ D. Andrés de Abrisqueta.............. 54i *7 drigo.....................…</t>
  </si>
  <si>
    <t>D, Benjamín</t>
  </si>
  <si>
    <t>Benjamín D</t>
  </si>
  <si>
    <t>os Arias y D. Alexandro Patison; las ayudauitía3 primera y segunda á D. Francisco Trespalacios y Don Joaquín O'lviras; tenencias á D. Francisco Cano, D. Benjamín D woia, D. Ensebio F reyre, D. Gasnar Escapa, D. Benjamín Barríe, D. Pedro Sánchez, D. Joan Zaldivar, D. Manuel Zeldivar, í). Mdro Caballero, D. Bernabé Santibañ***,…</t>
  </si>
  <si>
    <t>D, Bernardo</t>
  </si>
  <si>
    <t>Bernardo D</t>
  </si>
  <si>
    <t>versos y música en D. Juan Blanco queda nombrado capitán; Don dos actos titulado el Saúl, composición del maestro Juan Cañuelo y Cafiuelo reniente, y D. Bernardo D. Estéban Cristian!, adornado con todo su aparato y magnificencia; y para finalizar la función se bailará un Moreno y Luque subteniente. terceto nuevo. art. xit. En…</t>
  </si>
  <si>
    <t>D, Bernardo González'y</t>
  </si>
  <si>
    <t>Bernardo González'y D</t>
  </si>
  <si>
    <t>D. Francisco Colmenero, D. Juan B anco, D.. Miguel Albert, D. Antonio José Ranee, í). Joaquín Mateos, D Luis Ma­ riano Espinosa, D. Jo3¿ García Saez, D. Bernardo González'y D. Ramón Luciano de Villamaríin; y cu el dei segundo de Soria, ayudantía á D. Andrés Aguirre; tenencias á D. Vicente Olmos, Don Francisco Rica Tillaren!, …</t>
  </si>
  <si>
    <t>D, Carlos Colon y el Sr</t>
  </si>
  <si>
    <t>Carlos Colon y el Sr D</t>
  </si>
  <si>
    <t>viles y militares , y S. M. estuvo ha­ El Sr. D. Juan Serra Casano......................... 100 blando con los miembros de la cámara de comer­ El Sr. D. Carlos Colon» y el Sr D. Mar­ cio mas de media hora como un padre eamedio de co Antonio Colona...................................... 200 sus hijos. E' Sr. D. Francisco Carraf…</t>
  </si>
  <si>
    <t>D, Cayetano</t>
  </si>
  <si>
    <t>Cayetano D</t>
  </si>
  <si>
    <t>citos, les empleos de ayudante general ú D. Mi­ guel ce Arechavffla, teniente coronel del real cuerpo de ingenieros; de Ayudantes primeros al segundo D. Cayetano D gres, y .al sargen­ to mayor del mismo cuerpo ¿te 11 gen teros D. José Aguado ; y el de ayudantes segundos á D. Agustín Otermin, D. Jote María Pa­ nlagua y D. Rafa…</t>
  </si>
  <si>
    <t>D, Cristóbal Perez y Doña Angela</t>
  </si>
  <si>
    <t>Cristóbal Perez y Doña Angela D</t>
  </si>
  <si>
    <t>n.................. . 3610 bona de D: Juan Mateo Xalraque- 3 D. Gregorio Imperial........................ 2436 25Í; mada.................. 6407 aj| 3 D. Cristóbal Perez y Doña Angela 4 D. Nicolás de Besabe........................... 722 Blanco...... ...i........ ...................... . 2 D. Pedro Memendauo...................…</t>
  </si>
  <si>
    <t>D, Dactor</t>
  </si>
  <si>
    <t>Dactor D</t>
  </si>
  <si>
    <t>El alcalde mayor jl Mariano Carbajal , 12. D,i)¡í Yiga!o, recaí la.lor, 12 D José L&gt;ay7.x, id, 12. Los mozos espabiles de Ptvil , 49.— L'mxtambo. El cura Dactor D. Lorenzo Nmega , ademas le lo que conuubtyó por mano de ■su prelado , como vecino principal , 23. E! ayudante presbítero O. Francis­ co Flores Calero , 12 E! presbí…</t>
  </si>
  <si>
    <t>D, Faustino Navarro</t>
  </si>
  <si>
    <t>Faustino Navarro D</t>
  </si>
  <si>
    <t>iozola, subteniente del regimiento de infante­ ría de ía Patria , D. Atanajio Navas, D. C ndido María Bozada, O. Manuel Rodríguez, D. Fernando López, D Faustino Navarro* D. Santiago Pereyra , D. Pedro González , D J í^n Ssnovilla , D Ig­ nacio Carrasco, D. Pedro Giménez, D. J?.yme Qjirós, D. Sabas Ma­ rín , D. J isé Ortega , …</t>
  </si>
  <si>
    <t>D, Fran</t>
  </si>
  <si>
    <t>Fran D</t>
  </si>
  <si>
    <t>ra. su palacio. D. Juan Josef Ramírez. Luego que tomó asiento S. E. dio orden que D. Josef Cabello Castaños. se bendijesen las banderas, como lo hizo D. Fran­ D. Josef de lá Torre Montoro. cisco Arribas, arcediano de Burgos y capeilan de D. Francisco González. la milicia cívica , del qual las recibieron el señor D. Vicente Ce…</t>
  </si>
  <si>
    <t>D, Francisca X-aviera de la Mata</t>
  </si>
  <si>
    <t>Francisca X-aviera de la Mata D</t>
  </si>
  <si>
    <t>D. Agustín Par­ zález, |)«or. real órden de 16 de oc­ do y Soler.................. ...................... 974t 9 tubre Ja .17 97» y como bif. s de *4 Doña Francisca X-aviera de la Mata D. Agusatin , se las concedió 6 rs. Linares, marquesa de !a Solana..... 25201 diarios p.nrvía de limosna........ ...... 576 21 El multiplicio …</t>
  </si>
  <si>
    <t>D, Francisco</t>
  </si>
  <si>
    <t>Francisco D</t>
  </si>
  <si>
    <t>ntonio1 Padilla, desempeñaron con acierto sus encargos y obligaciones, y lo mismo los del cuartel maes­ tre general capitanes D. Saturnino Samaniego, D. Francisco D.¿z de Bustamante y D. José del Rivero, habiendo sido el primero herido de un golpe de metraUa en una rodilla en el ataque de la entrada de la cañada de Marfil, á …</t>
  </si>
  <si>
    <t>D, Francisco Antonio</t>
  </si>
  <si>
    <t>Francisco Antonio D</t>
  </si>
  <si>
    <t>a , para noticia del público. , . , . ' ■v. . "* ■ El Consejo de Regencia se ha&lt; servido conceder tenencias es el regtaiianto de infanleií* de Lena.á D. Francisco Antonio D az, Don José Ibailez y D. Matías Garrote, y en el de Ciudad Real á D. Eu­ genio Rosales , subtenientes de los propias cuerpos, y subtenencias ea el pr ime…</t>
  </si>
  <si>
    <t>D, Francisco Solano Tablada</t>
  </si>
  <si>
    <t>Francisco Solano Tablada D</t>
  </si>
  <si>
    <t>uilar Jurado; para ayudantes En nuestro palacio de Madrid á 26 de marzo á D. Miguel de Trillo y D. Diego Repiso y Toro, de iSr 1. y para abanderado á D. Francisco Solano Tablada D on Josef Napoleón por la gracia de Dios y y Madrid. por la can■ tituciori dei estado, REI de las Espa- Asimismo quedan nombrados capitanes y ofi­ ñ…</t>
  </si>
  <si>
    <t>D, Francisco Válvery</t>
  </si>
  <si>
    <t>Francisco Válvery D</t>
  </si>
  <si>
    <t>conde de Priegue recdrqienda al sargento segundo Domingo Conde, que presentó q prisioneros, al ayu­ dante general de ía división D. Carlos Emilio ; á D Francisco Válvery D. Ignacio Ventura, y á los oficiales D Ramón Llana, herido, y D. Nicolás Santiago y D. Manuel Reguenga , prisioneros. Confirma fel general Losada que la pér…</t>
  </si>
  <si>
    <t>D, Francisco Xavier Martínez Re</t>
  </si>
  <si>
    <t>Francisco Xavier Martínez Re D</t>
  </si>
  <si>
    <t>10849 32§ Doña Victoria Gadea.................... 15075 21 Doña Dorotea Macdonell............. 773 2f D. Juan de Montoya..................... 121 JO D. Francisco Xavier Martínez Re­ D. Juan Antonio de Arechaga é mo» .............................................. M952 27! hijos....... .................. ............ ...... D. …</t>
  </si>
  <si>
    <t>D, Grego</t>
  </si>
  <si>
    <t>Grego D</t>
  </si>
  <si>
    <t>litado La testamentaría de D. Pe­ D. Manuel Martínez de Reales. Mr». dro Godart por mano de Novales, por..................... 603483..3a su apoderado D. Grego­ D. Manuel Francisco de rio Petit............................... 9 2 04.. 13 Aguirre é hijos................ 60000 Doña Antonia Delgado........ 456a.. 6 Los señores Dou…</t>
  </si>
  <si>
    <t>D, Ignacio</t>
  </si>
  <si>
    <t>Ignacio D</t>
  </si>
  <si>
    <t>..................í................ 336l7-I$ por.................................................................... 2200 D. Ignacio Miguel de Agote, D. Ignacio D. Ramón Pérez y Morales, ex-trinitario Vicente y Doña Francisca de Mayó­ descalzo, residente en Cienpozuelos, por 2200 la, como herederos de D. Fernando de D. Cirilo…</t>
  </si>
  <si>
    <t>D, Jo</t>
  </si>
  <si>
    <t>Jo D</t>
  </si>
  <si>
    <t>. Juan Pablo.Imbrea........................... 154-50 El marques de Muzquiz............................... 44866..19 D. Jaime Felipe , D. Juan Lucas, D. Jo­ D. Gregorio Pereira y Pacheco................ 11000 sef María y D. Hipólito Durazo........... 52500 Doña Eugenia Pahvicini............................... 87700 Rs. vu....…</t>
  </si>
  <si>
    <t>D, Jo I</t>
  </si>
  <si>
    <t>Jo I D</t>
  </si>
  <si>
    <t>...... .......... ................ 70444 *8 7 por D. Cayetano de la Lana, por sí, 1 D. Domingo. Fernandez del Campo. 18410 32 y en virtud de poder de D. Jo­ I D. Diego Tcnidesiiias, su apoderado sef de Taló...... ................ .......... . D. Gemeuits de Cábia................... 28333 5 T979 7 por 2 D. Manuel Sixto Espioos…</t>
  </si>
  <si>
    <t>D, Joaquín</t>
  </si>
  <si>
    <t>Joaquín D</t>
  </si>
  <si>
    <t>ría, y del te* nientc de ia misma D. L on de I¿darte, así como del ayudante ma­ yor de !n infantería O. Miguel de Sad&amp;ba, y del espitan de la mis­ ma D. Joaquín D¿pablo ; solo hemos teiaido un herido. La3 dos compañías del segundo se han dktisgaido sobremanera, y llenado el colmo de sus deberes. — D os — Gregorio Ernchaga" Ai…</t>
  </si>
  <si>
    <t>D, José Martin A</t>
  </si>
  <si>
    <t>José Martin A D</t>
  </si>
  <si>
    <t>1284</t>
  </si>
  <si>
    <t>cli.iano Cuesta. Dios guarde á V. E. muchos años. — Lagunilla 4 dé febrero de 1811.— Julián Sánchez. — Excmo. Sr. D. Gabriel de Mendizabal.” Parte de D. José Martin A D. Julián Sánchez. « Gomo dixe á V. S* eneraba un coa voy que pasaba de Alba k Ciudad-Rodrigo, totoé las</t>
  </si>
  <si>
    <t>D, Juan Bautista</t>
  </si>
  <si>
    <t>Juan Bautista D</t>
  </si>
  <si>
    <t>ta de ía Fe, establecida en la D. Antonio Alvo y Doña Manue­ referid? parroquia, por mano de la Fernandez de la Herran....... . 23530 17 íu apoderado D. Juan Bautista D. Santiago Gutiérrez de Arintero. 46429 29 de Lasa....................................... arjo 27 D. Juan Tetan.................... . icSj</t>
  </si>
  <si>
    <t>D, Juan Bautista Duiaad</t>
  </si>
  <si>
    <t>Juan Bautista Duiaad D</t>
  </si>
  <si>
    <t>E; Consejo de Regencia se ha servido conceder en el secundo exército, ngregacinn Je capital y de teniente de infantería á D. Juan Bautista Duiaad D vssl y D. V ictor B -&gt;*ciugna : en e? tercer exército, agregación de ayudante de infamen i a D. J ..sé Dita costa; y en el séptimo, agregación de capitán también de infantería á D…</t>
  </si>
  <si>
    <t>D, Juan Magollo</t>
  </si>
  <si>
    <t>Juan Magollo D</t>
  </si>
  <si>
    <t>. José Viiiaroel, D. José de los Jtav'js, D. Francisco Puebla, D. Antonio Nieto, D. Franc'seo Or iuda? D.-Francisco de Ibarra, D. Manuel Caba­ llero, D Juan Magollo D. José D:az y D P^dro Peynador; subtenenc as á D. Sebastian Salado, D: Felipe Treus,D Santos San­ martín, D. José Mosco30, D. José Ruiz Rodríguez , D. Fidel GaÍo…</t>
  </si>
  <si>
    <t>D, Juan Snaith-y</t>
  </si>
  <si>
    <t>Juan Snaith-y D</t>
  </si>
  <si>
    <t>s agregados D. Enrique y D. Pedro Zuloaga , y á los al­ féreces D Pedro Gómez y las Casas, de granaderos, D. José Gon­ zález de Rivera, de cazadores, D. Juan Snaith-y D. Pedro Magarófa; empleo de alférez de granaderos al de, fusileros D. Jo -quin Monínfar; empleo de aiferez de cazadores ai de fusileros D. Manuel Ma­ na Rodríg…</t>
  </si>
  <si>
    <t>D, Lado</t>
  </si>
  <si>
    <t>Lado D</t>
  </si>
  <si>
    <t>octubre. D. Juan Manuel Caballero á teniente de la sex­ Hemos visto con suma satisfacción el segundo ta compañía. •OSayo de la capa hidrostática del capitán Lado- D. Pedro Díaz Ron , sargento 1á subtenien­ rini. Ademas se ha desmentido la noticia que fál- te de la segunda compañía. íameote había corrido de la muerte de su com…</t>
  </si>
  <si>
    <t>D, Ma</t>
  </si>
  <si>
    <t>Ma D</t>
  </si>
  <si>
    <t>rónimo, residen­ Doña Ma.ia del Carmen Herranz, por sí te en Cienpozuelos, por............................. 2 200. y por .-.us tres hijos D. Xavier , D. Ma­ D. Paulino Palomino, id., residente en nuel y Doña María dei Carmen Carras­ Arganda , po 120438 2200 co...................................................................…</t>
  </si>
  <si>
    <t>D, Manuel</t>
  </si>
  <si>
    <t>Manuel D</t>
  </si>
  <si>
    <t>0 no de D. Vicente González Arnao.. 1083 D. Domiugo y D ¡ña Geróniina Gar­ D oña Antonia Massíp y Stofíl-l.............. 1444 cía, y los herederos de D. Manuel D. josef de Roxas y Hierro.................... 1985..17 Joset García y Barón, por mano de D. Joaquín Pelaez..................................... 1173.. «i Don Valentía…</t>
  </si>
  <si>
    <t>D, Manuel Josef Anun</t>
  </si>
  <si>
    <t>Manuel Josef Anun D</t>
  </si>
  <si>
    <t>17 apoderado D. Felipe Blanco....;...'. 3049 14 13 D. Santiago Arias, por medio de su 1 D. Josef Felices................................... apoderado D. Manuel Josef Anun­ 900 1 D. Antonio Castejon.......................... 292 17 ciarte................................................... 12364 8f 3 Dona María Alexa Cetragería…</t>
  </si>
  <si>
    <t>D, Manuel Martínez</t>
  </si>
  <si>
    <t>Manuel Martínez D</t>
  </si>
  <si>
    <t>Doña Xavicra de Osma...... ........... ... 4485 12 1 D. Julián de Erguinio , por medio de 4 D. Francisco Saez Ruiz...................... so apoderado D. Manuel Martínez D. Santos Ortiz............... ..................... 43Jo de Novales....................................... 1263 17 3 4500 1 D. Lope García Salazar de Mazarre…</t>
  </si>
  <si>
    <t>D, María Carolina de los Dolores Gan</t>
  </si>
  <si>
    <t>María Carolina de los Dolores Gan D</t>
  </si>
  <si>
    <t>2200 D. Ramón Rodriguez, id., residente en Doña María Juana Remariinez, id., por 2200 Valmojado , por........................................... 2200 Doña María Carolina de los Dolores Gan- D. Josef Guillen, ex-capuchino , residen­ dolfi, id., por............................................. 2200 te en Torrejon de Velasco , p…</t>
  </si>
  <si>
    <t>D, María de la Concepción</t>
  </si>
  <si>
    <t>María de la Concepción D</t>
  </si>
  <si>
    <t>6 Los señores D. Pedro Bayle Pea'cs. Mrs. D. Juan Manuel Sorzano y y compañía, por............ 1000 Soria.................................. 10920.-19 Doña María de la Concepción D. Josef Badan , por cesión Echeverría......................... 4769. .10 de D. Melchor de Moa- D. Josef Badan........ ....... . 5961.,2a toya.......…</t>
  </si>
  <si>
    <t>D, María de los Ange</t>
  </si>
  <si>
    <t>María de los Ange D</t>
  </si>
  <si>
    <t>Pablo Martin Ballesteros................... 2617.. 8f D. Gregorio Domínguez Salinas, como D. F rancisco Galarza, hijo y compañía. 2707..17 marido de Doña María de los Ange­ D. Felipe Sanz.................................. ........ les Quer..................................... .............. 5625 D. Diego del Campo............…</t>
  </si>
  <si>
    <t>D, María Nicolasa Villaoucva</t>
  </si>
  <si>
    <t>María Nicolasa Villaoucva D</t>
  </si>
  <si>
    <t>.. 89829 D. Pedio Metnendao............. ........ 3269 30 D. Juan Fermín de Ezcnrru........... 43 5® D. Juan Latreiturne....................... 12060 Doña María Nicolasa Villaoucva D. Fernando Perez Rico................ 6600 y Morrreai....... ............................ 1460 D. Juan Duat.................................. 360…</t>
  </si>
  <si>
    <t>D, Melchor de Moa</t>
  </si>
  <si>
    <t>Melchor de Moa D</t>
  </si>
  <si>
    <t>.................................. 10920.-19 Doña María de la Concepción D. Josef Badan , por cesión Echeverría......................... 4769. .10 de D. Melchor de Moa- D. Josef Badan........ ....... . 5961.,2a toya................................... 4365-16 D. Fernando Bernaldo de D. Manuel María Cambró- Quirós..... ,.......…</t>
  </si>
  <si>
    <t>D, Miguel</t>
  </si>
  <si>
    <t>Miguel D</t>
  </si>
  <si>
    <t>za­ dores de mi regimiento, mandada por su capitán D. Manuel Durango. Después de su primera salida, en que hizo el arrojo de llegar con ia partida de D. Miguel D.az á las puertas de Teruel, dexando en ías pri­ meras casas nuestros papeles públicos, fué atacada el 18 del pasado en ‘‘S'^rrion por $00 iníanres y 40 caballos enem…</t>
  </si>
  <si>
    <t>D, O</t>
  </si>
  <si>
    <t>O D</t>
  </si>
  <si>
    <t>ra Cuadra, despaché á mi ayudante de Campo él capitán D. José Cacho, en posta, entre 4 y 5 de la tarde del 8, con ó rden por escrito y verbal para el general O D añadís, en que le pre« venia juntase toda la cuarta división y la caballería de Loy, é im­ pidiese ¿ toda costa que los franceses tomasen á Zújar ó ELza, en</t>
  </si>
  <si>
    <t>D, Pe</t>
  </si>
  <si>
    <t>Pe D</t>
  </si>
  <si>
    <t>de acreedores de su apoderado D. Felipe D. Juan de Gomora por Santiago Gallo.................. .cooo$..l6 medio de su habilitado La testamentaría de D. Pe­ D. Manuel Martínez de Reales. Mr». dro Godart por mano de Novales, por..................... 603483..3a su apoderado D. Grego­ D. Manuel Francisco de rio Petit.............…</t>
  </si>
  <si>
    <t>D, Pedro Gar</t>
  </si>
  <si>
    <t>Pedro Gar D</t>
  </si>
  <si>
    <t>ntonia Delgado........ 456a.. 6 Los señores Douat herma­ D. Vicente de Zuza por su nos............... ........................ 1.249807..23 apoderado D. Pedro Gar­ D. Vicente González-Arnao. 21 51.. 3 2 cía de Pinillos,................... 19 208..26 D. Leandro Fernandez MoD. Josef Badan...................... 207123.. 8 ratiii…</t>
  </si>
  <si>
    <t>D, Simón</t>
  </si>
  <si>
    <t>Simón D</t>
  </si>
  <si>
    <t>, vacante por muerte de Para el de Valcavado, vacante por promoción D- Juan García, al cx-reguiar del mismo árdea de D. Lorenzo Ortíz al de Fresno, á D. Simón D. Manuel Santo Domingo. Cavia, habilitado. Para el del Cubo de la Sierra, vacante por Para el de Almarza,'vacante por muerte de muerte de D. Gregorio Náxera , sin los …</t>
  </si>
  <si>
    <t>D, Valentín Escuroá</t>
  </si>
  <si>
    <t>Valentín Escuroá D</t>
  </si>
  <si>
    <t>uxo á vn hombre n u iío, algunos heridos y 3 caballos muertos. — Rscomien a Mter al teniente D. José Aideo* na, ai subteniente D, Antonio Mantecón, á D. Valentín Escuroá D. Minué' B dmaseda, ¿ los soldados Jo?é Rapo!ler, Antonio Sa­ ludes y Joí.éB mal, que recibió '&amp;. herida1*'; elogiando muy particu­ larmente á ios comandant…</t>
  </si>
  <si>
    <t>D, Vicente</t>
  </si>
  <si>
    <t>Vicente D</t>
  </si>
  <si>
    <t>ca. D.J uan de Molina y D. Lope Fernandez de Cór­ Subtenientes. doba ; para ayudantes D. Josef Vázquez y D. Ra­ fael Fernandez , y para abanderados á D. Vicente D. Mariano Pineda. Fernande z y D. Manuel Aragón. D. Josef Ladrón. Admismo quedan nombrados para capitanes y D. Josef Cisneros. oficiales de las doce compañías, inclu…</t>
  </si>
  <si>
    <t>D-ifrfUÓ, C O</t>
  </si>
  <si>
    <t>C O D-ifrfUÓ</t>
  </si>
  <si>
    <t>general &amp;n. gefe d¡*i ic-jio-áx exército s* ha apro­ ximado a esta plaza *¡&amp;n sus tropas, retiñiendo el mando de Iss que teaia el mariscal de c&amp;c&amp;.po D. C O • D-ifrfUÓ ii, Vid® e¿ , das divi­ sional do los generales Obispo Yillacarapa y S¿?n Juan , habiéndose incorporado ei pAc-iCío íyer. cuerpo que &amp;&amp;ggjád¿rá á «¿rea de 9000…</t>
  </si>
  <si>
    <t>da Echa, José</t>
  </si>
  <si>
    <t>José da Echa</t>
  </si>
  <si>
    <t>tonio Cerra , oficial de la contaduría , 41 y 5. D. José Her rera, defensor déla caxa, 50. D. Francisco Elias, escribano del juzgado, 83 y 2 y medio. D. José da Echa* arria, oficial de id., 95. D. Justo Mesdoza y Toledo , cobrador , 33 y 2 y medio. D. Alejandro Poquis , intérprete , $ y 2 y medio. Pablo García , procurador de…</t>
  </si>
  <si>
    <t>da Tomás, Juan Julián</t>
  </si>
  <si>
    <t>Juan Julián da Tomás</t>
  </si>
  <si>
    <t>an Sayró, y D. Vicente Sancho: ayudantía á D. José García: tenencias á D. Ji'sé Lopes y Angulo , D. Jacobo López, B. Miguel Salazar, D. Temas Moreno, D. Juan Julián da Tomás, D. Isidro Rebollo,. D. Saturnino García, D. Abdon Ruis y Camón, D. Ventura Mol­ ió.; D. Francisco de F ula Lopes, D, Tomas Ríos , D. Andrés Rodrigo y D.…</t>
  </si>
  <si>
    <t>Dabadie, Pedro</t>
  </si>
  <si>
    <t>Pedro Dabadie</t>
  </si>
  <si>
    <t>res: la justicia, primer atributo de la Ruiz. = D. Lorenzo González Viejo. = D. Josef «soberanía, conserva, en Iqs estados el buen orden, Martínez. = D. Pedro Dabadie. = D. Juan Moriar« y hace respetar las leyes con que sop goberna- ti. = D. Joset Cabrera. = D. Fernando S. Miilan.= «dos. Sin este freno, los exércitos serian u…</t>
  </si>
  <si>
    <t>Daendels</t>
  </si>
  <si>
    <t>gunos marqueses; pero bolamente ba en el mes d¿ marzo hacer una expedición con­ exercia su imperio en los magníficos salones. La tra Batavia; pero el general Daendels, comandan­ clase media y el pueblo no conocían los madriga­ te de aquella colouia, tenia fuerzas suficientes pa­ les, oi los amores afectados de que estaban lle…</t>
  </si>
  <si>
    <t>estuvo enteramente sutrergida.^por algún ^íjbnl ’á Batavia con 3 fragatas. El 16 de mayó le tiempo, y ha quedado tan llena de cieno, que ha ,'dio el general Daendels posesión en presencia de sido preciso que acudan..de la&lt; cercanías muchos f"uqa .asamblea .del consejo supremo de Indias. El , (tniles de traba ¡adores para pone…</t>
  </si>
  <si>
    <t>Daieoso</t>
  </si>
  <si>
    <t>nemigo para Bocme (D. Alexandro), sargento primero del re­ quitárselas. El comisario conociendo el valor 6 in­ gimiento Reai Extrangero. trepidez del capitán Daieoso, el qual á pesar de Cárter (D. Augusto), furrier del regimiento Real todos los obstáculos consiguió entrar el invierno Extrangero. ú timo socorros en Barcelona »…</t>
  </si>
  <si>
    <t>Daisenne</t>
  </si>
  <si>
    <t>legó el 13. Las de Castilla hasta 8 del corriente continúan hablando de la gran pérdida sufrida por los franceses hacia San ti Espíritus, y de que el general Daisenne trata de reunir las tropas de su mando. Las no­ ticias de Salamanca del 11 son de estarse allí «s aerando de 5 á 6000 hombres con 20 piezas de artillería, les c…</t>
  </si>
  <si>
    <t>Dalias, Hemeterio</t>
  </si>
  <si>
    <t>Hemeterio Dalias</t>
  </si>
  <si>
    <t>. Luis Totosans , 300. Doña María Josefa del Valle , 4000. D. Fernando Gutierre*;, 500. D. Mi­ guel Duque de Estrada, 500. D. José Perez Medina, 500. D. Hemeterio Dalias, 500. D. Juan Agustín de Ibarra , 300. D. Domingo Sainz Pardo, 200. D. Pedro Rosell, 200. D. Buenaventura Gualba, 200. D. José Goma, 100. D. Andrés Ibarra, 1…</t>
  </si>
  <si>
    <t>Damas, Matias</t>
  </si>
  <si>
    <t>Matias Damas</t>
  </si>
  <si>
    <t>83</t>
  </si>
  <si>
    <t>al cuerpo de artillería de aquel reyno. El coronel comandante D. José Mendez Quiroga , 150 pesos. Capitán primero D. Juan Vidaror, 70. Guarda almacén D. Matias Damas , 20. Sargento primero Vicente Zamora, 25. Id. segundo Gregorio Masis, 2.3. Bedro Ibarren, id., 25. Francisco AUamirano , id., 25. Francisco López , id. , 25. Ci…</t>
  </si>
  <si>
    <t>Dámaso, Antonio</t>
  </si>
  <si>
    <t>Antonio Dámaso</t>
  </si>
  <si>
    <t>Alt. 11. Quedan nombrados para las plazas va­ siguiente: • • i . ... cantes de examinadores de la. misma Cicoltaj Don . Señor: &gt; Matee lo- - Reboto, D. Antonio Dámaso. Torrecilla^ ,, EL sciiado ha oído coa el mas vivo placer !a y D. Josef Albarran supernumerario. . lectura ¡déla carta de V. M. I; y R. . art. 111. Nuestro mini…</t>
  </si>
  <si>
    <t>Dan, Fabo María</t>
  </si>
  <si>
    <t>Fabo María Dan</t>
  </si>
  <si>
    <t>¿4 El concurso de D. Fabo María Dan- *439 - cinot y componía, por mano dé $n • 4 D. Joaquín Martínez y Sánchez, co­ síndico D. Pedro Amonio Seniosain. 267x4 mo heredero de ©oña Manuela Ribero............................................ . 2685 23 r? D</t>
  </si>
  <si>
    <t>Dana, José María</t>
  </si>
  <si>
    <t>José María Dana</t>
  </si>
  <si>
    <t>or toda la línea con el ma­ yor celo y eficacia, á lo que contribuyó también el capitán del real cuerpo c}e ingenieros, graduado de teniente coronek, D. José María Dana, que no se separó de mi lado, y asistió á los reconocimientos que hice del terreno: todo lo que pongo &lt;en conocimiento de V. &amp; en cumplimiento de mi deber. La…</t>
  </si>
  <si>
    <t>Dañoso, Juan</t>
  </si>
  <si>
    <t>Juan Dañoso</t>
  </si>
  <si>
    <t>sco Lahoz y D. Buenaventura Macia ; ios de ayudante á D. Francisco Lacón y D. Andrés Linda; los de capitán segundo ¿ D. Rafael OJeriz, D. Tomas Sacz, D. Juan Dañoso, D. Pedro Pascual Casales, D. Romualdo Cortazar y D. José Alguacil Car­ rasco; los de teniente á D. Ramón Herveila, D. José de las Hera?, D. AN’xandro Rab’ej, D. …</t>
  </si>
  <si>
    <t>Dar, José</t>
  </si>
  <si>
    <t>José Dar</t>
  </si>
  <si>
    <t>entes de granaderos provin­ ciales de Castilla la niieva D. Francisco Caseros , y D. Segundo Maldorado , quienes fueron de guerrilla á las órdenes de D. José Dar­ quines, y todós los individuos que expresan las adjuntas relaciones;</t>
  </si>
  <si>
    <t>Darán, Jasé</t>
  </si>
  <si>
    <t>Jasé Darán</t>
  </si>
  <si>
    <t>842</t>
  </si>
  <si>
    <t>c*én y entusiasmo, con motivo-ds las repetidas ventajas 'conseguí-Es'por ios patriotas cont-a el ene­ migo. — Lar* tropas de la d visan del Mg.-efjc~ D. Jasé Darán , dos•pues c’e Ir. glodosa aeran 'que'sostuvieron e! 19 de jun o entre ViHcdada y Jjumbreras-, sostuvieren -ctra- e! 29 en S. Pudro Manrique, en que ks fan ceses p…</t>
  </si>
  <si>
    <t>Darmagnac</t>
  </si>
  <si>
    <t>rg. Se dice que este negocio importante El Empecinado, después de haber huido de la ha sido arreglado en Paris entre la Francia y la coluna del señor general Darmagnac, gobernador Baviera. de la provincia de Cuenca, el qual tenia orden de Se ha prohibido en Austria la última obra de echarle de Sacedon , cuyo pueblo* ocupaba h…</t>
  </si>
  <si>
    <t>s atacó y les mató 10 hom­ bres , hiriéndoles mas de 30 , y volvió á torrar en S. Rafael sin mas desgracia cjue haber sido heridos Noticioso el señor general Darmagnac, gober­ ligeramente 3 soldados , y haber perdido sus caba­ nador de la provincia de Cuenca, que Francisque- llos en la acción los dos oficiales. te estaba con …</t>
  </si>
  <si>
    <t>Darmaguac</t>
  </si>
  <si>
    <t>ranchos axk¡y. Pueblo de* Barberá 28 de setiembre ,dt¡-1811. — Antonio Cabestany Madrid 29 de octubre. Han marchado Jháeía Caésc» para refor­ zar al general Darmaguac - 500 caballos, entre el Íes los que tr&amp;xo da escolta el general Mar-catuí. E de no ha sido muy bien lecibido p;.?r José /quien le ha lucho sufrir una larga ant…</t>
  </si>
  <si>
    <t>Darnís, Domingo</t>
  </si>
  <si>
    <t>Domingo Darnís</t>
  </si>
  <si>
    <t>te caxa militar. Del comandante D. Ramón Mas. — Casa-JBrunet de Gnardiola 3 de Setiembre. — Esta mañana con 400 bornbresdel somaten, y de acuerda coi D. Domingo Darnís que mandaba ISO de los de Vich, y D. Juan Carrera , que manda una partida patriótica de 94 hom­ bres , atacamos com vigor á los enemigos en el fuerte di Sía. C…</t>
  </si>
  <si>
    <t>Darnleí</t>
  </si>
  <si>
    <t>rado resistencia ninguna. Su gober­ del sello privado el conde Spencer; lord-teniente nador , como también Liniets y otros varios suge— de Irlanda el conde Darnleí; gefe de la guarda ro­ tos de su partido, escaparon á lo interior del país, pa lord Dundas.” (The Sun.) pero fueron perseguidos, cogidos y traídos presos El gobier…</t>
  </si>
  <si>
    <t>Darnlei</t>
  </si>
  <si>
    <t>Gaceta de Madrid n.º 84</t>
  </si>
  <si>
    <t>r los ojos, y no hacer ningún caso de una reunión de individuos, conocidos por tólicos romanos. sus disposiciones hostiles, y cuyas deliberaciones El conde Darnlei siente la mayor satisfacción debían ser sobre asuntos propios pan exasperar los al saber qne esta providencia no ha sido adoptada ánimos de sus conciudadanos, y es…</t>
  </si>
  <si>
    <t>Darpara</t>
  </si>
  <si>
    <t>1386 de las 4 idas, para lo qual se comprarán las casas qne sean necesarias, y se construirá uoa concha Habiéndose puesto en marcha el general Darpara las embarcaciones mercantes. Se conservará la magnac con su división desde JBelmontc, se dirigii puerta llamada de Slik, solamente con el objeto á Tarazona, en donde deshizo el…</t>
  </si>
  <si>
    <t>Darquihes, José</t>
  </si>
  <si>
    <t>José Darquihes</t>
  </si>
  <si>
    <t>sido dispersado el convoy enemigo que baxaba de Méquinenza por las tropas del barón de Labarre al mando de D. Mariano, Villa y del ayudante de campo D. José Darquihes: ha perdido el'enemigo 7 bar­ cos cargados de bombas , granadas y cureñas, se le hicieron 8 pri­ sioneros, y tuvo 2 oficiales muertos y 3 heridos: por nuestra p…</t>
  </si>
  <si>
    <t>Darricau</t>
  </si>
  <si>
    <t>Gaceta de Madrid n.º 117</t>
  </si>
  <si>
    <t>coros nuevos ; se bailará reliquias de tropas que escaparon del combate de el fandango, y se concluirá ia función con el sainete ti­ Castillejos : el general Darricau le siguió el al­ tulado la Boda de los snanchegoi. EN LA IMPRENTA REAL.</t>
  </si>
  <si>
    <t>Darrigol, Salvador</t>
  </si>
  <si>
    <t>Salvador Darrigol</t>
  </si>
  <si>
    <t>de beneficencia para socorrer los ve­ Sr. D. Luis Colbert............................... . 12 f cino« menos pudientes de esta corte, establecida Sr. D. Salvador Darrigol...... i.................... 80 por real decreto de 19 de nomiflbre último. Sr. D. Carlos Cadan....... ......................... 109 ' Mensualmente. Excmo. ir…</t>
  </si>
  <si>
    <t>Daru</t>
  </si>
  <si>
    <t>s en aquella época era dé 33 mi­ el Emperador = El ministro secretario de Esta­ llones de libras, y en el dia asciende á 89 millo­ do 3K Firmado = El conde Daru.” nes. Este cálculo manifiesta bien á las claras quin­ to cuesta a la Irlanda la tal anión, la qual le ha hecho perder nada nie ios que un 6ó por 100. En el astillero…</t>
  </si>
  <si>
    <t>Gaceta de Madrid n.º 250</t>
  </si>
  <si>
    <t>e te hubiese vuelto los cascos Firmado = Napoleón. = El ministro secretario de esa junta con tu creación de oficial. Cuidado con Esudo = Firmado = Ei conde Daru.” no hacer falta, que yo y tu madre te quedamos esperando por instantes. ESPAÑA. Si tuvieses algunos amigos y compañeros de confianza, lee entre ellos esa confesión i…</t>
  </si>
  <si>
    <t>Datu</t>
  </si>
  <si>
    <t>la comedia en un acto titulada el Error de un nistro Hr Rr;ia. ; mes ext.-iiores; buen padre; una tonadilla; se biilará el bolero, y se Y el • cñ.'r conde Datu, en calidad de minis­ concluirá con otra pieza jocosa titulada el Disfiaz ven­ tro secretario de Estado. turoso. EN LA IMPRENTA REAL.</t>
  </si>
  <si>
    <t>Daultauae</t>
  </si>
  <si>
    <t>1567</t>
  </si>
  <si>
    <t>entre si, y las de José y sus ministro!*; Dice asi la carta: uGeneral* acabo de recibir est tete momento vuestra carta del 18 con la copia d© Ib del general Daultauae : poí instrucción gener^ii' nodéfoei?* *' • . **'• • *.»... * • • •»v* ••*••• .' o e -o e o • • é: • '-V Ó* "é fc • é '• • « e o e o #*•’•# ♦ * *• o *.e • • • •…</t>
  </si>
  <si>
    <t>Dauriac</t>
  </si>
  <si>
    <t>y media callo el foego del enemigo» compañía de Filipinas y de particulares. y este abandonó la isla. ,,Mr. Ricardo Lee, socio de la casa titulada £! capitán Dauriac no tuvo mas que un mari­ R. W.. y E. Lee , mui acreditado en el, comercio nero herido gravemente. de Londres, sé ha tirado al rio (Támesis), y ahoEi Simplón comb…</t>
  </si>
  <si>
    <t>Davonst</t>
  </si>
  <si>
    <t>el R. P. y M. I. Sr. D. Fr. An­ Del t). tonio Andrés de Krzesimowski, monge benedictino cisterciense de la congregación de Polonia, abad del El señor mariscal Davonst, príncipe de Eck- monasterio de Sta. María de Copríúnico, comisarle* y mü!, gobernador general de los tres nuevos de­ vicario general de Polonia, Prusia y Litua…</t>
  </si>
  <si>
    <t>Dcrrift</t>
  </si>
  <si>
    <t>do una paseado por su quarto.” junta para deliberar sobre el iuforme y sobre el La fragata inglesa Pomona, mandada por el estado de la salud del Rei. capitán Dcrrift, que volvía del Mediterráneo, ha naufragado i la entrada de Portsmouth; pero di­ Del a*. cen que se ha salvado la tripulación. Inmediatamente que partió de Sicil…</t>
  </si>
  <si>
    <t>Dcuningn</t>
  </si>
  <si>
    <t>n en el taion derecho, no quiso r tirarse tetéta que ¿ira bala le mató el caballo , accidente me le sobsvv.no después de haber paudo con la espada al coronel Dcuningn -:z de los insurgentes; el capitán D. Ignacio B?ye de Cisaerós, ayudante del cuerpo dé laui los planes frenéticos de los gefes de aquella desventurada nación, o…</t>
  </si>
  <si>
    <t>de A, Ballesteros</t>
  </si>
  <si>
    <t>Ballesteros de A</t>
  </si>
  <si>
    <t>99</t>
  </si>
  <si>
    <t>allerías á Ciudad-Rodrigo.— Cádiz 25 de enero, tas cartas recibidas, hoy mismo poi* A y amonte refieren que el 17 del corriente salió la división det general Ballesteros de A roche para Almonaster la Real ; dicho general ha­ bía pasado á Atajar. — Por el carril están pasando infinidad do carros, que por su mucha carga apenas …</t>
  </si>
  <si>
    <t>de A, Francisco López</t>
  </si>
  <si>
    <t>Francisco López de A</t>
  </si>
  <si>
    <t>&gt;66 Mas............................................. 3560 D. Jalian Brethous........................ 3068 *7 D. Bartolomé Benitez del Ponte... 4416 6 D. Francisco López de A.'caráz.... 90 8f D. Manuel Josef de Montiano....... 88x2 2 El conde de Casa-Valencia.......... 589 Doña Josefa Juana Vázquez de Doña María Rosa de O-Rcil…</t>
  </si>
  <si>
    <t>de A, Juan Ignacio</t>
  </si>
  <si>
    <t>Juan Ignacio de A</t>
  </si>
  <si>
    <t>drés Ramos , 40. Sargentos, cabos y soldados, 764. — Empica­ dos 7/ particulares. Villa de Monclova. D. TV&gt;mas Florez,60. D. Fer­ nando Bustillo, 20. D. Juan Ignacio de A rispe, 15. D. José Antonio dé la Fuente, 20. D. Francisco Barrera, 13. D. 'José- Mari i Suntds, 12. D.. Pablo García, Jó. D. Juan Antonio de Cárdenas , 13. …</t>
  </si>
  <si>
    <t>de Abarrategui, Santiago</t>
  </si>
  <si>
    <t>Santiago de Abarrategui</t>
  </si>
  <si>
    <t>. ...................... 4512..17 El marques del Norte................................. 22791..5 D. Domingo Josef de Casas.................. 3700- 8f D. Santiago de Abarrategui............. . 7J3I” 7 D. Francisco Meruendano...................... 2707..17 D. Josef Escalera.................................... . 1Q4f D. Andrés d…</t>
  </si>
  <si>
    <t>:........ ................ 3245 ai Los procuradores síndicos generaD. Josef de Carranza...................... 110151 x Íes y sexmeros de la ciudad de D. Santiago de Abarrategui......... . 22200 Segovia............... 4786 D. Antonio de Yarritu................... 5^550 t&gt;. Ramón Fernandez üe Qniroga. 5104 * D. J osef Antonio d…</t>
  </si>
  <si>
    <t>quín Gom z....... ............................... 270 Cédulas hipotecarias.......................... . 97 j Certificaciones del tesoro público.... 84 D. Santiago de Abarrategui..... 4860 Oro español contra plata............. D. Miguel de Landa........ .............. 459° D. Joaquin de Cifuentes como ma­ rido de Doña Ursula Ló…</t>
  </si>
  <si>
    <t>de Abasito, Calmarino</t>
  </si>
  <si>
    <t>Calmarino de Abasito</t>
  </si>
  <si>
    <t>1198</t>
  </si>
  <si>
    <t>perder la esperanza de una reforma. la isla de Gallinara, á una legna de'Albenga, al bergaatin el Angel de la Guarda, mandado por Del *0. el valiente capitán Calmarino de Abasito, y no Lisboa gx de agosto. Días pasados se prendió pudíendo acercarse á él por falta de viento, desta­ fnego en on buque de transporte de 403 tonela…</t>
  </si>
  <si>
    <t>de Abrisqneta, Andrés</t>
  </si>
  <si>
    <t>Andrés de Abrisqneta</t>
  </si>
  <si>
    <t>. 400 D. Felipe Alvarez.......................... 541 17 D. Pablo de Pinedo........... ............ 27254 26 D. Livinio Stuyek y Vandergoten. 1173 8f D. Andrés de Abrisqneta.............. D. Raimundo Ruiz de Alegría..... D. Pascual Trotíaga...................... . 33°45 iS 4188 238 [j D. Martin de Vergara.................... …</t>
  </si>
  <si>
    <t>de Abrisqueta, Andrés</t>
  </si>
  <si>
    <t>Andrés de Abrisqueta</t>
  </si>
  <si>
    <t>iago Aguillo....................... 5595 17 D. Antonio Valcarcel Pió de Sa­ D. Josef Agustín de Fatiregui....... 1263 *7 baya , marques de Castel-Ro­ D. Andrés de Abrisqueta.............. 54i *7 drigo........................... ....... ...... . D. Lorenzo Recacoechea............... 59758 3a 929? *5f D. Antonio Piúeiro, marque…</t>
  </si>
  <si>
    <t>de Abrisquieta, Andrés</t>
  </si>
  <si>
    <t>Andrés de Abrisquieta</t>
  </si>
  <si>
    <t>barrategui............. . 7J3I” 7 D. Francisco Meruendano...................... 2707..17 D. Josef Escalera.................................... . 1Q4f D. Andrés de Abrisquieta por sí, y á Doña María Tournier.................................... 872 nombre de otros interesados.............. 77181 D. Livino Stuick y Van-Dergoten.…</t>
  </si>
  <si>
    <t>de Ace, Isidoro</t>
  </si>
  <si>
    <t>Isidoro de Ace</t>
  </si>
  <si>
    <t>ves los males que toda Luis Manuel Za 1 o; 1. = D. Nicanor Ricaud.= » guerra trae consigo , vendrían á colmarlos las pa&lt; D. Josef Hernández Romero. = D. Isidoro de Ace«siones exaltadas, los vicios y los delitos de rao* vedo. = D. Francisco de Zafra. «chos, sj.no fuesep. reprimidos por una severa é Todos juraron cumplir las ob…</t>
  </si>
  <si>
    <t>de Achútegui, Antonio Nicolás</t>
  </si>
  <si>
    <t>Antonio Nicolás de Achútegui</t>
  </si>
  <si>
    <t>ría.................. . 85286 8¡ do tantas riquezas en el comercio de las Indias 5 Don Francisco del Barrio.................... 10830 orientales.” 12 D. Antonio Nicolás de Achútegui, Las cartas de Dublin del 16 dicen , que á pesar por mano de su apoderado D. Jo de los elocuentes discuraos de los defensores de - set del Castil…</t>
  </si>
  <si>
    <t>de Acosta, José Hernández</t>
  </si>
  <si>
    <t>José Hernández de Acosta</t>
  </si>
  <si>
    <t>e la tesorería, 2. D. Matias de Castro Palomino , oficial segundo, 1. D. Francisco Alvarez, reconocedor primero, 3. D. Nicolás Ceca, id. segundo , 3. D. José Hernández de Acosta , id. agregado , 1. D. Juan Remi, peón de confianza , 1. D. Félix ¡Sánchez, id, 1.1). Manuel Francisco de Aranguren , guarda almacén , para la manute…</t>
  </si>
  <si>
    <t>de Acosta, Nicolás Nuñez</t>
  </si>
  <si>
    <t>Nicolás Nuñez de Acosta</t>
  </si>
  <si>
    <t>D. Juan Francisco Godoy ,.sobrestante del encajonado , 1. D. Rafael Pacheco, portero , 1. Don José Felipe García , sobrestante del rapé, 1 y un real. D. Nicolás Nuñez de Acosta, sobrestante primero de la fábrica de cigarros de la Beneficencia, 2. D. Juan Manuel Diaz, id. seguxdo , 1 y 4 rs, Juana Diaz , maestra do las torcedo…</t>
  </si>
  <si>
    <t>de Acuña, Essen</t>
  </si>
  <si>
    <t>Essen de Acuña</t>
  </si>
  <si>
    <t>cia á todo el del gran visir, ha intentado pasar el Danubio por mundo su toma de posesión de las islas de Tristati cerca de Turno. El cuerpo ruso dei general Essen de Acuña, situadas al sudoeste del cabo de Bue- ha opoesro tal resistencia, .que los turcos (no han na- Esperaozi. El señor Lambert declara, que sien­ podido efect…</t>
  </si>
  <si>
    <t>de Adía, Tomas Domingo</t>
  </si>
  <si>
    <t>Tomas Domingo de Adía</t>
  </si>
  <si>
    <t>o Perez Muñoz, 100. El coronel D. Ramón Cevallos, 1500. El conde de la Cortina por sí y por sus tres hijos D. José , D. Mariano y D. Joaquín , 12000. D. Tomas Domingo de Adía, liOOO. D. Domingo Ignacio Lardizabal , 2000. El comisario de guiara honorarío D. Pedro González Moriega, varias piezas de plata.baxilla y dos pares de …</t>
  </si>
  <si>
    <t>de Agar, Pedro</t>
  </si>
  <si>
    <t>Pedro de Agar</t>
  </si>
  <si>
    <t>rari, 30 ). D. Nicolás María Carmena 1500. D. Angel González Viilauueva, 1000. Total , U,451. ' h'i plata y otros efectos. E! Sermo. Señor presidente D. Pedro de Agar, 25 libras y 8 onzas de plata labrada en varias piezas. D. Lorenzo Cisnero$, un vale real de i50 pesos, de l.° de setiembre. D. Francisco de la Peña Ilodrigo ,1…</t>
  </si>
  <si>
    <t>de Agob, Francisco Xavier</t>
  </si>
  <si>
    <t>Francisco Xavier de Agob</t>
  </si>
  <si>
    <t>batallón de milicias dis­ ciplinadas, á cuenta de su oferta, 42. D. Juan José de ia Valle , subtenien­ te del batallón de Castilla , por una vez, 50. D. Francisco Xavier de Agob­ iar , ayudante de la división de Pardos, 40. Don Mariano Antonio Ortiz , tambor mayor de milicias retirado , á cuenta de su oferta , 5í&gt;. — De los m…</t>
  </si>
  <si>
    <t>de Agote, Ignacio Miguel</t>
  </si>
  <si>
    <t>Ignacio Miguel de Agote</t>
  </si>
  <si>
    <t>chón, del misino Iribarren....................í................ 336l7-I$ por.................................................................... 2200 D. Ignacio Miguel de Agote, D. Ignacio D. Ramón Pérez y Morales, ex-trinitario Vicente y Doña Francisca de Mayó­ descalzo, residente en Cienpozuelos, por 2200 la, como herederos…</t>
  </si>
  <si>
    <t>de Agreda, Simón</t>
  </si>
  <si>
    <t>Simón de Agreda</t>
  </si>
  <si>
    <t>José TraseiJas, 150. D. José Sopeña , 3,20. IX José Alvareda , 3000. D. Manuel Ferrer y Sans, 1000. D. José Closa, 4-00. D. Antonio Guirií'au , 4üü. D Simón de Agreda , 200. IX José Cubero , 200. i). Cristóbal Vidal, 120 D. Ricardo Mea.de , 1000. D. Jacobo Enrique Mistíer , 400. IX Andrés del Fresno, 120. D. Francisco Miguel …</t>
  </si>
  <si>
    <t>de Aguiar, Diego José</t>
  </si>
  <si>
    <t>Diego José de Aguiar</t>
  </si>
  <si>
    <t>vincia, 100. D. José María Escovar y D. Francisco Loynas, regidores de esta ciudad , por donativo de los vecinos del partido de Jesús del Monte, 102. D. Diego José de Aguiar , meritorio con goce del tri­ bunal de cuentas, por 2 meses de su oferta , 20. Doña Mariana Antayo , 35. D. Francisco López del Pulgar , por el prest de …</t>
  </si>
  <si>
    <t>de Aguiav, Diego José</t>
  </si>
  <si>
    <t>Diego José de Aguiav</t>
  </si>
  <si>
    <t>El teniente coronel D. Juan Montalvo., por el prest de G soldados en 3 meses, 103. D. José Miguel Soler, por el prest de un soldado en 4 nieses, 3G. D. Diego José de Aguiav /entre­ tenido del tribunal de cuentas , por dos meses de su oferta de 10 pesos en ca­ da uno,-30. El marques de Casa-Peñalver por el prest de 15 soldados…</t>
  </si>
  <si>
    <t>de Aguilaf, Juan</t>
  </si>
  <si>
    <t>Juan de Aguilaf</t>
  </si>
  <si>
    <t>in­ dividuos de su compañía, 2500. D. Juan Luis Marqueti, como mayor­ domo de propios de esta-ciudad , y de orden del capitán general , 1482 y medio. D. Juan de Aguilaf, intendente de exército y real hacienda, los gefes de Jas oficinas y sus dependientes , jubilados, emigrados de la isla de Sto. Domingo y de ia LuLiana, algun…</t>
  </si>
  <si>
    <t>de Aguilar, Cristóbal</t>
  </si>
  <si>
    <t>Cristóbal de Aguilar</t>
  </si>
  <si>
    <t>ítero , cura natural de la de Santa Cruz de la miíint ciudad. Para el segundo de la misma parroquial, va­ PLAZA DE MADRID. BOLSA. cante por muerte de D. Cristóbal de Aguilar, á DIA 27 DE julio DE l8lt. D. Antonio Josef de la Barrera, presbítero, ex­ mercenario descalzo. ^ Efectos públicos. Para el segundo curato "Se la villa …</t>
  </si>
  <si>
    <t>de Aguilar, Francisco Xavier</t>
  </si>
  <si>
    <t>Francisco Xavier de Aguilar</t>
  </si>
  <si>
    <t>10 Siguen ks donativos de la pronincta de Yucatán. Segunda división de Pardos de Campeche. El subinspector’D. -Joaquín! de Ampudia , 100. El ayudante D. Francisco Xavier de Aguilar, 50. El de la misma clase D. José María de Aguilar, 15. José de Góngora , garzón, 4. Francisco Solano Martínez, id. , 5. Mariano Tadeo , id., 8. M…</t>
  </si>
  <si>
    <t>de Aguilar, José María</t>
  </si>
  <si>
    <t>José María de Aguilar</t>
  </si>
  <si>
    <t>a división de Pardos de Campeche. El subinspector’D. -Joaquín! de Ampudia , 100. El ayudante D. Francisco Xavier de Aguilar, 50. El de la misma clase D. José María de Aguilar, 15. José de Góngora , garzón, 4. Francisco Solano Martínez, id. , 5. Mariano Tadeo , id., 8. Manuel Antonio Rozado , id , 5. Angel Ortiz , capitán reti…</t>
  </si>
  <si>
    <t>de Aguilar, Juan</t>
  </si>
  <si>
    <t>Juan de Aguilar</t>
  </si>
  <si>
    <t>vecindad , 175, D._ Jopé BernaJ,Kid. GJO.. j). .Ignacio.de Baraorva, id. 750. D. Juan Benito,González , tementmde gqbefiaíidQp de la. mis«, ma, 12Ó. D. Juan de Aguilar, intqndeAte., de ex.ér.cito .y real Hacienda, los ge fes de las offc mas y sus dependientes &gt; jubilados,. emigrados de la isla de. Stó. Domingo y Luisiana,.adm…</t>
  </si>
  <si>
    <t>de Aguilar, Rafael</t>
  </si>
  <si>
    <t>Rafael de Aguilar</t>
  </si>
  <si>
    <t>a el año de 1790 en que revocó esta que contienen la descripción topográfica de estas «Srden por una cédula real enviada al gobernador islas. = A. G. D. Rafael de Aguilar, encargándole procurase fo­ mentar el comercio de estas islas.” tbatkos. ,,Desde entonces, continúa el autor, princi­ piaron las madanzas ventajosas que se …</t>
  </si>
  <si>
    <t>de Aguirre, Josefa</t>
  </si>
  <si>
    <t>Josefa de Aguirre</t>
  </si>
  <si>
    <t>s.................................... 48 1780..22 S. M., el ministro secretario de Estado=FirD. Prudencio, D. Juan y mado = Mariano Luis de Urquijo.” Doña Josefa de Aguirre por su apoderado D. Lo­ Extracto de las minutas de la secretaría de renzo de Iruegas............... 23 5806..27 Estado. D. Josef Antonio Girard...... 980 …</t>
  </si>
  <si>
    <t>de Aguirre, Juan</t>
  </si>
  <si>
    <t>Juan de Aguirre</t>
  </si>
  <si>
    <t>istóbal Rodríguez, 5. D. Juan Bautista Chacón, 25. D. Manuel Alcalá, 5..D. Miguel de -Rumayor , 20. D. Toribio Alcalá , 5. D. Nepomuceno Váleles , 8. D. Juan de Aguirre , 10. D. Cristóbal Domín­ guez , 25. D. Francisco Aguirre, 15. D. Pedro Valdes, 10. Eos veci­ nos pobres de toda la jurisdicción , 186 y 5 rs. D. Francisco Pe…</t>
  </si>
  <si>
    <t>de Aguirre, Manuel</t>
  </si>
  <si>
    <t>Manuel de Aguirre</t>
  </si>
  <si>
    <t>l Sánchez Toscano, calle de Rela­ recho para mostrar al gobierno de Cádiz sus erro­ tores. \ res , y sxígir la enmienda---- Hasta aquí el London- Sr. D. Manuel de Aguirre, plazuela de Celenque. chmnkle. Excus mos advertencias sobre este artí­ Excmo. Sr. D. Benito de la Mata Linares, calle culo, porque es bastante obvio lo qne…</t>
  </si>
  <si>
    <t>de Aibeio, Manuel</t>
  </si>
  <si>
    <t>Manuel de Aibeio</t>
  </si>
  <si>
    <t>te segun­ En el de! Príncipe, á las ocho déla noche, se re­ do, á capitán de la primera compañía. presentará por la compañía española la ópera en ¿os D. Manuel de Aibeio, subteniente, á aban­ actos titulada Mi tía Aurora, y el fin de fiesta el Fusderado. ra. Actores en la ópera. Spñoras María López, Torres y Cabo. Señores Muñ…</t>
  </si>
  <si>
    <t>de Al, Juan Rafael</t>
  </si>
  <si>
    <t>Juan Rafael de Al</t>
  </si>
  <si>
    <t>idor marques de Casa-Penal ver, por el prest de quince soldados en 6 meses durante la guerra, 810. Don Juan lumano, 100. Doña Dolores Otañez, 1. Lie. D. Juan Rafael de Al jo-, rin , cura de Quivican, á nombre de Doña Juana María González de Nie-, bla, 20. Ei capitán. D. Juan Menerulez, habilitado del real cuerpo de ar­ tiller…</t>
  </si>
  <si>
    <t>de Alaba, Ignacio María</t>
  </si>
  <si>
    <t>Ignacio María de Alaba</t>
  </si>
  <si>
    <t>sada allí ,de 98322 rs. vn , 88416. De D. Benito Dilabre, 40. Del Sr. D. Víctor Soret, tesorero general del rey 13o, 500 Baxo las iniciales; N. N., h D. Ignacio María de Alaba, en pitan ge? jera! de De la Exorna. Sra. condesaduques?i de Benavi sltasar Doncel, 600. De Don Pascual Te ¡'ojio 8 ira! de España en Portugal, 2000. I…</t>
  </si>
  <si>
    <t>de Alba, José</t>
  </si>
  <si>
    <t>José de Alba</t>
  </si>
  <si>
    <t>rdo, ayudantía.fd teniente/D. Sebastian de Arcos, y tenencia al subteniente D: Fran­ cisco Granadilla^; y eñ el de Irlanda , tenencia al subteniente, D. José de Alba , y subteneneia'al sargento primero D. Miguel González, .i -En el regimiento de infantería de la Patria se ha servido nombrar teniente coronel á D. José Ozaeta, …</t>
  </si>
  <si>
    <t>de Albu, Luis</t>
  </si>
  <si>
    <t>Luis de Albu</t>
  </si>
  <si>
    <t>vera Serratet, 35. Comandancia de matriculas. Comandante , el capitán de fragata retirado Don. Martin de Funes , 200. Ayudante , el teniente de navjo D. Luis de Albu­ ra , 20. D. Ramón Canelas , id., 20. El contador D. Mariano Cortés , 20. El escribano D. Joaquín Aparicio , 20. — Ministerio de real hacienda El conta­ dor D. P…</t>
  </si>
  <si>
    <t>de Alcaraz, Gabriel</t>
  </si>
  <si>
    <t>Gabriel de Alcaraz</t>
  </si>
  <si>
    <t>............ 247*-. 7 D. Hipólito Pedros».................................. 812.. 8j D. Francisco lien sal.................................. 1460.. 2 D. Gabriel de Alcaraz.............................. Ó3Í..25Í D. Máximo Pardo...... ........ 151~“i4 D. Marcos López Gonzalo..................... 722 Josef Montero de la Concha..…</t>
  </si>
  <si>
    <t>n Clemente, ex-agustino calzado, D. Felipe Hoyos............................................... 4680-19 lego, residente en Chinchón, por........ 1100 D. Gabriel de Alcaraz, como marido de Doña Margarita Ximenez del Olmo...... 874-25 Rs. vn. 66000 El colegio de niñas de nuestra Señora de Loreto, por tnano de D. Simón Piñuela. …</t>
  </si>
  <si>
    <t>de Alci, Muría Josefa</t>
  </si>
  <si>
    <t>Muría Josefa de Alci</t>
  </si>
  <si>
    <t>rez...,..... 4634.. 2 don de la deuda del Pistado; lo expuesto D. A monio Arenosa............ 966..18 por miesrro ministro de Hacienda , y oído nues­ Doña Muría Josefa de Alci- tro consejo de Estado, hemos decretado y de­ var..... ............................... I253- 3 cretamos lo siguiente: D. Jacinto Silvestre de Ar- artic…</t>
  </si>
  <si>
    <t>de Alcibar, María Josefa</t>
  </si>
  <si>
    <t>María Josefa de Alcibar</t>
  </si>
  <si>
    <t>señorita-Jordán , célebre actriz, que pensaba 1083 4 D. Pedro Alonso Rodríguez.............. 3610 dexar el teatro, tendría probablemente motivo con 2 Doña María Josefa de Alcibar, por el casamiento del Príncipe para continuar. Las ri­ m.nc 'dc su apoderado D. Ardrel quezas de la señorita Tilney-Long son inmensas. de Abruguiet…</t>
  </si>
  <si>
    <t>de Aldama, Juan</t>
  </si>
  <si>
    <t>Juan de Aldama</t>
  </si>
  <si>
    <t>lqido. D. Antonio Ruiz. D. Antonio Bclan. D. Ignacio Hidalgo. Seculares. D. Ignacio Jo*é Allende, generalísimo. D. Mariano Xiroenez, capitán general. D. Juan de Aldama, teniente general. D; Manuel Smta María, mariscal. D. Mariano Abasólo, mariscal. D. Ignacio Camargo, mariscal. D. Nicolás Zapata, mariscal. Don Francisco I^nra…</t>
  </si>
  <si>
    <t>de Aldama, Santiago</t>
  </si>
  <si>
    <t>Santiago de Aldama</t>
  </si>
  <si>
    <t>e Náxera* 300. D. Francisco Sánchez Tosar, 400. Fr. D. Francisco de Paula Madrigal, por sí y por otro, 40. D. Ramón Valiente, 1200. Un emigrado,! 20. D. Santiago de Aldama, 610. Una emigrada , natural de'Madrid , 80. Doña María Püeyo , 160. Uria patrio­ ta, 200. D. R. B;. D., 590. Di Nazario Fernandez de Castro, 3000. Cinco p…</t>
  </si>
  <si>
    <t>de Alegría, Raimando Ruiz</t>
  </si>
  <si>
    <t>Raimando Ruiz de Alegría</t>
  </si>
  <si>
    <t>dro Monteros......................... 3375 PLAZA DE MADRID. BOLSA. -D. Mariano Sancho.......................... 4542 32 DfA l6 DB DICIEMBRE DB l3ll. ■D. Raimando Ruiz de Alegría por • : su apoderado D. PedroMuró... 3600 Doña Ana María de Llano y el En­ Efectos públicos. cinal...,.............................. 2700 Sor Alfóris…</t>
  </si>
  <si>
    <t>de Alegría, Raimundo Ruiz</t>
  </si>
  <si>
    <t>Raimundo Ruiz de Alegría</t>
  </si>
  <si>
    <t>........... 541 17 D. Pablo de Pinedo........... ............ 27254 26 D. Livinio Stuyek y Vandergoten. 1173 8f D. Andrés de Abrisqneta.............. D. Raimundo Ruiz de Alegría..... D. Pascual Trotíaga...................... . 33°45 iS 4188 238 [j D. Martin de Vergara.................... 13076 8f D. Francisco Xavier Porto....…</t>
  </si>
  <si>
    <t>de Algava, Francisco Perez</t>
  </si>
  <si>
    <t>Francisco Perez de Algava</t>
  </si>
  <si>
    <t>o estaban para el primer batallón, los individuo* siguientes: De la compañía de caballería. Capitanes. Capitán. D. Ignacio Argc te. D. b vderico mií. D. Francisco Perez de Algava. D. Rodrigo de Mesa. Teniente. D. lLmor. F.ores. I). Rafael Orive. D. Josef Goztnan. D. Ramón Ncgtete. Subteniente. D. José! Fernandez de Córdoba. 4…</t>
  </si>
  <si>
    <t>de Aljovin, Juan Rafael</t>
  </si>
  <si>
    <t>Juan Rafael de Aljovin</t>
  </si>
  <si>
    <t>rzón del batallón de Morenos, 18. D. Felipe Alvares, escribano de! juzgado de di­ funtos , por el prest de un soldado en un mes durante la guerra, 9. D. Juan Rafael de Aljovin , cura de Qaivican, por entrega de varias perso­ nas de su feligresía , 77 y + rs. Lio. D. Luis Hidalgo Gato , 103. El ca­ pitán D. Manuel Palacios , 3…</t>
  </si>
  <si>
    <t>de Allende, José María</t>
  </si>
  <si>
    <t>José María de Allende</t>
  </si>
  <si>
    <t>Saenz de Cabia, 17 ; todos naturales del obispado de Santander. D. Pedro y D. Santiago de la Cuesta Manzanal , .natu­ rales del reyno de León , 1000. D. José María de Allende , 4. D. Juan de la Cruz Ríos, 4. D. Rafael Cueto, 0, y D. Francisco Eusebio González Tixero, 17, naturales de la Habana. D. Francisco Layseca, de Alava,…</t>
  </si>
  <si>
    <t>de Amposta, Santiago Agustin</t>
  </si>
  <si>
    <t>Santiago Agustin de Amposta</t>
  </si>
  <si>
    <t>subteniente ¡ á ten lente ds podido pues decir, y lo vuelve á repetir, que la la tercera compañía. Opinión de que el oro por sí solo se puede tmplear D. Santiago Agustin de Amposta , sargento como moneda Ieg.,1 , es una opinión digna de los primero, á abanderado. tiempos bárbaros. Ademas el bilí actual no de­ D'. Nicomedes As…</t>
  </si>
  <si>
    <t>de Anauatcgui, Juan</t>
  </si>
  <si>
    <t>Juan de Anauatcgui</t>
  </si>
  <si>
    <t>dante de artillería de esta plaza, D. Domingo Marañosa , 140. Ei administrador de cor­ reos D. Manuel García de Paredes, 400. D. Felipe del Barrí/) y D. Juan de Anauatcgui, 700. El coronel de ingenieros y comandante de esta plaza Don Antonio Bocarro , 200 El capitán D. José de Fábrega, comandante acci­ dental del castillo de …</t>
  </si>
  <si>
    <t>de Anhaleparte, Luisa Cariota Amalia</t>
  </si>
  <si>
    <t>Luisa Cariota Amalia de Anhaleparte</t>
  </si>
  <si>
    <t>rdia Sabloutnenski ha hecho una invitación á Czerni-Jorge koff, que iba de París á Petersborgo. para asistir á un congreso en Ja Valaquia, y tener La princesa Luisa Cariota Amalia de Anhaleparte en las negociaciones de paz entabladas con el Gothen, viuda del difunto príncipe Luis, é hija gran visir y el reis-effendi. de S. A.…</t>
  </si>
  <si>
    <t>de Antuñano, Juan</t>
  </si>
  <si>
    <t>Juan de Antuñano</t>
  </si>
  <si>
    <t>mera compañía. D. Paulino de la Bodega á teniente en reemplazo D. Josef de Vclasco, sargento primero, á abande­ de D. Mariano Sánchez Panadero. rado. D. Juan de Antuñano á teniente en la vacante de D. Juan Bautista de Orbe. Sexto batallón. D. Miguel Gómez á subteniente en reemplazo de D. Ahtonio Fuentes, teniente, á espitan d…</t>
  </si>
  <si>
    <t>de Ar, Jacinto Silvestre</t>
  </si>
  <si>
    <t>Jacinto Silvestre de Ar</t>
  </si>
  <si>
    <t>nues­ Doña Muría Josefa de Alci- tro consejo de Estado, hemos decretado y de­ var..... ............................... I253- 3 cretamos lo siguiente: D. Jacinto Silvestre de Ar- articulo 1. „Se declaran acreedores del regui................................ 5400 Estado á D. Blas Sánchez Pueitas..... 396 Los señores D. Pedro Bay…</t>
  </si>
  <si>
    <t>de Ara, Tomas</t>
  </si>
  <si>
    <t>Tomas de Ara</t>
  </si>
  <si>
    <t>-Farril,,ministro de la Carlos T’Serclaes. = D. Miguel García Sacrimn.= Guerra y capitán general de los reales exércitos, D. Francisco Meruendano. z= D. Tomas de Ara­ pronunciando el discurso.siguiente: gón. = D. Pedro Gd de Bernabé. = D. Raimundo „ Señores: la justicia, primer atributo de la Ruiz. = D. Lorenzo González Viejo…</t>
  </si>
  <si>
    <t>de Aragón, Josef</t>
  </si>
  <si>
    <t>Josef de Aragón</t>
  </si>
  <si>
    <t>, vacante desde la creación, de es­ de Inglaterra habian venido á presenciar este com­ ta milicia. bate memorable: se distinguían entre otros,‘ y to­ D. Josef de Aragón á subteniente de la misma maban el mayor interes en este espectáculo tan ex­ compañía en reemplazo de D. Antonio Ximentz. traordinario, el lord Yarmouth, el h…</t>
  </si>
  <si>
    <t>de Aragón, María</t>
  </si>
  <si>
    <t>María de Aragón</t>
  </si>
  <si>
    <t>apariencia, y que iodo es una farsa pa­ ra alucinar á la Europa* y burlarse de ellos. — Jourdan se ha aleja­ do en la casa que fué de Godoy, junto á Doña María de Aragón.</t>
  </si>
  <si>
    <t>de Arana, Ramón</t>
  </si>
  <si>
    <t>Ramón de Arana</t>
  </si>
  <si>
    <t>“73 8f Vendada...................................... 60964 2 J D. Manuel Sardina.......................... 3068 Doña Rosa de Siman Pontero...... 810 D. Ramón de Arana....................... 20559 8f Doña Juana de Muga.................... 900 D. Guillermo Uhagon.................... 6coo D. Juan Hourco..........................…</t>
  </si>
  <si>
    <t>de Arango, Francisco</t>
  </si>
  <si>
    <t>Francisco de Arango</t>
  </si>
  <si>
    <t>es antevieres. Relación de los donativos patrióticos que hacen los empleados y depen* dientes de la real factoría de tabacos de la HabanaPor una vez.—D. Francisco de Arango, superintendente director ge­ neral interino.,JK)0 pesos..D..Braulio- Diego de Vivanco , contador agregado, ademas de 9 pesos mensuales con que contribuye…</t>
  </si>
  <si>
    <t>de Arangoiti, Domingo</t>
  </si>
  <si>
    <t>Domingo de Arangoiti</t>
  </si>
  <si>
    <t>Estébaq Catatan...... I4883 22 D. Miguel Antonio Oquendo....... 4696 ¿4 D. Ignacio Martin Agudo.............. 10200 Doña Rafaela Ortiz de Rosas, mar­ D. Domingo de Arangoiti............. 8505 quesa del Socorro......................... 10849 32§ Doña Victoria Gadea.................... 15075 21 Doña Dorotea Macdonell...........…</t>
  </si>
  <si>
    <t>de Aranza, Bias</t>
  </si>
  <si>
    <t>Bias de Aranza</t>
  </si>
  <si>
    <t>coros, executando el papel de ción en las seis prefecturas de Andalucía. capitán de vandoleroá ia señora Manuela' Carmona; y Los consejeros de Estado D. Bias de Aranza, concluida se bailará él bolero. Actores principales en D. Luis Marcelino Pcreíra y £&gt;. Joaquín María la ópera: Señoras María López y Manuela Carmóna. Sotelo, …</t>
  </si>
  <si>
    <t>de Aranza, Blas</t>
  </si>
  <si>
    <t>Blas de Aranza</t>
  </si>
  <si>
    <t>ministro en Alemania. Queriendo pues prevenir un estado de Relaciones exteriores: de cosas tan contrario al bien de la religión , á los El Ex.mo. Sr. D. Blas de Aranza, consejero principios de la iglesia galicana y á ios intereess de Estado de S. M. católica; el caballero D. Cár­ d.-l estado; hemos resuelto reunir para el dia…</t>
  </si>
  <si>
    <t>­ original en la prefectura, y pasar copia de él á los té comenzado sobre este asunto por su antecesor cabildos eclesiástico y secular. el Excmo. Sr. D. Blas de Aranza , consejero de Estado, y comisario regio que fue de esta pro­ Del 2 de julio. vincia , pasó en yo de marzo del presente año, Ayer lunes á las diez y media de l…</t>
  </si>
  <si>
    <t>de Arce, Bernardo José</t>
  </si>
  <si>
    <t>Bernardo José de Arce</t>
  </si>
  <si>
    <t>chantre Don Ped ro Casis , 100. El magistral 1 &gt;r. D. Juan Cabarcas , 100. El canónigo Don Isidro dé i ílio , 1q0, Di \Santos 'Bartolomé Lauge , 200. D. Bernardo José de Arce , 500. El guarda jmáyor'interino de la aduana D. Juan Ducal*, 200. El coronel D. Pedro Téxtvda , Secretario de esta comandancia general , 10 pesos mensu…</t>
  </si>
  <si>
    <t>de Arcos, Josef López</t>
  </si>
  <si>
    <t>Josef López de Arcos</t>
  </si>
  <si>
    <t>d., por.................... 2200 D. Fe rmin de Urja Nafarrondo................... 24ü3I3-1^ D. Josef Clemente , id., por........................ 2200 D. Josef López de Arcos................................ 8942..!, D. Juan Flores, ex agusritfo recoleto, re­ D. Raimundo y D., Gregorio Necoechea» sidente en el Molar, por.......…</t>
  </si>
  <si>
    <t>.......... 3314O te por medio de su tesorero Don D. "josef de Corral.......................... 9612 Josef Malladu............................. 502 32 D. Josef López de Arcos............... a 7 ©00 La"congregación del Santísimo Cris* D. Antonio Mariano Gil Delgado. 14786 16 ta de ía Fe, establecida en la D. Antonio Alvo y Doña…</t>
  </si>
  <si>
    <t>de Arcos, Sebastian</t>
  </si>
  <si>
    <t>Sebastian de Arcos</t>
  </si>
  <si>
    <t>enencia al cadete graduado, de subteniente D. Benito Ximenez : en el de Can' tabria, compañía al ayudante D. Domingo Picha rdo, ayudantía.fd teniente/D. Sebastian de Arcos, y tenencia al subteniente D: Fran­ cisco Granadilla^; y eñ el de Irlanda , tenencia al subteniente, D. José de Alba , y subteneneia'al sargento primero D.…</t>
  </si>
  <si>
    <t>de Arévalo, Ramón</t>
  </si>
  <si>
    <t>Ramón de Arévalo</t>
  </si>
  <si>
    <t>n coger. Por nuestra parte hemos per­ dido 4 caballos y un soldado levemente herido. Los oficiales, el teniente coronel D. Juan Uribe y los alféreces D. Ramón de Arévalo del escuadrón de cazadoras de Jaén, y Den. Juan Sarmiento del regimiento de caballería del Rey , se han por­ tado con el valor .que acostumbran en todas las …</t>
  </si>
  <si>
    <t>de Areyz, Juan Circos</t>
  </si>
  <si>
    <t>Juan Circos de Areyz</t>
  </si>
  <si>
    <t>ue sirve conmigo desde el privcipio cíe esta guerra, y ha sido recomendarlo varias veces por varios generales , y partí cu ármente por ei Fxcrao. Sr. D Juan Circos de Areyz.-sga en la batalla ds O caña, dónde como en otras muchas acciones ha servido Con el mayor va'or, á pesar de todo, y de fa conducta sobresaliente que t’ene…</t>
  </si>
  <si>
    <t>de Argote, Francisco</t>
  </si>
  <si>
    <t>Francisco de Argote</t>
  </si>
  <si>
    <t>la, 100. D. An­ tonio Ximenez, 100. D. Manuel de Ortiz, 200. D. Juan Andrés de Gaviria, 40. X). Luis de la Barrera, 100. D. Ambrosio Ansuategui, 100. D. Francisco de Argote , en plata labrada y en pasta, 450. Be los fondos de propios del mismo cabildo , 400. — Administración principal de tabacos. El oficial mayor de la contad…</t>
  </si>
  <si>
    <t>de Argote, Simón</t>
  </si>
  <si>
    <t>Simón de Argote</t>
  </si>
  <si>
    <t>rté la línea equinoccial nardo Esquive! ha sido nombrado prefecto de la por los 13 grados. En fin, el 15 de agosto apresé un prefectara de Segovia, y D. Simón de Argote se­ brick portugués tripulado por negros, á cuyo bordo en­ cretario general de la misma prefectura. contré víveres para 11 dias. ,,E1 4 de setiembre apresé un…</t>
  </si>
  <si>
    <t>de Arias, Mánúelj</t>
  </si>
  <si>
    <t>Mánúelj de Arias</t>
  </si>
  <si>
    <t>dft " la maestranza del Callao , 495. Juan Piamonté, sargento? retirado de drago--; ives , 6. Juan Amburgo , soldado retirado del mismo cuerptf ,-Gj D. Mánúelj dé Arias -,, présbíun o , 260. . * . : . F&amp; ,coftfjiaáárUi&amp;J •: wé*m CADIZ : EN LA IMPRENTA REAL.</t>
  </si>
  <si>
    <t>de Arintero, Santiago Gutiérrez</t>
  </si>
  <si>
    <t>Santiago Gutiérrez de Arintero</t>
  </si>
  <si>
    <t>Ó..19 D. Juan Antonio González, ex-agustino D. Miguel María de Gort.-zar.. ................... 14401-32 calzado , residente en Chinchón , por... 2200 D. Santiago Gutiérrez de Arintero............. 9661..14 D. Antonio Ordoñez, id., por.................... 2200 D. Fe rmin de Urja Nafarrondo................... 24ü3I3-1^ D. Josef…</t>
  </si>
  <si>
    <t>de Ariza, Luis Martínez</t>
  </si>
  <si>
    <t>Luis Martínez de Ariza</t>
  </si>
  <si>
    <t>0 de Junio de 1808 en Ciudad-Rodrigo al brigadier D. Luis Martínez de Ariza, gobernador que era de aquella plaza, se ha servido declarar al expresado D. Luis Martínez de Ariza por buen servidor de la patria y del rey; que no resuka hubiese dado motivo alguno para el menor procedimiento con­ tra su oersona, y que fue injusta, …</t>
  </si>
  <si>
    <t>de Ariza, Rafael Martínez</t>
  </si>
  <si>
    <t>Rafael Martínez de Ariza</t>
  </si>
  <si>
    <t>, en conformidad á lo dis­ D. Sebastian de Otaegui................................ 67241.-31 puesto en e! artículo ni de nuestro decreto de 9 de ju­ D. Rafael Martínez de Ariza....................... 114200 mo de 1809. ' El mismo............................ ............................... 10392..16 ART- 111. Nuestro ministro …</t>
  </si>
  <si>
    <t>de Arizo, Rafael Martínez</t>
  </si>
  <si>
    <t>Rafael Martínez de Arizo</t>
  </si>
  <si>
    <t>tesorero D. Bürtolonié de O)3— tario Estado — Firmado “Mariano Luis de Ur— zaga......................................................... T2oo quijo.” D. Rafael Martínez de Arizo................ 23013..23 D. Francisco de Sesane........................... 1600 Extracto de las minutas de la secretaría de Estado. D. Vicente Toriñ…</t>
  </si>
  <si>
    <t>de Arizpe, Miguel Ramos</t>
  </si>
  <si>
    <t>Miguel Ramos de Arizpe</t>
  </si>
  <si>
    <t>Puebla. De Durango : eí S Dr. D. Juan José Giiercña , doctoral de la santa iglesia de Puebla, y provisor de aquel obispado. De Coagüi'a : el Sr. Dr. D. Miguel Ramos de Arizpe , cura del Real de Borboxi. Diario de Tortosa. Dia 13 y í 4 de noviembre. Se lia hecho algún fuego contra los enemigos de las zanjas y de los arrabales …</t>
  </si>
  <si>
    <t>de Arjoña, Juan</t>
  </si>
  <si>
    <t>Juan de Arjoña</t>
  </si>
  <si>
    <t>icario juez cele ■lasticn , 20. Fr. Martin de la Santísima Trinidad, cura interino , 25. I). Jo­ sé Sixto Márquez , 5. D. José Magdalena Veiasco , 5. D Juan de Arjoña , 2. D. José: Reyes , cura de Ocú , ÍO. D. José Dámaso Franco, cura de Santa Bárbara, 4. Fr. Baitasai Cabezudo , cura interino de Macaracas , 25. D. Fran­ cisco…</t>
  </si>
  <si>
    <t>de Arjona, Juan Manuel</t>
  </si>
  <si>
    <t>Juan Manuel de Arjona</t>
  </si>
  <si>
    <t>y Dclc.isse, ca­ Quedan nombrados para capitanes y oficiales lle de las Carretas, número 31, y puede ir por el de estas compañías: correo. Capitanes. D. Juan Manuel de Arjona. (1) Arbmtus, caule arbóreo, foliis glabris serratis, D. francisco Josef de la Cruz. hacéis poljepcrmis. Tourn, Tenientes. D. Francisco Medina. D. Josef…</t>
  </si>
  <si>
    <t>de Arjona, Manuel María</t>
  </si>
  <si>
    <t>Manuel María de Arjona</t>
  </si>
  <si>
    <t>e del canal desde Plobsheim has­ mió también á dos académicos de dtbuxo y mate­ ta Altkiich, desde donde pasará por el Ruprecht— máticas ; y el señor D. Manuel María de Arjona, san p^rrf reunirse con el III. Un notario de esta canónigo penitenciario de esta santa iglesia cate­ ciudad acaba de avisar al público qoe tiene encar…</t>
  </si>
  <si>
    <t>de Arm, Gustavo Mauricio</t>
  </si>
  <si>
    <t>Gustavo Mauricio de Arm</t>
  </si>
  <si>
    <t>eros , se previene Del i.° de junio. á esta que borre de la lista de los señores del rei­ Por un parte del gobernador de Noruega se no ei no.nbre del barón Gustavo Mauricio de Arm- sabe que los ingleses se apoderaron en el mes de feldt, el qnat ha cesado de_ser súbdito de S. id. marzo de un barco tripulado por tees pobres pes…</t>
  </si>
  <si>
    <t>de Armas, Francisco</t>
  </si>
  <si>
    <t>Francisco de Armas</t>
  </si>
  <si>
    <t>ngo de la Madrid . subteniente y habilitado del regimiento de la Habana, 4 nombre del subteniente agregado á dicho regimiento Don Vicente Sierra, 22. D. Francisco de Armas, cadete de dragones, por el prest de un soldado en 6 meses, 54. Francisco Segura, sargento primero de granaderos de milicias , por el prest de un soldado e…</t>
  </si>
  <si>
    <t>de Armas, Santiago</t>
  </si>
  <si>
    <t>Santiago de Armas</t>
  </si>
  <si>
    <t>Benito (Grabarre, D. José Pruna, id. Fernando Oríiz, D. Francisco Atonso, D. Antonio VaUscillo, D. José Velas-"ío y, J&gt;. José Armada; subtenencias á D. Santiago de Armas , D. F¡tapisco P.ieto, D. Antonio Pueyo, D. José Gon­ zález Suarez, D. Ignacio Sánchez, D. Francisco Bureyra, D. Ma­ nuel Rodrigne2, D. Manuel x4ngeira , D. …</t>
  </si>
  <si>
    <t>de Armijo, Francisco Perez</t>
  </si>
  <si>
    <t>Francisco Perez de Armijo</t>
  </si>
  <si>
    <t>titulada el Fanático por la Míisica. Actores. Seño­ D. Juan de Castró al de Alcázar, al presbítero ras María López, Cabo y Baus. Señores Muñoz, Fer­ D. Francisco Perez de Armijo. nandez , Justo Mas y Camas. Para el de Qüertar, vacante por ascenso de En el de la Cruz, á las quatro déla tarde, se ext­ D. Agnst’in Xcrez al de Hu…</t>
  </si>
  <si>
    <t>de Arregui, Xavier</t>
  </si>
  <si>
    <t>Xavier de Arregui</t>
  </si>
  <si>
    <t>egundo teniente D. Ignacio Sotello, 50. Alférez D. .fo­ sé María Arce, 20. Idem 1). Manuel Portillo, 10. Capellán Fr. Fran­ cisco de Ocio, 25. Cadete D. Xavier de Arregui, 5. Los sargentos, cabos, soldados c inválidos, 850. El teniente-gobernador del Paso D. Isidro Rey, 40, Estafeta de la Serranía de Fonda. Este periódico, cu…</t>
  </si>
  <si>
    <t>de Arriba, Miguel Martin</t>
  </si>
  <si>
    <t>Miguel Martin de Arriba</t>
  </si>
  <si>
    <t>...................................... 2200 la misma provincia , residente en ella, por.......... 2200 D. Manuel de Santiago, natural de Madrid, don­ D. Miguel Martin de Arriba, natural de la villa de reside, por........................................................ 2 2®0 - de Tembleque , en la misma provincia, residente D.…</t>
  </si>
  <si>
    <t>de Arroyo, Isidro</t>
  </si>
  <si>
    <t>Isidro de Arroyo</t>
  </si>
  <si>
    <t>astillo de Chagre , 200. D. Lino de la Barrera, 50. D. Fidel Martí en plata labrada 225. D. José Vandembrourke , ayudante de ja pla­ ta , Ion. El Dr. D. Isidro de Arroyo, 25. El comandante , oficiales, vete­ ranos y voluntarios del batallón de Pardos, 159. D. José López , 20. Don José Henriquez de Guzman , administrador de la…</t>
  </si>
  <si>
    <t>de Arroyo, Rafael</t>
  </si>
  <si>
    <t>Rafael de Arroyo</t>
  </si>
  <si>
    <t>13 e&gt;o&gt; de'Alcalá, y para abanderado á D. Antonio Cu­ Oíaegui, y subteniente D. Rafael de Arroyo y bero, Pcrez. í • Para capitanes y oficiales de las 3 compañías art. vilr. En ia villa de Be'.mez se formsrá quedan nombrados los individuos siguientes: media compañía. D. Josef Barona Caballero</t>
  </si>
  <si>
    <t>de ArroyueSo, Ramón</t>
  </si>
  <si>
    <t>Ramón de ArroyueSo</t>
  </si>
  <si>
    <t>á D. Diego Blanco, D. Manuel Miravete, D. Pablo J *¿ica, D. José Camerino, D. Mariano de Miguel, D. Manuel Nieto, Don Juan de Cacho, ü. Agustín Roa, D. Ramón de ArroyueSo, Don Joaquín de Luzuriaga, D. José Francisco de R&amp;viila, D. Vicente Madera, y D. José Caballero. CADIZ EN LA IMPRENTA REAL. &gt;</t>
  </si>
  <si>
    <t>de Arruinan, Manuel</t>
  </si>
  <si>
    <t>Manuel de Arruinan</t>
  </si>
  <si>
    <t>a ios dctaíle/n y la noticia de ia cortísma pérdida que liemos tenido.” * . ■ r. El Consejo de Regencia sé ha servido conceder' empleo de ca­ pitán ¿ D. Manuel de Arruinan ,' teniente del regimiento de infan­ tería de Cantabria , y en el mismo cuerpo agregación do coronel D. Francisco Fernandez de Córdoba, coronel del de Iübe…</t>
  </si>
  <si>
    <t>de Arsn, Felipe</t>
  </si>
  <si>
    <t>Felipe de Arsn</t>
  </si>
  <si>
    <t>...... ---- efectivo. 16 4 ia Justicia. Hamburgo...... ..... efectivo. io5 Subprefecto de la subprefectura de Tarazón», en la prefectura de Cuenca, á D. Felipe de Arsn. Sobre las provincias dei reino. fe. 8 ds. a ^ « Cdceres. 1 1 Secretario general de la prefeetnra de Cáceres Málaga............ ..... efectivo. 7 á D. Josef An…</t>
  </si>
  <si>
    <t>de Ascguinolaza, José Antonio</t>
  </si>
  <si>
    <t>José Antonio de Ascguinolaza</t>
  </si>
  <si>
    <t>ro no se atrevieron, ¿acometer, y huyeron á la madrugada, siguiente. Se distinguieron en esta o rasión el teniente D Pió María Ruiz, D. José Abascil, D. José Antonio de Ascguinolaza, comandante de lanceros de S. Nicolás ¿ el sargento segundo de infáat.ría de México José Chavez, que quitó ai enemigo uno de sus .cañones , y el …</t>
  </si>
  <si>
    <t>de Astoreca, Martin</t>
  </si>
  <si>
    <t>Martin de Astoreca</t>
  </si>
  <si>
    <t>que nunca podía exceder de 5 céntimas por fran­ Munarriz, y regidores de aquella municipalidad á co. Al capital de la contribución de puertas y ven­ D. Martin de Astoreca, D. Lorenzo de la Torre, tanas se añadirá 10 céntimas para gastos de recau­ D. Fernaudo Sabugo, D. Pedro Larralde, D. To­ dación. mas Martin, D. Pascual Zam…</t>
  </si>
  <si>
    <t>de Aucrsperg, Carlos</t>
  </si>
  <si>
    <t>Carlos de Aucrsperg</t>
  </si>
  <si>
    <t>Gaceta de Madrid n.º 323</t>
  </si>
  <si>
    <t>extensioa á su fabrica de azúcar laquia: de remolacha de Ziak, y ha perfeccionado las ,, El paso del Danubio , efectuado por Ismail- operaciones. El príncipe Carlos de Aucrsperg, que bei por enfrente de Widdin, solamente ht produ­ destinó ei año pasado 62© arces para fabricar azú­ cido convecuencias fatales para el enemigo. E…</t>
  </si>
  <si>
    <t>de Avala, Don Manuel</t>
  </si>
  <si>
    <t>Don Manuel de Avala</t>
  </si>
  <si>
    <t>mas 100 anua­ les ínterin dure la presente guerra. El mismo por sobrante del fondo de Pósitos de la villa de los Santos, 1000. — Pueblo del Chepo, El capitán Don Manuel de Avala ; 90. D. Antonio Valdes , 50. José María Carrasquilla, 50. Marcelo de León , 25. Esteban Garibaldo , 25. José del Rosario Moreno , 30, D. Francisco X…</t>
  </si>
  <si>
    <t>de Avi, José</t>
  </si>
  <si>
    <t>José de Avi</t>
  </si>
  <si>
    <t>arzobispo 1). Bartolomé' de las Heras, I-0000. D. Ramón Eduardo Anchori , presbítero, 1(K). I). Antonio y D. José Matías E'lizalde, 4000. E¡ cirujano D. José de Avi­ la , 200. Ei conde de S. Isidro , 500. D. Antonio Bedoya , 102. 1). Manuel García de ia Plata, 1000. D. José Ulle, 10J. E! conde de Monteblanco , su espesa, v su…</t>
  </si>
  <si>
    <t>de Avila, Josef</t>
  </si>
  <si>
    <t>Josef de Avila</t>
  </si>
  <si>
    <t>ia , por........... .................. 3200 D. Josef de ia Peña , ex-dominico , lego, Rs. vn.... 179800 residente en Sta. María de Nieva, por.. 1 IOO D. Josef de Avila, ex-agustino, residente art. II. El tesoro público deberá satisfacer á cada en Salamanca, por...... ................................. 2200 uno de los individuo…</t>
  </si>
  <si>
    <t>de AVISO, Josef</t>
  </si>
  <si>
    <t>Josef de AVISO</t>
  </si>
  <si>
    <t>ia noche de ayer en la calle de Sopranis de esta ciudad. Ha­ biéndose prendido t'u*go en un almacén de refino, situado en una accesoria de la casa de D. Josef de AVISO. Lila , ardiií vorazmente hasta el segundo piso , pe­ A voluntad de su dueño, y para hacer pago í va­ reciendo víctimas de las llamas todos los depen­ tios ¡to…</t>
  </si>
  <si>
    <t>de Ay, Santiago</t>
  </si>
  <si>
    <t>Santiago de Ay</t>
  </si>
  <si>
    <t>Gaceta de Madrid n.º 2</t>
  </si>
  <si>
    <t>o adjetivo , 6 mas bien atributivo. Si liai «Los señores administradores de Vizcaya se enJcalgo que oponer a estas razones, fundadas en la «rezarán á D. Santiago de Ay ala, administrador naturaleza de las operaciones de nuestras faculta­ «en S. Sebastian.” des intelectuales , que lo diga el señor Rueda , so :N.s ir»'? seria l…</t>
  </si>
  <si>
    <t>de Ayala, Martin Pérez</t>
  </si>
  <si>
    <t>Martin Pérez de Ayala</t>
  </si>
  <si>
    <t>rientes y la de sus conciudadanos, cesivo , y las sagradas órdenes. Acompañó al concilio después de haber estado sirviendo 30 años en la de Trento ¡i D. Martin Pérez de Ayala, obispo de Seartillería inglesa. govia, en calidad de teólogo consultor, donde partici­ pó y aumentó con su sabiduría la gloria de que se co­ ronaron en…</t>
  </si>
  <si>
    <t>de Azanza, Miguel Josef</t>
  </si>
  <si>
    <t>Miguel Josef de Azanza</t>
  </si>
  <si>
    <t>o obstante, si eu este siglo de luces se llega á encontrar otro camino mas Madrid t y de febrero. facü para conseguir tan alto intento, bien podra la D. Miguel Josef de Azanza, duque de Santa generación presente vanagloriarse de haber hecho Fe , ministro de ludias, ha leído en los números 5$, uno de los mayores descubrimiento…</t>
  </si>
  <si>
    <t>de Azlor, Manuel</t>
  </si>
  <si>
    <t>Manuel de Azlor</t>
  </si>
  <si>
    <t>lario acompa­ ca pasageros á esta plaza sin licencia expresa dei ñaron al Sr. D. Manuel de I ramarría , suhprefegobierno. to de esta ciudad, y al Si. D. Manuel de Azlor, En la sesión de cortes de ayer se leyeron las mayor coronel y com uidante superior de esta pla­ reglas que la comisión de guerra fixaba para el mo­ za, desde…</t>
  </si>
  <si>
    <t>de B, Amalia</t>
  </si>
  <si>
    <t>Amalia de B</t>
  </si>
  <si>
    <t>el archiduque Cirio», y se d¡«c qus se casará coa IMPERIO FRANCE S.9JI S. A. S. la princesa Amalia de B«den. Ihtmburgo rj de julio. SUIZA. Las últimas cartas de Petersburgo refieren que en «1 mes de junio ha sido allí tan excesivo el. ca­ Berna 6 de jaita. lor como en la canícula. A fines de dich</t>
  </si>
  <si>
    <t>de B, Simón</t>
  </si>
  <si>
    <t>Simón de B</t>
  </si>
  <si>
    <t>Martin \i g i Micb.au, por sí v á nomo e de sus h’3 js pciiticos, con le da S u -.trago y manques de S vvatierra: un caxon con hilas, tloii'-fivo de D Simón de B;rceaa, vecino de Xalapa. Y - tra 10 el Consejo de Regencia de tan generosos rasgos , lia dispuesto qu: s ' den i todo ■ los docentes tas mas expresivas gracias ea no…</t>
  </si>
  <si>
    <t>de Badea, Amelia</t>
  </si>
  <si>
    <t>Amelia de Badea</t>
  </si>
  <si>
    <t>ente. Casi todos los vecino'- barí general ruro BenkeudorfF; parece que debe acom­ puesto sobre las puertas de sus caías una bala de pañar á S. A. la princesa Amelia de Badea «a su re­ ciñen embutida en la pared para memoria de la» greso í Pctersburgo. famosas batallas dadas eo estos pueblos. Hemos recibido dos correos de Gon…</t>
  </si>
  <si>
    <t>de Badén, Amalia</t>
  </si>
  <si>
    <t>Amalia de Badén</t>
  </si>
  <si>
    <t>437</t>
  </si>
  <si>
    <t>rines. al mismo tiempo precisados á firmar la protesta, Anteayer se despidió de SS. MM. II. S. A. la por cumplir fielmente las obligaciones y empeño* princesa Amalia de Badén; pero 00 saldrá de aquí que habían contraido ; pero otros se han negado hasta el día íó, porque eu este iorervalo piensa'' absolutamente con la mayor en…</t>
  </si>
  <si>
    <t>iso y consentír;-ie'.ro cL R.-i, que es so pro­ También se espera ue un momento a otro í tector, los premios siguiente p- r, el año p-óxlmo: S. A. la princesa Amalia de Badén, la qual paso el Historia. Exposición hi• teórica de ios impues­ 2j de marzo por lladzisvilotv. tos y tributos, y dc-,1 m&lt;¡L&gt; de p rciSirlos en Sue­ Des…</t>
  </si>
  <si>
    <t>de Badén, Amelia</t>
  </si>
  <si>
    <t>Amelia de Badén</t>
  </si>
  <si>
    <t>Gaceta de Madrid n.º 107</t>
  </si>
  <si>
    <t>42</t>
  </si>
  <si>
    <t>terra. El sebo está to­ Viena^ de marzo. davía moi caro, y el precio que tiene en Ingla­ terra no promete grande utilidad en enviar allá es­ S. A. la princesa Amelia de Badén ha llegado te artículo. Eo ño, según las últimas noticias que á esta capital, y se ha alojado en el palacio de la be recibido, me parece que las mejores…</t>
  </si>
  <si>
    <t>Gaceta de Madrid n.º 152</t>
  </si>
  <si>
    <t>621</t>
  </si>
  <si>
    <t>ños y per­ juicios ocasionados por este desastre tan terriole. Petersburgo 8 de abril. Del SS. A A. II. el príncipe y la princesa de Oldemburgo, y la princesa Amelia de Badén acaban Apenas habíamos vuelto en nosotros de la cons­ de llegar á esta capital. ternación en que nos h.liábamos por la desgra­ En la gazeta ministerial …</t>
  </si>
  <si>
    <t>de Badén, Estefanía</t>
  </si>
  <si>
    <t>Estefanía de Badén</t>
  </si>
  <si>
    <t>1249</t>
  </si>
  <si>
    <t>n un florín y 45 kreutzers. Ademas conscriptos manifiestan mui buenas disposiciones. de esto, cada judío pagará 22 kreurzers y medio S. A. I. la gran duquesa Estefanía de Badén, por cada escudo del salvoconducto , baxo el nom­ después de haber visitado el Brísgau , In salido de bre de transporte. Pero los judíos que traigan v…</t>
  </si>
  <si>
    <t>de BADEN, GRAN DUCADO</t>
  </si>
  <si>
    <t>GRAN DUCADO de BADEN</t>
  </si>
  <si>
    <t>uvo el día ti de S. M. el Emperador, fue tado este cuerpo. presentado á S. M. la Emperatriz reinante; á S. M. la Emperatriz madre; á 5. A. I. la gran duquesa GRAN DUCADO DE BADEN. Ana, y á S. A. I. el gran duque Constantino. El duque de Vicenza y el conde de Lauriston tuvie­ Manheim 4 de junio. ron aquel día el honor de eonie…</t>
  </si>
  <si>
    <t>de BAluerea, Juan Saenz</t>
  </si>
  <si>
    <t>Juan Saenz de BAluerea</t>
  </si>
  <si>
    <t>1423</t>
  </si>
  <si>
    <t>rarla el restante: efecti*ameute el cor­ por muerte deD. Miguel Bísaos, al presbítero exregidor con la municipalidad proponen 3 , y luego franclscano D. Juan Saenz de BAluerea. que el comandante «abe quienes son, los manda Y' para el medio beneficio de la iglesia de la llamar , y les dice entreguen la cantida^ de pron­ villa …</t>
  </si>
  <si>
    <t>de Baños, Juan Martínez</t>
  </si>
  <si>
    <t>Juan Martínez de Baños</t>
  </si>
  <si>
    <t>le parecía que debían esperarse las re-r no Embite secretario general de ja misma prefec­ sultas de su misión, antes de recurrirá los medios tura: á D. Juan Martínez de Baños subprefecro hoWües. Esta relación debe tenerse por auténtica. de la subprefectura de Mavarfedonda en la expre­ Mr. Forster y Mr. Monroe han tenido una l…</t>
  </si>
  <si>
    <t>de Baranda, Pedro</t>
  </si>
  <si>
    <t>Pedro de Baranda</t>
  </si>
  <si>
    <t>tambor mayor de milicias retirado , á cuenta de su oferta , 5í&gt;. — De los ministros de real hacienda, contador, tesorero y dependientes de la 7nisma. D. Pedro de Baranda , contador, por 10 meses de su oferta en cada uno , 250. D. Francisco de Paula Hornillos, tesorero, por 10 meses de su oferta en cada uno , 150. D. Manuel- O…</t>
  </si>
  <si>
    <t>de Barbería, Manuel</t>
  </si>
  <si>
    <t>Manuel de Barbería</t>
  </si>
  <si>
    <t>os­ D. Pedro Ibañez........ ........... 13808.. 7 to de 1S i 1. Doña María Petra Pastor..... 2 5 074 2.. 1 5 Don Josef Napoleón por la gracia de Dios D. Manuel de Barbería........ 6 3870..23 y por Jar .constitución del estado, REI de las Rs. vn... 1.377086.. 1* Españas y de las Indias. Vistas las consultas de la comisión de l…</t>
  </si>
  <si>
    <t>inas, esto es , amas de. 8 millones y me­ Martínez de Novales.......... ........... 172998 «i dio de reales. El padre de esta señorita ha adquiri­ 23 D. Manuel de Barbería.................. . 85286 8¡ do tantas riquezas en el comercio de las Indias 5 Don Francisco del Barrio.................... 10830 orientales.” 12 D. Antoni…</t>
  </si>
  <si>
    <t>de Barcia, Miguel</t>
  </si>
  <si>
    <t>Miguel de Barcia</t>
  </si>
  <si>
    <t>ac­ D. R f.e! Caballero y Escovar. tuó administración inglesa, cuyos principios de D. Manuel Alvarez. guerra perpetua son bien notorios y públicos en D. Miguel de Barcia. toda la Europa. El viage di Mr. 1-abouchere es D. Francisco de Paula Valvero. re a ivo a sus negocios personales, y no puede in­ D. Mariano Salgado. fluir e…</t>
  </si>
  <si>
    <t>de Bassi, Sari</t>
  </si>
  <si>
    <t>Sari de Bassi</t>
  </si>
  <si>
    <t>bre todo indispensable respecto de las tablas nipotenciario de la confederación soiza , solares, que «ntran como elementos necesarios en to­ El señor coronel Sari de Bassi, teniente coro­ dos los cálculos astronómicos. Los mismos métodos que nel de artillería del cantón de Soleare. han servido para construir dichas^ablas se e…</t>
  </si>
  <si>
    <t>de Batiera, Luis</t>
  </si>
  <si>
    <t>Luis de Batiera</t>
  </si>
  <si>
    <t>ú otra bebida quaiquiera, que á la academia para la opcion del premio de Ja me­ lea exportada del país, irá acompañada de una cer­ jor biografía del Emperador Luis de Batiera. Las tificación dada por un corredor baxo juramento , y memorias presentadas son 7 ; pero la del señor Man- legalizada por la cámara de reutas y el trib…</t>
  </si>
  <si>
    <t>de Baviera, Luis</t>
  </si>
  <si>
    <t>Luis de Baviera</t>
  </si>
  <si>
    <t>Gaceta de Madrid n.º 120</t>
  </si>
  <si>
    <t>478</t>
  </si>
  <si>
    <t>is obras, que deben concurrir al parado un sitio particular para el cuerpo diplo­ prerrfo propuesto dos años há para la mejor bio­ mático. grafía del Emperador Luis de Baviera. La corte se vistió de gala con este motivo, y hubo un suntuoso bar.qucte de 80 cubiertos , en el que et eran d uque brindó por 2a salud de SS. MM. II.…</t>
  </si>
  <si>
    <t>de Beingoechea, Fernando</t>
  </si>
  <si>
    <t>Fernando de Beingoechea</t>
  </si>
  <si>
    <t>........ D. Rabel Riesco............................ 35775 9 226 31 16800 D. Livinio Stuyek y Vandergoten.. 41697 16 Doña Angela Francisca Ramos..... D. Fernando de Beingoechea........ 2753 26 522 8 D. Manafel Garda de Montenegro. 28000 D. Sebastian de Otacgui................ 2689 23 D. Joaquin Calvo..........................…</t>
  </si>
  <si>
    <t>de Belaunde, Francisco Antonio</t>
  </si>
  <si>
    <t>Francisco Antonio de Belaunde</t>
  </si>
  <si>
    <t>... 992 Al; ESPAÑA. 2 D. Tomas Rcmeodero...................... . 1895 Madrid 18 de diciembre. i D. Joaquín de Tudela........................... 361 1 D. Francisco Antonio de Belaunde... 1083 Extracto de las minutas de la secretaría de Estado. 2 D. Juan Francisco Gavino de la Pre­ En nuestro palacio de Madrid á 10 de diciembre…</t>
  </si>
  <si>
    <t>de Belgrano, Miguel</t>
  </si>
  <si>
    <t>Miguel de Belgrano</t>
  </si>
  <si>
    <t>.......... 3971 D. Joaquin de Orue, por mano de Don Luis Mattinez de Novales......... ......... 4873..17 Que á una suma importan un millón quinientos D. Miguel de Belgrano............................. 6498 setenta y quatro mil trescientos ochenta y siete rea­ D. Claudio Boutelou....... ......................... 5I44” 8í les y…</t>
  </si>
  <si>
    <t>de Bernabé, Mariano Gil</t>
  </si>
  <si>
    <t>Mariano Gil de Bernabé</t>
  </si>
  <si>
    <t>, sobresalientes y 215 con el de buenas. El Consejo de Regencia , enterado'dé tan rápidos progresos, se ha servido mandar que al director de estudios D. Mariano Gil de Bernabé , coronel del real cu arpo de artillaría, y al sargento mayor destinado á la misma academia D. José Ramón Macksna se les ma­ nifieste quedar S. A. sati…</t>
  </si>
  <si>
    <t>de Bernabé, Pedro Gd</t>
  </si>
  <si>
    <t>Pedro Gd de Bernabé</t>
  </si>
  <si>
    <t>a Sacrimn.= Guerra y capitán general de los reales exércitos, D. Francisco Meruendano. z= D. Tomas de Ara­ pronunciando el discurso.siguiente: gón. = D. Pedro Gd de Bernabé. = D. Raimundo „ Señores: la justicia, primer atributo de la Ruiz. = D. Lorenzo González Viejo. = D. Josef «soberanía, conserva, en Iqs estados el buen or…</t>
  </si>
  <si>
    <t>de Bernstoríf, Cristiano Gunther</t>
  </si>
  <si>
    <t>Cristiano Gunther de Bernstoríf</t>
  </si>
  <si>
    <t>Gaceta de Madrid n.º 163</t>
  </si>
  <si>
    <t>a seda, el algodón y el hiló de lino han produci­ S. M. ha nombrado por decreto de 4 de este do un color tan brillante, tan hermoso y tan per­ mes ai conde Cristiano Gunther de Bernstoríf, ca­ manente como con el añil extrangero, al qual ballero de la orden del Elefante, gran cruz de la reemplaza completamente bixo todos resp…</t>
  </si>
  <si>
    <t>de Berrio, Francisco</t>
  </si>
  <si>
    <t>Francisco de Berrio</t>
  </si>
  <si>
    <t>, Hugo Mucdermot, 500» D. Enrique Linch, 900. Ei Etnuio. cardenal de Borbon , 3000. D. Agustín de Sorondo , 500. Don E. B. 300. D. Victor Soret, 500. D. Francisco de Berrio, 500. D. Luis Fran­ cisco de Gardea/abal, 200. D. Juan Soler y G-arceran, 400. D. Alexandro Firpo , 300. D. Pablo Roura, 400. D, Gaspar Remisa, 1000. D. F…</t>
  </si>
  <si>
    <t>de Betancourt, Agustín</t>
  </si>
  <si>
    <t>Agustín de Betancourt</t>
  </si>
  <si>
    <t>Gaceta de Madrid n.º 96</t>
  </si>
  <si>
    <t>800</t>
  </si>
  <si>
    <t>Memoria sobre un nuevo sistema de navegación Las casas que han qaebrado son las ligoieutcs; interior, presentada al instituto nacional de Branda por D. Agustín de Betancourt.. Casas inglesas. Roblron y Hartsbou; Tomas Proeter; Isaac PRIMER EXTRACTO. Modre é hijo; Hogaos Crok; Heliis y Schaw; Los canales deben su existencia á …</t>
  </si>
  <si>
    <t>Gaceta de Madrid n.º 99</t>
  </si>
  <si>
    <t>LAZA DE MADRID. BOLSA. 'de los planes inclinados, evitase la pérdida de agua y la manija fuese pronta. El medio inventado por DIA 8 DB ABXIL DB l8ll. D. Agustín de Betancourt resuelve completamente V el problema del modo mas sencillo y mas fácil , y oodcxa nada que desear. La misma cantidad de agua Efectos públicos. » sirve c…</t>
  </si>
  <si>
    <t>este modo se executa la inmersión y emer­ interior, presentada al instituto naci.nal de sión del cuerpo sin gastar mucha fuerza ; ó á lo Francia por D. Agustín de Betancourt. mas el esfuerzo de an solo hombre, sin que se fa­ tigue mucho, es suficiente. Y aunqne es cierto que TERCERO V ULTIMO EXTRACTO. la idea de tener continu…</t>
  </si>
  <si>
    <t>de Betancourt, Agustin</t>
  </si>
  <si>
    <t>Agustin de Betancourt</t>
  </si>
  <si>
    <t>explicando primero el mecanismo, por medio del una bella idea; pero de ninguna utilidad. qual se executa esta operación, y haciendo ver La memoria de D. Agustin de Betancourt pre­ después las funciones del cuerpo inmergente, y el senta un exemplo notable de la influencia de las modo de aplicarle al caso de que se trata. No es…</t>
  </si>
  <si>
    <t>de Biezma, Francisco</t>
  </si>
  <si>
    <t>Francisco de Biezma</t>
  </si>
  <si>
    <t>­ b Reales vellón. les anuales............................. 63000 D. Arnaldo Desmaissieres............................ 154041.. 2 Rs. vn...... 126900 D. Francisco de Biezma.............................. 347 5C..3I D. Francisco Gómez Xara......................... 637 10..30 Que á una suma importan ciento veinte y seis mil D. F…</t>
  </si>
  <si>
    <t>de Blanquer, Manuel</t>
  </si>
  <si>
    <t>Manuel de Blanquer</t>
  </si>
  <si>
    <t>iosamente,, que el arte dramática iba 1 D. Juan Josef Garda................................ 1444 á ganar mocho con este acontecimiento, por quin­ 1 . D. Manuel de Blanquer.................... to la señorita-Jordán , célebre actriz, que pensaba 1083 4 D. Pedro Alonso Rodríguez.............. 3610 dexar el teatro, tendría probab…</t>
  </si>
  <si>
    <t>de Bolívar, Simón</t>
  </si>
  <si>
    <t>Simón de Bolívar</t>
  </si>
  <si>
    <t>Gazeta de la Regencia de España e Indias n.º 61</t>
  </si>
  <si>
    <t>61</t>
  </si>
  <si>
    <t>iembre de 1810. (Artículo copiado del Diario políti­ co de Santafé de Bogotá del 25 de enero de 1811.) Ayer 5 del corriente ha llegado á esta capital D. Simón de Bolívar u ío de nuestros envia­ dos cerca de S. M. B. quedando en aquella corte íu compañero D. Luis López Méndez, hasta concluir la negociación con aquel gabinete. …</t>
  </si>
  <si>
    <t>de Brandan, Josef</t>
  </si>
  <si>
    <t>Josef de Brandan</t>
  </si>
  <si>
    <t>Gaceta de Madrid n.º 166</t>
  </si>
  <si>
    <t>677</t>
  </si>
  <si>
    <t>n con el mayor rigor á todos los contravento­ del estado, merece una mención mui particul .r el res , sin distinción alguna , las penas contenidas en barón Josef de Brandan , señor de Valpo en el paellas. iatinado de Sirmium; ti que deseando en todos „Stralsund 29 de abril de i8t i&gt; = El conde de tiempos aliviar las penas, fa…</t>
  </si>
  <si>
    <t>de Brea, Elvira</t>
  </si>
  <si>
    <t>Elvira de Brea</t>
  </si>
  <si>
    <t>spesas tinieblas, sin desviarse nes, natural de la ciudad de Cádiz, hijo de I&gt;. Manuel notablemente de su dirección.. Cada nación tiene de Afíirena y Doña Elvira de Brea, naturales que fue­ su modo particular de construir sus habitaciones: ron de Ja vilJa de Roncesvalles , reino de Navarra, d» es necesario estar mui versadq e…</t>
  </si>
  <si>
    <t>de Brülh, Mauricio</t>
  </si>
  <si>
    <t>Mauricio de Brülh</t>
  </si>
  <si>
    <t>Gaceta de Madrid n.º 71</t>
  </si>
  <si>
    <t>28% lonulcs por la tarifa del 12 de setiembre de 1810. qne aunqne estaban en la misma ¡ncertidnmbre que El conde Mauricio de Brülh , hijo del primer habian manifestado anteriormente á las dos cáma­ ministro de-.este nombre en la corte de Angos­ ras , respecto á la época en que S. M. podría hallar­ to ni) Reí de Polonia)</t>
  </si>
  <si>
    <t>de Bruns, Jorge</t>
  </si>
  <si>
    <t>Jorge de Bruns</t>
  </si>
  <si>
    <t>343</t>
  </si>
  <si>
    <t>pedía moverse. Berlín 12 de octubre. TURQUIA. La corte se ha vestido de luto por 3 días con Constantinomia a o de setiembre. motivo de la muerte de¡ príncipe Jorge de Bruns­ El año de iS2t fue quando los antepasados wick. del sultán M-hmaue co siguieron someter el fértil AUSTRIA. Egipto, que había sido el granero de la antigu…</t>
  </si>
  <si>
    <t>de Burgos, Lorenzo</t>
  </si>
  <si>
    <t>Lorenzo de Burgos</t>
  </si>
  <si>
    <t>es á D. Antonio del que debian bendecirse aquel dia mismo. Rio y D. Antonio Vargas, y para abanderado á A la hora señalada, en medio de la alegría de D. Lorenzo de Burgos. nn pueblo numeroso, de la guarnición que estaba Asimismo quedan nombrados para capitanes y tendida por toda la carrera , al sonido de músicas oficiales de …</t>
  </si>
  <si>
    <t>de Buzzi, Augusto</t>
  </si>
  <si>
    <t>Augusto de Buzzi</t>
  </si>
  <si>
    <t>, y á D. Cirios ds Ciery, primeros tenientes que eran del cxércllo austríaco ; y ha concedido asimismo empleo de al­ férez en el propio real cuerpo á D Augusto de Buzzi, teniente que era al servicio de Austria. Asimismo se lia digaado conferir-la comandancia de! tercer bata­ llón del de-Galicia, a! capitán de granaderos del p…</t>
  </si>
  <si>
    <t>de C, Benito María</t>
  </si>
  <si>
    <t>Benito María de C</t>
  </si>
  <si>
    <t>e se ade­ lantaba ai maído del c&amp;píten D. Eugenio Sánchez sobre la derecha del pueblo. íogró h^oeir prisionero al gobernador intruso de dicha ciudad, D. Benito María de C;r»a, 6 mas bien como se explica el mismo Taca . el Nerón de la Mancha ; pero fue danta la generosidad de nuestros sopiado’, q-ie i pe?ar del justo encono co…</t>
  </si>
  <si>
    <t>de C, Nicolás</t>
  </si>
  <si>
    <t>Nicolás de C</t>
  </si>
  <si>
    <t>que '“de sus gucrriilaá p r todas partes procuraron distraernos de su. i rincipal ■r-bj-ie; per a rué en vano, piles el cap' ém de tiradoras de Cádiz D. Nicolás de C is ro Palomino, que m¿n * ba el medio batallen de la Iz piierda, observando su intento se dkpu á contrarrestarlo : cargó á la foayo»eta , ía za Tnor^dad en ] 3 q…</t>
  </si>
  <si>
    <t>de C-stilIa, Antonio Ruiz</t>
  </si>
  <si>
    <t>Antonio Ruiz de C-stilIa</t>
  </si>
  <si>
    <t>............ atyo D. Josef Clemente de Luja............ 3360 D. Pedro de la Serna....................... 8100 D- Josef Antonio Rodríguez......... 720 D. Antonio Ruiz de C-stilIa......... 433 17 D. Juan Andureo............................ 5945 16 D. Juan Andrés ríe Loutbid.i.......... 833 25 D. Domingo Ortiz de Sintioste.... 5…</t>
  </si>
  <si>
    <t>de Ca, D Francisco</t>
  </si>
  <si>
    <t>D Francisco de Ca</t>
  </si>
  <si>
    <t>794</t>
  </si>
  <si>
    <t>de ellos el caballo y maleta de.un coronel. Puebla de Sarmbria 9 de julio. El 2 de este mes hizo movimiento el exéreHo de Ghdicia, y la división del brigadier D= Francisco de Ca­ brera ataco el puente de Orbigo. Los franceses que lo ocupaban, fueron batidos y arrojados 4 legua y media de distancia ; pero el ge-</t>
  </si>
  <si>
    <t>de Caballos, Manuel Gutiérrez</t>
  </si>
  <si>
    <t>Manuel Gutiérrez de Caballos</t>
  </si>
  <si>
    <t>l, 15o0. D. Clemente Vciez, 1500. D, Francisco Mantilla é hijo, 600. D. Manuel Perez González, 600. I). Bernardo Salceda, 600. D. José San Juan, 600. D. Manuel Gutiérrez de Caballos, 600. D. Manuel de Olea, 500. Mozos de tas tiendas. — D Manuel González Plancho , 500. D. José Gó­ mez Soldado, 300. D. Antonio Tagle , 300. D. J…</t>
  </si>
  <si>
    <t>de Cabía, Clemente</t>
  </si>
  <si>
    <t>Clemente de Cabía</t>
  </si>
  <si>
    <t>1500 H Doña Angela Pineda........... ................ ' ' 3SSO 2i-| 10 D. Diego Tórdesillas, su apoderado 3 D. Antonio Fernandez de Córdoba.. 1173 8¿ D. Clemente de Cabía...... ............. 2 Fernando Bernardo de Qairós........ . 361 19687 16 9 D. Pedro Ibañez...;..................... 8100 2 D. T ornas de Ortega.............…</t>
  </si>
  <si>
    <t>de Cábia, Gemeuits</t>
  </si>
  <si>
    <t>Gemeuits de Cábia</t>
  </si>
  <si>
    <t>o. Fernandez del Campo. 18410 32 y en virtud de poder de D. Jo­ I D. Diego Tcnidesiiias, su apoderado sef de Taló...... ................ .......... . D. Gemeuits de Cábia................... 28333 5 T979 7 por 2 D. Manuel Sixto Espioosa.............. 3241 16I 1 Doña Marga rita Macarthi..........'......... 9204 *3 13660 18 7 P°…</t>
  </si>
  <si>
    <t>de Cabia, Isidoro Saenz</t>
  </si>
  <si>
    <t>Isidoro Saenz de Cabia</t>
  </si>
  <si>
    <t>o Macho del Barrio yvsu hermano , 17. D. Juan Barangot, 10 y 4 rs. D. Fernando Busí amante , 34. D. Joaquin Zorrilla, 10 Don Francisco Cagigas, 20. Y D. Isidoro Saenz de Cabia, 17 ; todos naturales del obispado de Santander. D. Pedro y D. Santiago de la Cuesta Manzanal , .natu­ rales del reyno de León , 1000. D. José María de…</t>
  </si>
  <si>
    <t>de Cabiedes, Manuel</t>
  </si>
  <si>
    <t>Manuel de Cabiedes</t>
  </si>
  <si>
    <t>a de ajámeles de a caballo, por sí y en nombre de dicha compañía, 3000. D. Pedro Bedoya , 400. D. Joaquín Diaz del Valle , 100. En la Isla de León. — D. Manuel de Cabiedes, 10000. D. Manuel Martí­ nez Conde , 3000. D. Domingo del Rio, 2500. D. Manuel García Rodríguez, 2000. D. Esteban García é hijo , 2000. D. Francisco del Co…</t>
  </si>
  <si>
    <t>de Cabrera, Alvaro</t>
  </si>
  <si>
    <t>Alvaro de Cabrera</t>
  </si>
  <si>
    <t>gente que esta­ Desde el año de 126o á consecuencia de la guerra que ban en el reino de Murcia, se les obliga á todos á suscitó en el reino de Aragón D. Alvaro de Cabrera, que sin falta se presenten desde hoi hasta el 3 c conde de Urgel, al Reí D. Jaime 1, y de la discordia del corriente á los comandantes militares del exér­ …</t>
  </si>
  <si>
    <t>de Cáceres, Ramón Ignacio</t>
  </si>
  <si>
    <t>Ramón Ignacio de Cáceres</t>
  </si>
  <si>
    <t>y eminentes prendas que le adornan que brado alcaldes mayores y jueces de primera ins- por su alta dignidad, afirmaba en cierta ocasión que na cia k D. Ramón Ignacio de Cáceres, de Sanlucar se pueden expresar, bien los pensamientos de otro. de Barrameda ; á D. Estiban Abad y Gamboa , de A pesar del exquisito gusto y sano juic…</t>
  </si>
  <si>
    <t>de Campillo, Josef</t>
  </si>
  <si>
    <t>Josef de Campillo</t>
  </si>
  <si>
    <t>ó vadillo de Jaén; Dos pedazos de olivar en tér­ linda con olivares de Don mino oe la ciudad de Anfemando de Tapia , de dújar, sitio de Ja vega gran­ D. Josef de Campillo, y de de, de 150 pies el uno, y D. Jo^ef Roldan y D. Ma­ el otro de M70 ; lindan con nuel de Lastres.................. . 8004 96048 tierras de ios condes de…</t>
  </si>
  <si>
    <t>de Campo, Apolinar</t>
  </si>
  <si>
    <t>Apolinar de Campo</t>
  </si>
  <si>
    <t>1176</t>
  </si>
  <si>
    <t>de Lima , como también el valor y serenidad que manifestar, n en dicha acción el ayudante mayor D. Pedro M vrs, los subtenientes D. Ma rceiino Amor, D. Apolinar de Campo, D. Gregorio Rodrí­ guez, y ios sargentos Juan de Dios Gómez, Fermín García y San­ tiago Cavia, y ios húsares Joaquín de Salas y Manuel Malero : en emulación…</t>
  </si>
  <si>
    <t>de Can, Jo e</t>
  </si>
  <si>
    <t>Jo e de Can</t>
  </si>
  <si>
    <t>D. Manuel Prñañ &gt;ri: al tenien­ te de Puebla D. Pedro de la Rosa, y los alféreces de Méx¡co y Qvic­ ié taro D. Miguel Malo y D. Joaquín Ormaechea: á D. Jo é de Can* ]:Ioo de teniente de dragones de Paztcuaro; al teniente coronel co­ mandante del regimiento de TpIuca JD. Ignacio García Illueca; á</t>
  </si>
  <si>
    <t>de Cantreras, D Juaa Señen</t>
  </si>
  <si>
    <t>D Juaa Señen de Cantreras</t>
  </si>
  <si>
    <t>Gaceta de Madrid n.º 211</t>
  </si>
  <si>
    <t>ficiales. Sargentos de junio de 1811.= El comisario ordenador en gefe cabos y del exército = Bourderoud. soldados. Madrid 29 de julio. Ei gobernad' r general D Juaa Señen de Cantreras........... ...; x En la primera relación de los sucesos militare!, •Su gefe de estado mayor Bas- que Obligaron á los ingleses á levantar el sit…</t>
  </si>
  <si>
    <t>de Caq, Francisco</t>
  </si>
  <si>
    <t>Francisco de Caq</t>
  </si>
  <si>
    <t>ediodía = Marisca! du­ ñas y de las Indias. que de Dalmacia. = Badajoz 21 de junio de X811." Hamo. decretado y decretamos lo siguiente: articulo i. ,,D. Francisco de Caq^amo, fitESPAÑA. Cal de ¡a reai chanciliería de Valladoiid; D. Josef Morales, miimtro togado de !• misma*, D Ramón Madrid t.° de agosto. Sánchez de Cueto, alc…</t>
  </si>
  <si>
    <t>de Cárde, José Eduardo</t>
  </si>
  <si>
    <t>José Eduardo de Cárde</t>
  </si>
  <si>
    <t>as. D. Lorenzo Cisnero$, un vale real de i50 pesos, de l.° de setiembre. D. Francisco de la Peña Ilodrigo ,13 piezas de lienzo listado con 193 varas. D. José Eduardo de Cárde­ nas , diputado en Cortes por América, dos fuentes de plata con peso de 17 marqos. TU obispo de A., u.n;i escribanía de plata.de 3 marcos, i). Francisco…</t>
  </si>
  <si>
    <t>de Cárdenas, Juan Antonio</t>
  </si>
  <si>
    <t>Juan Antonio de Cárdenas</t>
  </si>
  <si>
    <t>o, 20. D. Juan Ignacio de A rispe, 15. D. José Antonio dé la Fuente, 20. D. Francisco Barrera, 13. D. 'José- Mari i Suntds, 12. D.. Pablo García, Jó. D. Juan Antonio de Cárdenas , 13. D. José Camacho, 13. D. José Miguel Sánchez, 10. D. Vicente Florez, 10. D. Juan Francisco Roxas, 6. D. José Antonio Villareál, 7. D. Berdírno V…</t>
  </si>
  <si>
    <t>de Carlos, Juan Miguel</t>
  </si>
  <si>
    <t>Juan Miguel de Carlos</t>
  </si>
  <si>
    <t>lazar , i60. D. Aivrel José Soveron, 50). D 'Carlos Gira1 Jo, 60. D. Nlcoas de Castro , 40. D. Francisco de los .Santos, 20. D. Ramón Carbalteda, 80. D. Juan Miguel de Carlos v D. N. F x rdo, priores; del consulado de Cádiz, 50 pares de zapados. El'muestro p- rt ;g ;cs . vecino de Cádiz.., 12 pares de zapato? y lí güi ros. D …</t>
  </si>
  <si>
    <t>de Carpa, Juan Pedro</t>
  </si>
  <si>
    <t>Juan Pedro de Carpa</t>
  </si>
  <si>
    <t>Joaqun Tosquella, ídem de fragata, me ponen en la honrosa obligación de recomendarlos á V. E., así como i lós oficiales de ar­ tillería de transporte D. Juan Pedro de Carpa, D. Esteban José de Ciris y D. Sebastian Riera , que con el capitán de artillería Don JosédeSaá ocuparon tan dignamente sus puestos, como todos ios dcTíU …</t>
  </si>
  <si>
    <t>de Carspo, Rudri e Rodrigutz</t>
  </si>
  <si>
    <t>Rudri e Rodrigutz de Carspo</t>
  </si>
  <si>
    <t>14 de julio de este año. ARTICULO DE OFICIO. El Conseje de Regresa ha eenforide rmptea de alfares es el re­ gimiento db reales guaráis* espi ñolas á D. Rudri^-e Rodrigutz de Carspo manes, cadete, dyl mismo cmr%\o.En (*\ cscuádroa de cazadores én Ubriquc, se ka servido c!. Osa* scjo d«: R¿*gdxcia conferir compaña* á los capila…</t>
  </si>
  <si>
    <t>de Casanova, Tomas</t>
  </si>
  <si>
    <t>Tomas de Casanova</t>
  </si>
  <si>
    <t>Gaceta de Madrid n.º 4</t>
  </si>
  <si>
    <t>al cuello de la bóte la. Tur este ciosas que pendían en los consejos extinguidos, medio se evitan una multo ud de inconveniente por fallecimiento de D. Tomas de Casanova , á Don que ocurren quando se rompe una botella dentro Alfonso Tovar , gete de división en el ministerio de del baño-maría. la Justicia ; la que este dexa al…</t>
  </si>
  <si>
    <t>de Casares, Aiexandro</t>
  </si>
  <si>
    <t>Aiexandro de Casares</t>
  </si>
  <si>
    <t>, 9. D. Agustín José de Cosgaya, escriba­ no de registros , por 0 meses de su oferta, 3ti. — De varios sugetos que han contribuido en esta real cara. D. Aiexandro de Casares, 6. D. José Mauri­ cio Rodríguez , 25. Doña Petrona de Escurdia , 20. D. Miguel Duque de Estrada , 100. D, Carlos Escoíiet, 25. D. Claudio Martínez , 20.…</t>
  </si>
  <si>
    <t>de Casas, Domingo Josef</t>
  </si>
  <si>
    <t>Domingo Josef de Casas</t>
  </si>
  <si>
    <t>................... 1 lco D. Vicente Toriño........... ...................... 4512..17 El marques del Norte................................. 22791..5 D. Domingo Josef de Casas.................. 3700- 8f D. Santiago de Abarrategui............. . 7J3I” 7 D. Francisco Meruendano...................... 2707..17 D. Josef Escalera..…</t>
  </si>
  <si>
    <t>de Casas, Gerardo</t>
  </si>
  <si>
    <t>Gerardo de Casas</t>
  </si>
  <si>
    <t>la villa de los Santos. Fr. Francisco Vidal , cura interino, 10'). D. Isidro Conde , teniente cura , 15¿ D. Pedro Casa-mayor , sacristán n.avor , 2o. D. Gerardo de Casas , id menor , 15. E! presbítero O. .Manuel ViU dáz, \0.~—Jurisdicción de Parita. D. José Santos del Bosque , vicario juez cele ■lasticn , 20. Fr. Martin de la…</t>
  </si>
  <si>
    <t>de Casas, José Mariano</t>
  </si>
  <si>
    <t>José Mariano de Casas</t>
  </si>
  <si>
    <t>el de un soldado id. , 9. B. Esteban Cambreleng v .Espinosa , oficial agregado á la misma secretaría , en cada mes , 6, D. J osé María Granados, 200. D. José Mariano de Casas y hermanos , 100. Bcña María Loreto y Doña María Ignac.ia de Cárdenas, 1020. D. Vicente del Corral , I09d. El presbítero B. Francisco Xavier Noriega , 5…</t>
  </si>
  <si>
    <t>de Castañeda, Juan Miguel</t>
  </si>
  <si>
    <t>Juan Miguel de Castañeda</t>
  </si>
  <si>
    <t>ocupa muchas leguas, i 4,6 y 8 del mar, baxo otra media vara de arena que la cubre en toda su extensión, y se arranca de la madre con gran facilidad. D. Juan Miguel de Castañeda, asentista de esta real fábrica , y D. Sebastian Ugarriza, vecino de Lima, han hecho varias diligencias para conocer las calidades de este ni trate c…</t>
  </si>
  <si>
    <t>de Castaños, Francisco Xavier</t>
  </si>
  <si>
    <t>Francisco Xavier de Castaños</t>
  </si>
  <si>
    <t>Gazeta de la Regencia de España e Indias n.º 142 (extraordinaria)</t>
  </si>
  <si>
    <t>1195</t>
  </si>
  <si>
    <t>ños. Del cam­ po de batalla á la inmediación de Arroyo-Molinos á las 11 del dia 28 de octubre de 18 i 1.— Excmo. Sr.—Pedro Agustín Girón.—.Excmo. Sr» D. Francisco Xavier de Castaños.” Del brigadier, ayudante general, Z&gt;. Antonio Roséllá al seíior gefe deí estado mayor general. „Excmo. Sr.: el gefe de estado mayor del quin­ to…</t>
  </si>
  <si>
    <t>de Castillo, Anastasia</t>
  </si>
  <si>
    <t>Anastasia de Castillo</t>
  </si>
  <si>
    <t>io. D. Luis Hidalgo Gato , 103. El ca­ pitán D. Manuel Palacios , 300. El coronel D. Agustín de Ibarra y Do­ ña Rita de la Guardia su consorte , 510. Doña Anastasia de Castillo, ve­ cina de la ciudad de S. Felipe y Santiago, en cada mes durante la guerra, 34. La misma señora por entrega de Varias mugeres de la misma vecindad …</t>
  </si>
  <si>
    <t>de Castro, Antonio Alfageme</t>
  </si>
  <si>
    <t>Antonio Alfageme de Castro</t>
  </si>
  <si>
    <t>nuel Beltran , id., residente en Madrid , por............................................. 2200 ■ art. 11. El tesoro público deberá satisfacer á cada D. Antonio Alfageme de Castro, id., re­ uno de los individuos comprehendidos en e! anterior ar­ sidente en ArdVaca , por............................ 2200 tículo la pensión que l…</t>
  </si>
  <si>
    <t>de Castro, Antonio Cbaserot</t>
  </si>
  <si>
    <t>Antonio Cbaserot de Castro</t>
  </si>
  <si>
    <t>tero de la Concha........... 1123.. 6 D. Pedro Irigoen y Almansa................ 451- 8f D. Manuel de lllcscas............................. 2246. .19 D. Antonio Cbaserot de Castro........ i.. 541..17 D, Miguel Félix de Velasco....... 3333 ^n2 D. Juan Francisco Martínez................. 4Í¡‘- 8j D. Bernardo Meruendano.........…</t>
  </si>
  <si>
    <t>de Castro, Jatn</t>
  </si>
  <si>
    <t>Jatn de Castro</t>
  </si>
  <si>
    <t>r y Barpces, vac-mte por fa­ logrado arribar y escapar del naufragio, han sido llecimiento de D. Bartolomé Mirtir., ai ■ x regular presos. observante D. Jatn de Castro, cura de P fiar. En el último desembarco ha habido una cir- Para el de S. Andrés de Granada, vsc.mie por ctfnstanciíi singular: algunos marineros ingleses han …</t>
  </si>
  <si>
    <t>de Castro, Joaquín Ximenez</t>
  </si>
  <si>
    <t>Joaquín Ximenez de Castro</t>
  </si>
  <si>
    <t>la fiel relación de todo lo que tiene pro­ Para el de S. Miguel de Marchena, vacante yectado y puesto en execucion el gobierno para la por muerte de D. Joaquín Ximenez de Castro, á seguridad, para la felicidad y para La gloria del D. Juan María de la Flor, presbítero, cura bene­ estado. Hasta ahora causaba nuestra admiración …</t>
  </si>
  <si>
    <t>de Castró, Juan</t>
  </si>
  <si>
    <t>Juan de Castró</t>
  </si>
  <si>
    <t>tará por la compañía española la ópera en dos Para el de Pifiar, vacante por proriiocion de actos titulada el Fanático por la Míisica. Actores. Seño­ D. Juan de Castró al de Alcázar, al presbítero ras María López, Cabo y Baus. Señores Muñoz, Fer­ D. Francisco Perez de Armijo. nandez , Justo Mas y Camas. Para el de Qüertar, va…</t>
  </si>
  <si>
    <t>de Castro, Lies</t>
  </si>
  <si>
    <t>Lies de Castro</t>
  </si>
  <si>
    <t>que se mantiene incorrupto, de la reyna Deñi B striz, el del rej D. Pe­ dro I que está entero con piel y cabelles, y algunos pedazos del ca­ dáver de Doña Lies de Castro : los.de dos ií faatrs , que después del primer paso de los franceses sé habían visto enteros, han desapare­ cido. Se han reparado en la forma posible los ma…</t>
  </si>
  <si>
    <t>de Castro, Luis Josef</t>
  </si>
  <si>
    <t>Luis Josef de Castro</t>
  </si>
  <si>
    <t>de la primera com­ influir notablemente para arrancar de raíz las se­ pañía del primer batallón. millas de la discordia, qne sobradas veces ha afli-* D. Luis Josef de Castro á subteniente de la se­ gido á los pueblos cristianos. gunda compañía del segundo batallón. D. Mateo Hudson á subteniente de bandera del Representación d…</t>
  </si>
  <si>
    <t>de Castro, Miguel</t>
  </si>
  <si>
    <t>Miguel de Castro</t>
  </si>
  <si>
    <t>italario de San Id • Corenzo Barba, id. id., en id-, por... 2 209 Juan de Dios, residente en Madrid,-por 2200 SD,• Manuel Cano, id., residente en Po­ D. Miguel de Castro, ex-mercenario des­ zuelo de la Mancha, por....,................. 2200 calzo, id., por............. ............................. 2200</t>
  </si>
  <si>
    <t>de Castro, Nlcoas</t>
  </si>
  <si>
    <t>Nlcoas de Castro</t>
  </si>
  <si>
    <t>os y Toledo , 0‘*&gt;. D. Nicolás Hernández, 60. X). Agustín Maestre, 40; D. Ignacio Salazar , i60. D. Aivrel José Soveron, 50). D 'Carlos Gira1 Jo, 60. D. Nlcoas de Castro , 40. D. Francisco de los .Santos, 20. D. Ramón Carbalteda, 80. D. Juan Miguel de Carlos v D. N. F x rdo, priores; del consulado de Cádiz, 50 pares de zapado…</t>
  </si>
  <si>
    <t>de Cea, Antonio</t>
  </si>
  <si>
    <t>Antonio de Cea</t>
  </si>
  <si>
    <t>do de exploradores. Desde la noche del 7 supe que los franceses que hibian salido de Ganada entraron en Diezma; y cor siéndole también el briga­ dier D. Antonio de Cea, comandante general de «a primera división de caballería, que se hallaba en Gaalx con algunos escuadrones avanzados, empezó á poner en execucion las instruccio…</t>
  </si>
  <si>
    <t>de Cea, Jasel Celedonio</t>
  </si>
  <si>
    <t>Jasel Celedonio de Cea</t>
  </si>
  <si>
    <t>ompañía. Fernando Aferruche. D. Josef Lebuei, sargento primero, á subte­ P^ra el de FueocemiPao, vacante por ascenso niente de la octava compañía. de D. Jasel Celedonio de Cea al de Valhermoso, k D. Antonio Trejn. Noveno batallón. Y para el de S. Gines de Gundalaxara , vacan­ D. Manuel Zavala Especulo, teniente, á capi­ te po…</t>
  </si>
  <si>
    <t>de Ceüs, Ignacio Gutiérrez</t>
  </si>
  <si>
    <t>Ignacio Gutiérrez de Ceüs</t>
  </si>
  <si>
    <t>emio de montañeses , 49.693 rs. y 17 mrs. D. Patricio Gutiérrez de Teran, como capataz mayor por la compañía de trabajadores de la rea aduana , 6900. D. Ignacio Gutiérrez de Ceüs , cabo principal déla compañía de ajámeles de a caballo, por sí y en nombre de dicha compañía, 3000. D. Pedro Bedoya , 400. D. Joaquín Diaz del Vall…</t>
  </si>
  <si>
    <t>de Cev, Angela</t>
  </si>
  <si>
    <t>Angela de Cev</t>
  </si>
  <si>
    <t>conde de Monteblanco , su espesa, v su hijo el conde de Montemar, 4000. Real cuerpo de artillería. El coronel D Joaquín de ia Pezuela, 300. Su esposa Doña Angela de Cev.allos, 200. El teniente coronel D. Juan Aruar, 169 y 5. El capitán de la plana mavev D. Casimiro Valdes, 111 y 2 Los capitanes qe compartí .is D. An­ tonio Co…</t>
  </si>
  <si>
    <t>de Choya, Gregorio Alfonso</t>
  </si>
  <si>
    <t>Gregorio Alfonso de Choya</t>
  </si>
  <si>
    <t>tario. D. Francisco Sinz Ruiz, teniente, á capitán D. Pedro Miguel de tuque. de la tercera compañía. Tenientes. Quarto batallón. D. Ramón de la Peña. D. Gregorio Alfonso de Choya, ayudante, á D. Rafael Laguae*. capitán de la primera compañía. D. Lorenzo Cuenca Romero. Quinto batallón. D. Felipe Gutiérrez de Qaevedo. D. Agustí…</t>
  </si>
  <si>
    <t>de Churruca, Cosme</t>
  </si>
  <si>
    <t>Cosme de Churruca</t>
  </si>
  <si>
    <t>que se ha empezado Martin con las de S. Bartolomé y Anguila, levantada á hacer en la aduana de las mercancías venidas d&amp; geométricamente en 1794 por D. Cosme de Churruca, Alemania. brigadier de la real armada: su precio 6 rs. —Piano Ayer hubo durante toda la noche una gran del fondeadero de! Callao de Lima y de la costa inme­…</t>
  </si>
  <si>
    <t>de Cifuentes, Joaquin</t>
  </si>
  <si>
    <t>Joaquin de Cifuentes</t>
  </si>
  <si>
    <t>s del tesoro público.... 84 D. Santiago de Abarrategui..... 4860 Oro español contra plata............. D. Miguel de Landa........ .............. 459° D. Joaquin de Cifuentes como ma­ rido de Doña Ursula López de Azcutia.................. 8lOO teatros. D ña Antonia Ortiz de Espinoso.. 22500 En el del Príncipe, á las siete de l…</t>
  </si>
  <si>
    <t>de Ciiimeoni, José Nicolás</t>
  </si>
  <si>
    <t>José Nicolás de Ciiimeoni</t>
  </si>
  <si>
    <t>aballería provisional, ántes segundo de Santiago; á D. Pedro Colmenares y D. Pedro de la Cantolla, cadetes del batallón de granaderos riel general; á D. José Nicolás de Ciiimeoni, cadete de tiradores de Murcia, ántes batallón de Plasencia; y al de igual clase del regimiento de infantería de Cantabria D. An­ tonio Fernandez. S…</t>
  </si>
  <si>
    <t>de Ciscar, Gabriel</t>
  </si>
  <si>
    <t>Gabriel de Ciscar</t>
  </si>
  <si>
    <t>Gaceta de Madrid n.º 116</t>
  </si>
  <si>
    <t>dia de la noche* (i) Para conocer el nuevo sistema de medidas se se representará por la compañía española la comedia en puede consultar la memoria de D. Gabriel de Ciscar, Ves actos titulada No puede ser guardar una muger, / la traducción de la aritmética de Mr. Latroix por Don al fin de fiesta el Majo de repente. Jostf Rebol…</t>
  </si>
  <si>
    <t>de Cismar, Francisca Xavier</t>
  </si>
  <si>
    <t>Francisca Xavier de Cismar</t>
  </si>
  <si>
    <t>1303</t>
  </si>
  <si>
    <t>Rome­ ro de Castilla.—Juan Cabrera de la Rocha. — Ruis María de Men­ doza.— José de Jandenes..-—Mateo X&amp;ra.— Vicente Cargas ¿/ -La­ guna*— Exemo. Sr. D. Francisca Xavier de Cismar? d’ Contestación del Sr. general en geje. — ^Exorno. Sr.: Las afee* .tironas expresiones con que Y. E. se si?ve ©ongu¿tu'‘a*me por la vic­ toria co…</t>
  </si>
  <si>
    <t>de Coarten, Juan</t>
  </si>
  <si>
    <t>Juan de Coarten</t>
  </si>
  <si>
    <t>illones y medio de reales, so coxanes de sables, 33 de meoiciuas, 214 b r¿ i íes de arroz , .y 226 da pólvora. Vieren a su.bordo ei mari&gt;e*í de campo D. Juan de Coarten, y otros oficiales de diferemes gradúa ionespa¿a ser, empleadas en este exército. El parte de poní-.:me nos dá la ixtn v gante y. escandalosa noticia de que e…</t>
  </si>
  <si>
    <t>de Coiloredo, Juan</t>
  </si>
  <si>
    <t>Juan de Coiloredo</t>
  </si>
  <si>
    <t>Gaceta de Madrid n.º 85</t>
  </si>
  <si>
    <t>337</t>
  </si>
  <si>
    <t>s de la Noruega. El invierno se ha Ido hoi á casa del general á suplicarle que ha­ ha adelantado mucho, pues en el mes de agosto ga presente al señor conde Juan de Coiloredo , ge­ estaban ya cubiertas de nieve las montañas, y en neral en gefe de la artillería, su reconocimiento á seguida sobrevinieron los fríos. Muchos labrad…</t>
  </si>
  <si>
    <t>de Columbres, Antonio González</t>
  </si>
  <si>
    <t>Antonio González de Columbres</t>
  </si>
  <si>
    <t>D. Juan García , 200. Don Dionisio de Hoyos, ‘’OO. D. Pantaleoa y D. Severo Merino , 240. D. Antonio Diez riel Olmo, 200. D. Antonio Diaz Tagle, 160. D. Antonio González de Columbres, 160. D. José Antonio de la forre , 120. D. Antonio García Tcraa, 120. D. Pedro de Teran, 120. D. Bernardo García de los Ríos, 120. I). Tomas de…</t>
  </si>
  <si>
    <t>de Consuegra, Tomas</t>
  </si>
  <si>
    <t>Tomas de Consuegra</t>
  </si>
  <si>
    <t>......................................... 2200 cia de la Mancha, residente en Toledo , por...... 2200 D. JosefCrespo, natural de Madrid, residente en D. Tomas de Consuegra, natural de Consuegra, de Toledo, por.......................................................... 2200 la misma provincia , residente en ella, por.......... …</t>
  </si>
  <si>
    <t>de Contreras, Baltasar</t>
  </si>
  <si>
    <t>Baltasar de Contreras</t>
  </si>
  <si>
    <t>etamos lo siguiente: D. Felipe de Bies y Santeli- articulo x. „Se declaran acreedores del ........................................... looo Estado- al D. Baltasar de Contreras pot Concurso de acreedores de su apoderado D. Felipe D. Juan de Gomora por Santiago Gallo.................. .cooo$..l6 medio de su habilitado La testame…</t>
  </si>
  <si>
    <t>de Contreras, Pedro Josef</t>
  </si>
  <si>
    <t>Pedro Josef de Contreras</t>
  </si>
  <si>
    <t>rcía Cabrera, al diácono S. M. ha tenido hoi consejo privado de minis­ D. Josef Ramírez Vázquez. tros. Para el de la de Coria , vacante por muerte de D. Pedro Josef de Contreras, á i). Juan Francis­ co Martínez, cura beneficiado de la villa de Gelvea. El señor coronel Kruse fue enviado el dia 15 Para el tercer curato de la de…</t>
  </si>
  <si>
    <t>de Contreras, Senen</t>
  </si>
  <si>
    <t>Senen de Contreras</t>
  </si>
  <si>
    <t>Gaceta de Madrid n.º 261</t>
  </si>
  <si>
    <t>tauro, que quedó muerto, trucción de estos cuerpos. El Empecinado se fue «cía; que eligiese el punto que quería defender, pues por la relación del ex-gobernador Senen de Contreras n yo se le concedería al momento. Pero todos huyeron consta que Ios soldados , lejos’de estar faltos de muni­ •&gt; del peligro; y este abandono fue l…</t>
  </si>
  <si>
    <t>de Córdo, Gonzalo Fernandez</t>
  </si>
  <si>
    <t>Gonzalo Fernandez de Córdo</t>
  </si>
  <si>
    <t>Gaceta de Madrid n.º 291</t>
  </si>
  <si>
    <t>1203</t>
  </si>
  <si>
    <t>roduce varones célebres en letras ed el si­ nistró á Annibai para la segunda guerra púnica. glo xvr. Los romanos (y en su nombre Cl. Marcelo, El grao capitán Gonzalo Fernandez de Córdo­ nieto del gran Marcelo) la amplificaron, fundaron ba es educado en ella. en ella la primera colonia de ciudadanos romanos Eatrata á fuerza el…</t>
  </si>
  <si>
    <t>de Córdoba, Antonio Fernandez</t>
  </si>
  <si>
    <t>Antonio Fernandez de Córdoba</t>
  </si>
  <si>
    <t>... 52500 Doña Eugenia Pahvicini............................... 87700 Rs. vu.... 1.043882..27 D. Sebastian de Otaegui...............i.:...... . 31875 D. Antonio Fernandez de Córdoba.......... 16653..23 Que á una suma importan un millón quarenta y tres Doña Margarita Ximenez del Olmo y mil ochocientos ochenta y dos reales y ve…</t>
  </si>
  <si>
    <t>.5 Juan Bautista Goitia................. 31500 H Doña Angela Pineda........... ................ ' ' 3SSO 2i-| 10 D. Diego Tórdesillas, su apoderado 3 D. Antonio Fernandez de Córdoba.. 1173 8¿ D. Clemente de Cabía...... ............. 2 Fernando Bernardo de Qairós........ . 361 19687 16 9 D. Pedro Ibañez...;....................…</t>
  </si>
  <si>
    <t>de Córdoba, Antopict Fernandez</t>
  </si>
  <si>
    <t>Antopict Fernandez de Córdoba</t>
  </si>
  <si>
    <t>su apoderado D. Vicen­ queret,, por real-orden'de 2 s de te González Arnao..............................‘ 3041 1 ctavo dé: 1795 se la concedió una é D. Antopict Fernandez de Córdoba, ■asi,machan de.................................... 1700 como padre y tutor de Doña MaDoña Margarita Miqaelini, por rea­ ría Lnba................…</t>
  </si>
  <si>
    <t>de Córdoba, Joaquín</t>
  </si>
  <si>
    <t>Joaquín de Córdoba</t>
  </si>
  <si>
    <t>ncisco Navarro López. teniente de la ottav* comp: nía. Tenientes. Noveno batallón. D. Juau de Coca Torres. D. Calixto Ruiz Funes, sargento primero, á D. Joaquín de Córdoba. íubreniente de ía octava comp nía. art. xiv. Nuestros miuistros de lo Interior y Subtenientes; de la Guerra quedan encargados de la execucioo D. Francisco…</t>
  </si>
  <si>
    <t>de Córdoba, Luís</t>
  </si>
  <si>
    <t>Luís de Córdoba</t>
  </si>
  <si>
    <t>0. D. Antonio Cortes y Coll, 300. D. Félix Pulí, 200. D. Mariano Lobera, 400. D. José Solernou, 200. D. J. L. F., 150. D. José Ignacio Inciartc, 100. D. Luís de Córdoba, 100. Sres. Viuda de Roberts y compañía, 500. D. Antonio Valiarino, 1000. .cu marques de Béigida; en una letra sobre Valencia, 1000. Marques de Camarasa , lOO…</t>
  </si>
  <si>
    <t>de Córdoba, Miguel</t>
  </si>
  <si>
    <t>Miguel de Córdoba</t>
  </si>
  <si>
    <t>13 oficiaIes, un respuesto crecido de víveres, municiones &amp;c., 10 caballos y dad y desvelos del teniente coronel D. Josó Manso, y del de igual clase D. Miguel de Córdoba , ayudante general interino de la divi­ sión , ai esmero? y valentía áel capitán de artillería D. Miguel Bolagaray, ¿ b?. rereníd^d y celo del coronel D. Jos…</t>
  </si>
  <si>
    <t>de Córdova, José Fernandez</t>
  </si>
  <si>
    <t>José Fernandez de Córdova</t>
  </si>
  <si>
    <t>sulta de la Cámara ha nombrado para decano de dicho tribunal á Don Jayme Alvarez Mendieta , oidor déla la real audiencia de Cataluña ; para oidores á D. José Fernandez de Córdova, y D. Isidro Lasáuca, ministros de la misma audiencia , d D. Ildefonso Crespo Manj&amp;n y D. Francisco Alfonso Tuero , el pri­ mero ministro de la chan…</t>
  </si>
  <si>
    <t>de Cortavarría, Antonio Ignacio</t>
  </si>
  <si>
    <t>Antonio Ignacio de Cortavarría</t>
  </si>
  <si>
    <t>1041</t>
  </si>
  <si>
    <t>INDIAS DEL SABADO 5 DE OCTUBRE DE 1311 / ESPAÑA. Puertorlco 13 de agosta. Eí comisionado regio para la pacifi­ cación de las provincias de Venezuela D. Antonio Ignacio de Cortavarría, lia dirigido en el mes pasado ó los disidentes de aquel país una proclama, en que les habla de este modo: ... ^ A los vecinos y habitantes de l…</t>
  </si>
  <si>
    <t>de Cortes, Juan</t>
  </si>
  <si>
    <t>Juan de Cortes</t>
  </si>
  <si>
    <t>s D. Francisco Xavier de Echaleeu, y D. Miguel de Sentmanat: idem de fusileros á D. Juan de h Chausee, alférez de fragata retirado ce-la reai armada, D. Juan de Cortes, guardia de Corps, y D. Rafael Vaícarcsl, cadete del propio cuerpo de guardias Walonas. Igualmente se ha servido conferir el regimiento de dragones de! Rey al …</t>
  </si>
  <si>
    <t>de Cosgaya, Agustín José</t>
  </si>
  <si>
    <t>Agustín José de Cosgaya</t>
  </si>
  <si>
    <t>de su oferta , 20. D. José María de Echanove , quinto, por una vez, 13 y 4 rs. D. Miguel González de Rueda, agre­ gado , por 9 meses de su oferta, 9. D. Agustín José de Cosgaya, escriba­ no de registros , por 0 meses de su oferta, 3ti. — De varios sugetos que han contribuido en esta real cara. D. Aiexandro de Casares, 6. D. J…</t>
  </si>
  <si>
    <t>de Courbille, Ignacio Arnaud</t>
  </si>
  <si>
    <t>Ignacio Arnaud de Courbille</t>
  </si>
  <si>
    <t>capitán de la tercera compañía urbana de naturales de Vizcaya y Navarra, por oferta de dicha compañía, 3196 pesos y 4 reales. D. Matías Duarte , 100. D. Ignacio Arnaud de Courbille, oficial segundo da la contaduría de Panzacola, 25. D. Manuel José Bínelo , como apoderado y á nombre del Dr. D José Nicolás Veranes , canónigo de…</t>
  </si>
  <si>
    <t>de CrayMdnckel, Manuel Luis</t>
  </si>
  <si>
    <t>Manuel Luis de CrayMdnckel</t>
  </si>
  <si>
    <t>io Desmaissieres marques de la Mo­ rilla , y al primer teniente D. Bernardo María de Guindulaín; empleo de primer ayudante mayor , al primer teniente D. Manuel Luis de CrayMdnckel: primera tenencia de granaderos al de fusileros D. Manuel Ma­ ría de Vorey : primera tenencia de fusileros á los segundos tenientes D. José Vaca de…</t>
  </si>
  <si>
    <t>de Creed, Luis</t>
  </si>
  <si>
    <t>Luis de Creed</t>
  </si>
  <si>
    <t>on á tonar el mismo camino. Aunque yo no tuve mas que noticia# cor. fosas de este movimiento, envié contra ellos al coronal de femnies de Catalu­ ña, D. Luis de Creed1, con su regimiento, 40 corácea es y 200 infan­ tes al mando'del coronel D. José Casas. Corno la infentriia , car.sí da de la rápida marcha de aquel-día, y de l…</t>
  </si>
  <si>
    <t>de Criarte, Josef Antonio</t>
  </si>
  <si>
    <t>Josef Antonio de Criarte</t>
  </si>
  <si>
    <t>o Ortiz y Zarate................... 7039.. 17 Doña María Antonia del Río................ 38519 D. Juan Aivarez de Faria..................... 7761.-17 D. Josef Antonio de Criarte................... 28338..17 D. Manuel García Montenegro............. 11732.. X7 D. Juan Manuel Pérez de Herrera, por D. Guilletir.o de lihagon , por…</t>
  </si>
  <si>
    <t>de Criarte, Juan Antonio</t>
  </si>
  <si>
    <t>Juan Antonio de Criarte</t>
  </si>
  <si>
    <t>Francisco Escudero, 500. D. Ramón Eguilus, 300. Sres. Somera Hermanos,.500.. D. Serafín Alaix , 300. D. Claudio Itoioero, 500, D. Ramón Romero, ¿00. D. Juan Antonio de Criarte, 500. I). Juan Ma­ ría de Inarte , 500. D. José Romero Campo, 400. D. Paulo Larriela y corn•jjanía , 500.IX Antonio y D. Juan Víctor, 500. D Pedro Sore…</t>
  </si>
  <si>
    <t>de Cruz, Ramón</t>
  </si>
  <si>
    <t>Ramón de Cruz</t>
  </si>
  <si>
    <t>uirá el fjmba­ cuten en todo empleado público dentro del recin­ go, se cantará una buena tonadilla ; y se finalizará con to del pueblo. el sainete de D. Ramón de 1» Cruz titulado ia Virria 3.° Del robo de los fondos en las tesorerías 6 burlada. EN LA IMPRENTA REAL.</t>
  </si>
  <si>
    <t>de Cuatreras, Eduardo</t>
  </si>
  <si>
    <t>Eduardo de Cuatreras</t>
  </si>
  <si>
    <t>....................... 200 mento. El Sr. D. Juan Bautista Sainsere.......................... 200 Por la noche hubo una hermosa iluminación, y E. Sr. D. Eduardo de Cuatreras................... ico en el teatro se exeruró una magnifica función pre­ El Excmo. Sr. Lafond Blagniac.................... 2 o parada con mucho gusto. E…</t>
  </si>
  <si>
    <t>de D, Fernando</t>
  </si>
  <si>
    <t>Fernando de D</t>
  </si>
  <si>
    <t>Ignacio D. Ramón Pérez y Morales, ex-trinitario Vicente y Doña Francisca de Mayó­ descalzo, residente en Cienpozuelos, por 2200 la, como herederos de D. Fernando de D. Cirilo Sánchez Deva, ex-carmdira cal­ Mayora, por mano del citado Iribarren. 124830.. 4 zado, residente en Valdemoro, por.... 2200 D. Mauuel Sánchez Toscano...…</t>
  </si>
  <si>
    <t>de D, Fernando Bernaldo</t>
  </si>
  <si>
    <t>Fernando Bernaldo de D</t>
  </si>
  <si>
    <t>ía......................... 4769. .10 de D. Melchor de Moa- D. Josef Badan........ ....... . 5961.,2a toya................................... 4365-16 D. Fernando Bernaldo de D. Manuel María Cambró- Quirós..... ,....................... 34811..17 nero....... ............................ 13125 Doña Angela Clara de Pineda. 2 3 20…</t>
  </si>
  <si>
    <t>de D, Francisco</t>
  </si>
  <si>
    <t>Francisco de D</t>
  </si>
  <si>
    <t>entes, pondrá un regimiento.__ D. Pedro Reqneoa. Nombramos para coronel de este regimiento i D. Pedro Ignacio Rioboo. D. Diego de Leori; para mayor á D. Francisco de D. Josef María Sánchez. Paula Valdivia; para comandantes de batallona D. Pedro de Vaca. D.J uan de Molina y D. Lope Fernandez de Cór­ Subtenientes. doba ; para a…</t>
  </si>
  <si>
    <t>de D, Gaspar de</t>
  </si>
  <si>
    <t>Gaspar de de D</t>
  </si>
  <si>
    <t>das, 7 celemines, sitio de das y 7 celemines; lindan Garcies: linda con tierras con el vado del Esparto y del cortijo de los Barrios, con tierras de D. Gaspar de de D. Fausto de Moya y Ayala y arroyo de San Pe­ monjas de los Angeles; y dro............................ ........... 1000 12000 otra pieza de 13 cuerdas y Un cortij…</t>
  </si>
  <si>
    <t>de D, Josef Sánchez Gui</t>
  </si>
  <si>
    <t>Josef Sánchez Gui de D</t>
  </si>
  <si>
    <t>ro D. Josef García Escobar. de Jayena. Para el del Fondon, vacante por muerte de Para el de Soportnjar, vacante por renuncia D. Francisco Carmona , á D. Josef Sánchez Gui- de D. Jojef Gnzman, al presbítero £►. Bernardo ¡ler-, cura de Isbol y Tablate. G.rcía Valenzuíia. Para el de Fregenite y sus anexos Rubite y Para el de San…</t>
  </si>
  <si>
    <t>de D, Pedro Pablo Perez</t>
  </si>
  <si>
    <t>Pedro Pablo Perez de D</t>
  </si>
  <si>
    <t>n Marcos Martínez................... 3158..2jf D. Juan Manuel Perez Herrero, por D. Vicente Arbiol................................ . 3429..17 mano de D. Pedro Pablo Perez de D. Matías Duran.............. ..........,.............. 207J..25I Arruta...................................................... 90000 D. Cayetano Merchi, …</t>
  </si>
  <si>
    <t>de D, Zayas y</t>
  </si>
  <si>
    <t>Zayas y de D</t>
  </si>
  <si>
    <t>mbargo no (lexaré de mencionar las del general Ballesteros , cuyo valor fué so­ bresaliente , así como el del cuerpo que mandaba; y lo mismo diré del general Zayas y de D. Cirios España. La caballería española se ha portado sumamente bien, y el con­ de de Pesne Vdlemur merece se le mencione particularmente. Acompaña el estado…</t>
  </si>
  <si>
    <t>de Desde, Joaquín</t>
  </si>
  <si>
    <t>Joaquín de Desde</t>
  </si>
  <si>
    <t>la feMciiad particular dejas familias, y / de consiguiente la felicidad general del estado. Trieste 9 de enera, \ ■ Al anunciar el fallecí nienro de D. Joaquín de Desde el'K.® de diciembre taita el 27 han en­ Vega nA podemos menos de tributar, al misma trado ea tiarscro puerto 77 buques de diferente* tiempo ios debi los .elog…</t>
  </si>
  <si>
    <t>de Dinamarca, Julia Solia</t>
  </si>
  <si>
    <t>Julia Solia de Dinamarca</t>
  </si>
  <si>
    <t>Gaceta de Madrid n.º 83</t>
  </si>
  <si>
    <t>1785 una población-de 217967 individuos no nes con motivo de la declaración del casamiento ocupaba mas que 5607 casas: desde 1810 ocupan de S. A. la princesa Julia Solia de Dinamarca con 2C640C individuos 7021 casas, á muchas de las S. A. el príncipe Guillermo Carlos Luis de Hesse- quales se les han agregado eso ó dos pisos m…</t>
  </si>
  <si>
    <t>de Dinamarca, Luisa Carlota</t>
  </si>
  <si>
    <t>Luisa Carlota de Dinamarca</t>
  </si>
  <si>
    <t>38</t>
  </si>
  <si>
    <t>de novienibre. El encargado de Negocios de Dinarmrca Mr. Rip ha notificado también el murirnonio de la - A consecuencia de un convenio ajustado entre princesa Luisa Carlota de Dinamarca con el prín­ la Francia y la Baviera, S. M. él Rei nuestro So» cipe Guillermo de Hesse.</t>
  </si>
  <si>
    <t>de Drizar, Juan</t>
  </si>
  <si>
    <t>Juan de Drizar</t>
  </si>
  <si>
    <t>l audiencia , marques de S. Juan Nepomuceno , 3000. — Aduanilla del Cillao. El administrador D. Dernardo Car­ de ¡Sáavedra, 1000. Francisco Javo , G. D Juan de Drizar , 25..-Contaduríay Juzgado de censos de indios. D. Gaspar Corrochano , contador, IOS y 2 y medio. D. José Antonio Cerra , oficial de la contaduría , 41 y 5. D. …</t>
  </si>
  <si>
    <t>de Dueñas, Nereo</t>
  </si>
  <si>
    <t>Nereo de Dueñas</t>
  </si>
  <si>
    <t>, traducida del frasees por D. J. Marchena, titulada los dos Yernos, ^ tl fin de fiesta el servido nombrar al a calde mayor de Fuenteoveju- Fuera. ha D. Nereo de Dueñas juez de la junta criminal En el de la Cru-z, á las cinco de la tarde, se eje­ extraordinaria de Xerez de la Frontera ; y á Don cutará la comedia en cinco acto…</t>
  </si>
  <si>
    <t>de Echaleeu, Francisco Xavier</t>
  </si>
  <si>
    <t>Francisco Xavier de Echaleeu</t>
  </si>
  <si>
    <t>s: empleo de alférez de granaderos á D. Juan María Van-herck , subte­ niente del regimiento de infantería de Córdoba: idem de cazadores á les cadetes D. Francisco Xavier de Echaleeu, y D. Miguel de Sentmanat: idem de fusileros á D. Juan de h Chausee, alférez de fragata retirado ce-la reai armada, D. Juan de Cortes, guardia de…</t>
  </si>
  <si>
    <t>de Echanove, José María</t>
  </si>
  <si>
    <t>José María de Echanove</t>
  </si>
  <si>
    <t>de su oferta en cada uno, 30. I&gt;. Gerónimo Medina , tercero , por una vez , 30. D. Jsan de Dios Cen­ teno , quarío , por 10 nieges de su oferta , 20. D. José María de Echanove , quinto, por una vez, 13 y 4 rs. D. Miguel González de Rueda, agre­ gado , por 9 meses de su oferta, 9. D. Agustín José de Cosgaya, escriba­ no de reg…</t>
  </si>
  <si>
    <t>de Eche, Pedro Ramón</t>
  </si>
  <si>
    <t>Pedro Ramón de Eche</t>
  </si>
  <si>
    <t>verría. = Jóven. =5 Espinosa. BIENES NACIONALES. Lista y numeración de 1604 certificaciones del tesoro público, jeros de Estado D. Sebastian Piñuela, D. Pedro Ramón de Eche* importantes 1 1.258094 reales y 2 maravedís vellón, extraídas del vertía , y D. Josef Ignacio Jóven d« Salas para su cancelación; arca de tres llaves á p…</t>
  </si>
  <si>
    <t>de Echeverría, Pedro Ramón</t>
  </si>
  <si>
    <t>Pedro Ramón de Echeverría</t>
  </si>
  <si>
    <t>ñuela. ~ Echeverría. _ Jóven. = Espinosa. BIENES NACIONALES. Lista y numeración de las cédulas hipotecarias, vales reales, tado D. Sebastian Piñuela, D. Pedro Ramón de Echeverría y cédulas de la caxa de descuentos, extraídas del arca de tres lla­ D. Josef Ignacio Jóven de Salas para su cancelación-; y son, ves á presencia de …</t>
  </si>
  <si>
    <t>de Ecingoechea, Fernando</t>
  </si>
  <si>
    <t>Fernando de Ecingoechea</t>
  </si>
  <si>
    <t>ide....................... to del Olvido y María Santísi­ D. Mariano Herran.-........................ 17349 1* 3302 IÓ ma de los Dolores de la parro­ D. Fernando de Ecingoechea......... ' 5064 29 quia de S. Sebastian de esta «or-’ D. Josef Fernandez Campoi........... 3314O te por medio de su tesorero Don D. "josef de Corral..…</t>
  </si>
  <si>
    <t>de Ediave, Pedro</t>
  </si>
  <si>
    <t>Pedro de Ediave</t>
  </si>
  <si>
    <t>alcalde mayor, 12. D. Mar­ tin Olivera, id., 12. El coronel de exército D. Mateo Pumneahua, 20. I). Andrés dé. Lira , 12. O. Patricio Sisa raso ,12. D. Pedro de Ediave , 25, O, Bruno Célicos , 25. D. Matías Gazrnan , 25. D. Francisco Sierra , 25. I). Francisco Ochoa , 12. Doña Eulalia Girón , 12 — Guaracorido. La co­ munidad …</t>
  </si>
  <si>
    <t>de Eeha, Luis María</t>
  </si>
  <si>
    <t>Luis María de Eeha</t>
  </si>
  <si>
    <t>s quatro consultas de la comisión de liqui­ Doña María Teresa Quiñones, por inano dación de la deuda del estado; lo expuesto por nuestro de su marido D. Luis María de Eeha- ministro de Hacienda, y oido nuestro consejo de Esta­ buru................................................ ............... 1487.. 8 do, hemos decretado y …</t>
  </si>
  <si>
    <t>de Eguía, Pedro Juan</t>
  </si>
  <si>
    <t>Pedro Juan de Eguía</t>
  </si>
  <si>
    <t>ro conocidamente que los enemigos. Recomiendo á V. E. á los ayudantes generales D. Victoriano García y D. Salvador Valencia , al ayudante facultativo D. Pedro Juan de Eguía, y á mis ayudantes de campo D. Antonio Arríe­ te y D. Tomas O -Col gañí , á mi asesor D. Pedro Ruado Sánchez, y al comandante general de ardil'ría I). Lui…</t>
  </si>
  <si>
    <t>de Elias, Clemente Fernandez</t>
  </si>
  <si>
    <t>Clemente Fernandez de Elias</t>
  </si>
  <si>
    <t>1000. D. Juan A vites, 500. Sres. Castéiló, .hermanos, 500. Cónsules del real consulado, 500. Conde de Sta. Colonia, líiOO, D. Francisco Basil, 200. D. Clemente Fernandez de Elias , 100. Sres. Hieke, . Zinke y compañía, 100. D. Romualdo Pasqual de Tejada , 200. D. Carlos .García Texudor ,-100. Condesa de Torres, 160. D. José …</t>
  </si>
  <si>
    <t>de Emparan, Miguel</t>
  </si>
  <si>
    <t>Miguel de Emparan</t>
  </si>
  <si>
    <t>argo del teniente coronel D. Juan Nepomueeno de Oviedo, y el piquete de dragones de Querétaro al del Sr. D. Manuel Pastor, todo á las órdenes del Sr. D. Miguel de Emparan , general de la ca­ ballería, se dirigiese por la izquierda de las citadas ai taras á tomar el camino de Silao y cortar la retirada al enemigo, al mismo tie…</t>
  </si>
  <si>
    <t>de Encinasola, Ballesteros</t>
  </si>
  <si>
    <t>Ballesteros de Encinasola</t>
  </si>
  <si>
    <t>nemi­ gos en Segura de León , y sus avanzadas media legua mas acá , de donde se retiraron despu'cs al mismo Segura. Esta mañana sal ó la división del general Ballesteros de Encinasola á Barrancos con direc­ ción á Aroche. Se asegura que los enemigos que han pasado de los Santos, se formarán en dos divisiones, dirigiéndose lau…</t>
  </si>
  <si>
    <t>de Enderíca, Don Cauuio</t>
  </si>
  <si>
    <t>Don Cauuio de Enderíca</t>
  </si>
  <si>
    <t>dos. ■ Y para el beneficio de la anteiglesia de Galdacano, en la provincia de Vizcaya, vacante por IMPERIO FRANCES. muerte de su último poseedor , al presbítero Don Cauuio de Enderíca. Ilamburgo 13 de julio. Las obras principiadas en ios últimos dias del mes de marzo para construir una nueva calzada AVISO. desde ei YVessel ha…</t>
  </si>
  <si>
    <t>de Erguinio, Julián</t>
  </si>
  <si>
    <t>Julián de Erguinio</t>
  </si>
  <si>
    <t>Alexa Cetragería.......... 1 D. Antonio Sarr.it................................ 180 1/ 33 7 f y Doña Xavicra de Osma...... ........... ... 4485 12 1 D. Julián de Erguinio , por medio de 4 D. Francisco Saez Ruiz...................... so apoderado D. Manuel Martínez D. Santos Ortiz............... ..................... 43Jo de N…</t>
  </si>
  <si>
    <t>de Erice, Pedro Juan</t>
  </si>
  <si>
    <t>Pedro Juan de Erice</t>
  </si>
  <si>
    <t>Reyes, 30. D. Francisco Her­ nández , capitán de la primera compañía urbana de naturales de Galicia, á nombre de los individuos que la forman, 3187. D. Pedro Juan de Erice, ca­ pitán de la segunda compañía urbana de naturales de Vizcaya y Navarra, a nombre y por oferta de los individuos que la componen , 3400 y 2 rs. El mismo…</t>
  </si>
  <si>
    <t>de Eruchaga, Gregorio</t>
  </si>
  <si>
    <t>Gregorio de Eruchaga</t>
  </si>
  <si>
    <t>tropas de D. Gregorio de Eruchaga, que ge adelantó por la parte de Cinco-Villas hasda la de Zuera , distante 3 leguas de Zarrgce-?. Extracto de dos partes dirigidos por D. Tomas Campillos. capitán del regimiento de Cariñena</t>
  </si>
  <si>
    <t>de Eruchiga, Gregorio</t>
  </si>
  <si>
    <t>Gregorio de Eruchiga</t>
  </si>
  <si>
    <t>ic? era ¿Id vral, smc^ io,# - Habiéndoseme hecho saber el estado de este reyno, y la dificultad de pasar á otro, determiné, de acuerdo con mi segundo D. Gregorio de Eruchiga, y los señores oñ Jales de estcscuerpos dividir mi, fuer­ zas por diversos puntos, al mando desús respectivos gefes, para evi­ tar tancbstiaada persecuci…</t>
  </si>
  <si>
    <t>de Escurdia, Petrona</t>
  </si>
  <si>
    <t>Petrona de Escurdia</t>
  </si>
  <si>
    <t>0 meses de su oferta, 3ti. — De varios sugetos que han contribuido en esta real cara. D. Aiexandro de Casares, 6. D. José Mauri­ cio Rodríguez , 25. Doña Petrona de Escurdia , 20. D. Miguel Duque de Estrada , 100. D, Carlos Escoíiet, 25. D. Claudio Martínez , 20. D. Francis­ co iVIfina, 10. D. Juan Barón, 10. D. Salvador Rodr…</t>
  </si>
  <si>
    <t>de Espi, Manuel</t>
  </si>
  <si>
    <t>Manuel de Espi</t>
  </si>
  <si>
    <t>45</t>
  </si>
  <si>
    <t>soberano, de su religión y de la patria/ Al paso que se executaban estos ataques por la vanguardia, el cuerpo de reserva mandado por el Sr. coronel- D. Manuel- de Espi­ nosa, compuesto del regimiento de dragones dé Puebla y acuerpo de frontera de la Colonia, al cargo de su comandante el capitán D. Ma­ nuel Díaz Solórzano, apo…</t>
  </si>
  <si>
    <t>de Espinosa, José</t>
  </si>
  <si>
    <t>José de Espinosa</t>
  </si>
  <si>
    <t>Juan B, Arriaza , agregado á la legación española, D. Mauricio de Onis, id., y el teniente capitán marques del Apartado. Tercero, el gefe de escuadra D. José de Espinosa y el brigaaief servicio de España barón de Geramb. Quarrp, el teniente gefieral dé marina O. Juafvde Apodaca, D. F. Ruiz Lorenzo, secreta­ rio de legación, y…</t>
  </si>
  <si>
    <t>de Esterhazi, Francisco</t>
  </si>
  <si>
    <t>Francisco de Esterhazi</t>
  </si>
  <si>
    <t>Gaceta de Madrid n.º 124</t>
  </si>
  <si>
    <t>nciones. Se asegura que nuestro gobierno ha recibido pliegos mui importantes del señor Sturmer , nues­ DINAMARCA. tro embaXador en Constantinapla. El conde Francisco de Esterhazi, caballero del Copenhague 30 de marzo. Toisón de oro, y gentilhombre de S. M., y que El jueves 28 S. E. el embaxador de Francia re­ estaba destinado…</t>
  </si>
  <si>
    <t>de Esterhazi, Nicolás</t>
  </si>
  <si>
    <t>Nicolás de Esterhazi</t>
  </si>
  <si>
    <t>ortuna se logró atajar­ línea ingles, una fragata, y on btick. que llevaba Ú le antes qne ocasionase grandes daños. remolque un buque de comercio. El príncipe Nicolás de Esterhazi ha comprado El contra-almirante .Lorenzo Fisker ha hecho al príncipe de Ligne él señoiíide Edelstten , sima­ insertar en los periódicos de la Norue…</t>
  </si>
  <si>
    <t>de Estherazi, Pablo</t>
  </si>
  <si>
    <t>Pablo de Estherazi</t>
  </si>
  <si>
    <t>396</t>
  </si>
  <si>
    <t>talentos oratorios, manifiestan alguna contradic­ 20 de octubre hasta la fecha cerca de 13o y 45'. ción. Su a ceusion recta se ha aumentado 22o y El príncipe Pablo de Estherazi, hijo del prín­ Un astrónomo holandés ha calculado que desde cipe Nicolás de Estherazi, capitán de la guardia el 3 1 de agosto hasta el ió de octubre,…</t>
  </si>
  <si>
    <t>de Estrada, Bárbara</t>
  </si>
  <si>
    <t>Bárbara de Estrada</t>
  </si>
  <si>
    <t>o de Paula de la Luz, por el prest de 2 soldados cu un mes durante la guerra, 18. El teniente coro­ nel I). Lucas Alvarez , por su oferta mensual, 9. Doña Bárbara de Estrada , á cuenta de su oferta anual de 2.50 pesos , 11 y- 5 rs. Doña Josefa Chicano, 4. 1). Joaquín Midan, capitán de la primera compañía de los naturales de L…</t>
  </si>
  <si>
    <t>ntería, por el de un soldado en 4 meses, 36. D. Antonio de Castro Palomino , subinspector del batallón de Pardos, por el de 2 soldados en un mes, 18. Doña Bárbara de Estrada, por 4 me­ ses-de _ su'oferta anual, 83 y 2 rs. Salvador Riera , garzón del batallón de Pardos, por 7 meses de su oferta mensual, 35. D. José Inocencio, …</t>
  </si>
  <si>
    <t>e la Luz Soto y Costoya, por el prest de 3 soldados en un año 324. El capitón D. Domingo Bontoux de la Blanche , por la de un soldado en 4 meses, 36. Doña Bárbara de Estrada, por "su oferta de la mitad de la pen­ sión que disfruta en el monte Pió militar', correspondiente al segundo tercio de este año , 83 y 2 rs. D. Francisc…</t>
  </si>
  <si>
    <t>de Estrada, Francisco</t>
  </si>
  <si>
    <t>Francisco de Estrada</t>
  </si>
  <si>
    <t>uel Ansel­ mo López Carta, 100. D. Cristóbal Rieart, 100. D. Andrés Sauri , 100. D. Salvio Garbo y compañía, 100. D. José de la Rosa Manzanilla, 100. D. Francisco de Estrada, 100. D. Juan Brioso , 50. D. Cenon Sastre, 50. Alexo Fncalada , 50. D. Juan González , 50. D. José Sirarola, 50. Don Joaquín Casares, 50. D. Juan Vicent…</t>
  </si>
  <si>
    <t>de Estrada, Miguel Duque</t>
  </si>
  <si>
    <t>Miguel Duque de Estrada</t>
  </si>
  <si>
    <t>e varios sugetos que han contribuido en esta real cara. D. Aiexandro de Casares, 6. D. José Mauri­ cio Rodríguez , 25. Doña Petrona de Escurdia , 20. D. Miguel Duque de Estrada , 100. D, Carlos Escoíiet, 25. D. Claudio Martínez , 20. D. Francis­ co iVIfina, 10. D. Juan Barón, 10. D. Salvador Rodríguez, 10. José Misiano, 2. Jo…</t>
  </si>
  <si>
    <t>de Exeaispéela, Btun</t>
  </si>
  <si>
    <t>Btun de Exeaispéela</t>
  </si>
  <si>
    <t>, en compañía de ios botes ingleses , feaxo el fuego de fusil de los entrniges. R:. enmienda-los méritos cor-traídos en esta operación por el piloto D. Btun&amp; dé' Exeaispéela ímente por haber sacado del agua &amp; 4 soniioloa que estaban ahogándose. Valencia de Alcántara \Q de noviembres ■ L03 enemigos han*-vuelto i ocupar á Mérid…</t>
  </si>
  <si>
    <t>de Ezcnrru, Juan Fermín</t>
  </si>
  <si>
    <t>Juan Fermín de Ezcnrru</t>
  </si>
  <si>
    <t>Ayanz y Doña María del Carmen Herran... 6300 Meneos.......................................... 89829 D. Pedio Metnendao............. ........ 3269 30 D. Juan Fermín de Ezcnrru........... 43 5® D. Juan Latreiturne....................... 12060 Doña María Nicolasa Villaoucva D. Fernando Perez Rico................ 6600 y Morrreai.…</t>
  </si>
  <si>
    <t>de F, Francisco</t>
  </si>
  <si>
    <t>Francisco de F</t>
  </si>
  <si>
    <t>ez, B. Miguel Salazar, D. Temas Moreno, D. Juan Julián da Tomás, D. Isidro Rebollo,. D. Saturnino García, D. Abdon Ruis y Camón, D. Ventura Mol­ ió.; D. Francisco de F ula Lopes, D, Tomas Ríos , D. Andrés Rodrigo y D. Francisco Gor-znlea ; y subtenencia» i D. Alexandro* Psrezj D, Mariano C'uluby, D. Aütaaio Sq2W¿o, D. Vicente…</t>
  </si>
  <si>
    <t>de Falencia, Juan García</t>
  </si>
  <si>
    <t>Juan García de Falencia</t>
  </si>
  <si>
    <t>resno, 120. D. Francisco Miguel Barón , 500. Don Ramón Soler, 504. D. Juan Francisco de Vergara , ItíOO. D. Miguel Gomer, 400. D. José JLaíihre, llKX D. Juan García de Falencia, 150. D. Valentín. Tar* ris, 2000. (Sé continuará.) CADIZ t EN LA IMPRENTA REAL.</t>
  </si>
  <si>
    <t>de Faria, Juan Aivarez</t>
  </si>
  <si>
    <t>Juan Aivarez de Faria</t>
  </si>
  <si>
    <t>mano de L). Fermín Ripando............ 25631 D. Domingo Ortiz y Zarate................... 7039.. 17 Doña María Antonia del Río................ 38519 D. Juan Aivarez de Faria..................... 7761.-17 D. Josef Antonio de Criarte................... 28338..17 D. Manuel García Montenegro............. 11732.. X7 D. Juan Manuel…</t>
  </si>
  <si>
    <t>de Faura, Pedro</t>
  </si>
  <si>
    <t>Pedro de Faura</t>
  </si>
  <si>
    <t>1064 D. Isidro Breña Posada........................ 3a 49 D. León García Serrano.......................... 12949 D. Pedro de Faura....................... 433 a D. Antonio Juan de Vildoslada, por D. Francisco Hernández París.............. 4512..17 mano de L). Fermín Ripando............ 25631 D. Domingo Ortiz y Zarate...</t>
  </si>
  <si>
    <t>de Fierros, Juan José</t>
  </si>
  <si>
    <t>Juan José de Fierros</t>
  </si>
  <si>
    <t>meses de so oferta mensual durante la guerra, 54. D. Francisco Ma­ ría de Cicero , coronel uel batallón de milicias disciplinadas , en cada año, 25. D. Juan José de Fierros , sargento mayor del batallón de milicias dis­ ciplinadas, á cuenta de su oferta, 42. D. Juan José de ia Valle , subtenien­ te del batallón de Castilla , …</t>
  </si>
  <si>
    <t>de Fieyres, Felipe</t>
  </si>
  <si>
    <t>Felipe de Fieyres</t>
  </si>
  <si>
    <t>mo en efecto lo verificaron; pero Mi­ lans se retiró con sus 1000 infantes. El fuego había durado 7 horas continuas, y se distinguieron los coroneles D. Felipe de Fieyres, Don Bernardo Turen y y Don Juan Claros, e! teniente (coronel D. Andrés Bacigalupi, el de igual cíase D. Antonio Viiadomar, y el sargento ma­ yor L). Franci…</t>
  </si>
  <si>
    <t>de Filipo, Calixto</t>
  </si>
  <si>
    <t>Calixto de Filipo</t>
  </si>
  <si>
    <t>Gaceta de Madrid n.º 313</t>
  </si>
  <si>
    <t>ucho, y dan pocos golpes; sos «l señor Muñozv, obligada de viola, en el segundo ac­ armas, tomadas y mohosas, apenas hacen mella; usan to, que tocará D. Calixto de Filipo ; y el sainete les frecuentemente de la metralla , que por lo común Estudiantes petardistas. Actores en la ópera. Señoras es de pergaminos y papeles ahumado…</t>
  </si>
  <si>
    <t>de Florencia, Josef Guenazzi</t>
  </si>
  <si>
    <t>Josef Guenazzi de Florencia</t>
  </si>
  <si>
    <t>y curar su frenesí. (The Times. ) IMPERIO FRANCES. ( La siguiente carta ha sido remitida á los redactores de este periódico.) Liorna C de agosto. El profesor Josef Guenazzi de Florencia , des­ ......Stuita est chimntia , cum tot ftliqut pués de los experimentos que ha hecho para ex­ ..... Occurrat periturae parctre chartat.—.…</t>
  </si>
  <si>
    <t>de Flores, José</t>
  </si>
  <si>
    <t>José de Flores</t>
  </si>
  <si>
    <t>esta ciudad, á nombre del cabildo de la nación Caraba!i y Zuama, 16. El teniente coronel D. Lucas Alvarez, por el prest de un soldado en 5 meses, 45. D. José de Flores, cadete del regimiento de milicias de infantería, por el de. 2 soldados en 2 meses, 18. D. Antonio Viciedo , subteniente del regi­ miento de milicias de infant…</t>
  </si>
  <si>
    <t>de Foiguoras, Mariano Fernandez</t>
  </si>
  <si>
    <t>Mariano Fernandez de Foiguoras</t>
  </si>
  <si>
    <t>1533</t>
  </si>
  <si>
    <t>1809 coa pliegos j en que mezclando la seducción con ia* maenazas, inten­ taba corromper kt lealtad dei gobernador y capitán general de estas islas, D. Mariano Fernandez de Foiguoras: se dió á los pliegos la conie&amp;tacicn que merecían (1): se formaron cuerpos de tropas regladas por si fuesen necesarios para la defensa : se con…</t>
  </si>
  <si>
    <t>de Foneerrabn, José Caveiano</t>
  </si>
  <si>
    <t>José Caveiano de Foneerrabn</t>
  </si>
  <si>
    <t>Boye de Cisncros. De Gundulaxara : eí Sr. Dr. D. José Simeón de .Cria, canónigo penitenciario de aoiiella santa iglesia. De Vafladolid : el Sr. Lie. D. José Caveiano de Foneerrabn , canónigo de México. De Puebla - el Sr. Dr. I). Antonio Joaquín Pérez,"canónigo magistral de aquella iglesia. De Veracruz : el Sr. D. Joaquín Maní…</t>
  </si>
  <si>
    <t>de FRANCFORT, Pablo Antonio GRAN DUCADO</t>
  </si>
  <si>
    <t>Pablo Antonio GRAN DUCADO de FRANCFORT</t>
  </si>
  <si>
    <t>casas de comercio ea Anteayer se celebraron en el palacio de la Trieste. Tour y Taxis los desposorios de S. A. la princesa María Teresa con S. A. el príncipe Pablo Antonio GRAN DUCADO DE FRANCFORT. de Esterhazi. Francfort jr de octubre. En celebridad de este acontecimiento se dió ayer una función magnífica en el teatro, donde…</t>
  </si>
  <si>
    <t>de Fregenal, Biabe</t>
  </si>
  <si>
    <t>Biabe de Fregenal</t>
  </si>
  <si>
    <t>detenido en el Ronquillo. El dia 9 e tirotearon nuestras guerrillas con las enemigas en la Puebla de Pal/ares, y ^ 10 en Sa?2la Olalla. El ü salió el general Biabe de Fregenal luida Fuen­ te de Cantos. -— Acaban de llegar periódicos ingleses con la noticia de una seria insurrección en Holanda. El p inctpal teatro de ella ha s…</t>
  </si>
  <si>
    <t>de FrLs, Miguel</t>
  </si>
  <si>
    <t>Miguel de FrLs</t>
  </si>
  <si>
    <t>respecto de lai D. Pedro Sacristán. otras naciones. Puede ser que se hallase la raiz del Tenientes. mal en los vicios de nuestra educación; y ¿ quién D. Miguel de FrLs. sabe si á fuerza de meditar llegaría á descubrirse D. Joaquín Ajero. que lo que ahora , por exemplo , cretnms ona en­ D. Juan Sarriet. fermedad del día , es u…</t>
  </si>
  <si>
    <t>de Fruniz, Juan Manuel</t>
  </si>
  <si>
    <t>Juan Manuel de Fruniz</t>
  </si>
  <si>
    <t>deFruniz en En el periódico intitulado Correo del Medi­ kt provincia de Alava, vacante por muerte de terráneo se ha publicado una n#ta, en la qual se D. Juan Manuel de Fruniz, a! presbítero D. Joa­ intenta quitar al señor Ladorir.i la gloria de ser el quín de Arrien. inventor de esta máquina, diciendo que ya la ha­ Para el de…</t>
  </si>
  <si>
    <t>de Fuente, José</t>
  </si>
  <si>
    <t>José de Fuente</t>
  </si>
  <si>
    <t>dante de Sier®,y capitán D. Francisco Camino, ai subteniente D. Manuel Mueres, y á los sargentos Cortina y 0.rsi en el d.- Rivadts Ai, al subteniente D. José de Fuente, y á sus ayudantes I) Runon Gdines, D. Isidro Vaibuena, capitán de tiradores, y D. J mé Dorado. CÁDIZ ; EN LA IMPRENTA REAL.</t>
  </si>
  <si>
    <t>de Fuentes, Diego</t>
  </si>
  <si>
    <t>Diego de Fuentes</t>
  </si>
  <si>
    <t>íguez...................... .902.. 17 de junio de lSoo á las personas siguientes. 0 Reales vellón. Los mayorazgos dei marques de Mortara, por mano de D. Diego de Fuentes....... 1263..17 D. Josef Badan, por...................................... 43850 D. Miguel Amonio de Oqucndo................... 12183.-25^ D. Antonio María y …</t>
  </si>
  <si>
    <t>de Fuertes, José</t>
  </si>
  <si>
    <t>José de Fuertes</t>
  </si>
  <si>
    <t>o de ías viudas y ^íuérfanos de los defensores de Zaragoza, 204. D. Luis Burgeois , por el prest de 2 soldados en 4 meses, 72. El comisario ordenador D. José de Fuertes, administrador principal de correos de esta ciudad , á cuenta de sii oferta de .1000’ pesos eriu-cada afro , 333. Doña Manuela Teresa Caballero , por el prest…</t>
  </si>
  <si>
    <t>de Gaí, Carlos Al-txnndrc Rase</t>
  </si>
  <si>
    <t>Carlos Al-txnndrc Rase de Gaí</t>
  </si>
  <si>
    <t>ntos. . . En el de la Cruz, á Jas quatro de la tarde, se tíJTftTíTará lácS-l media heroica en tres actos'tifülathr‘■la gran ClefriÉñ’é'ij de TiÍo:l 9 D. Carlos- Al-txnndrc* Rase de Gaí- seguirá una; tonadilla, y se daráfiri-cou una pieza ’cúínica nue«| vre, m • igioderiidó D. Vicente original titulada la Optica moral. EN LA I…</t>
  </si>
  <si>
    <t>de Galarza, León</t>
  </si>
  <si>
    <t>León de Galarza</t>
  </si>
  <si>
    <t>................................. *965..27 La real congregación de S- Fermín, D. Francisco Ortiz.................................... 1684 por mano de D. León de Galarza.. 180.. 17 D. Josef Vázquez Espinosa.................... 1684..31 D. Anselmo Revenga............................... 180.. 17 D. Jacinto García de la Parra....…</t>
  </si>
  <si>
    <t>de Galvez, Anselmo FareZ</t>
  </si>
  <si>
    <t>Anselmo FareZ de Galvez</t>
  </si>
  <si>
    <t>po D. 'Hilario Arnedo y D Rodrigo Castañon; y fioalmente del comisario de guerra interino D. Jóhé 'Z aválela y del; interventor. de la: real hacienda D. Anselmo FareZ de Galvez^ que siguieron:muy de cerca al enemigo. Dios guarde José' Duran.v : - \lí ■v " Delación de los intñviduós que se distinguieron en la acción. . ^Infant…</t>
  </si>
  <si>
    <t>de Gamón, Pedro Antonio</t>
  </si>
  <si>
    <t>Pedro Antonio de Gamón</t>
  </si>
  <si>
    <t>rcero, que no se halla criminalidad alguna de su parte en cuantos cargos se le han formado: cuarto , que al administrador dd citado establecimien­ to D. Pedro Antonio de Gamón , se le aperciba que en les recursos que diríja á la superioridad, use de la debida moderación para con todos , y mas particularmebte para con sus gefe…</t>
  </si>
  <si>
    <t>de Gandasegui, Juan Manuel</t>
  </si>
  <si>
    <t>Juan Manuel de Gandasegui</t>
  </si>
  <si>
    <t>Fray le Jarro , 12 0. Varios emigrados, 122. Un ma­ drileño , GO. D. Juan Antonio Llórente, 1000. D. Martin de Ujueta, 3tX). D. Antonio Castaño, 100. D. Juan Manuel de Gandasegui , &gt;000. I). Isidoro Sartorio , 300. Dos Sras. viudas, de Madrid , 200. D. J. R G. S., 32.». El administrador y oficiales de esta administración gene…</t>
  </si>
  <si>
    <t>de Gaona, Dionisio Ruiz</t>
  </si>
  <si>
    <t>Dionisio Ruiz de Gaona</t>
  </si>
  <si>
    <t>1382 D. Dionisio Ruiz de Gaona ai de Rejas de Uce- te de D. Tomas de Cos y Cosío, á D. Juan Ocon, rb ,'á D. Manuel de Sebastian , presbítero ex-fran- Clérigo de prima. ciscano. Para el de Alcozar, vacante por muerte de Para el de Vilfanueva de Gumi</t>
  </si>
  <si>
    <t>de Gaona, Juan</t>
  </si>
  <si>
    <t>Juan de Gaona</t>
  </si>
  <si>
    <t>. 9720 D. Alejandro Silva......................... 9220 20 D. Felipe Carlos de Vailejo.......... 0220 D. Pedro Miranda....»......,............ 3M4 14 D. Juan de Gaona , como tutor de D. Bernardo Iriarte.............. ......... 35641 19 D. Manuel Estébaq Catatan...... I4883 22 D. Miguel Antonio Oquendo....... 4696 ¿4 D. Ignaci…</t>
  </si>
  <si>
    <t>de García, Víctor Toledo</t>
  </si>
  <si>
    <t>Víctor Toledo de García</t>
  </si>
  <si>
    <t>ueban que son nuestros felices aliados. dores á caballo i D. Pedro Guldivar , D. Josef Do­ (10) Ei embaxador de Cádiz reconoce el poder co­ mínguez y D. Víctor Toledo de García, sargentos losal de la Francia, y va á prosternarse delante del ene­ primeros, á subtenientes; y eri el regimiento de migo de su pais, y á suplicarle …</t>
  </si>
  <si>
    <t>de Gárgol, Luis</t>
  </si>
  <si>
    <t>Luis de Gárgol</t>
  </si>
  <si>
    <t>edro Perato, lOoO. D. Bernardo• A'uevo-Iglesias , 30,0. D. Joaijuin Bucet. 600. D. José Escardo , 1000. D.Juaa . Xovato , 500. JD. Tomas Ravina, ¿00. D. Luis de Gárgol lo, 1000.1). Fernán*dp.de Gárgol ío, 200. ÍJ. Dionisio Garda de Ugaríc ,800. D. José Diez ím* ' bfeelits , 1Ó0: D. Juan Autopio Carozo , &lt;&gt;00.IX Juan Antonio’ …</t>
  </si>
  <si>
    <t>de Garibai, Valerio González</t>
  </si>
  <si>
    <t>Valerio González de Garibai</t>
  </si>
  <si>
    <t>rectoría de Alzo, en la provincia de tó lo satisfecho que quedaba del aseo y gallardía Guipúzcoa. de estos cuerpos. La guardia de honor de á pie es A D. Valerio González de Garibai para el be­ la que luce el servicio en el palacio de SS. MM. neficio de Villareal , en la de Alava. Esta mañana á las 9 y media salieron SS. MM. A…</t>
  </si>
  <si>
    <t>de Garrido, Julián Sánchez y</t>
  </si>
  <si>
    <t>Julián Sánchez y de Garrido</t>
  </si>
  <si>
    <t>allos á 150 dragones franceses en Bromista, les cog ó 8 cerros de trigo, y los persiguió hasta Falencia. — En la provincia de jivila, las partidas de D. Julián Sánchez y de Garrido reunidas, hi­ cieron á los franceses 18 pris queros, y les cogieron 5000 fanegas de trigo, que entregaron para la subsistencia de la división de D…</t>
  </si>
  <si>
    <t>de Gaviria, Juan Andrés</t>
  </si>
  <si>
    <t>Juan Andrés de Gaviria</t>
  </si>
  <si>
    <t>156 P. Jusb/Garcí a Je Paredes, id., 360. D. Juan Manuel de Urriola, 100. D. An­ tonio Ximenez, 100. D. Manuel de Ortiz, 200. D. Juan Andrés de Gaviria, 40. X). Luis de la Barrera, 100. D. Ambrosio Ansuategui, 100. D. Francisco de Argote , en plata labrada y en pasta, 450. Be los fondos de propios del mismo cabildo , 400. — A…</t>
  </si>
  <si>
    <t>de Genes, José</t>
  </si>
  <si>
    <t>José de Genes</t>
  </si>
  <si>
    <t>uen, diputados para la recolección en esta ciudad de los ■donativos, entregaron, D. José Ignacio Echegoyen , 1146: ei’ conde de Ü.-Reiíy, 210 y 4 rs. D. José de Genes 195 y uno y rneilio. D. Joaquín &lt;ue Herrera , 243 y medio. D. Luis Ignacio Caballero , 933 y G rs. I). Carlos Pea roso, 1138 y 4. El conde de Santa María de Lor…</t>
  </si>
  <si>
    <t>de Gillemtolpe, Nicolás</t>
  </si>
  <si>
    <t>Nicolás de Gillemtolpe</t>
  </si>
  <si>
    <t>199</t>
  </si>
  <si>
    <t>se había reunido para laacccpcion del Lóndret 10 de junio. doctor Juan Olof Wallin, nombrado p^ra ia plaza CAMARA BAXA. ▼acante por fallecimiento del conde Nicolás de Gillemtolpe. El doctor Wallin pronuoció un discur­ Sesión del dia 5 de junio. so acomodado á las circunstancias. Es falso que el tribunal de la corte baya pro­ …</t>
  </si>
  <si>
    <t>de Godoy, Manuel</t>
  </si>
  <si>
    <t>Manuel de Godoy</t>
  </si>
  <si>
    <t>de Osma para vindicar su honor vulnerado en el público por su­ ponerse que los dos viages que hizo desde Madrid á Barcelona, el pri­ mero de orden de D. Manuel de Godoy en 2$ de febrero de 1808, y el segundo por disposición de la junta ae estado, presidida por el se­ renísimo señor infante D. Antonio en 27 de abril, fueron á …</t>
  </si>
  <si>
    <t>de Goiburu, Manuela</t>
  </si>
  <si>
    <t>Manuela de Goiburu</t>
  </si>
  <si>
    <t>Doña mano de D. Juan Ramón García...... 1624..17 Ramona Mota......................................... 2920.. 2 D. Nicolás Blasco de Orozco , por ma­ Doña Manuela de Goiburu..................... 11070 no de D. Vicente González Arnao.. 1083 D. Domiugo y D ¡ña Geróniina Gar­ D oña Antonia Massíp y Stofíl-l.............. 1444 cía…</t>
  </si>
  <si>
    <t>de Goiri, Manuel Francisco</t>
  </si>
  <si>
    <t>Manuel Francisco de Goiri</t>
  </si>
  <si>
    <t>12099 33 ' Rs. vn. 7.898414 4ÍEl convento de religiosas francis­ cas de los Angeles de esta corte. S9Í©53 $ Que i una suma importan 7.898414 reales y D. Manuel Francisco de Goiri...... 9444 13 4 maravedís y medio de vellón. D. B.bil Antonio de Brrrueta....... 745 2 1 art. 11. Se entregarán á los interesados las céD- Pedro Alo…</t>
  </si>
  <si>
    <t>de Gomora, Juan</t>
  </si>
  <si>
    <t>Juan de Gomora</t>
  </si>
  <si>
    <t>eedores del ........................................... looo Estado- al D. Baltasar de Contreras pot Concurso de acreedores de su apoderado D. Felipe D. Juan de Gomora por Santiago Gallo.................. .cooo$..l6 medio de su habilitado La testamentaría de D. Pe­ D. Manuel Martínez de Reales. Mr». dro Godart por mano de Nov…</t>
  </si>
  <si>
    <t>de Gondra, María Antonia</t>
  </si>
  <si>
    <t>María Antonia de Gondra</t>
  </si>
  <si>
    <t>iz. Concluyen los donativos de la isla de Cuba. . El coronel D. Mauricio de Zúñiga , por el de 2 soldados en 4 meses, 72, I). Juan Patrón y su esposa Doña María Antonia de Gondra, 500. I&gt;. Joaquín Recio y Torio , por S meses de su oferta de 13 pesos en cada uno, 104. £1 coronel D. Fermín Montano, por el prest de 3 soldados en…</t>
  </si>
  <si>
    <t>de Goniis, Pablo</t>
  </si>
  <si>
    <t>Pablo de Goniis</t>
  </si>
  <si>
    <t>CanadeSl, ídem , 4-000. D. Ramón Molefc, idem , 1000. D. Segismundo Moret, ídem , 1000. D. Juan Serra , ídem, 1000. i). Francisco Piycl, ídem , 1000. D. Pablo de Goniis, ídem , 600. D. Próspero Dofufull, 200. Sres. Xiques, Cruz y compañía, ídem, 801). X). Diego DuíR cónsul de S, M. B., 10000, Conde d-* Maulé , 4-00. 1). Juan …</t>
  </si>
  <si>
    <t>de Gorbea, Pedro Pablo Pérez de</t>
  </si>
  <si>
    <t>Pedro Pablo Pérez de de Gorbea</t>
  </si>
  <si>
    <t>..... 28338..17 D. Manuel García Montenegro............. 11732.. X7 D. Juan Manuel Pérez de Herrera, por D. Guilletir.o de lihagon , por mano mano de D. Pedro Pablo Pérez de de Gorbea y sobrinos.......................... 36228.. 8f Arriata................................ ................ 34565..25f La casa de Mezcorta y ccmpa…</t>
  </si>
  <si>
    <t>de Gort, Miguel María</t>
  </si>
  <si>
    <t>Miguel María de Gort</t>
  </si>
  <si>
    <t>o de calzo, residente en Cobeña , por........... 2200 D. Martin Antonio de Huici..................... 3920Ó..19 D. Juan Antonio González, ex-agustino D. Miguel María de Gort.-zar.. ................... 14401-32 calzado , residente en Chinchón , por... 2200 D. Santiago Gutiérrez de Arintero............. 9661..14 D. Antonio Ordo…</t>
  </si>
  <si>
    <t>de Gortázar, Mígael Mari</t>
  </si>
  <si>
    <t>Mígael Mari de Gortázar</t>
  </si>
  <si>
    <t>del D. Antonio Ruiz de Castilla........ too 27 Valle........................................... 33049 3&lt;3 O* JQan Andrés de Lomhida.......... 17S8 16 D. Mígael Mari» de Gortázar...... 13947 4 Juan Felipe Gui de Paroi....... 80000 D. M;nuel Francisco dé Goiri..... 130560 X D. Miguel Sancho Larrea........ ........ 1JCOO D. Pedr…</t>
  </si>
  <si>
    <t>de Gortázar, Miguel María</t>
  </si>
  <si>
    <t>Miguel María de Gortázar</t>
  </si>
  <si>
    <t>................................... .............. 5625 D. Diego del Campo............................... 6588.. D. Nicolás Blasco de Orozco, por ma­ D. Miguel María de Gortázar......... . 6227.. 8¿ no de D. Vicente González Arnao.. 7290 D. Antonio Muñoz, por mano de Sin- D. Claudio Boutelou, como marido de foriano de la Torr…</t>
  </si>
  <si>
    <t>de Gra, Juan Antiga</t>
  </si>
  <si>
    <t>Juan Antiga de Gra</t>
  </si>
  <si>
    <t>úm. 101. Un paquetitb,- marca P., con ro «910, venido con guia de Victoria de 2 de el sello de la aduana de Victoria,- venido sin abril de i8c8, para D. Juan Antiga de Gra-- guia,'cuyo dueño se ignora, que contiene libros'. nada, conteniendo abanicos. Núm. x o 2. Un paquete ,- marca J. 'M., Núm. 32. Un caxon, marca Y. A. S., …</t>
  </si>
  <si>
    <t>de Gregorio, Ramón</t>
  </si>
  <si>
    <t>Ramón de Gregorio</t>
  </si>
  <si>
    <t>Balanzas ei propio á D. Judas Tadeo Itoxo y la comandancia del tercer batallón ú D. J asm Francisco Albanell: en el de Oviedo la tenencia coronela• á D. Ramón de Gregorio y la co­ mandancia á D. Vicente Puig : en el de Santiago , la tenencia coro­ nela í D. Agapiío de la M&amp;ta y la sargentía mayor á B. José Muñoz de Toro : en …</t>
  </si>
  <si>
    <t>de Gualda, Panldleon</t>
  </si>
  <si>
    <t>Panldleon de Gualda</t>
  </si>
  <si>
    <t>Londres, roban y ahogan á los infelices, qne ha­ Para el de los B.-rchules, vacante por muerte llándose en el territorio de la Gran Bretaña, bus­ de D. Panldleon de Gualda , á D. Josef Sánchez can medios de volver á su patria. Almendros, cura ecónomo de la mi-ma parroquial. Para .el de Cantaras, varante por fallecimiento List…</t>
  </si>
  <si>
    <t>de Guendica, Nicolás María</t>
  </si>
  <si>
    <t>Nicolás María de Guendica</t>
  </si>
  <si>
    <t>ro de Hacienda queda en­ D. Juan Geniez.............................................. 9913..32 cargado de la execucion del presente decreto. = Firma­ D. Nicolás María de Guendica , por ma­ dos YO EL REI. = Por S, ¡ el ministro secretario no de D. M-irtin Antonio de Huid...... 10000 de Estadooz Firmado = Mariano Luis de Urquij…</t>
  </si>
  <si>
    <t>de Guindulaín, Bernardo María</t>
  </si>
  <si>
    <t>Bernardo María de Guindulaín</t>
  </si>
  <si>
    <t>s, compañías á los primeros ayudantes mayores D. Agus­ tín barón de Roissin, y D Antonio Desmaissieres marques de la Mo­ rilla , y al primer teniente D. Bernardo María de Guindulaín; empleo de primer ayudante mayor , al primer teniente D. Manuel Luis de CrayMdnckel: primera tenencia de granaderos al de fusileros D. Manuel Ma­…</t>
  </si>
  <si>
    <t>de Gullai, Alberto</t>
  </si>
  <si>
    <t>Alberto de Gullai</t>
  </si>
  <si>
    <t>objeto. El príncipe dé ítófftnfóhe Barténstein ha sido DINAMARCA. nombrado general comandante de Pfesburgo, y Copenhague 18 de junio. su antecesor el conde Alberto de Gullai mandará una división en Bada. Se van á principiar las revistas acostumbradas Nuestro ministro plenipotenciario cerca de la por haberse finalizado las evo…</t>
  </si>
  <si>
    <t>de Guzinan, Agustín Perez</t>
  </si>
  <si>
    <t>Agustín Perez de Guzinan</t>
  </si>
  <si>
    <t>973</t>
  </si>
  <si>
    <t>er ate, y, que Y. S. con la caballería se oblicuaba hacía la fcase ele ctk hb siena, en cv¿yomomento m&amp;cdé á Y. S. un parte por mi ayudas te de campo D. Agustín Perez de Guzinan, y. seguidameato otro por r 1 ayudante adicto al estado mayor, el teniente Don J&amp;cobí» Maro*, Espinosa, manifestándole .cuanto me parecía con res­ pe…</t>
  </si>
  <si>
    <t>de Harrach, Ca los</t>
  </si>
  <si>
    <t>Ca los de Harrach</t>
  </si>
  <si>
    <t>e los sabios de Francia y de tes, que son miembros de la academia imperial Jo­ Alemania le propongan varias cuestiones acerca de sefina ; á Saber: di conde Ca los de Harrach, gen­ los países que ha de recorrer. Su plan es juntarse tilhombre de S. M., caballero de la orden Teutó­ ccn alguna de las caravanas de mercaderes qoe s…</t>
  </si>
  <si>
    <t>de Hayo, Cayetano</t>
  </si>
  <si>
    <t>Cayetano de Hayo</t>
  </si>
  <si>
    <t>cuarto exércitó ©. Moliion García Iglesias , Don Celestino Palomo y D. Eueebio Fi gueras, y'al cadete D. Manuel Sán­ chez: en el de Irlanda al cadete D. Cayetano de Hayo: en el de Na­ varra al subtentar-de agregado ©.•. Antonio Villa : en el de Madrid al distingjavdo D llaíiion Cit$anova ; y. en eldo Ciudad Rodrigo al gargant…</t>
  </si>
  <si>
    <t>de Hcredia, José</t>
  </si>
  <si>
    <t>José de Hcredia</t>
  </si>
  <si>
    <t>is lo-conveniente á su cumplimiento. — Joaquín Blakt, presidente. — Pedro de Agar. — Gabriel Ciscar. — En la Real Isla de León á de enero de 1811. —A D. José de Hcredia.” Lo traslado á V. de orden del mismo Consejo para su gobierna y cumplimiento en la parte que le toca; siendo la voluntad de S. A. que toda la correspondencia…</t>
  </si>
  <si>
    <t>de Hebia, Manuel</t>
  </si>
  <si>
    <t>Manuel de Hebia</t>
  </si>
  <si>
    <t>o. Un religioso capuchino, 190 rs. de rn. D. Juan Manuel de San Román, 200. X). José Diez Imbreck , 200 y 4 fusiles-. D. Miguel de Trucha Basco, 300. D. Manuel de Hebia, 100. D. Ramón de Náxera* 300. D. Francisco Sánchez Tosar, 400. Fr. D. Francisco de Paula Madrigal, por sí y por otro, 40. D. Ramón Valiente, 1200. Un emigrad…</t>
  </si>
  <si>
    <t>de Henares, Francisco</t>
  </si>
  <si>
    <t>Francisco de Henares</t>
  </si>
  <si>
    <t>otivo del nacimiento de S. M. el Rei Subteniente. de Roma. El Excmo. Sr. duque de Santa Ee , mi­ nistro de ludias y de Negocias eclesiásticos, dió el D. Francisco de Henares. 16 del corriente un magnifico banquete, al que art. m. En la villa de Cañete se formarán asistieron las primeras autoridades y el cuerpo di­ dos compañí…</t>
  </si>
  <si>
    <t>de Heras, Domingo</t>
  </si>
  <si>
    <t>Domingo de Heras</t>
  </si>
  <si>
    <t>quín y D. Juan Casaldaero, 400. D. Pedro Boullcsa y Mii anda, 100. Doña Ana María González , 400. D. Manuel Paul, 200. D. Joa­ quín de la Vega , 400. D. Domingo de Heras, 1000. D. Martin Irazoqui, 400. D. T. B, 500. D. Pablo Riera, 500. D.» Antonio de Alsazua, 1000. D, Barto­ lomé Santa!6 , 300. D. Ramón Beltran, 160. D. Juan…</t>
  </si>
  <si>
    <t>de Heredia, José</t>
  </si>
  <si>
    <t>José de Heredia</t>
  </si>
  <si>
    <t>844 Gabriel Ciscar. —» Ea Cádiz á 03 de julio de 1811. — A D. José de Heredia.” El Consejo de Regencia se ha servido conferir en el regímíen, to de infantería de Cantabria compañía al ayudante Don Sebas­ tian de Arcos; su resulta al teniente D. Manuel Armiñan, y la d</t>
  </si>
  <si>
    <t>de Herejía, José</t>
  </si>
  <si>
    <t>José de Herejía</t>
  </si>
  <si>
    <t>mplimiento.—- Gabriel Ciscar, presidente.— D. Joaquín IMake ? ausente con permiso de las Cortes. — Pedro dé Agar.—En Gídiz á 19 de agosto de 1811.— A D. José de Herejía.” j -i bri­ En óQFifidevcicion al mérito, circunstancias y se rvic.os uei gadier D. José María Santocildes, y á ios distinguidos que contraxo en la defensa de…</t>
  </si>
  <si>
    <t>de Herrera, Andrés Cacho</t>
  </si>
  <si>
    <t>Andrés Cacho de Herrera</t>
  </si>
  <si>
    <t>. IX Juan Sánchez, 17. IX Antonio Cosío, 20.1). Ma­ nuel de Celis , 20. D. Joaquín Muza, 34. D. Valentín González, 6. D. Enri­ que Perez Lastra , 20. D. Andrés Cacho de Herrera , 100. D. Santiago Diego García, 102. Doña Rita Tixero, 51. D. Patricio José Gómez , 17. D. Vicente Samper, 20. D. Pedro Macho del Barrio yvsu hermano…</t>
  </si>
  <si>
    <t>de Herrera, Felipe</t>
  </si>
  <si>
    <t>Felipe de Herrera</t>
  </si>
  <si>
    <t>ndo del brigadier D. Juan I)iaz Portier. D. Román Diaz Tagle, 100. L. Juan Madrazo, 100. D Vicente Sánchez de M-'ifoellan, 100. D. Miguel Ruiz , 100. D. Felipe de Herrera, 100. D. Miguel Villegas, 100. D. Manuel Herrero, 100. D. Juan Antonio Gutiérrez, 100. I). José Fernandez y D. Melchor Gómez , 70. D. Ramón Martínez , 100. …</t>
  </si>
  <si>
    <t>de Herrera, Joaquín</t>
  </si>
  <si>
    <t>Joaquín de Herrera</t>
  </si>
  <si>
    <t>el prest de 3 soldados en 5 meses, 135. D;Juan de Dios Corona, tesorero del real colegio de escribanos, á nombre y por oferta de dicho colegio, 132. D. Joaquín de Herrera, alcalde ordinario de esta ciudad, á nombre del cabildo de la nación Caraba!i y Zuama, 16. El teniente coronel D. Lucas Alvarez, por el prest de un soldado …</t>
  </si>
  <si>
    <t>de Herrera, Juan</t>
  </si>
  <si>
    <t>Juan de Herrera</t>
  </si>
  <si>
    <t>ncia; y al de igual clase del regimiento de infantería de Cantabria D. An­ tonio Fernandez. Siguen los donativos de la comandancia general de Panamá. D. Juan de Herrera, oficial mayor de la real contaduría , en plata labrada. 493,2 y medio rs. D. Juan Domingo de Iturralde en plata labrada, 4190, 7 y un quarto rs. ; y en plata…</t>
  </si>
  <si>
    <t>de Herrera, Juan Manuel Pérez</t>
  </si>
  <si>
    <t>Juan Manuel Pérez de Herrera</t>
  </si>
  <si>
    <t>z de Faria..................... 7761.-17 D. Josef Antonio de Criarte................... 28338..17 D. Manuel García Montenegro............. 11732.. X7 D. Juan Manuel Pérez de Herrera, por D. Guilletir.o de lihagon , por mano mano de D. Pedro Pablo Pérez de de Gorbea y sobrinos.......................... 36228.. 8f Arriata......…</t>
  </si>
  <si>
    <t>de Herrero, Domingo Antonio</t>
  </si>
  <si>
    <t>Domingo Antonio de Herrero</t>
  </si>
  <si>
    <t>........... 2888 2 D. Ped ro del Campo, por su apode­ 6 D. Angel Gerónimo Alvart-z............... 63r7 *7 rado D. Andrés Abrisguieta.......... 1444 1 D. Domingo Antonio de Herrero...,,. - 180 17 2 Doña Manuela Ibarrola...................... 433 2 i D. Manuel Luron.................. .............. 3Ó1</t>
  </si>
  <si>
    <t>de Hervás, Josef Antonio Martínez</t>
  </si>
  <si>
    <t>Josef Antonio Martínez de Hervás</t>
  </si>
  <si>
    <t>n. Sobre las provincias dei reino. fe. 8 ds. a ^ « Cdceres. 1 1 Secretario general de la prefeetnra de Cáceres Málaga............ ..... efectivo. 7 á D. Josef Antonio Martínez de Hervás, ex-admi- Sevilla............. ..... efectivo. 8 nistrador de rentas de Infantes. Granada.......... ...... efectivo. 6 Subprefecto de la subp…</t>
  </si>
  <si>
    <t>de Hes, Felipe</t>
  </si>
  <si>
    <t>Felipe de Hes</t>
  </si>
  <si>
    <t>ahora no se ha publicado nada de sus gran cruz del Águila roxa al príncipe Leopoldo de deliberaciones. Se asegura que sus operaciones se Cobourg y al príncipe Felipe de Hes*e-Hom- retardan por la lentitud con que se procede en la bourg. fabricación de los billetes ■ llamados de cambio, BOHEMIA. que están destinados para reemp…</t>
  </si>
  <si>
    <t>de Hesse, Cristiaoo</t>
  </si>
  <si>
    <t>Cristiaoo de Hesse</t>
  </si>
  <si>
    <t>Gaceta de Madrid n.º 216</t>
  </si>
  <si>
    <t>rrar, pulir, tornearla, y hacer de ella luciones y los movimientos de las tropas de tierra. suela impenetrable al agua, caxas, estuches Scc. S. A. el príncipe Cristiaoo de Hesse, coman­ j.° También ha inventado una especie de esco^ dante de Fionia, pasó cambien revista el 34 de es­ peta de viento, que se carga igualmeote con …</t>
  </si>
  <si>
    <t>de Hesse, Federico</t>
  </si>
  <si>
    <t>Federico de Hesse</t>
  </si>
  <si>
    <t>el dia en el plan de ilustrado con su gloria en las iumediaciones de una universidad que va á establecerse en -quella Rudschuck. provincia. S. A. el príncipe Federico de Hesse y Los rusos están construyendo una línea de re­ otros personajes han dado ya para este objeto ductos en la orilla izquierda del Danubio para im­ 85500 …</t>
  </si>
  <si>
    <t>de Hesse, Guillermo Carlos Luis</t>
  </si>
  <si>
    <t>Guillermo Carlos Luis de Hesse</t>
  </si>
  <si>
    <t>cupaba mas que 5607 casas: desde 1810 ocupan de S. A. la princesa Julia Solia de Dinamarca con 2C640C individuos 7021 casas, á muchas de las S. A. el príncipe Guillermo Carlos Luis de Hesse- quales se les han agregado eso ó dos pisos masT Ea Filipstal. esta ciudad se cuentan 4025 caballos, y cerca de 30O perros. AUSTRIA. Desd…</t>
  </si>
  <si>
    <t>de Hnchberg, Guillermo</t>
  </si>
  <si>
    <t>Guillermo de Hnchberg</t>
  </si>
  <si>
    <t>ticia. Las dos operaciones importantes que En otra audiencia también particular fue reci­ se sabe han comenzado ya en la península ¿tan bido el señor conde Guillermo de Hnchberg, ge­ dado ocasión á muchas hablillas. Por lo que toca neral al servicio del gran duque, de B. dcri, y en­ á la expedición, cuyo objeto es tomar por l…</t>
  </si>
  <si>
    <t>de Horcdia, José</t>
  </si>
  <si>
    <t>José de Horcdia</t>
  </si>
  <si>
    <t>o. — Gabriel Cis­ car , presidente. — T): Joaquín Blake, ausente con permiso de las Cortes. — Pedro de Agar. ■— En Cádiz á 30 de octubre de 1811. — A D. José de Horcdia.</t>
  </si>
  <si>
    <t>de Hoyos, Carlos</t>
  </si>
  <si>
    <t>Carlos de Hoyos</t>
  </si>
  <si>
    <t>60. D. Juan Diaz Cosío. 10Q. D. Antonio Gómez Porras, 100. D. Joaquín Sánchez, 1.09 D. José Vela Mesones, 100. D. Manuel Sán­ chez de la Torre, 100. D. Carlos de Hoyos, 100. D. Felipe Argumedo , 100. D. Manuel Vciez de Villa, 100. Di José M uñoz , 100. D. Antonio Ruiz , 100. D. Nicolás Molleda , 100. D. José González 5 100. D…</t>
  </si>
  <si>
    <t>de Hoyos, Estanislao</t>
  </si>
  <si>
    <t>Estanislao de Hoyos</t>
  </si>
  <si>
    <t>nuel Mancina, 100. D. José Perez, 100. L. Manuel Rodríguez, 100. D. José Alonso, 100. D. Marcos de los Ríos, 100. L. Antonio Gómez de la Madrid, 100. D. Estanislao de Hoyos , 100. L. Juan</t>
  </si>
  <si>
    <t>de Hoyos, Pedro</t>
  </si>
  <si>
    <t>Pedro de Hoyos</t>
  </si>
  <si>
    <t>Díaz de Celis, 100. D. José Santiago Palacios , 109. I). Pe­ dro de Cabiedes , 100. D. Diego de los Ríos , 100. D. Francisco Eugenio del Corral, 100. D. Pedro de Hoyos, 100. D. Ildefonso del Corral , lOU. D. José González de Rueda , 60. D. Juan Diaz Cosío. 10Q. D. Antonio Gómez Porras, 100. D. Joaquín Sánchez, 1.09 D. José Ve…</t>
  </si>
  <si>
    <t>de Hoyos, Ramón Vicente</t>
  </si>
  <si>
    <t>Ramón Vicente de Hoyos</t>
  </si>
  <si>
    <t>cosecha. Ofertas anuales. D. Francisco Perez Muñoz , ademas de. los 100 ps. que entregó de pronto , ofrece duran­ te la guerra en cada un año , 200. D. Ramón Vicente de Hoyos, 150. Don Agustín Ximanez, 10. El Sto. tribunal de la Fe &gt; hasta el restablecimiento del consejo de Inquisición, 10000.-El prior, cura , gobernadores , …</t>
  </si>
  <si>
    <t>de Huageo, Guillermo</t>
  </si>
  <si>
    <t>Guillermo de Huageo</t>
  </si>
  <si>
    <t>.......... ........... 329x18 ii| D. Juan Hourco............................. 136581 4 D. Juan Murfi................................. 165000 tlATXOl. D. Guillermo de Huageo................ 15 7 71 En el del Príncipe, á las siete de la noche, se re­ D. Josef Telxidor.... ...................... 17835 2 £ presentará por la compa…</t>
  </si>
  <si>
    <t>de Huete, Fernando Martínez</t>
  </si>
  <si>
    <t>Fernando Martínez de Huete</t>
  </si>
  <si>
    <t>hinchón, por mano de D. Antonio D. Fermín de Zelayeta............................ 8953..22 Morndillo.............. ............................ 14801 D. Fernando Martínez de Huete.......... 3476-28 D. Josef Alegre........................................ 2075-25!</t>
  </si>
  <si>
    <t>de Huici, Martin Antonio</t>
  </si>
  <si>
    <t>Martin Antonio de Huici</t>
  </si>
  <si>
    <t>............ 14I34-io D. Pedro de la Plaza, ex carmelita des­ D„ Nicolás María Guendica, por mano de calzo, residente en Cobeña , por........... 2200 D. Martin Antonio de Huici..................... 3920Ó..19 D. Juan Antonio González, ex-agustino D. Miguel María de Gort.-zar.. ................... 14401-32 calzado , residente e…</t>
  </si>
  <si>
    <t>de I, Manuel</t>
  </si>
  <si>
    <t>Manuel de I</t>
  </si>
  <si>
    <t>uros de multa al patrón que conduz­ y porupa. Los señ oes rector y cancelario acompa­ ca pasageros á esta plaza sin licencia expresa dei ñaron al Sr. D. Manuel de I ramarría , suhprefegobierno. to de esta ciudad, y al Si. D. Manuel de Azlor, En la sesión de cortes de ayer se leyeron las mayor coronel y com uidante superior de…</t>
  </si>
  <si>
    <t>de Ibarra, Juan Agustín</t>
  </si>
  <si>
    <t>Juan Agustín de Ibarra</t>
  </si>
  <si>
    <t>a María Josefa del Valle , 4000. D. Fernando Gutierre*;, 500. D. Mi­ guel Duque de Estrada, 500. D. José Perez Medina, 500. D. Hemeterio Dalias, 500. D. Juan Agustín de Ibarra , 300. D. Domingo Sainz Pardo, 200. D. Pedro Rosell, 200. D. Buenaventura Gualba, 200. D. José Goma, 100. D. Andrés Ibarra, 100. D. -Juan de la Fuente …</t>
  </si>
  <si>
    <t>de Ibarra, Juan Angel</t>
  </si>
  <si>
    <t>Juan Angel de Ibarra</t>
  </si>
  <si>
    <t>ez. D. Blas María de la Garza , 50. La tropa , 482'. —'Qiiürtá id. Capítán^on José Agabo de Ayála, 250. Teniente JJ. Andrés Meñdibla , I0Ó.’ÁFdréz ■ *D. Juan Angel dé Ibarra, 50. La tropa, 463. — 'Quintil id. Gapitan. T); Jobteé-Mana Sudu'V 200. Teniente’D. José Nicolás Den i tez , 100. ‘Alférez* Don -iJosd Cayetano Cáritú , …</t>
  </si>
  <si>
    <t>de Ibarrola, Josef</t>
  </si>
  <si>
    <t>Josef de Ibarrola</t>
  </si>
  <si>
    <t>Luis D. Josef Fernandez de la Cuesta.. 215000 25 de Urquijo.“ D. Juan López Guzman................. 5086 22 D. Tomas Rodríguez Boten......... 34465 a D. Josef de Ibarrola........... -.......... 158000 En la extracción de la real lotería execntsda D. Livinio Stuyek y Vandergoten. 20000 en la tarde del 11 del corriente han sali…</t>
  </si>
  <si>
    <t>de Ida, Joaquín Alonso</t>
  </si>
  <si>
    <t>Joaquín Alonso de Ida</t>
  </si>
  <si>
    <t>Para el de Alcozar, vacante por muerte de Para el de Vilfanueva de Gumi I, vacante por D. Ramón Llórente, con la circunstancia de estar promoción de D. Joaquín Alonso de Ida á Quin­ á las resultas del expediente promovido sobre erec­ tana del Pidió , á D. Vicente de la Fuente , clé­ ción de su anexo Velilía en vicaría separad…</t>
  </si>
  <si>
    <t>de Iiuici, Martin Antonio</t>
  </si>
  <si>
    <t>Martin Antonio de Iiuici</t>
  </si>
  <si>
    <t>.......................... 1083 Doña María Arquedas............................... 202 50 Doña María Petra Pastor.......................... 1263.. 17 D. Martin Antonio de Iiuici.................. 25740 D. Facundo Requejo................................. 2819..17 Doña Raitnunda Bruquiero.................... 22 jOQ D. Juan Marc…</t>
  </si>
  <si>
    <t>de Ilesse, Kosa</t>
  </si>
  <si>
    <t>Kosa de Ilesse</t>
  </si>
  <si>
    <t>Gaceta de Madrid n.º 190</t>
  </si>
  <si>
    <t>de junio de 1813. nes de dibtixo, de historia Síc., con lo que saca­ Nos Luis, por la gracia de Dios, gran duque ba para ir pagando á los módicos. El conde Kosa- de Ilesse , duque de Westf-lia Bcc. dasview, noticioso de esto, dio cuenta al Empera­ ,,Considerando que la servidumbre personal dor, y este Monarca concedió inmedia…</t>
  </si>
  <si>
    <t>de ILro, Amonio Alonso</t>
  </si>
  <si>
    <t>Amonio Alonso de ILro</t>
  </si>
  <si>
    <t>ima. la gente que lo tripulaba se salvó huyendo a tier­ Par* ei de Vitlalba , vacante por muerte de ra. Los habitantes de dicho pueblo inmediatamente D. Amonio Alonso de ILro, a D. Francisco Arque tuvieron aviso de lo que pasaba, acudieron á ranz , cura de Fuensauco. la orilla del mar, y á pedradas obligaron á los in­ Para el…</t>
  </si>
  <si>
    <t>de Iñi, Juan</t>
  </si>
  <si>
    <t>Juan de Iñi</t>
  </si>
  <si>
    <t>omingo Fernandez de Lata, venido en vina, conteniendo dos libros y una estampa. los términos que los anteriores, conteniendo Un paquetito, rotulado á D. Juan de Iñi­ libros. go Vicario, con varios quadernos. Nútn. 116. Un barril pequeño con tama­ Un caxoncito, rotulado á D. Facundo Ra­ rindos , cuyo dueño se ignora por falta …</t>
  </si>
  <si>
    <t>de IñnrPara, Miguel</t>
  </si>
  <si>
    <t>Miguel de IñnrPara</t>
  </si>
  <si>
    <t>ada á su empleo para la dotación de un te de D. Ramón Gutiérrez* al presbítero ex-regu­ coadjutor. lar D. Francisco Santos. Y para esta coadjutoría á D. Miguel de IñnrPara la vicaría de Barba de Puerco, vacante ralegui * con ia asignación de 3333 rs. y n mrs. por ascenso de D. Silvestre Gajate á ración de la impuesta sobre lo…</t>
  </si>
  <si>
    <t>de Iriane, Tomas</t>
  </si>
  <si>
    <t>Tomas de Iriane</t>
  </si>
  <si>
    <t>de respuesta al regente , y se mandó que se la presentasen los miembros del con­ MI Señorito mimado, comedia en tres actos en sejo privado. verso de D. Tomas de Iriane. SUIZA. No es ciertamente &gt;a impresión que erta come­ Basilea 14 de febrero. dia ha hecho en la última representación, ni t&lt;m— De algún tiempo á esta parte pas…</t>
  </si>
  <si>
    <t>de Iriar, Tomas</t>
  </si>
  <si>
    <t>Tomas de Iriar</t>
  </si>
  <si>
    <t>scritos serán siempre ve­ todas las tazones expuestas, deberían representar nerados en España. El pensamiento se reducía á mas á menudo la comedia de D. Tomas de Iriar­ desechar todo ese inmenso fárrago de desatinos di­ te, y hacerla con cierto esmero, encarga adose de vididos en tres jornadas, producciones que solo po­ ella …</t>
  </si>
  <si>
    <t>de Iriarle, Tomas</t>
  </si>
  <si>
    <t>Tomas de Iriarle</t>
  </si>
  <si>
    <t>67</t>
  </si>
  <si>
    <t>s que multan de su agregación, presentará por la compañía española la comedia origi­ pueden diferenciarse hasta lo infinito respecto í sus fa­ nal de D. Tomas de Iriarle en tres actos titu ada ei .Se­ cultades fosforescentes &amp;c. áre. ñorita mimado, y el fin de fiesta el Matiinv.ri'i des­ Las producciones repentinas de calor q…</t>
  </si>
  <si>
    <t>de Iriarte, Juan</t>
  </si>
  <si>
    <t>Juan de Iriarte</t>
  </si>
  <si>
    <t>Crispina Guches , herederos 6 D. Francisco de Paula Des-essart, por de D. Manuel Garué:..............-....... mano de su apoderado D. Juan. M34 8|l 3 D. Juan de Iriarte..-............................ 16335 üí Josef Gamboa.............. 6859 1 D. Gregorio de los Tueros......... . 1805 2 D. Juan Bautista Condestable........... …</t>
  </si>
  <si>
    <t>de Iriarte, Tomas</t>
  </si>
  <si>
    <t>Tomas de Iriarte</t>
  </si>
  <si>
    <t>ocía un empellón mui caracterizad i, de su despechado otra mas perfecta que la del Filósofo casado de amame, quieo, por rabioso que estuviese, no de­ D. Tomas de Iriarte. En estos exemplos deberán bería haber manifestado su furor y sus zelos tan á aprender los traductores á seguir fielmente el ori­ Jo vivo. = J. A. ginal sin …</t>
  </si>
  <si>
    <t>de Iriarte, Tornas</t>
  </si>
  <si>
    <t>Tornas de Iriarte</t>
  </si>
  <si>
    <t>na y la constancia á tan escandalo­ Oro español contra plata..... so desorden de ideas. El primero que entró vale­ rosamente en la lid fue el erudito D. Tornas de Iriarte, hombre de un gusto exquisito, excelente TKATROS . hum.nista, escritor correcto y puro, amante de En el del Príncipe, á las' siete de la noche , se re­ las …</t>
  </si>
  <si>
    <t>de Iribarren, Juan Bantista</t>
  </si>
  <si>
    <t>Juan Bantista de Iribarren</t>
  </si>
  <si>
    <t>s.......... 261920. .t¡&gt; residente en Camarina de Esteruelas, por 2200 D. Francisco Garmendia , por mano de D. Tomas Díaz , id., residente en Cienpo- D. Juan Bantista de Iribarren.................... j682i,.3¡ zuelos , por......................................... .......... 2200 D. Francisco Ignacio Muxica , por mano D. Vicen…</t>
  </si>
  <si>
    <t>de Iribarren, Juan Bautista</t>
  </si>
  <si>
    <t>Juan Bautista de Iribarren</t>
  </si>
  <si>
    <t>r......................................... .......... 2200 D. Francisco Ignacio Muxica , por mano D. Vicente Diaz Alonso, id., por./,........ 2200 de D. Juan Bautista de Iribarren....... 4ÓQ2..2¡ D. Pedro Celestino de la Rion, ex-mer- Doña María Josefa Vildosoia , por mano cenario descalzo, residente en Chinchón, del misino I…</t>
  </si>
  <si>
    <t>de Iruegas, Lorenzo</t>
  </si>
  <si>
    <t>Lorenzo de Iruegas</t>
  </si>
  <si>
    <t>Doña Jo­ dia 15, y que según él cree no' llegaría esto á ve­ sefa de Aguirre, por su apoderado rificarse, á pesar de lo ¡caponante que seria para el D. Lorenzo de Iruegas................. . 23013 2j comercio. . 1 D. Francisco Xavier Toledano.......... Del 4j. 722 1 D.*Jacinto Silvestre de Arreguí, por Las voces que han corrid…</t>
  </si>
  <si>
    <t>de Irurmcndia, Gerónimo</t>
  </si>
  <si>
    <t>Gerónimo de Irurmcndia</t>
  </si>
  <si>
    <t>quesa de la Soiang, por mano D, Francisco Viana...................................... 33^53**8 de D. Pascual Salinas.......................... 180-17 D. Gerónimo de Irurmcndia................... 10358-25 El cabildo eclesiástico de la villa de D. Pedro del Rio...................................... 5923-16 Chinchón, por mano de…</t>
  </si>
  <si>
    <t>de Isidro, Nicolás</t>
  </si>
  <si>
    <t>Nicolás de Isidro</t>
  </si>
  <si>
    <t>Gazeta de la Regencia de España e Indias n.º 13</t>
  </si>
  <si>
    <t>an y vino , y dispuse que el batallón de vo­ luntarios, al mando del capitán D. Juan Cajal, se colocase en el castillo , y el dé tiradores, que manda D. Nicolás de Isidro, en el convento, desde donde defendía las dos únicas entradas que tiene la villa por parte de Humanes , y su salida y unión con los volunta­ rios podía sCr …</t>
  </si>
  <si>
    <t>de Isla, Joaquín Alonso</t>
  </si>
  <si>
    <t>Joaquín Alonso de Isla</t>
  </si>
  <si>
    <t>illa del mar, y á pedradas obligaron á los in­ Para el de Quintana del Pidió, vacante por gleses del -bote, que ya se habían apoderado del tnuerre de D. Joaquín Alonso de Isla, á D. Fran­ barco frunces, á soltar su presa y á largarse. cisco ia S ¡i* , (. ur-i de Pinillos. La batería de la costa h\zo fuego con mucho Para el de…</t>
  </si>
  <si>
    <t>de ITALIA, REINO</t>
  </si>
  <si>
    <t>REINO de ITALIA</t>
  </si>
  <si>
    <t>en el Cabo de Bue­ lia por otra* muchas de un mérito extraordinario. na-Esperanza y en los mares vecinos, y por el teniente general John Abercrnmbi, comandante REINO DE ITALIA. de las fuerzas de S. M., y Martin Vandrnavesen, general de división, miembro de la legión de Ho­ Milán 12 de febrero. nor , y comandante de las tropas…</t>
  </si>
  <si>
    <t>de Itravo, Para el</t>
  </si>
  <si>
    <t>Para el de Itravo</t>
  </si>
  <si>
    <t>l de Cogollos, á D. Vicente I&gt;.. Nicolás Antonio Martínez al beneficio del del Castillo, cura de Daifontes. mismo pueblo, á D. Cristo1^-Josef García, cura Para el de Itravo, vacante por promoción de de Cacin. D. Josef Tomas Ruiz Morales á canongía de Mo­ Y para el de Velez de Benandalla, vacante tril, al presbítero D. Julián …</t>
  </si>
  <si>
    <t>de Iturbide, Agustín</t>
  </si>
  <si>
    <t>Agustín de Iturbide</t>
  </si>
  <si>
    <t>y gran pendiente» adonde mandé dos compañías de dicho mi: regimiento y otra del provincial ele México: todas las conducía con mis órdenes el teniente D. Agustín de Iturbide para que las coloca­ se y dexase situarlas, rompiendo el fuego sóbrelos rebeldes y sobre su flaneo izquierdo. Esío no Regó á tener efecto, pues á la media…</t>
  </si>
  <si>
    <t>de Iturraido, Bartolomé</t>
  </si>
  <si>
    <t>Bartolomé de Iturraido</t>
  </si>
  <si>
    <t>Regencia se ha servido conferir en el regimiento de infantería de línea de voluntarios distinguidos de Cádiz compañías á D= José Ignacio de Lazcano, D. Bartolomé de Iturraido, Don Juan Francisco de Llano y Sangines,'D. Bernardo Pérez, D. Joa­ quín Casalduero, D. Pedro Juan de Zulueía, marques de Villareal de Purullesa, D. Man…</t>
  </si>
  <si>
    <t>de Iturralde, Juan Domingo</t>
  </si>
  <si>
    <t>Juan Domingo de Iturralde</t>
  </si>
  <si>
    <t>guen los donativos de la comandancia general de Panamá. D. Juan de Herrera, oficial mayor de la real contaduría , en plata labrada. 493,2 y medio rs. D. Juan Domingo de Iturralde en plata labrada, 4190, 7 y un quarto rs. ; y en plata fuerte 1000.' El administrador principal de tabacos D. José Laso de la Vega, por sí, su espos…</t>
  </si>
  <si>
    <t>de IV, Luis Atewzndro</t>
  </si>
  <si>
    <t>Luis Atewzndro de IV</t>
  </si>
  <si>
    <t>123</t>
  </si>
  <si>
    <t>o lado del Cabriel. — Dios ; irde á V. E. muchos años. Cuartel general cíe Fajaron 15 de Dicimbre de JbdO..— ,/o.vd . Marünez 8. Martin. — Excmo. Sr. D. Luis Atewzndro de* IV &gt;.de nórmente se h i sabido que el enemigo no permaneció en Cuenca mas que 2-í hor. s, y que la abandonó de nuevo’ el dia 15, después de haber cometido …</t>
  </si>
  <si>
    <t>de Jauregui, Andrés</t>
  </si>
  <si>
    <t>Andrés de Jauregui</t>
  </si>
  <si>
    <t>ha ofrecido man­ tener durante la guerra, 5400. D. Juan Ibañez, secretario del gobierno y ca­ pitanía general, por el de 4 soldados en 5 meses , 180. D. Andrés de Jauregui, teniente de regidor , por el de 6 soldados en 3 meses , 162. D. Juan Fabre , garzón de la plana mayor de Blancos , agregada al batallón de More­ nos , por…</t>
  </si>
  <si>
    <t>de Jáuregui, Juan Tomas</t>
  </si>
  <si>
    <t>Juan Tomas de Jáuregui</t>
  </si>
  <si>
    <t>oferta de 8 pesos en cada uno, 80. El teniente coronel D. Igna­ cio Acosté, por el prest de un soldado en 2 nieses , 18.. Los herederos del ca­ pitán D. Juan Tomas de Jáuregui, 1000. El M. R. arzobispo de Guatemala D. Luis Peñalver, 2000. El marques de Someruelos, presidente, gobernador, Y capitán general de esta isla, 1000. …</t>
  </si>
  <si>
    <t>de Je, Tomas</t>
  </si>
  <si>
    <t>Tomas de Je</t>
  </si>
  <si>
    <t>aría Vázquez , 102. D. José Naranjo, 204. D. Manuel Moinelo, 100. D. Mariano de Medina por el prest de 3 solda­ dos durante la guerra en un mes , 27. D. Tomas de Je,ara, como síndico del convento ue Capuchinos á nombre del hermano Saruboy , 4-1. D, Oaspar de ~~ los Reyes ' un soldado durante la guerra en 2 meses, 18. El por e…</t>
  </si>
  <si>
    <t>de Jena, Leyaenstinckew</t>
  </si>
  <si>
    <t>Leyaenstinckew de Jena</t>
  </si>
  <si>
    <t>A DE MADRID ■ DEL SABADO 30 DE NOVIEMBRE DE 18n. . SILESIA. Del jo. Se ha publicado hace poco en Stuttgardt una Breslau 20 de octubre. nueva obra del profesor Leyaenstinckew de Jena, Ayer fue instalada nuestra universidad, cuya mui curiosa, intitulada Comentarios de la juris­ ceremonia se executó con graD pompa en prcseucia p…</t>
  </si>
  <si>
    <t>de Juava, Tornas</t>
  </si>
  <si>
    <t>Tornas de Juava</t>
  </si>
  <si>
    <t>, por el prest de un soldado de caballería en 5. meses , 90. Doña Rosalía Penal ver , por el de 5 soldados en 2 meses, 90. D. Esteban de Zayas, 500. D. Tornas de Juava, síndico del convento de Ca­ puchinos, á nombre del hermano Snmboy , 6. D. Esteban CambrEeng, agre­ gado á la secretaría del gobierno , por '3 meses de su ofer…</t>
  </si>
  <si>
    <t>de Juzsue, Bartolomé</t>
  </si>
  <si>
    <t>Bartolomé de Juzsue</t>
  </si>
  <si>
    <t>ipúzcoa, vacante por tienen grandes esperanzas; pero todavía no las han desistimiento de D. Pedro R.&lt;mcr¡, al ex prany.. perdido enteramente. tácense D. Bartolomé de Juzsue. Para el de la villa de Azilu , en la de A’avj, Extracto (Se los diarios publicados esta mañana. vacante por muerte de D. Amonio Román D Jz Las cartas par…</t>
  </si>
  <si>
    <t>de Kecacoechea, Manuel</t>
  </si>
  <si>
    <t>Manuel de Kecacoechea</t>
  </si>
  <si>
    <t>la 300 hombres heridos » que quedaron catre sus filas. edad de 10; años y nueve dias. Estuvo casada Los enemigos han tenido tres generales muer­ con D. Manuel de Kecacoechea , y tuvo 10 hijos, tos » dos de ellos ingleses y uno español, y otros de los quales la sobreviven tres ; Uno de ello* pres­ dos generales heridos. Mil in…</t>
  </si>
  <si>
    <t>de Kohari, Francisco</t>
  </si>
  <si>
    <t>Francisco de Kohari</t>
  </si>
  <si>
    <t>Gaceta de Madrid n.º 27</t>
  </si>
  <si>
    <t>rica para falsificar los de á grandes sacrificios , porque esta guerra presenta so­ 100 florines. lamente una serie no intetrompida de desastres y El conde Francisco dé Kohari, rice-canciller derrotas: otros quisieran que la Puerta hiciese nue­ de la corte de Hungría , queriendo contribuir por vos esfuerzos , y que no subscri…</t>
  </si>
  <si>
    <t>de Kollowrat, Vicente</t>
  </si>
  <si>
    <t>Vicente de Kollowrat</t>
  </si>
  <si>
    <t>nde de Wiilezek, an­ algnn rnmpo algut.as pér fidas con motivo de las tiguo ministro en Lombardía. providencias tomadas contra las mercancías ó g eEl conde Vicente de Kollowrat, comandante sas. Nuestras relaciones de comercio han c iado de Transilvania , ha sido nombrado comandante ge­ suspen ¡idas hasta el 6 de nr&gt;vj -rnbre,…</t>
  </si>
  <si>
    <t>de L, Francisco Xavier</t>
  </si>
  <si>
    <t>Francisco Xavier de L</t>
  </si>
  <si>
    <t>las venideras tendrían en admirarlas y disfrutarlas. ESPAÑA. México 9 de marzo. El 6 del comente por la tarde falleció en ésta capital el Exorno. Sr. D. Francisco Xavier de L:zana y B aumont, natural de Arñédo en la Rioja* primero obispo de Teruel y después arzobispo de México, caballero gran-cruz déla ó ! n de Carlos III , v…</t>
  </si>
  <si>
    <t>de L, Mauricio</t>
  </si>
  <si>
    <t>Mauricio de L</t>
  </si>
  <si>
    <t>ín Casalduero, D. Pedro Juan de Zulueía, marques de Villareal de Purullesa, D. Manuel Goicolea, D. Gaspar Aguado y D. Fran­ cisco Noguer; tenencias á D. Mauricio de L -rgacha, D. Jo é Per­ noto , D. José deGaiilenea, D. Esteban S. Miguel, D. José Anto­ nio Romero, D. Ram&amp;n de Larrieta, D. Manuel Sanz, D. Domin­ go Cierto, I).…</t>
  </si>
  <si>
    <t>de L, Pedro</t>
  </si>
  <si>
    <t>Pedro de L</t>
  </si>
  <si>
    <t>real tribunal del Consulado de esta plaza, de 22 de mayo último, se cita y emplaza á qualquiera que se considere coa derecho al concurso y bienes de D. Pedro de L aceta de este comer­ cio, para que en el término de 18 m^sea acuda á formalizarlo coa los documentos que lo comprueben. Pisado dicho término, los pegos eme se hsgan…</t>
  </si>
  <si>
    <t>de Laci, Timoteo O Scalan</t>
  </si>
  <si>
    <t>Timoteo O Scalan de Laci</t>
  </si>
  <si>
    <t>uestros ministros de Negocios eclesiásti­ D. Juan Manuel Ortiz de Traspeña............. 12577..16 cos y el de Hacienda quedan encargados de la execu­ D. Timoteo O Scalan de Laci..................... 816ÓS..14 cion del presente decrefo.= Firmado. =: YO EL REI.=e D. Santos Ortiz..................... ............................…</t>
  </si>
  <si>
    <t>de Lago, Juan Manuel</t>
  </si>
  <si>
    <t>Juan Manuel de Lago</t>
  </si>
  <si>
    <t>rios de Navarra; en el segundo de vo­ luntarios de Cataluña, á D. Félix Sala, capitán del mismo cuerpo; en eí regimiento de infantería Me Mallorca, á D. Juan Manuel de Lago, capitán del de Zamora; en el referido de Truxiilo, á D. Jo­ sé d« Cíos , capitán del de Toledo; y en el batallón de voluntarios de Navarra, en clase de s…</t>
  </si>
  <si>
    <t>de Laiseca, Josef Ignacio</t>
  </si>
  <si>
    <t>Josef Ignacio de Laiseca</t>
  </si>
  <si>
    <t>e la deuda del estado, lo expuesto'por 11290 29 Ei marques de Salinas...... *............. 10271 3® nuestro ministro de Hacienda, y oido nuestro con­ D. Josef Ignacio de Laiseca.......... sejo de Estado; hemos decretado y decretamos Jo 42637 x7 siguiente •. D. Julián Ruiz de Rcasal......... 21Ó0 D. Miguel Antonio de Oquendo..…</t>
  </si>
  <si>
    <t>de Landa, Miguel</t>
  </si>
  <si>
    <t>Miguel de Landa</t>
  </si>
  <si>
    <t>......................... . 97 j Certificaciones del tesoro público.... 84 D. Santiago de Abarrategui..... 4860 Oro español contra plata............. D. Miguel de Landa........ .............. 459° D. Joaquin de Cifuentes como ma­ rido de Doña Ursula López de Azcutia.................. 8lOO teatros. D ña Antonia Ortiz de Espino…</t>
  </si>
  <si>
    <t>de Landa, Ramón</t>
  </si>
  <si>
    <t>Ramón de Landa</t>
  </si>
  <si>
    <t>........ . «980 27 duLs hipotecarias correspondientes con arreglo í Doña Vicenta Musito............. . 1667 17 nuestro decreto de 9 de jonio de 1809. D. Ramón de Landa................ 2223 xo art. 111. Nuestro ministro de Hacienda queda D. Lorenzo de Palacio y Gorbea.. 2223 10 encargado de la eXecüeion del presente decreto. =…</t>
  </si>
  <si>
    <t>de Lapeña, Manuel</t>
  </si>
  <si>
    <t>Manuel de Lapeña</t>
  </si>
  <si>
    <t>35</t>
  </si>
  <si>
    <t>das por el teniente general de S. M. B. el Excmo. Sr. D. Tomas Graham, formaban parte del exército aliado al cargo del. general en gefe el Excmo. Sr. D. Manuel de Lapeña. Algunos buquesdel convoy , impelidos por el viento y las corrientes del Estrecho durante la noche del 26 al 87, arribaron á Algeciras : las tropas y efectos…</t>
  </si>
  <si>
    <t>de Lar, José Amonio</t>
  </si>
  <si>
    <t>José Amonio de Lar</t>
  </si>
  <si>
    <t>ha servido expedir el decreto si­ guiente : „HalUcdose vacante la secretaría de estado y del despacho de gracia y justicia por renuncia que ha hecho D. José Amonio de Lar-' rumbide, que la servia interinamente, y tenkcdo én consideración el patriotismo y vastos conocimientos que se reúnen en D. Ignacio Pvzuela; ha venido el r…</t>
  </si>
  <si>
    <t>de Lara, Manuel</t>
  </si>
  <si>
    <t>Manuel de Lara</t>
  </si>
  <si>
    <t>a. D. Josef Casas, sargento primero, á subteniente D. Julián Estéban Secilia, ayudante mayor, á co­ de la segunda compañía. mandante en la vacante de D. Manuel de Lara. D. JoaquiQ María Fernandez, sargento primero, á D. Bernardo Cavalleri á ayudante en reemplazo subteniente de la quarta compañía. de D. Julián Estéban Secilia.…</t>
  </si>
  <si>
    <t>de Lardi, Miguel</t>
  </si>
  <si>
    <t>Miguel de Lardi</t>
  </si>
  <si>
    <t>1421</t>
  </si>
  <si>
    <t>s graves daños con qué le una próxima disolución. El manifiesto que se dice expían? ¿Las ideas, los hábitos y el genio de publicado por el ex-regente D. Miguel de Lardi- muchos funcionarios pueden concillarse con los Ca-f zabaí y Uribe es uno de los incidentes mas próxi­ racteres del actual gobierno? ¿Podrá subsistird» mos, m…</t>
  </si>
  <si>
    <t>de Lardizabal, Miguel</t>
  </si>
  <si>
    <t>Miguel de Lardizabal</t>
  </si>
  <si>
    <t>41</t>
  </si>
  <si>
    <t>hambre debia ya acosar; elección de los jueces que han de conocer en ia p.-.-o la fuerza de la corriente se llevó las balsas le­ causa del ex-regente D. Miguel de Lardizabal, y jos de donde querían ¡r: hicieron segunda tentati­ salieron electos D. Toribio Sánchez Monasterio, va, pero inútilmente; y ya iban á hacer la tercera,…</t>
  </si>
  <si>
    <t>de Larisch, Cirios Leopoldo</t>
  </si>
  <si>
    <t>Cirios Leopoldo de Larisch</t>
  </si>
  <si>
    <t>au verle. hecho cantar un Te Deum en acción de gracias PRUSlAr por el restablecimiento de ia salud del Reí. Berlín ti de mayo. DINAMARCA. El teniente general Cirios Leopoldo de Larisch, caballcro^gran cruz de la orden de la Agui­ Copenhague 8 de mayo. la Roxa y de la del Mérito, falleció el dia 16 de Se ha descubierto aqui el…</t>
  </si>
  <si>
    <t>de Larrazabal, Juan</t>
  </si>
  <si>
    <t>Juan de Larrazabal</t>
  </si>
  <si>
    <t>9S7 SUPLEMENTO Á LA GAZETA DE MADRID DEL JUEVES 22 DE AGOSTO DE l8ll. Extracto de las minutas de la secretaría de D. Juan de Larrazabal....... 5282.. 6 Estado. D. Pedro Alonso Rodríguez. 46027..13 En nuestro palacio de Madrid a 17 de agos­ D. Pedro Ibañez........ ........... 13808.. 7 to de 1S i 1. Doña María Petra Pastor..</t>
  </si>
  <si>
    <t>de Larrumbide, José Antonia</t>
  </si>
  <si>
    <t>José Antonia de Larrumbide</t>
  </si>
  <si>
    <t>ndido y dispondréis lo necesario á su cumplimiento. — Joaquín Blal e, presidente. — Pedro de Agar. — Gabriel Ciscar. — Cádiz *7 de marzo de 1811. — A D. José Antonia de Larrumbide. El Consejo de Regencia se ha servido aprobar el plan presentado porD. José María Ladrón dé Guevara y tedíente de voluntarios distirguidos de esta …</t>
  </si>
  <si>
    <t>de Larrumbide, José Antonio</t>
  </si>
  <si>
    <t>José Antonio de Larrumbide</t>
  </si>
  <si>
    <t>Gazeta de la Regencia de España e Indias n.º 14</t>
  </si>
  <si>
    <t>gn-cia v justicia,, pidiendo se le acepté? la 'dimisión de dicha secretaría que estaim á su cargo, ha venido enjiombrar.para servirla interinamente á D. José Antonio de Larrumbide , fiscal de la real audiencia de, Aragón y en atención á sus circunstancias y ¡coaociltiientos.; Tendréis!©; entendido -y Jo comunicarais á quien &lt;…</t>
  </si>
  <si>
    <t>. Ttndreislo entendido, y dispondréis ío seeesa.io é su cumplimien­ to.— Pedro de Agnr, presidente.— Gabriel Ciscar. — Cádiz 3 de agosto de 1811. — A D. José Antonio de Larrumbide. El Consejo de Regencia se ha servido promover en el regimienta de reales Guardias españolas á primer teniente al segundo L&gt;. Pedro Velasce y Colon…</t>
  </si>
  <si>
    <t>de Lata, Gabriel</t>
  </si>
  <si>
    <t>Gabriel de Lata</t>
  </si>
  <si>
    <t>y Arvina y D, Cipriano Gobernado, subtenientes de infantería y «argentos primeros dd expresado batallón de zapadores: á subte­ nientes ¿ al graduado D. Gabriel de Lata , cadete de Cantabria , Don D ogo Peynado , cadete del batallón de cazadores de Carmena, D. José ds la Infanta, subteniente graduado y cadete de Ordenes millía…</t>
  </si>
  <si>
    <t>de Lecanda, Juan</t>
  </si>
  <si>
    <t>Juan de Lecanda</t>
  </si>
  <si>
    <t>mano de D. Valentín Ursueguia. 12837-26 de la villa de CLnpczuelus................. 27°..25f D. Sebastian Otacgui.............................. 6012 D. Juan de Lecanda........................ 6407.. 251 D. Julián Ruiz de Reajal........ .............. 3039.. 4 D. Ignacio Coma....................................... 1083 Doña Ma…</t>
  </si>
  <si>
    <t>de Leipsick, Ad de Francfort y</t>
  </si>
  <si>
    <t>Ad de Francfort y de Leipsick</t>
  </si>
  <si>
    <t>a costumbre de Parece que se ha concluido ya la guerra de dar escoltas á los negociantes que van á las ferias papeles que se había suscitado entre el general Ad- de Francfort y de Leipsick, y para las mercancía* íercreutz y el señor Grevemoehlcn. Desde que es­ que van destinadas á dichas ferias. te último se ha declarado aoto…</t>
  </si>
  <si>
    <t>de León, Esteban Fernandez</t>
  </si>
  <si>
    <t>Esteban Fernandez de León</t>
  </si>
  <si>
    <t>a María Püeyo , 160. Uria patrio­ ta, 200. D. R. B;. D., 590. Di Nazario Fernandez de Castro, 3000. Cinco patriotas de pocas facultades, 1000. El Sr. D Esteban Fernandez de León, 1000. D. Francisco dé la Peña Rodrigo , 800. D. J. G. E. , 320. Di Mateo Pé­ rez , 100. D. Baltasar Santos Ma i donado, 300, yon vale de 150 pesos d…</t>
  </si>
  <si>
    <t>de León, Juan José</t>
  </si>
  <si>
    <t>Juan José de León</t>
  </si>
  <si>
    <t>100. D,. Domingo Liergo, distinguido , 10. D: Ignacio Gómez, dis­ tinguido de milicias, 50. Los inidividuos de tropa , 1-30. — El te tiente coro­ nel D. Juan José de León, comandante de ingenieros, 50. batallón vete­ rano de infantería de Castilla. Su comandante el coronel D. Antonio Bolo, oficiales y tropa , 100 J. //capitán…</t>
  </si>
  <si>
    <t>de León, Juan Portee</t>
  </si>
  <si>
    <t>Juan Portee de León</t>
  </si>
  <si>
    <t>oü() De D. Juan Portee de León, prefecto de Xerez de la Fronteraf á Doña Ana Carosa , mi/ger de JJ. Gonzalo O-FarrlU. Sevilla 27 de junio. Mi estimadísima amiga: Me había propucsto no aumentar los disgustos de vm?. coa l</t>
  </si>
  <si>
    <t>de León, Juan Tomas</t>
  </si>
  <si>
    <t>Juan Tomas de León</t>
  </si>
  <si>
    <t>minutas de la secretaría de Estado. Córdoba , por...- ......................................... . 2200 En nuestro palacio de Madrid á 16 de setjembre D. Juan Tomas de León , ex-dominico, de 18 ti. natural y residente en Almagro, por.... 2200 Don Josef Napoleón por la gracia de Dios y por la D.Mauricio Pimienta, id. id.,por...…</t>
  </si>
  <si>
    <t>de León, María Antonia García</t>
  </si>
  <si>
    <t>María Antonia García de León</t>
  </si>
  <si>
    <t>orte, por 2200 Almoguera, por.............................. 2200 Doña Rita de Adan Martínez, id., por... 2200 D. Gregorio Justo Perez, id., residente Doña María Antonia García de León, id., en Alcalá de Henares, por...................... 3200 por.................................. 2200 D. Dionisio López Abad , ¡d., residente D…</t>
  </si>
  <si>
    <t>de León, Pedro Pablo</t>
  </si>
  <si>
    <t>Pedro Pablo de León</t>
  </si>
  <si>
    <t>r I). Manuel Hernaiz, 3700. Antonio Hernández, 60 y 6 rs. D. Jaime Ravasa, £0. O. Gí-rarJa Tejedor, 29, D. Diego Becerra, 100. D. Domingo Duran, 953. D. Pedro Pablo de León, 100.-Francisco'Yebovich, 100. CADIZ : EN LA IMPRENTA REAL.</t>
  </si>
  <si>
    <t>de León, Rafael Mariano</t>
  </si>
  <si>
    <t>Rafael Mariano de León</t>
  </si>
  <si>
    <t>Gaceta de Madrid n.º 192</t>
  </si>
  <si>
    <t>mucho mas activo este co­ Renouvier. mercio. ESPAÑA. AVISO. Vitoria 30 de junio. Habiendo fallecido en esta corte á principios de se­ tiembre de 1810 D. Rafael Mariano de León, secreta­ El REI nuestro Señor D. Josef Napoleón Sa­ rio y catedrático que fue del real colegio de farmacia lió de Bayona el 27 de este mes , y ha lleg…</t>
  </si>
  <si>
    <t>de León, Rafael y Doña Inés</t>
  </si>
  <si>
    <t>Rafael y Doña Inés de León</t>
  </si>
  <si>
    <t>, colmándole de aplausos y de vi* de su viuda Doña Tomasa Ujaravi una renuncia hecha vas: en todos ellos las autoridades, al frente de á su favor por D. Rafael y Doña Inés de León , veci­ los vecinos, han salido i tributar sus obsequios al nos de la ciudad d* Córdoba, hermanos del difunto, Monarca. La provincia del señorío de…</t>
  </si>
  <si>
    <t>de Leori, Diego</t>
  </si>
  <si>
    <t>Diego de Leori</t>
  </si>
  <si>
    <t>que con el ya formado, com­ Tenientes, pondrá un regimiento.__ D. Pedro Reqneoa. Nombramos para coronel de este regimiento i D. Pedro Ignacio Rioboo. D. Diego de Leori; para mayor á D. Francisco de D. Josef María Sánchez. Paula Valdivia; para comandantes de batallona D. Pedro de Vaca. D.J uan de Molina y D. Lope Fernandez de …</t>
  </si>
  <si>
    <t>de Letona, Pascólo Ortiz</t>
  </si>
  <si>
    <t>Pascólo Ortiz de Letona</t>
  </si>
  <si>
    <t>éruto para aquel punto, á donde se creía se hubiese dirigido el cura Hidalgo. Ea el pueblo de Mestirlan , provincia de ia Gissteea, fué aprehen­ dido D. Pascólo Ortiz de Letona , natural de Guatemala , y se le en­ contraron los poderes otorgados por HHalg® y A desde para tratar con los angla-americanos sobre una alianza ofens…</t>
  </si>
  <si>
    <t>de Lezana, Joaquín</t>
  </si>
  <si>
    <t>Joaquín de Lezana</t>
  </si>
  <si>
    <t>edro ltecalde. do la idea de ella de los dibuxos de Leonardo de Y para el arciprestazgo de Armentía en dicha Vinci. provincia , vacante por muerte de D. Joaquín de Lezana , al presbítero D. Andrés Orueta. Tolon 2 6 de octubre. N uestro ministro de Negocios eclesiásticos La bombardera la Granada, mandada por Mr» queda encargad…</t>
  </si>
  <si>
    <t>de Lichtenstein, Carlos</t>
  </si>
  <si>
    <t>Carlos de Lichtenstein</t>
  </si>
  <si>
    <t>486</t>
  </si>
  <si>
    <t>de Vietancia de las islas británicas impide que se envien na, én, Closternenbourg, pasaron el Danubio en á aquel país prontos socorros. presencia del príncipe Carlos de Lichtenstein y de varios oficiales del estado mayor. Algunos años Del n. después los hermanos Gerli hicieron en el grao ca­ nal de Milán andar cinco millas it…</t>
  </si>
  <si>
    <t>de Lidio, Nicolás</t>
  </si>
  <si>
    <t>Nicolás de Lidio</t>
  </si>
  <si>
    <t>ocuré saber con exactitud la fuerza del enemigo, y entendiendo que no pasaba di- 500 infantes , oficié á los comandantes expresados y al de tiradores D. Nicolás de Lidio, para que aquella misma no­ che se reuniesen en el lugar de Cercadülo á una legua de Aiienza, punto el mas proporcionado para observar y perseguir aí enemigo…</t>
  </si>
  <si>
    <t>de Lis, Luis Bertrán</t>
  </si>
  <si>
    <t>Luis Bertrán de Lis</t>
  </si>
  <si>
    <t>0. D, Esteban Fernandez de León , 2000. D. Benito de la Plaza, 600. D. N. Piedra-Blanca , 40. D. Pedro de la Rosa, presbítero de S Juan de Dios, 200. D. Luis Bertrán de Lis, 3000. P- Juan Rovira Fonnosa , 4000. D. Benito de la Plaza, 200. Total, 180,850. JSn drogas y medicinas, cuyas valores se han computado. — D. José CureTe…</t>
  </si>
  <si>
    <t>de Llaen, Eugenio</t>
  </si>
  <si>
    <t>Eugenio de Llaen</t>
  </si>
  <si>
    <t>que con sus decoraciones, Atalía, tragedia en cinco actos, de Racine , tra— música y tío de fiesta agradó mncho al pueblo; y duciia al castellano por D. Eugenio de Llaen ia noche se repitió la iluminación de la antece­ guno y A miróla, y representada en el coliseo dente. A las ocho estaban convidadas las señoras al del Prínci…</t>
  </si>
  <si>
    <t>de Llagona, Juan</t>
  </si>
  <si>
    <t>Juan de Llagona</t>
  </si>
  <si>
    <t>Es'éban Corones Alverols........ 3249 Recibos. Re.' Mrs. 2 D. Alonso Contreras............................ 24187 5 D. Antonio, Doña M«ríi Gar&lt;.és y 2 D. Juan de Llagona........................... 1173 8§ Doña Crispina Guches , herederos 6 D. Francisco de Paula Des-essart, por de D. Manuel Garué:..............-....... mano de …</t>
  </si>
  <si>
    <t>de Llano, Df José Agustín</t>
  </si>
  <si>
    <t>Df José Agustín de Llano</t>
  </si>
  <si>
    <t>camino recio ú Reñí carió; operación' i art* bien executnd a co­ mo oportuna, según después lo -justificó la5 experiencia:- Igualmente orden é -al - teniente coronel Df José Agustín de Llano, ayudante ■-ge­ neral- de caballería, previniese ai coronel Di José María Ricli / co­ mandante de toda ella; la emprendiese también por …</t>
  </si>
  <si>
    <t>de Llano, José María Queypo</t>
  </si>
  <si>
    <t>José María Queypo de Llano</t>
  </si>
  <si>
    <t>la, procedió el 2 de este mes á la elección de procuradores para las Cortes generales y extraordinarias del lleyno ; y salieron nom­ brados los Sres. D. José María Queypo de Llano, conde de Toreno y alférez mayor de este principado; D. Agustín Arguelles, aboga­ do de los uvales consejos , suplente ya en Cortes por el misino; …</t>
  </si>
  <si>
    <t>de Losa, Manuel</t>
  </si>
  <si>
    <t>Manuel de Losa</t>
  </si>
  <si>
    <t>ntrar, fueron los vecinos^ asistido también un numerosó concurso de litera­ acompañados y dirigidos por -el alcalde interino tos y de otras personas. D. Manuel de Losa , al sitio donde se hallaba lá referida qúadrilla de bandoleros, qnienes, á pesar de ser en mayor húmero , no pudieron resistir á PLAZA DE MADRID. BOLSA. los h…</t>
  </si>
  <si>
    <t>de Losada, Ramón</t>
  </si>
  <si>
    <t>Ramón de Losada</t>
  </si>
  <si>
    <t>conferir en el estado mayor de losexércitos los empleos de ayudantes generales al brigadier D. Fernando Montoya y Solís,. y á los tenientes coroneles D. Ramón de Losada, D. Joaquín Montemayor, D.; Francisco Xavier Cabanes, D. Andrés Bassccourt, D. Felipe Montes, D. José Ezpeleta y D.'Gaspar Di­ ntel: los de ayudantes primeros…</t>
  </si>
  <si>
    <t>de Losadacomandante, Xavier</t>
  </si>
  <si>
    <t>Xavier de Losadacomandante</t>
  </si>
  <si>
    <t>e no pase su viage de los lugares mas inme !ií?tos del contorno. Cay. Iropal i 1 de enero. — Extracto del parle comunicado por el ma­ riscal de campo D. Xavier de Losadacomandante general en S.° del principado, al general en gefe D. Nicolás Mahjj. “Con eifin.de aprovechar algunos dias de tiempo regular, em­ prendí la marcha c…</t>
  </si>
  <si>
    <t>de Lspeñi, Manuel</t>
  </si>
  <si>
    <t>Manuel de Lspeñi</t>
  </si>
  <si>
    <t>principio de la actual guerra, que ha seguido constantemente, en todos los mandos y comisiones que se? id confUron, se ha -dígaselo S. A. conceder á D. Manuel de Lspeñi !a gracia do la gran cruz de la real y distinguida orden es * panela dd Carlos III. Lo que comunico á V. de órdsn de S. A. para su gobierno, y para que lo hag…</t>
  </si>
  <si>
    <t>de Lszarrsga, Miguel</t>
  </si>
  <si>
    <t>Miguel de Lszarrsga</t>
  </si>
  <si>
    <t>l eampo de batalla, ó han perecido de resultas do ñus herida?. Nuestra pérdi?Ia consiste en 6 muertes, entre cito el comandante iRteñno.de caballería D. Miguel de Lszarrsga y un sargento primero, y en 34 heridos: mí en bailo recibió un balazo, y quedó inutilizado. XC ta jernedfí ha cubierto de gloria á mis cficísdes y soldado…</t>
  </si>
  <si>
    <t>de Ltiba, Francisco</t>
  </si>
  <si>
    <t>Francisco de Ltiba</t>
  </si>
  <si>
    <t>nor á los D. Miguel Serrano. oficiales y soldados que han tenido parte en ellas. D. Pedro García. Tenientes. D. Josrf Pareja, PLAZA DI MADRID. BOLSA. D Francisco de Ltiba. DIA 17 DS AGOSTO DB l8ll. D. Francisco Santaella. Subtenientes. Efectos públicos. D. Francisco González. Vales reales......................................…</t>
  </si>
  <si>
    <t>de Lucena, Rafael</t>
  </si>
  <si>
    <t>Rafael de Lucena</t>
  </si>
  <si>
    <t>a. Nos D. Raimundo Ochaita. Judiamos autorizados para desmentir estas voces. D. R afael de la Vega. No b.ti ninguna conferencia cutre los dos gobier­ D. Rafael de Lucena. nos, ni puede haberla mientras que subsista la ac­ D. R f.e! Caballero y Escovar. tuó administración inglesa, cuyos principios de D. Manuel Alvarez. guerra …</t>
  </si>
  <si>
    <t>de Lugo, Estanislao</t>
  </si>
  <si>
    <t>Estanislao de Lugo</t>
  </si>
  <si>
    <t>res de las unas sobre Noticioso el alcalde del Soto de Roma D. Pe­ los de las otras. dro Molina de que en las cercanías de aquella po­ El Exento. Sr. D. Estanislao de Lugo, conse­ blación se habla reunido una qúadrilla de bandi­ jero de Estado, y director de dichos estudios, ha dos , pidió auxilio al teniente de guarda-mayor …</t>
  </si>
  <si>
    <t>de Luja, Josef Clemente</t>
  </si>
  <si>
    <t>Josef Clemente de Luja</t>
  </si>
  <si>
    <t>Morrreai....... ............................ 1460 D. Juan Duat.................................. 3600 Doña Bernarda Diaz........................ atyo D. Josef Clemente de Luja............ 3360 D. Pedro de la Serna....................... 8100 D- Josef Antonio Rodríguez......... 720 D. Antonio Ruiz de C-stilIa......... 433 17 D…</t>
  </si>
  <si>
    <t>de Luna, Pedro</t>
  </si>
  <si>
    <t>Pedro de Luna</t>
  </si>
  <si>
    <t>aciones del tesoro público.... 7n ¡d. art. viii. En la villa de Almodovar del Rio Oro español contra plata.............. . se formará media compañía. D. Pedro de Luna está nombrado capitán, y D. Francisco López Cañete subteniente. TEATROS. art. ix. En la villa de VilJaviciosa se forma­ En el del Príncipe, á las siete de la ro…</t>
  </si>
  <si>
    <t>de Luque, Antonio</t>
  </si>
  <si>
    <t>Antonio de Luque</t>
  </si>
  <si>
    <t>un peso de i9 libras á « 11 8 pies en un minuto, su efecto equivaldrá al trafranciscano descalzo. x bajo diario de 6 1 hambres.” Para la de Cordela á D. Antonio' de Luque, En las memorias de la academia de Berlin de 1756 ex-carmelita calzado. se halla una memoria de Eulero sobre la teoría da los Para la de Illar á D. Salvador…</t>
  </si>
  <si>
    <t>de Luque, Antonio Martin</t>
  </si>
  <si>
    <t>Antonio Martin de Luque</t>
  </si>
  <si>
    <t>ón de terdan, vive en Sainte-Catharinastreet, al lado de D. Cristóbal Garda al de Valor, al presbítero ex­ la torre de Londres. regular franci-c-itio D. Antonio Martin de Luque. Antón Eistein, mesonero en Mameltreet, in­ Para el de Darrical y Beninar, vacante por mediato á Goodman, hijo, núm. 19, en Lon­ promoción de D. G.bri…</t>
  </si>
  <si>
    <t>de Luxá, Josef Clemente</t>
  </si>
  <si>
    <t>Josef Clemente de Luxá</t>
  </si>
  <si>
    <t>. Juan Andurco................... 54.. 18 y por la constitución del estado, REI de las D. Pedro Meruendano........ 5 53°-- 4 Españas y de las Indias. D. Josef Clemente de Luxá. 672 0 Vistas las consultas de la comisión de li­ D. Julián González Saez..... 400 quidación de la deuda del Estado; lo expues­ Los señores Albert é hi…</t>
  </si>
  <si>
    <t>de M, Luis María</t>
  </si>
  <si>
    <t>Luis María de M</t>
  </si>
  <si>
    <t>1302</t>
  </si>
  <si>
    <t>s. «Carta déla junta al general ingles HUI.—-Ex cirio. Sr.: Luego que esta junta superior supo ía entrada de V. E. en su provincia, acordó que el Sr. D. Luis María de M;nd®za, marquea da la Ala­ meda , pasase en su representación a ofrecer á V. É. sus respetos, y franquearle, igualmente que á la valiente tropa do su mando, la…</t>
  </si>
  <si>
    <t>de M, Vicente Sánchez</t>
  </si>
  <si>
    <t>Vicente Sánchez de M</t>
  </si>
  <si>
    <t>obispado de Santander á favor de la división cántabra del mando del brigadier D. Juan I)iaz Portier. D. Román Diaz Tagle, 100. L. Juan Madrazo, 100. D Vicente Sánchez de M-'ifoellan, 100. D. Miguel Ruiz , 100. D. Felipe de Herrera, 100. D. Miguel Villegas, 100. D. Manuel Herrero, 100. D. Juan Antonio Gutiérrez, 100. I). José …</t>
  </si>
  <si>
    <t>de Ma, Josef</t>
  </si>
  <si>
    <t>Josef de Ma</t>
  </si>
  <si>
    <t>1793</t>
  </si>
  <si>
    <t>rohibido los géaeroJ colo­ articulo 1. „ Nombramos caballero del in­ niales con el mayor rigor. Asi pues, no creyendo signe órden del Toison de Oro á D. Josef de Ma­ que el mal sea momentáneo sino un resultado ne­ zarred o , nuestro ministro de la Marina. cesario del sísrema adoptado por el enemigo, cu­ art. il. El canciller …</t>
  </si>
  <si>
    <t>de MADRID, Fernando PLAZA</t>
  </si>
  <si>
    <t>Fernando PLAZA de MADRID</t>
  </si>
  <si>
    <t>la de Carcabuei se formará do = Mariano Luis de Urquijo.” Una compañía. Queda nombrado capitán de esta compañía Doa Juan Serrano Reyes; para teniente D. Fernando PLAZA DE MADRID. BOLSA. Serrano, y para subteniente D. Pedro Serrano DIA 30 DE MARZO DE l8ll. Reyes. art. vii. Eq la villa de Ptñ.flor. se formará una compañía. Efec…</t>
  </si>
  <si>
    <t>de MADRID, PLAZA</t>
  </si>
  <si>
    <t>PLAZA de MADRID</t>
  </si>
  <si>
    <t>. parte dfcl general Freiré, relativo á los últimos su­ cesos del tercer exército , á que acompañan como dreumentos otros varios, entre eilos los del general PLAZA DE MADRID. BOLSA. O- Donell , en que refiere la acción de Zujar, y los del general Quadra, expresando las circunstancias DIA 31 DE OCTUBRE DE l8ll. y necesidad de …</t>
  </si>
  <si>
    <t>de Magallanes, Julián</t>
  </si>
  <si>
    <t>Julián de Magallanes</t>
  </si>
  <si>
    <t>id., 2. D. Antonio José Ximenez , id , 2. 3). José García, id., 2. D. Francisco González, id., 1. D. Domingo Sán­ chez , sobrestante del molino , 4. D. Julián de Magallanes , id, segundo , 2, IX Esteban de Urbieta, mayoral, 1, D. Antonio Fialio , contramayoral, 1, D. Santiago de Tagie, sobrestante dé la cigarrería, 2, D. Juan…</t>
  </si>
  <si>
    <t>de Mancebo, Juan Esteban</t>
  </si>
  <si>
    <t>Juan Esteban de Mancebo</t>
  </si>
  <si>
    <t>Fació; empleo de alférez de granade­ ros al de fusileros D. Manuel San Llórente; y empleos de alféreces ¿ los cadetes D. Juan Nepomuceno de Mancebo, D. Juan Esteban de Mancebo, D. José Me rejón, y D. Antonio María San Andrés. Ei Consejo de Regencia se ha servido conferir el empleo de co­ ronel á D Francisco Dionisio Vives, co…</t>
  </si>
  <si>
    <t>de Mancebo, Juan Nepomuceno</t>
  </si>
  <si>
    <t>Juan Nepomuceno de Mancebo</t>
  </si>
  <si>
    <t>z da granaderos D. José Antonio Fació; empleo de alférez de granade­ ros al de fusileros D. Manuel San Llórente; y empleos de alféreces ¿ los cadetes D. Juan Nepomuceno de Mancebo, D. Juan Esteban de Mancebo, D. José Me rejón, y D. Antonio María San Andrés. Ei Consejo de Regencia se ha servido conferir el empleo de co­ ronel …</t>
  </si>
  <si>
    <t>de Mánchaos, D Martín González</t>
  </si>
  <si>
    <t>D Martín González de Mánchaos</t>
  </si>
  <si>
    <t>1089</t>
  </si>
  <si>
    <t>ortancia de la educación militar, y deceso de fomentar la academia establecida para este objetó ca la Real lila de Leofc, (i propuesta ‘del inspector general D Martín González de Mánchaos, y baxq la dirección del coronel D. Mariano Gil de Bernabé, destinó el exprés:-do donativo para los gastos y mantenimiento de' tan lauda- •…</t>
  </si>
  <si>
    <t>de Mar, Á Ionio Garcés</t>
  </si>
  <si>
    <t>Á Ionio Garcés de Mar</t>
  </si>
  <si>
    <t>vanguardia á las órdenes del brigadier D. Pedro Sarsfield, destinada á hacer eí ataque sobre el pueblo , y la de reserva al mando del de igual clase D. Á 1 Ionio Garcés de Mar cilla. Llegué al amanecer del dia siguiente al frente de los enemigos que bloqueaban i S. Fernando 3 y después de haber reconocido coa Sarsñsld las pos…</t>
  </si>
  <si>
    <t>de Marrnela, Apolinar</t>
  </si>
  <si>
    <t>Apolinar de Marrnela</t>
  </si>
  <si>
    <t>Baramendi, 30. D. Clemente Delgado, 10. D. Vicente Travieso, 10. I). Francisco de Arocha, 9. D. José Antonio de la G irza, 10. D. Víctor Blanco, 20. D. Apolinar de Marrnela, 40. D. Be nito Antón, ,20, D. Francisco Perez, 10. I). Antonio Vaca, 50. D. José Antonio Saucedo, 20. D. José Angel Navarro, 10. D. José María Zambrano, …</t>
  </si>
  <si>
    <t>de MARZO, Pedro Serrano DIA</t>
  </si>
  <si>
    <t>Pedro Serrano DIA de MARZO</t>
  </si>
  <si>
    <t>mpañía. Queda nombrado capitán de esta compañía Doa Juan Serrano Reyes; para teniente D. Fernando PLAZA DE MADRID. BOLSA. Serrano, y para subteniente D. Pedro Serrano DIA 30 DE MARZO DE l8ll. Reyes. art. vii. Eq la villa de Ptñ.flor. se formará una compañía. Efectos públicos. D. Luis de los Ríos queda nombrado capitin; Vales …</t>
  </si>
  <si>
    <t>de Mayó, Francisca</t>
  </si>
  <si>
    <t>Francisca de Mayó</t>
  </si>
  <si>
    <t>....................................................... 2200 D. Ignacio Miguel de Agote, D. Ignacio D. Ramón Pérez y Morales, ex-trinitario Vicente y Doña Francisca de Mayó­ descalzo, residente en Cienpozuelos, por 2200 la, como herederos de D. Fernando de D. Cirilo Sánchez Deva, ex-carmdira cal­ Mayora, por mano del citado I…</t>
  </si>
  <si>
    <t>de Mazarredo, Josef</t>
  </si>
  <si>
    <t>Josef de Mazarredo</t>
  </si>
  <si>
    <t>infantes de Lara , en la que des­ El Excmo. Sr. D. Gonzalo O Farrill......... 500 empeñará la parte de galan un joven de catorce años, El Excmo. Sr. D. Josef de Mazarredo........ 500 hijo del señor Antonio González, el que se prefina El Excmo. Sr. D. Mariano Luis de Ur~ por primera vez en ei teatro:. seguirá una tonadilla; y …</t>
  </si>
  <si>
    <t>de Mazarredo, Lope García Salazar</t>
  </si>
  <si>
    <t>Lope García Salazar de Mazarredo</t>
  </si>
  <si>
    <t>erado D. Manuel Martínez D. Santos Ortiz............... ..................... 43Jo de Novales....................................... 1263 17 3 4500 1 D. Lope García Salazar de Mazarredo. 2700 2 Doña Carolina López de la Huerta.. 13 53 25-*- 10 D. Matías Bayo................................... 3 D. Santos Ortiz................…</t>
  </si>
  <si>
    <t>de Mcndia, Josef Ignacio</t>
  </si>
  <si>
    <t>Josef Ignacio de Mcndia</t>
  </si>
  <si>
    <t>..... 2223 xo art. 111. Nuestro ministro de Hacienda queda D. Lorenzo de Palacio y Gorbea.. 2223 10 encargado de la eXecüeion del presente decreto. = D. Josef Ignacio de Mcndia......... 9449 &lt;5 Eirmado = YO EL REI. = Por S. M., el minis­ D. Pablo Coma......... .......... .......... 1400 tro secretario de Estado=Firmado — Mari…</t>
  </si>
  <si>
    <t>de Mediavilla, Manuel</t>
  </si>
  <si>
    <t>Manuel de Mediavilla</t>
  </si>
  <si>
    <t>nimo Horruytiner/ 12. — Tlllál cuerpo'de artiO/ería. J1); Baltasar García , capitán segundo , ÍOO. D José Vicente Pobla­ ciones , subteniente., 100.- D. Manuel de Mediavilla , guarda-almacén ordi­ nario , 100. D,. Domingo Liergo, distinguido , 10. D: Ignacio Gómez, dis­ tinguido de milicias, 50. Los inidividuos de tropa , 1-3…</t>
  </si>
  <si>
    <t>de Medina, Joaquín</t>
  </si>
  <si>
    <t>Joaquín de Medina</t>
  </si>
  <si>
    <t>la dependencia D. Rodrigo Cañaveral. eo que ha estado de la América hasta aqui por es­ Tenientes. te artículo? Merece pues que los curiosos se dedi­ D. Joaquín de Medina. quen, como el autor los convida , á comprobar sus D. Juan Cívico. aserciones. Si ea efecto llegasen á realizarse las es­ D. Antonio Tejada. peranzas que ha …</t>
  </si>
  <si>
    <t>de Medina, Mariano</t>
  </si>
  <si>
    <t>Mariano de Medina</t>
  </si>
  <si>
    <t>iente coronel D. Rafael Montalvo, por igual oferta , 72. El presbítero Dr. D. José María Vázquez , 102. D. José Naranjo, 204. D. Manuel Moinelo, 100. D. Mariano de Medina por el prest de 3 solda­ dos durante la guerra en un mes , 27. D. Tomas de Je,ara, como síndico del convento ue Capuchinos á nombre del hermano Saruboy , 4-…</t>
  </si>
  <si>
    <t>de Medina, Pedro Perez</t>
  </si>
  <si>
    <t>Pedro Perez de Medina</t>
  </si>
  <si>
    <t>« por el de un sollado en un mes durante la guerra , 9 pesos fuertes. X) Ramón Feroz de Alderete , capitán de milicias , por el de uno id. , 9. Lie. D. Pedro Perez de Medina , 25. Dr. D. Dionisio Vicente Matamoros, 291. E! capitán D. Juan 'ovarrubias , por tercera parte de su oferta anual durante la guerra, 100. La 'marquesa …</t>
  </si>
  <si>
    <t>de Melgarejo, Rimon</t>
  </si>
  <si>
    <t>Rimon de Melgarejo</t>
  </si>
  <si>
    <t>José Martí y D M. nu l de la Vera : empleo de segun­ do anudante mayor al segundo teniente D. Pedro Gamez y las Casas; s ganda tenencia a1, a? fe reí D Rimon de Melgarejo : empleo &lt;te al­ férez de cazadores, ai de fusileros D. Luis Monteroj y empleos de al­ féreces de fusileros, á D. Pió Sotolongo , subteniente del batallón d…</t>
  </si>
  <si>
    <t>de Mena, Alfonso</t>
  </si>
  <si>
    <t>Alfonso de Mena</t>
  </si>
  <si>
    <t>10 de diciembre de 1811, silla..................................................... ' 541 17 Don JosefNapoleon por la gracia de Dios y por la cons­ s D. Alfonso de Mena...... ..................... 180 17 titución del estado, RUI de las Españas y de las Indias. 2 D. Casimiro Antonio Gómez............ 6859 Vistas las consultas …</t>
  </si>
  <si>
    <t>de Mendizabal, Gabriel</t>
  </si>
  <si>
    <t>Gabriel de Mendizabal</t>
  </si>
  <si>
    <t>170 ARTICULO DE OFICIO. Partes del teniente general .D. Gabriel de Mendizabal al Sr. gefe del estado mayor general. i.° “Excmo. Sr.: Con lecha de 28 del corriente di parte á V E. de que los enemigos tenían bloqueada esta plaza; desde dch) d.r hasta hoy 31 no ha habido mis</t>
  </si>
  <si>
    <t>a de las partidas de mi mando , D. Fcli.iano Cuesta. Dios guarde á V. E. muchos años. — Lagunilla 4 dé febrero de 1811.— Julián Sánchez. — Excmo. Sr. D. Gabriel de Mendizabal.” Parte de D. José Martin A D. Julián Sánchez. « Gomo dixe á V. S* eneraba un coa voy que pasaba de Alba k Ciudad-Rodrigo, totoé las</t>
  </si>
  <si>
    <t>de Mendizabál, Gabriel</t>
  </si>
  <si>
    <t>Gabriel de Mendizabál</t>
  </si>
  <si>
    <t>197</t>
  </si>
  <si>
    <t>halla á la izquierda de! Ebro, incluyendo las mont. ñns y costa dé Santander Y atendiendo á los servicios y particular mérito del tenien­ te generar D. Gabriel de Mendizabál, se ha servidoS. A n mh-arís ge­ neral en gefe de este exé.cito, y al brigadier D. Juan Di z Pür i x comandante de vanguardia con la divsion de su cargo,…</t>
  </si>
  <si>
    <t>Gazeta de la Regencia de España e Indias n.º 44</t>
  </si>
  <si>
    <t>ra que mejarle parezca al mariscal duque de Treviso. X. Será permitido al Sr. general Imaz, gobernador de la, plaza, enviar un oficial al Exento. Sr. D. Gabriel de Mendizabal, general en ge fe interino del 5.° exército, con una , copla de la presente capi­ tulación. Hecho en Badajoz eí día. 1 o de marzo de 1811 , i las ocho y…</t>
  </si>
  <si>
    <t>oportunidad. — Dio3 guarde á V. E. muchos año?. Cuartel general de Ranedo á 21 de agosto de 1811. — Exerao. Se­ ñor.— Juan Díaz Porlier.-—Exorno. Sí. D. Gabriel de Mendizabal, general en gefe del séptimo exército.” Cádiz 18 de setiembre. Escriben de Sevilla con fecha del 8 que i. ■ &lt; ti . : a .i -i ___ *____C-Z___ *_ lioncil …</t>
  </si>
  <si>
    <t>que en Bayona se citan adestrando conscntcs con el mismo destino» Se halla preso en esta ciudad un hermano del general en gefe del séptimo exórcito, D. Gabriel de Mendizabal, Bin otro delito ni pretexto que ssi hermano de este genera*. Tropelía muy conforme al espíritu, de opyesioo y tiranía, que ha dictado la orden publicada…</t>
  </si>
  <si>
    <t>de Mendoza, Josef Joaquín Ruiz</t>
  </si>
  <si>
    <t>Josef Joaquín Ruiz de Mendoza</t>
  </si>
  <si>
    <t>dolid...... ..... efectivo. * Guadalaxara. Córdoba.......... ..... efectivo. 2 Secretario general de la prefeetnra de Guadal?Efectos públicos. xara á D. Josef Joaquín Ruiz de Mendoza. Subprefecto de ia subprefectura de Sigiienza, Vales reales.... .................................... 9° i prefectura de Guadalaxara, á D. Vicent…</t>
  </si>
  <si>
    <t>de Menina, Dom'ngo Camilos</t>
  </si>
  <si>
    <t>Dom'ngo Camilos de Menina</t>
  </si>
  <si>
    <t>sta bien tarde; ayer lo hubo, y hoy debe también haberlo. Mahresa 11 de febrero. Escriben de Peiíejá que habiendo obser­ vado el -comandarice imtrino D Dom'ngo Camilos de Menina qni los enemigos de Barcelona , después de haber tocado generala,había 1 sa­ lido á las 5 de la mañana del 28 del pasado, en número ¿e 28 in­ fantes,…</t>
  </si>
  <si>
    <t>de Mera, D Joaquín</t>
  </si>
  <si>
    <t>D Joaquín de Mera</t>
  </si>
  <si>
    <t>51.5 Mttaró para e! uso de nuestro exército, habiéndose fugado su tripula­ ción.— Ei Consejo de Regencia ha dispuesto que sé inserte en ía gaceta. El teniente coronel D Joaquín de Mera, enmaridante general dé -las gu errillas dé caballería ¿cl quinto exército, oficial acreditado ¿n mas de ••ico combates ,• terminó sus dias gl…</t>
  </si>
  <si>
    <t>de Mesa, Rodrigo</t>
  </si>
  <si>
    <t>Rodrigo de Mesa</t>
  </si>
  <si>
    <t>lón, los individuo* siguientes: De la compañía de caballería. Capitanes. Capitán. D. Ignacio Argc te. D. b vderico mií. D. Francisco Perez de Algava. D. Rodrigo de Mesa. Teniente. D. lLmor. F.ores. I). Rafael Orive. D. Josef Goztnan. D. Ramón Ncgtete. Subteniente. D. José! Fernandez de Córdoba. 4 1 D. Rat.iel S^ravia. D. Fran…</t>
  </si>
  <si>
    <t>de Miguel, Mariano</t>
  </si>
  <si>
    <t>Mariano de Miguel</t>
  </si>
  <si>
    <t>go Cierto, I). Antonio Vallaría© y D. Sebastian Peñasco; y subte­ nencias á D. Diego Blanco, D. Manuel Miravete, D. Pablo J *¿ica, D. José Camerino, D. Mariano de Miguel, D. Manuel Nieto, Don Juan de Cacho, ü. Agustín Roa, D. Ramón de ArroyueSo, Don Joaquín de Luzuriaga, D. José Francisco de R&amp;viila, D. Vicente Madera, y D. J…</t>
  </si>
  <si>
    <t>de Miranda, Gabriel López</t>
  </si>
  <si>
    <t>Gabriel López de Miranda</t>
  </si>
  <si>
    <t>...................................... 2200 dente en id., por......................................... 2200 D. Francisco Terraza , ex-agonizante, re­ D. Gabriel López de Miranda , id. , lego, sidente en Santa Cruz de Múdela, por 2209 residente en Getafe , por.............................. IIOO D. Josef Franco Marín , resident…</t>
  </si>
  <si>
    <t>de Mmdizalal, Gabriel</t>
  </si>
  <si>
    <t>Gabriel de Mmdizalal</t>
  </si>
  <si>
    <t>ión pasa estorbarle. ARTICULO DE OFICIO. Extracto de los partes pasudos al gefe del estado mayor general por el general en gefe del séptima exéfrito, D. Gabriel ‘de Mmdizalal. ■ “ Éí oora anda ule de las partidas de su nombre D. Francizco 4o Longa participa ai expresado general en gefe, «leí le Moneo en Cattilla ia Vieja, que…</t>
  </si>
  <si>
    <t>de Mola, Leandro Fernandez</t>
  </si>
  <si>
    <t>Leandro Fernandez de Mola</t>
  </si>
  <si>
    <t>wv‘EP.CITO IMPERIAL DE AHAGOÍ?; Urquijo.” Por decretos de 12 del corriente S. M. se ha Campo de Murviedro 0.6de octubre de iSir for servido nombrar á D. Leandro Fernandez de Mola tarde. ratin su bibliotecario mayor; á D. Matías Mur de los Ríos secretario de la interpretación de lenguas; Soldados: ,,El general en gefe B'ake, u…</t>
  </si>
  <si>
    <t>de Molier, Vicente Bustaman</t>
  </si>
  <si>
    <t>Vicente Bustaman de Molier</t>
  </si>
  <si>
    <t>te de la noche, se re­ Subprefecto de ¡a subprefectura de Ocaúa , en presentará por la compañía española la comedia nueva la prefectura de Toledo , á D. Vicente Bustaman- de Molier en un acto titulada el Marido chasqueado; te, coronel gobernador de Ocaña. seguirá la pieza de música el Triunfo de Jas mugeres, Subprefecto de la…</t>
  </si>
  <si>
    <t>de Molina, Juan</t>
  </si>
  <si>
    <t>Juan de Molina</t>
  </si>
  <si>
    <t>prisioneros rescatados.—D. Lorenzo Ximsnez, capitán de guardias Esp? ñolas, co­ ronel. D. Alonso Rivera, comandante de caballería del latente, ídem. D. Juan de Molina, teniente coronel de-Artillería. D. Fernando Garri­ do, ce-mar. dan te del reveno escuadrón de Gayada, ge fe de panda, teniente coronel. D. Boiáingo Pavía, del …</t>
  </si>
  <si>
    <t>de Montaivo, Alonso Díaz</t>
  </si>
  <si>
    <t>Alonso Díaz de Montaivo</t>
  </si>
  <si>
    <t>us­ carrera de S. Gerónimo. trar la hi-toria, como modelo y dechado del lenguage-castellano, y corno obra de erudición y de gusto. '* . „* teatros El doctor Alonso Díaz de Montaivo tuvo. la En el delPríncipc , á las siete de la noche, se.regloria de ser el primer editor de las Partidas: las resentará Í.ope de Vega por (a comp…</t>
  </si>
  <si>
    <t>de Montenegro, Manafel Garda</t>
  </si>
  <si>
    <t>Manafel Garda de Montenegro</t>
  </si>
  <si>
    <t>... 35775 9 226 31 16800 D. Livinio Stuyek y Vandergoten.. 41697 16 Doña Angela Francisca Ramos..... D. Fernando de Beingoechea........ 2753 26 522 8 D. Manafel Garda de Montenegro. 28000 D. Sebastian de Otacgui................ 2689 23 D. Joaquin Calvo........................... 14035 6 Doña María Teresa de la Concha.. 1022 2…</t>
  </si>
  <si>
    <t>de Montiano, Manuel Josef</t>
  </si>
  <si>
    <t>Manuel Josef de Montiano</t>
  </si>
  <si>
    <t>........... 3560 D. Jalian Brethous........................ 3068 *7 D. Bartolomé Benitez del Ponte... 4416 6 D. Francisco López de A.'caráz.... 90 8f D. Manuel Josef de Montiano....... 88x2 2 El conde de Casa-Valencia.......... 589 Doña Josefa Juana Vázquez de Doña María Rosa de O-Rcilli..... 12996 Silva......................…</t>
  </si>
  <si>
    <t>de Montoya, Juan</t>
  </si>
  <si>
    <t>Juan de Montoya</t>
  </si>
  <si>
    <t>8505 quesa del Socorro......................... 10849 32§ Doña Victoria Gadea.................... 15075 21 Doña Dorotea Macdonell............. 773 2f D. Juan de Montoya..................... 121 JO D. Francisco Xavier Martínez Re­ D. Juan Antonio de Arechaga é mo» .............................................. M952 27! hijos..…</t>
  </si>
  <si>
    <t>de Mora, Josef</t>
  </si>
  <si>
    <t>Josef de Mora</t>
  </si>
  <si>
    <t>i r ii P Joaquín Marcos, ex-triuitario descal­ D. Josef de Mora, id., residente en Al­ zo, residente en Valdemoro, por.......... 2200 magro, por.................................................... 2200 ]). Ignacio Gamboa , id., lego, residente D. Manuel</t>
  </si>
  <si>
    <t>de Moya, Ana</t>
  </si>
  <si>
    <t>Ana de Moya</t>
  </si>
  <si>
    <t>bildo de la catedral y del con el soto, tierras de D&gt;jo extinguidoconventodc Do­ Antonio de Mesa, olivares minicos de la Guardia......... 669 8028 de Doña Ana de Moya, y Una heredad de olivos y al­ camino que va á Villar- mendros en el sitio de la gordo.................................... *8o 6960 Gasea , con su cas.. de teja…</t>
  </si>
  <si>
    <t>de Mu, Roque y</t>
  </si>
  <si>
    <t>Roque y de Mu</t>
  </si>
  <si>
    <t>uvo el atrevido pensa­ cundo y ameno. El diálogo de e*te drama , y so­ miento de presentarla al teatro con tan poco deco­ bre todo los dos papeles de D. Roque y de Mu­ ro, sobrada grosería, y ninguna verosimilitud. ñoz, le daran siempre en nuestro teatro el lugar Nuestro valeroso C'd, guerrero ilustre, cau­ distinguido qoe me…</t>
  </si>
  <si>
    <t>de Muga, Juana</t>
  </si>
  <si>
    <t>Juana de Muga</t>
  </si>
  <si>
    <t>... 60964 2 J D. Manuel Sardina.......................... 3068 Doña Rosa de Siman Pontero...... 810 D. Ramón de Arana....................... 20559 8f Doña Juana de Muga.................... 900 D. Guillermo Uhagon.................... 6coo D. Juan Hourco............................. 1800 D. Juan Hourco..........................…</t>
  </si>
  <si>
    <t>de Náxera, Ramón</t>
  </si>
  <si>
    <t>Ramón de Náxera</t>
  </si>
  <si>
    <t>, 190 rs. de rn. D. Juan Manuel de San Román, 200. X). José Diez Imbreck , 200 y 4 fusiles-. D. Miguel de Trucha Basco, 300. D. Manuel de Hebia, 100. D. Ramón de Náxera* 300. D. Francisco Sánchez Tosar, 400. Fr. D. Francisco de Paula Madrigal, por sí y por otro, 40. D. Ramón Valiente, 1200. Un emigrado,! 20. D. Santiago de Al…</t>
  </si>
  <si>
    <t>de Ncñez, Francisco Lop-z</t>
  </si>
  <si>
    <t>Francisco Lop-z de Ncñez</t>
  </si>
  <si>
    <t>873 31 Misericordia................................ S0800 1). Gerónimo de Iglesias............... 6242 16 D. Lope García Mazarredo........... 7569 24 D. Francisco Lop-z de Ncñez....... 2625 El convento de rñonjas franciscas D. Pedro Pablo Pastor.................* 2464 23 de Sta» Clara de la villa de CicmD. Josef Badan........…</t>
  </si>
  <si>
    <t>de Nie, Juana María González</t>
  </si>
  <si>
    <t>Juana María González de Nie</t>
  </si>
  <si>
    <t>s en 6 meses durante la guerra, 810. Don Juan lumano, 100. Doña Dolores Otañez, 1. Lie. D. Juan Rafael de Al jo-, rin , cura de Quivican, á nombre de Doña Juana María González de Nie-, bla, 20. Ei capitán. D. Juan Menerulez, habilitado del real cuerpo de ar­ tillería, por oíerta de su. oficialidad y tropa, incluso el minister…</t>
  </si>
  <si>
    <t>de Nieva, Beaussé Santa María</t>
  </si>
  <si>
    <t>Beaussé Santa María de Nieva</t>
  </si>
  <si>
    <t>a parre del que le ha remi­ t¿, partido de Tarancon, en la ooehe del 12 al tido el teniente coronel Burtc , comand.inte de 13 del corriente, mandó al comandante Beaussé Santa María de Nieva, reducido á que habiéndo­ acelerar su marcha con la vanguardia de caballería le atacado de 800 á 900 bergantes el j del cor­ que le había…</t>
  </si>
  <si>
    <t>de Noguer, Angel</t>
  </si>
  <si>
    <t>Angel de Noguer</t>
  </si>
  <si>
    <t>Vorey : primera tenencia de fusileros á los segundos tenientes D. José Vaca del Barco , D. Diego Vaca del Barco, D. Isidro Montero, de granaderos, y D. Angel de Noguer, segundo ayudante mayor : segunda tenencia de granaderos á los agregados de fusileros D. José Broaini y D. Wenceslao conde de Petting: segundas tenencias de fu…</t>
  </si>
  <si>
    <t>de Novales, Manuel Martínez</t>
  </si>
  <si>
    <t>Manuel Martínez de Novales</t>
  </si>
  <si>
    <t>ha mandado citar al lord Fiagall , y á 39 D. Ignacio Agudo................................ 46208 los quatro señores ILrnewal!, por haber presidido 24 D. Manuel Martínez de Novales...... 13898 17 las asambleas de ¡os católicos , y ademas a dos dia­ 9 D. Josef Zapiain.......... ....................... 11010 17 ristas por haber …</t>
  </si>
  <si>
    <t>de Novna, Antonio</t>
  </si>
  <si>
    <t>Antonio de Novna</t>
  </si>
  <si>
    <t>y hace respetar las leyes con que sop goberna- ti. = D. Joset Cabrera. = D. Fernando S. Miilan.= «dos. Sin este freno, los exércitos serian una pía- D. Antonio de Novna.nD'. Francisco G ocia. = *&gt;ga para .el estado qpe deben servir,, pues que D. Josef fíleaoo = D. Francisco de Carrion == Don «siendo tantos y tan graves los ma…</t>
  </si>
  <si>
    <t>de O, Francisco</t>
  </si>
  <si>
    <t>Francisco de O</t>
  </si>
  <si>
    <t>forzó á retirarse nuestras avanzados ; pero las del centro y derecha, reforzadas con dos compañías del regimiento de Bargas al mando de los capitanes D. Francisco de O ña y D. Jasé AUliro, dis­ putaron • el terreno á palmos, batiéndose con el mayor orden y bi­ zarría : y el capitán Oña se situó en u¡i ribazo s la orilla izqui…</t>
  </si>
  <si>
    <t>de O, Maíiat'o</t>
  </si>
  <si>
    <t>Maíiat'o de O</t>
  </si>
  <si>
    <t>179</t>
  </si>
  <si>
    <t>erd' de B .dH-iz''7 de febrero dé i3n. ■— Exc -' e ní? m u Señor — Gabriel de Aíc 'Ahábal-—Excmo. Sr. secretario de estado y del despacho de guerra.” D. Maíiat'o de O íate con fecha de 19 de enero dice al señor minisrro de la guerra t* le skue-nre: l. -1 frExcm &gt; Sr. —- Entre las brillantes acciones del valiente alavés L nga,…</t>
  </si>
  <si>
    <t>de Oca, Micaela Francisca Montes</t>
  </si>
  <si>
    <t>Micaela Francisca Montes de Oca</t>
  </si>
  <si>
    <t>José Badia,2.— Hacendadas. Doña María Manuela Gqla, 500. Doña Ana María Morgues, 25. Doña María Josefa Marcin , 50. Doña Gertrudis Gorostiota , 200. Doña Micaela Francisca Montes de Oca, 10. Doña Juana ■ Mareutes, 150. Doña Gvegoria Calzadilla, 100. Doña Josefa de la Fuente y Sarmiento, 800. Do­ ña Rita Machado , 25. — Plater…</t>
  </si>
  <si>
    <t>de Ocampó, Cayetano</t>
  </si>
  <si>
    <t>Cayetano de Ocampó</t>
  </si>
  <si>
    <t>12. D.^Anielma Drigado , 12. Varios espantes del anexo , 51. — Cuvahu'isi. La comunidad de indios y su anexo , 253. I).- José López de Pancovbo , 50. D. Cayetano de Ocampó i 25. D. Juan Bar­ rigón , 25. D: Tomas Negror! , 25. El presbítero D José Silva , 12. D. ■Bernabé Vergara , 12. D. Basilio Sotelo y D Manuel Calvo, 12. D.…</t>
  </si>
  <si>
    <t>de Ochcheberg, Guillermo</t>
  </si>
  <si>
    <t>Guillermo de Ochcheberg</t>
  </si>
  <si>
    <t>453</t>
  </si>
  <si>
    <t>­ salva igual á la primera. tamos pedidos &amp;c. Inmediatamente después salió para París el se­ '• Los lores de la tesorería, en vi&lt;ta de los certi­ ñor conde Guillermo de Ochcheberg acompañado ficados de los comisarios , mandaran enrregar los del señor gentilhombre barón de Ende , para pre­ billetes del echiqttier, en caso que …</t>
  </si>
  <si>
    <t>de Olalde, Josef Antonio</t>
  </si>
  <si>
    <t>Josef Antonio de Olalde</t>
  </si>
  <si>
    <t>sobrinos.......................... 36228.. 8f Arriata................................ ................ 34565..25f La casa de Mezcorta y ccmpañía,por D. Josef Antonio de Olalde.................... 58030. .17 tnano de los mismos Gorbea y so­ D. Ramón González Vango.................. 2246..19 , brinos............................…</t>
  </si>
  <si>
    <t>de Olea, Manuel</t>
  </si>
  <si>
    <t>Manuel de Olea</t>
  </si>
  <si>
    <t>rancisco Mantilla é hijo, 600. D. Manuel Perez González, 600. I). Bernardo Salceda, 600. D. José San Juan, 600. D. Manuel Gutiérrez de Caballos, 600. D. Manuel de Olea, 500. Mozos de tas tiendas. — D Manuel González Plancho , 500. D. José Gó­ mez Soldado, 300. D. Antonio Tagle , 300. D. José del Rivero, 200. D. Ma3uu-[ Salced…</t>
  </si>
  <si>
    <t>de Onis, Mauricio</t>
  </si>
  <si>
    <t>Mauricio de Onis</t>
  </si>
  <si>
    <t>añol Mazarred^, el coronel Murphy , el teniente coronel español C. Ste­ nor. Seguhdo, el capitán D Juan B, Arriaza , agregado á la legación española, D. Mauricio de Onis, id., y el teniente capitán marques del Apartado. Tercero, el gefe de escuadra D. José de Espinosa y el brigaaief servicio de España barón de Geramb. Quarrp,…</t>
  </si>
  <si>
    <t>de Onmoo, Luis</t>
  </si>
  <si>
    <t>Luis de Onmoo</t>
  </si>
  <si>
    <t>La coniniiil de i i líos y de su ant» , 2 id. E' aU cal le mtyor D. José - Santos-', 13. E! del anexo D José Carrillo , 12 El recaudador de tributos D. Luis de Onmoo ha entregado 1)9pesos y ofre­ ce dar en fin de aña otros 109. D Francisco Borja Aimurza, 12. Di­ ña Bartolina Montalvo, 12. D.^Anielma Drigado , 12. Varios espan…</t>
  </si>
  <si>
    <t>de Oqucndo, Miguel Amonio</t>
  </si>
  <si>
    <t>Miguel Amonio de Oqucndo</t>
  </si>
  <si>
    <t>os mayorazgos dei marques de Mortara, por mano de D. Diego de Fuentes....... 1263..17 D. Josef Badan, por...................................... 43850 D. Miguel Amonio de Oqucndo................... 12183.-25^ D. Antonio María y D. Vicente María D. Josef Carranza............................. 209380 Boan.................... 7050…</t>
  </si>
  <si>
    <t>de Oquendo, Mignel Antonio</t>
  </si>
  <si>
    <t>Mignel Antonio de Oquendo</t>
  </si>
  <si>
    <t>Gaceta de Madrid n.º 301</t>
  </si>
  <si>
    <t>da con $3 hom­ sonas siguientes: bres en observación del nuestro; pero Foi, que es­ Rs. vn. taba en Truxillo , habtá salido también para reUDÍrsele.” D. Mignel Antonio de Oquendo. itcoo 20 D. Angel Grosolei........................... 180.0 Mndr'¡d i y de octubre. Pí fu Maií.i de Arpwedes....... ...... 4 0CO D. •Sebastiin de O…</t>
  </si>
  <si>
    <t>de Oquendo, Miguel Antonio</t>
  </si>
  <si>
    <t>Miguel Antonio de Oquendo</t>
  </si>
  <si>
    <t>n­ D. Josef Ignacio de Laiseca.......... sejo de Estado; hemos decretado y decretamos Jo 42637 x7 siguiente •. D. Julián Ruiz de Rcasal......... 21Ó0 D. Miguel Antonio de Oquendo... 176250 articulo i. uSe declaran acreedores del es­ Doña Rosa Simón Pontero............. tado á 69 5 23 D. F rancisco Amorós.................... .…</t>
  </si>
  <si>
    <t>de Oquendoftí, Miguel Antonio</t>
  </si>
  <si>
    <t>Miguel Antonio de Oquendoftí</t>
  </si>
  <si>
    <t>............ 1086..26 maravedís de vellón. D. Luis.de Elizalde................ -.«V.............. art. ii. Se entregarán las correspondientes cédalas D. Miguel Antonio de Oquendoftí........ . - 56250 hipotecarlas á estos interesados , en conformidad á lo dis­ D. Sebastian de Otaegui................................ 67241.-31 p…</t>
  </si>
  <si>
    <t>de Orbaneja, Miguel</t>
  </si>
  <si>
    <t>Miguel de Orbaneja</t>
  </si>
  <si>
    <t>SUPLEMENTO A LA GAZETA DEL SABADO T4 DE SETIEMBRE DE l8ll. Extracto de las minutas de la secretaría de Estado. D. Miguel de Orbaneja........ ................... 10430-16 En nuestro palacio de Madrid á 6 de setiembre D. Feliciano Guizaburruaga.................... 8953-22 de 1811. D. fosef y D. FranciscoMaldonado.... 9223.</t>
  </si>
  <si>
    <t>de Orbe, Juan</t>
  </si>
  <si>
    <t>Juan de Orbe</t>
  </si>
  <si>
    <t>da catedral ai Tenientes. metropolitano , y en defecto de estos al obispo n»a* - D. Ramón Isutiza. antiguo de la provincia eclesiástica. Vemos en es­ D. Juan de Orbe. te derecho, reconocido por el derecho^ público y D. Juan Paniagua. por las constituciones mismas de Ja iglesia , un me­ I&gt;. Mariano Panadero. dio seguro para qu…</t>
  </si>
  <si>
    <t>de Orne, José</t>
  </si>
  <si>
    <t>José de Orne</t>
  </si>
  <si>
    <t>t de un soldado en 3 meses dudante la guerra , 27. Doña Ménica Ruiz, por sí y por sus tres hijos D. Xav&gt;er, D. José y Doña Dionisia de Palacios, 500. D. José de Orne, contador de exército de la provincia de la Luisiana, 500, D. Pedro OH— ver y compañía , por oferta del comercio de la villa del Puerto del Prín­ cipe , 539. El …</t>
  </si>
  <si>
    <t>de Oroe, Fernando</t>
  </si>
  <si>
    <t>Fernando de Oroe</t>
  </si>
  <si>
    <t>ia! tercero , 1. D. Francisco Azcona, oficial cuarto, 2. Don Antonio Cachureo , oficial mayor de la contadnría, para la manutención de un soldado, 9. D. Fernando de Oroe, oficial segundo, 3. D, Domingo de la Fierran , oficial terc.ero, 3. D, Gaspar Alvarez , oficial quinto , 1. D. Pablo de la Guardia, oficial sexto , 3. D. An…</t>
  </si>
  <si>
    <t>de Oroe, Juan Manuel</t>
  </si>
  <si>
    <t>Juan Manuel de Oroe</t>
  </si>
  <si>
    <t>, 3. D. Antonio Marcelino García , oficial séptimo, 1 y 4 rs. D. Juan Bautista Ríos , oficial octavo, 1. D. José Alvarez , escri­ biente primero , 1. D. Juan Manuel de Oroe , id. ¡segundo , 1. D. Miguel Nu­ dez , id. tercero, 1. D. Tomas González Camero, oficial agregado , 1. D. Mi­ guel Román , portero , 1. D. José de la Ros…</t>
  </si>
  <si>
    <t>de Orozco, Nicolás Blasco</t>
  </si>
  <si>
    <t>Nicolás Blasco de Orozco</t>
  </si>
  <si>
    <t>inco reales y diez y odio articulo 1. ,,Se declaran acreedores del esta­ maravedís de vellón. do á art. 11. Se entiegarán á estos interesados las cé­ D. Nicolás Blasco de Orozco por sí,R3 vp- M|S- dulas hipotecarias correspondientes con arreglo á nues­ y como heredero de su hermana Do­ tro decreto de 9 de junio de 1809. ña Ma…</t>
  </si>
  <si>
    <t>, por D. Félix Ugarte , como tutor de Doña mano de D. Juan Ramón García...... 1624..17 Ramona Mota......................................... 2920.. 2 D. Nicolás Blasco de Orozco , por ma­ Doña Manuela de Goiburu..................... 11070 no de D. Vicente González Arnao.. 1083 D. Domiugo y D ¡ña Geróniina Gar­ D oña Antonia Ma…</t>
  </si>
  <si>
    <t>de Orozco, Nicolás ÜUIazco</t>
  </si>
  <si>
    <t>Nicolás ÜUIazco de Orozco</t>
  </si>
  <si>
    <t>.................. • 2 D.-Jcsrí Baidan..................................... *34*3 2 i • 3Í49 H| por D. Alfonso Calbacho...................... 2938 1 D. Nicolás ÜUIazco de Orozco............. 834 20 por D. Juan Estéban dé Trido........... •13563 1 D. Pedro llnañez................ 894 8 por Doña Francisca Xaviera de Osma.. 2 ic…</t>
  </si>
  <si>
    <t>de Ortega, Casimiro Gómez</t>
  </si>
  <si>
    <t>Casimiro Gómez de Ortega</t>
  </si>
  <si>
    <t>Gaceta de Madrid n.º 352</t>
  </si>
  <si>
    <t>al. De ia falta de esto pro­ vocales del consejo de sanidad pública en la sección cede principalmente el poco efecto de las confede­ de cirugía ; y á D. Casimiro Gómez de Ortega vo­ raciones hechas contra Napoleón. En nuestra alian-' cal del mismo consejo en la sección de farmacia, *a con la Gran Bretaña echamos todavía menos…</t>
  </si>
  <si>
    <t>de Ortega, Manuel</t>
  </si>
  <si>
    <t>Manuel de Ortega</t>
  </si>
  <si>
    <t>,Loya. — Antonio era gentil y Rafaelillo apóstata. A este exemplo horroroso de la malicia de la especie humana, opon­ gamos el de la beneficencia ele D. Manuel de Ortega, subdelegado del partido de Chialmátlan, intendencia de Oaxaca. Rste digno ciu­ dadano ha hecho vacunar á sus expensas en el partido mencionada á 6753 person…</t>
  </si>
  <si>
    <t>de Ortiz, Manuel</t>
  </si>
  <si>
    <t>Manuel de Ortiz</t>
  </si>
  <si>
    <t>156 P. Jusb/Garcí a Je Paredes, id., 360. D. Juan Manuel de Urriola, 100. D. An­ tonio Ximenez, 100. D. Manuel de Ortiz, 200. D. Juan Andrés de Gaviria, 40. X). Luis de la Barrera, 100. D. Ambrosio Ansuategui, 100. D. Francisco de Argote , en plata labrada y en pasta, 450. Be los fondos de propios del mismo</t>
  </si>
  <si>
    <t>de Orue, Joaquin</t>
  </si>
  <si>
    <t>Joaquin de Orue</t>
  </si>
  <si>
    <t>...................................... 90000 D. Cayetano Merchi, por mano de Rs. vn...- 1.574387.'. 5 D. Luis Guiltelmo Uhagon.................. 3971 D. Joaquin de Orue, por mano de Don Luis Mattinez de Novales......... ......... 4873..17 Que á una suma importan un millón quinientos D. Miguel de Belgrano......................…</t>
  </si>
  <si>
    <t>de Osma, Francisca Xaviera</t>
  </si>
  <si>
    <t>Francisca Xaviera de Osma</t>
  </si>
  <si>
    <t>. 2938 1 D. Nicolás ÜUIazco de Orozco............. 834 20 por D. Juan Estéban dé Trido........... •13563 1 D. Pedro llnañez................ 894 8 por Doña Francisca Xaviera de Osma.. 2 ico I D. Salvador Rodríguez Palómeqae.. 596 5 por D. Pedro Moreno Lombardo, tu­ t x D. Salvador Rodríguez Paiomeque, tor de Doña Polooia Moren…</t>
  </si>
  <si>
    <t>de Osma, Joaquín</t>
  </si>
  <si>
    <t>Joaquín de Osma</t>
  </si>
  <si>
    <t>do á dicho objeto las expresadas dos comi­ siones, tuvieron otro muy distinto que en nada pudo oponerse al hon­ rado modo &lt;ie pensar y patriotismo de D. Joaquín de Osma, ni debe, perjudicar á su honor, ascensos y carrera ; siendo por lo. mismo, en concepto del consejo y según lo recomienda eficazmente, acreedor á la gracia qu…</t>
  </si>
  <si>
    <t>de Osma, Xavicra</t>
  </si>
  <si>
    <t>Xavicra de Osma</t>
  </si>
  <si>
    <t>............................... 12364 8f 3 Dona María Alexa Cetragería.......... 1 D. Antonio Sarr.it................................ 180 1/ 33 7 f y Doña Xavicra de Osma...... ........... ... 4485 12 1 D. Julián de Erguinio , por medio de 4 D. Francisco Saez Ruiz...................... so apoderado D. Manuel Martínez D. Santo…</t>
  </si>
  <si>
    <t>de Osuna, Joaquín</t>
  </si>
  <si>
    <t>Joaquín de Osuna</t>
  </si>
  <si>
    <t>D. Miguel Arrieta , 150. D. Juan Ortigosa , 50. D. Antonio Inchauitegui, 10. D. Lorenzo Lizagarra, 10. D. Manuel Tirado, IG. D. Ig­ nacio Fletes, 20. D. Joaquín de Osuna, 10. D. Pedro Chiquete, 40. Don Vicente Osuna , 10. Varios individuos, 8G y 2 rs. — S. Ignacio. El subde­ legado D, Francisco Figueroa, G. D. Juan Luis Eliza…</t>
  </si>
  <si>
    <t>de Otacgui, Sebastian</t>
  </si>
  <si>
    <t>Sebastian de Otacgui</t>
  </si>
  <si>
    <t>uyek y Vandergoten.. 41697 16 Doña Angela Francisca Ramos..... D. Fernando de Beingoechea........ 2753 26 522 8 D. Manafel Garda de Montenegro. 28000 D. Sebastian de Otacgui................ 2689 23 D. Joaquin Calvo........................... 14035 6 Doña María Teresa de la Concha.. 1022 2 Doña Antonia Pascual Moreao..... 1201…</t>
  </si>
  <si>
    <t>de Otaegui, Sebastian</t>
  </si>
  <si>
    <t>Sebastian de Otaegui</t>
  </si>
  <si>
    <t>........... 11000 sef María y D. Hipólito Durazo........... 52500 Doña Eugenia Pahvicini............................... 87700 Rs. vu.... 1.043882..27 D. Sebastian de Otaegui...............i.:...... . 31875 D. Antonio Fernandez de Córdoba.......... 16653..23 Que á una suma importan un millón quarenta y tres Doña Margarita Xime…</t>
  </si>
  <si>
    <t>de Otaegul, Sebastian</t>
  </si>
  <si>
    <t>Sebastian de Otaegul</t>
  </si>
  <si>
    <t>taría de Esiado. tillo.................................................................... 372098..33Í En nuestro palacio de Madrid á 16 de setiembre D. Sebastian de Otaegul............................... i66..^j de 1811. Las memorias y capellanía fundadas por Don Josef Napoleón por la gracia de Dios y por la Bernardino Ferna…</t>
  </si>
  <si>
    <t>de Oviedo, Juan Nepomuceno</t>
  </si>
  <si>
    <t>Juan Nepomuceno de Oviedo</t>
  </si>
  <si>
    <t>entándose en los puntos, en quesera conveniente.dirigir,y . animar la tropa. . Creo propio de mi obligación, recomendar á V. E. al teniente co- ronel D. Juan Nepomuceno de Oviedo, comandante del batallón de pa­ triotas de S. Luis, por.su espíritu utilidad, de su tropa ligera é impor- tantes servicios que con sacrificio de sus…</t>
  </si>
  <si>
    <t>de P, Francisco</t>
  </si>
  <si>
    <t>Francisco de P</t>
  </si>
  <si>
    <t>la séptima comoañía. D. Juan Josef de Ulloa. D. Manuel García S¿nz, sargento primero, á D. Josef de Loque Beltran. subteniente de la quinra compañía. D. Francisco de P iula deVárga*. D. Ramón García Casrriiloo, sargento prime­ D. Joaquín Fernandez Tcxeiro. T ro, á subteniente de l„ sexta compañía. art. v. En la ciudad de Buja…</t>
  </si>
  <si>
    <t>de P, Juan</t>
  </si>
  <si>
    <t>Juan de P</t>
  </si>
  <si>
    <t>horas á las inmediaciones de Vidada-rS'wo sosten lo o por 60 o f otes de! regimiento de Moa tere v al izando de los suo emente? O. Joaquín Quircgi y D. Juan de P zos , proi^c*-'c'&lt;y&gt; por áj uu.nre» de Galicia al do igual clase D. Patricio Atoado. Ei *omi*g» ¡ve dió en la ace on y de resultas de esta 23 mu - ríos, cu 'rum ■■■-…</t>
  </si>
  <si>
    <t>de Padilla, Merino y</t>
  </si>
  <si>
    <t>Merino y de Padilla</t>
  </si>
  <si>
    <t>l corriente. La fu rza de ámbas partidas reunidas pasa de 800 caballcs: algunes aseguran que llegan á 1500.^ Sigiienza i.° de abril. Las partidas del cura Merino y de Padilla atacaron dias pasados cerca de Segovia á un destacamento francés, le car­ garon con el mayor denuedo, le desconcertaron y persiguieron hasta las mismas …</t>
  </si>
  <si>
    <t>de Padrós, Pedro</t>
  </si>
  <si>
    <t>Pedro de Padrós</t>
  </si>
  <si>
    <t>ord Yarmouth, el honorable Ber- D. Luis Molle á subteniente de la quarta com­ kelei Craven, el general Grosvenor, el caballero pañía en la vacante de D. Pedro de Padrós. Maithnd , el marques de Qneensburi, el lord Pom- aut. iv. Nuestro ministro de la Guerra qaeda íiet &amp;c.” encargado de la execucion de este decreto. = Fir­ ESP…</t>
  </si>
  <si>
    <t>de Palacios, Joaquín</t>
  </si>
  <si>
    <t>Joaquín de Palacios</t>
  </si>
  <si>
    <t>Gaceta de Madrid n.º 347</t>
  </si>
  <si>
    <t>us medidas sejo de prefectura en la de Córdoba ilustradas le adquirieron eu todas partes el amor general; y quando libre de las facciones y de la . A D. Joaquín de Palacios, teniente de navio dt la real armada. anarquía popular pudo obrar con arreglo á sus AI marques de las Atalayuelas y á D. Maria­ ideas y á la conveniencia …</t>
  </si>
  <si>
    <t>de Palacios, José y Doña Dionisia</t>
  </si>
  <si>
    <t>José y Doña Dionisia de Palacios</t>
  </si>
  <si>
    <t>nto de milicias de infantería, por el prest de un soldado en 3 meses dudante la guerra , 27. Doña Ménica Ruiz, por sí y por sus tres hijos D. Xav&gt;er, D. José y Doña Dionisia de Palacios, 500. D. José de Orne, contador de exército de la provincia de la Luisiana, 500, D. Pedro OH— ver y compañía , por oferta del comercio de la …</t>
  </si>
  <si>
    <t>de Palazuelos, María Dolores</t>
  </si>
  <si>
    <t>María Dolores de Palazuelos</t>
  </si>
  <si>
    <t>neral de Pa­ namá para los gastos de la presente guerra. El gobernador y comandante general D. Juan Antonio de la Mata por sí y á nombre de su esposa Doña María Dolores dé Palazuelos, 600 pesos fuertes. D. Vicente Robles , ademas del prest de 30 hombres en coso de ser atacada por los enemigos esta provincia, 500. El tesQrero …</t>
  </si>
  <si>
    <t>de Palma, Juan Antonio</t>
  </si>
  <si>
    <t>Juan Antonio de Palma</t>
  </si>
  <si>
    <t>igo hácia el parage por donde podía Para el seguudo de la de Cazalla , vacante por efectuar su retirada; executó este movimiento con fallecimiento de D. Juan Antonio de Palma, á su acostumbrada inteligencia ; mas viendo que D. Juan Alonso Centeuo, presbítero, teniente de Morillo hacia esfuerzos para escapar , le cargó con Fue…</t>
  </si>
  <si>
    <t>de Paredes, José García</t>
  </si>
  <si>
    <t>José García de Paredes</t>
  </si>
  <si>
    <t>' quinto exército cu .Estrcmoz , el brigadier J). Joaquín Caatnnfío y Pardo, teniente coronel do artillería, ha dirigido con fecha del &gt;23 de marzo á D. José García de Paredes, coman­ dante general de artillería de! misino exército , el papel siguiente, en que aña­ de un exemplo mas á los muchos ciño había del entusiasmo con …</t>
  </si>
  <si>
    <t>de Paredes, Manuel García</t>
  </si>
  <si>
    <t>Manuel García de Paredes</t>
  </si>
  <si>
    <t>fábrica de aguardientes , 1100. El teniente coronel, comandante de artillería de esta plaza, D. Domingo Marañosa , 140. Ei administrador de cor­ reos D. Manuel García de Paredes, 400. D. Felipe del Barrí/) y D. Juan de Anauatcgui, 700. El coronel de ingenieros y comandante de esta plaza Don Antonio Bocarro , 200 El capitán D.…</t>
  </si>
  <si>
    <t>de Pau, Francisco</t>
  </si>
  <si>
    <t>Francisco de Pau</t>
  </si>
  <si>
    <t>de qne se trata la prác­ Para capitán de la segunda compañía á D. Fer­ tica y costumbre antiguas acaso por espacio de aLnando Laina ; para teniente á D. Francisco de Pau­ gunos siglos mas que las otras naciones cristianas, la Tapia, y para subteniente á D. Diego Ramírez. y de haber conservado pura la doctrina qne apren­ Para …</t>
  </si>
  <si>
    <t>aris, la municipa­ Para capitanes de ellas quedan nombrados Don lidad y el estado mayor de la plaza, los consistorios lu­ Francisco Miguel Cabello, y D. Francisco de Pau­ terano y calvinista, y el instituto, fueron sucesivamente la..1González; para tenientes D. Francisco Claudio conducidos á la sala del trono por un maestro y…</t>
  </si>
  <si>
    <t>de Paz, Bartolomé Ortiz</t>
  </si>
  <si>
    <t>Bartolomé Ortiz de Paz</t>
  </si>
  <si>
    <t>formará en la ciudad de Segovia uu ter­ cer bitalion de milicia cívica. art. 11. Nombramos para comandante de este PLAZA DE MADRID. BOLSA. batallón á D. Bartolomé Ortiz de Paz ; para ayu­ »IA Ip DS OCTUBJtB I&gt;* 181 I. dante á D. Francisco de Paula Chaves j y pata abanderado á D. Clemente Domínguez. art. ni. Afimismo nombramos…</t>
  </si>
  <si>
    <t>de Paz, Luis Eustaquio</t>
  </si>
  <si>
    <t>Luis Eustaquio de Paz</t>
  </si>
  <si>
    <t>or.................. 2200 pueblo, por........................................................... 2200 D. Tomas Solór/ano, lego, natural de Noves, re­ D. Luis Eustaquio de Paz, natural de Madrid, don­ sidente en su pueblo , por.................................... . X ICO de reside, por..........................................…</t>
  </si>
  <si>
    <t>de Pazos, Jacinto Alvarez</t>
  </si>
  <si>
    <t>Jacinto Alvarez de Pazos</t>
  </si>
  <si>
    <t>. Juan Soler y G-arceran, 400. D. Alexandro Firpo , 300. D. Pablo Roura, 400. D, Gaspar Remisa, 1000. D. Francisco Díaz, 500. D. Agustín Ciotet, 200. D. Jacinto Alvarez de Pazos , 1000. D. Domin­ go José Cierto , 1000. D. Ramón de barreta, 200. Sres. Gordon Shaw y com­ pañía , 10Ó0. D. Joaquín y D. Juan Casaldaero, 400. D. Pe…</t>
  </si>
  <si>
    <t>de Pcñalvcr, Juan</t>
  </si>
  <si>
    <t>Juan de Pcñalvcr</t>
  </si>
  <si>
    <t>decreto de este dia , portante, quanto ia infioita vatiplad de máquinas D. Juan Alelendez V^ldás. empipadas en las artes , en las manufacturas, y ea D. Juan de Pcñalvcr. todas las necesidades de la sociedad presentaba D. Josef Vargas y Ponce. grandes dificultades, y su estudio no era mas que</t>
  </si>
  <si>
    <t>de Pereda, Margarita</t>
  </si>
  <si>
    <t>Margarita de Pereda</t>
  </si>
  <si>
    <t>....... 2°7f 2J 6 D. Ramón Delgado, por su apode­ 2 D. Francisco Calleja...................... 180; rado D. Nicolás Barsanti............... 10 j 9 10 Doña Margarita de Pereda.................. 7039 17 X Doña María Brígida Torilla, por su 18 D. Juan Manuel Sorzáno ySoria.... 55129 17 apoderado Pinillos y Perez............ 1985…</t>
  </si>
  <si>
    <t>de Pineda, Angela Clara</t>
  </si>
  <si>
    <t>Angela Clara de Pineda</t>
  </si>
  <si>
    <t>4365-16 D. Fernando Bernaldo de D. Manuel María Cambró- Quirós..... ,....................... 34811..17 nero....... ............................ 13125 Doña Angela Clara de Pineda. 2 3 207.. 2 2 D. Pedro Ferrer................ . 2 2.2872.21 El conde de Casa^ Valencia.. 3 3 311.. 17 D. Vicente Anduaga.......... 10547..32 El patr…</t>
  </si>
  <si>
    <t>de Pinedo, Pablo</t>
  </si>
  <si>
    <t>Pablo de Pinedo</t>
  </si>
  <si>
    <t>.................. 3500 D. Luis Gabaldon y López por 270 a5f D. Domingo Antonio García........ 400 D. Felipe Alvarez.......................... 541 17 D. Pablo de Pinedo........... ............ 27254 26 D. Livinio Stuyek y Vandergoten. 1173 8f D. Andrés de Abrisqneta.............. D. Raimundo Ruiz de Alegría..... D. Pascual Tr…</t>
  </si>
  <si>
    <t>de Pircz, Ramón</t>
  </si>
  <si>
    <t>Ramón de Pircz</t>
  </si>
  <si>
    <t>icitud, y ío permitiéndole el estado dé su salud presidir estos se tes perso­ nalmente , dispuso los presidiese en su nombre el tnaas i i de entu­ po D. Ramón de Pircz, inspector de infimicría ; cefibrárcuse pues</t>
  </si>
  <si>
    <t>de Ponte, Luis</t>
  </si>
  <si>
    <t>Luis de Ponte</t>
  </si>
  <si>
    <t>lia digaado conferir-la comandancia de! tercer bata­ llón del de-Galicia, a! capitán de granaderos del propio cuerpo, gra­ duado de teniente coronel, D. Luis de Ponte, y tenencia en el de Cantabria al subteniente del de Irlanda D. Da mi sigo de Fuentes. CADIZ: EN LA'IMPRENTA REAL.</t>
  </si>
  <si>
    <t>de Porres, José</t>
  </si>
  <si>
    <t>José de Porres</t>
  </si>
  <si>
    <t>uín Recio y Torio , por S meses de su oferta de 13 pesos en cada uno, 104. £1 coronel D. Fermín Montano, por el prest de 3 soldados en 4 meses , 108. D. José de Porres, á nombre y cuenta de mayor cantidad que ha ofrecido D.^Juan Francisco Manrique, oficial déla administración de- correos , 200. Doña María de la Luz Soto y Cos…</t>
  </si>
  <si>
    <t>de Porta, Pedro Gutiérrez</t>
  </si>
  <si>
    <t>Pedro Gutiérrez de Porta</t>
  </si>
  <si>
    <t>las municiones de artillería, y manteniendo con la infantería los puntos que le había destinado. No puedo menos de recomendar á V. E. el subteniente D. Pedro Gutiérrez de Porta, quien con un valor exemplar anima­ ba la tropa , y él mismo viendo que eran muertos dos artilleros y otro» dos heridos, se honró con el cxercicio de …</t>
  </si>
  <si>
    <t>de Prnsia, Luisa</t>
  </si>
  <si>
    <t>Luisa de Prnsia</t>
  </si>
  <si>
    <t>á verificarse este haSfa den­ tro de algunos meses, coya ¿poca se anunciará. Berlín iG de julh. Sia embargo, para facilitar el corso de los bille­ La princesa Luisa de Prnsia, esposa de! prín­ tes de amortización de too florines, que se han cipe Radziwill , dió el día 16 i loz ua principe puesto ya en circulación, estau provi…</t>
  </si>
  <si>
    <t>de Puerta, Manuel</t>
  </si>
  <si>
    <t>Manuel de Puerta</t>
  </si>
  <si>
    <t>sco Martínez, c.érigo de prima. rías mas ó menos considerables, y el mutilé ha Para el curato de Torieg hindo , vacante por padecido mucho. muerte de D Manuel de * Puerta , a D. Juan 1 Acevedo , presentero cx-premostratense. Cherbttrgo 30 de octubre. Para el Oe las Cuevas, vacante por promoción de D. Gaspar Me'ino al de á D. …</t>
  </si>
  <si>
    <t>de Punía, Francisco</t>
  </si>
  <si>
    <t>Francisco de Punía</t>
  </si>
  <si>
    <t>n una letra sobre Lorea , 3000 El •provisor t&gt;. Mariano Martin Esperanza , 3000. 1). Juan Dmiec , 300. Ei señor E E. V, 1000. D. Gaspar Aguado , 400. D. Francisco de Punía ligarte, 200. COoña Clara Aspillaga de Miranda, 1000. D. Juan A vites, 500. Sres. Castéiló, .hermanos, 500. Cónsules del real consulado, 500. Conde de Sta.…</t>
  </si>
  <si>
    <t>de Qaevedo, Felipe Gutiérrez</t>
  </si>
  <si>
    <t>Felipe Gutiérrez de Qaevedo</t>
  </si>
  <si>
    <t>n de la Peña. D. Gregorio Alfonso de Choya, ayudante, á D. Rafael Laguae*. capitán de la primera compañía. D. Lorenzo Cuenca Romero. Quinto batallón. D. Felipe Gutiérrez de Qaevedo. D. Agustín Tavira, ayudante segundo, á ca­ Subtenientes. pitán de la séptima comoañía. D. Juan Josef de Ulloa. D. Manuel García S¿nz, sargento pr…</t>
  </si>
  <si>
    <t>de Qievedo, Manuel</t>
  </si>
  <si>
    <t>Manuel de Qievedo</t>
  </si>
  <si>
    <t>tancia; y se suplica al que sepa de alguno de ellos, lo avise á D. José Berin y Barrantes, vecino de la villa de Aiburquerquepartido, de Badajoz, ó á D. Manuel de Qievedo, ve­ cino de Cádiz, calle del Fideo, núm. 28. CAlil? s Eli %A IMPRENTA REAL.</t>
  </si>
  <si>
    <t>de Quesada, Miguel</t>
  </si>
  <si>
    <t>Miguel de Quesada</t>
  </si>
  <si>
    <t>ón ñxo D. Nicolás Remen , 500. D; Florencio Reyna, teniente del real cuerpo de artillería, 20. D. Santiago Baodeor Maeclin, 200. — Cabildo de Panamá, D. Miguel de Quesada , alcalde ordinario, 500*</t>
  </si>
  <si>
    <t>de Quevedo, Francisco</t>
  </si>
  <si>
    <t>Francisco de Quevedo</t>
  </si>
  <si>
    <t>llama justamente papelón , es un centón de sandeces, intitulado P agm tica de los pa'pamoscas. cuyo desgarbado é insípido autor, tomando el estilo de D. Francisco de Quevedo, y querien­ do matar lo inimitable, mezclando las sentenciéis y la chocarrería, el Quixoie y el Evangelio , el C.mman de Alfarache y las frases del dic­ …</t>
  </si>
  <si>
    <t>de Quevedo, Juan López</t>
  </si>
  <si>
    <t>Juan López de Quevedo</t>
  </si>
  <si>
    <t>rado de D. Benito Al* Díaz.................. .......... .................. 13003 r8 ] faro A guando......... ............................ 894 8 7 por D. Juan López de Quevedo......... - 3747 28 X El ;conde d«e Cafa-Valencia , cprpo 7Por La duquesa de Frías, marquesa de marido d é Doña María Antonia, Viliena...................…</t>
  </si>
  <si>
    <t>de Quevedo, Manuel</t>
  </si>
  <si>
    <t>Manuel de Quevedo</t>
  </si>
  <si>
    <t>o que manda el brigadier D. Juan Díaz Por­ tier en las -montañas de Santander * remitidos por -D. Francisco Ma­ ría de la Cuesta, en el navio Miño, á D. Manuel de Quevedo, re­ sidente en Cádiz. D. Joaquin Gómez , 500 pesos fuertes. D. Francisco del Campo Isla , 34. IX José de San Juan , 200. D. Miguel Gómez de las Barcenas, 1…</t>
  </si>
  <si>
    <t>de Quiios, Fernando Bernardo</t>
  </si>
  <si>
    <t>Fernando Bernardo de Quiios</t>
  </si>
  <si>
    <t>......... 6450 24 D. Fernando Antonio Moran......... 2923 22 D. Nicolás de los He-ros........• 8750 D. Mariano Herran....... ,,............... 930 33 D. Fernando Bernardo de Quiios. 12472 2 Doña María del Carmen Herran... 930 33 D. Jaime Caxanovas.......... ............* 3082 7 D. Francisco Fernandez.................. 7775 27…</t>
  </si>
  <si>
    <t>de Quintana, Manuel</t>
  </si>
  <si>
    <t>Manuel de Quintana</t>
  </si>
  <si>
    <t>ciales de dicha secretaría para no causar gravámen al erario.” Y en cumplimiento de este real decreto ha venido el Consejo de Re­ gencia en nombrar á D. Manuel de Quintana para que sirva la secre­ taría de cámara de la real estampilla, coa los demas encargos que en él se mencionan. Tendréislo entendido y lo comunicareis á qui…</t>
  </si>
  <si>
    <t>de Quiroga, Ramun Fernandez</t>
  </si>
  <si>
    <t>Ramun Fernandez de Quiroga</t>
  </si>
  <si>
    <t>......... 2689 23 D. Joaquin Calvo........................... 14035 6 Doña María Teresa de la Concha.. 1022 2 Doña Antonia Pascual Moreao..... 1201 6 D. Ramun Fernandez de Quiroga. 2593 20 D. Félix Ugarte................. ............ 3301 3 D. Ildefonso Calbacho.................... 1088 D. Cayetano d» la Lana................…</t>
  </si>
  <si>
    <t>de R, José Francisco</t>
  </si>
  <si>
    <t>José Francisco de R</t>
  </si>
  <si>
    <t>J *¿ica, D. José Camerino, D. Mariano de Miguel, D. Manuel Nieto, Don Juan de Cacho, ü. Agustín Roa, D. Ramón de ArroyueSo, Don Joaquín de Luzuriaga, D. José Francisco de R&amp;viila, D. Vicente Madera, y D. José Caballero. CADIZ EN LA IMPRENTA REAL. &gt;</t>
  </si>
  <si>
    <t>de Rcasal, Julián Ruiz</t>
  </si>
  <si>
    <t>Julián Ruiz de Rcasal</t>
  </si>
  <si>
    <t>ministro de Hacienda, y oido nuestro con­ D. Josef Ignacio de Laiseca.......... sejo de Estado; hemos decretado y decretamos Jo 42637 x7 siguiente •. D. Julián Ruiz de Rcasal......... 21Ó0 D. Miguel Antonio de Oquendo... 176250 articulo i. uSe declaran acreedores del es­ Doña Rosa Simón Pontero............. tado á 69 5 23 D. …</t>
  </si>
  <si>
    <t>de Reajal, Julián Ruiz</t>
  </si>
  <si>
    <t>Julián Ruiz de Reajal</t>
  </si>
  <si>
    <t>e CLnpczuelus................. 27°..25f D. Sebastian Otacgui.............................. 6012 D. Juan de Lecanda........................ 6407.. 251 D. Julián Ruiz de Reajal........ .............. 3039.. 4 D. Ignacio Coma....................................... 1083 Doña María Arquedas............................... 202 50 Do…</t>
  </si>
  <si>
    <t>de Recepte, José Rambla</t>
  </si>
  <si>
    <t>José Rambla de Recepte</t>
  </si>
  <si>
    <t>allí los franceses, y se llevó también 300 toros y cabestros que para las corridas de la Corte tenían en los prados del puente de Viveros. Ei 8 safó D. José Rambla de Recepte, en Aragón, coa su partida para, interceptar un convoy y mucho ganado que conducía el enemigo por la. carretera de Fahara á Ralea. En e¿ecto. lo encontr…</t>
  </si>
  <si>
    <t>de Regil, Pedro Manuel</t>
  </si>
  <si>
    <t>Pedro Manuel de Regil</t>
  </si>
  <si>
    <t>Luis de Ulloa. - Excms». Sr. presidente y vocales de la junta superior de la provineia.”— Siguen los donativos de la provincia de Tucatan. Comercio: D. Pedro Manuel de Regil, 400 ps. fs. D. Luis Totosans , 300. Doña María Josefa del Valle , 4000. D. Fernando Gutierre*;, 500. D. Mi­ guel Duque de Estrada, 500. D. José Perez Me…</t>
  </si>
  <si>
    <t>de Reguar, Salvador Bernabeu</t>
  </si>
  <si>
    <t>Salvador Bernabeu de Reguar</t>
  </si>
  <si>
    <t>eses. El teniente coronel D. Juan de Aldrete, 4000; y ademas 2000 para el que mate ó prenda vivó á dicho emperador Napoleón. El contador oficial real D. Salvador Bernabeu de Reguar, por el sueldo de 4 meses que ha ce­ dido para las urgencias de la guerra , 500. D. José Prieto y Raidos ^ y D. Pedro de Olasagarre, 2000. D. Manu…</t>
  </si>
  <si>
    <t>de Riva, Josef</t>
  </si>
  <si>
    <t>Josef de Riva</t>
  </si>
  <si>
    <t>000 en la tarde del 11 del corriente han salido sortea­ D. Gaspar Quadrillero,.................. 1500 dos los números siguientes: 61,78 , 75,67 y 18. D. Josef de Riva................ ........... 329x18 ii| D. Juan Hourco............................. 136581 4 D. Juan Murfi................................. 165000 tlATXOl. D. Gu…</t>
  </si>
  <si>
    <t>de Rivas, Manuel López</t>
  </si>
  <si>
    <t>Manuel López de Rivas</t>
  </si>
  <si>
    <t>Gaceta de Madrid n.º 171</t>
  </si>
  <si>
    <t>tor ) tjdas i as series suce­ S. M., juez de primera instancia, y por la escribanía sivas 6 círculos de nuestras acciones se componen de provincia de D. Manuel López de Rivas, á instan­ de este doble encadenamiento. cia de D. Francisco Crespo de Tezada, vecino de esta Aquí se h^c - clásico ei texto del autor, y na­ corte, con…</t>
  </si>
  <si>
    <t>indultarle y á todos cos, para que acuda ante dicho señor juez por la escri­ sus compañeros, de lo que se seguiría no poco be­ banía de provincia de D. Manuel López de Rivas cea los documentos justificativos que lo acrediten. neficio, pues á sn imitación se irian presentando todos los de las quadrillas deeüla comarca: en efec…</t>
  </si>
  <si>
    <t>de Rivera, José González</t>
  </si>
  <si>
    <t>José González de Rivera</t>
  </si>
  <si>
    <t>nsejo de Regencia se he servido conceder en el regimiento de real/8 guardias españolas , el empleo de segundo teniente de ca­ zadores al de fusileros D. José González de Rivera; el de segundo teniente al alférez D. Juar* Manuel de Coghei; y esta resulta al ca­ dete D. Ambrosio López Lisperguer. ¿ Igualmente ha conferí ¿ó S. A…</t>
  </si>
  <si>
    <t>de Rmstn, Manuel López</t>
  </si>
  <si>
    <t>Manuel López de Rmstn</t>
  </si>
  <si>
    <t>D. Icón de Sagasta, como juez de la testamentaría de D. Juan Soler, proveído ante el dos Firmado ce Mariano Luis de Urquijo.” escribano de provincia D. Manuel López de Rmstn 29 de noviembre próximo pisado, y para pago de Don Josef Napoleón por la gracia de Dios y acreedores, se ha mandado vol ver i sacar al pregón por por la …</t>
  </si>
  <si>
    <t>de Roa, Francisco</t>
  </si>
  <si>
    <t>Francisco de Roa</t>
  </si>
  <si>
    <t>248</t>
  </si>
  <si>
    <t>0 de febrero hallándose el cuerpo de la cruzada en número de 30 cab’állos en el Zancedo , jurisdicción de la villa de Archidona, ál mando interino de D. Francisco de Roa, comandante que fue de la de Antequera, fué atacado por Miguel Molina, escribano deLColmenar , corregidor de los franceses, y comandante de las quatro com­ p…</t>
  </si>
  <si>
    <t>de Robledo, Juana López</t>
  </si>
  <si>
    <t>Juana López de Robledo</t>
  </si>
  <si>
    <t>n de liquida­ crero de 9 de junio de 1809: ción de la deuda del estado; lo expuesto por nuestro ministro de Hacienda, y oido nuestro consejo de Esta­ Doña Juana López de Robledo, por 2970 Realesveii do, liemos decretado y decretamos lo que sigue: reales anuales............................................... 29700 articulo 1. …</t>
  </si>
  <si>
    <t>de Robles, Matías</t>
  </si>
  <si>
    <t>Matías de Robles</t>
  </si>
  <si>
    <t>9^8 IX Francisco de Barrio....... 97036-17 Extracto de las minutas de la secretaría de D. Matías de Robles........ 63710..30 Estado. IX Jucmro Colmenero......... 20145..24 En nuestro palacio de Madrid á 17 de agos­ D. Juan Demostenes Du* to de 18 1 í. eoure................................ 8880 D</t>
  </si>
  <si>
    <t>de Roda, Tomas</t>
  </si>
  <si>
    <t>Tomas de Roda</t>
  </si>
  <si>
    <t>te de D. Simón Manrique , al presbítero tura del mozo y cuesta del Hierro, de 9 fanegas, un ce­ lemín y 8 estadales, tasada cada fanega á 800 reales. D. Tomas de Roda. Otra en la cuesta del Arroyo, de 9 fan., 8 cel. y z Para el dei Nacimiento , vacante por. falleci­ est. á 700 rs. Otra donde dicen los Garbanzales y ca­ miento…</t>
  </si>
  <si>
    <t>de Roma, Regnzud de Saint do el Rei</t>
  </si>
  <si>
    <t>Regnzud de Saint do el Rei de Roma</t>
  </si>
  <si>
    <t>Parir ai de marzo. S. A S. pasó inmediatamente at salón de la Empe­ Ayer 20 de marzo á las 9 de la noche fue bautiza­ ratriz, donde hizo qué S. E. el conde Regnzud de Saint do el Rei de Roma en la capilla del palacio de las Tu­ Jean d’Angelí, secretario de Estado de la familia im­ llerais. perial, extendiese el procesoverbal …</t>
  </si>
  <si>
    <t>de Roma, Rei</t>
  </si>
  <si>
    <t>Rei de Roma</t>
  </si>
  <si>
    <t>Gaceta de Madrid n.º 119</t>
  </si>
  <si>
    <t>ir ibas ai comercio con el extrangero, mediante miento de S. M. la Emperatriz, y def nacimiento q i- e! cambio &lt;1- e‘ta moneda por el dinero de de un príncipe Rei de Roma. Este plausible suce­ co ;vención hacia subir ci precio de las mercan­ so lúe anunciado inmediatamente por oficiales de cías , que era preciso de comprar en…</t>
  </si>
  <si>
    <t>de Rosas, Rafaela Ortiz</t>
  </si>
  <si>
    <t>Rafaela Ortiz de Rosas</t>
  </si>
  <si>
    <t>.... ......... 35641 19 D. Manuel Estébaq Catatan...... I4883 22 D. Miguel Antonio Oquendo....... 4696 ¿4 D. Ignacio Martin Agudo.............. 10200 Doña Rafaela Ortiz de Rosas, mar­ D. Domingo de Arangoiti............. 8505 quesa del Socorro......................... 10849 32§ Doña Victoria Gadea.................... 15075 21…</t>
  </si>
  <si>
    <t>de Roxas, Antonio</t>
  </si>
  <si>
    <t>Antonio de Roxas</t>
  </si>
  <si>
    <t>S CALZADOS. Por..... •_.......................................................................... 2200 D. Juan Manuel Marcos, natural de Navalucillos D. Antonio de Roxas, natural de Valladolid , re­ de Toledo, y residente en Toledo, por.............. 2200 sidente en Toledo, por............................................ 2200…</t>
  </si>
  <si>
    <t>de Roxas, José María</t>
  </si>
  <si>
    <t>José María de Roxas</t>
  </si>
  <si>
    <t>nistración general de correos , 300. Don José Sentestillana , 00, D. Bernardo Martin , U)b. D. Pascual Gulez y T i n, 820. D. Ciríaco Carvajal, 1000. D. José María de Roxas, 120 D Gerón mo Diego Sánchez , 20. D. Julián Sandalio Aguado , 20 D. Baltasar Martin?., de Ari/a, 60. D. Segundo García Cid, 100. Los oficiales de la sec…</t>
  </si>
  <si>
    <t>de Rozas, Calixto</t>
  </si>
  <si>
    <t>Calixto de Rozas</t>
  </si>
  <si>
    <t>Antonio Pala­ cios; y subtenencias á D. Cristóbal Julián, D. Tomas de Torres, D. Juan Garasa, D. Lorenzo Martínez, D. José Ortiz, D. Juan B-AIido, y D. Calixto de Rozas. En el batallón de infantería ligera de voluntarios de Mérida; los empleos de ayudante á D. José Florez Galan y D. Juan Sánchez del Pezo; los de capitán segun…</t>
  </si>
  <si>
    <t>de Rozas, Lorenzo Calvo</t>
  </si>
  <si>
    <t>Lorenzo Calvo de Rozas</t>
  </si>
  <si>
    <t>m­ bre do ÍS10 sí!&gt;bre la libertad de la imprenta, después de haberlo rxüruinado todo, declaró en 6 y 13 de febrero del presente año, que ei papel de D. Lorenzo Calvo de Rozas debía ser teñid© por infamatono , y como tal detenido, recogiéndose sus exemplares : é igual­ mente declaró quedar salvo y líbre, así ai señor D. Franc…</t>
  </si>
  <si>
    <t>de Ru, Constantino</t>
  </si>
  <si>
    <t>Constantino de Ru</t>
  </si>
  <si>
    <t>ncesa heredera de \Vurtemberg. SAXONIA. SUIZA. Dresde 8 de junio. Serna i r de junio. Después de haberse terminado la dieta , se es­ S. A. I. la gran duquesa Constantino de Ru­ tá organizando una diputación para llevar á efecto sia ha dado aquí una función mui brillante , con la uaton decretada de la Lusacia y de las hacien­ …</t>
  </si>
  <si>
    <t>de Rueda, José</t>
  </si>
  <si>
    <t>José de Rueda</t>
  </si>
  <si>
    <t>. Antonio Sobaron, 100. B. José Escalante, 100. D, Ramón de Renedo , 100. I). José de la Campa* 100. D. José Mancina, 100. D. Vicente Gutiérrez, 100. D. José de Rueda, lOO. ( Se continuará.) CADIZ : EN LA IMPRENTA REAL.</t>
  </si>
  <si>
    <t>de Rueda, José González</t>
  </si>
  <si>
    <t>José González de Rueda</t>
  </si>
  <si>
    <t>. Pe­ dro de Cabiedes , 100. D. Diego de los Ríos , 100. D. Francisco Eugenio del Corral, 100. D. Pedro de Hoyos, 100. D. Ildefonso del Corral , lOU. D. José González de Rueda , 60. D. Juan Diaz Cosío. 10Q. D. Antonio Gómez Porras, 100. D. Joaquín Sánchez, 1.09 D. José Vela Mesones, 100. D. Manuel Sán­ chez de la Torre, 100. …</t>
  </si>
  <si>
    <t>de Rueda, Miguel González</t>
  </si>
  <si>
    <t>Miguel González de Rueda</t>
  </si>
  <si>
    <t>, por una vez , 30. D. Jsan de Dios Cen­ teno , quarío , por 10 nieges de su oferta , 20. D. José María de Echanove , quinto, por una vez, 13 y 4 rs. D. Miguel González de Rueda, agre­ gado , por 9 meses de su oferta, 9. D. Agustín José de Cosgaya, escriba­ no de registros , por 0 meses de su oferta, 3ti. — De varios sugetos …</t>
  </si>
  <si>
    <t>de Ruedas, Josef</t>
  </si>
  <si>
    <t>Josef de Ruedas</t>
  </si>
  <si>
    <t>s para capitanes de ellas D. Juan Antonio de Toro y Heredia y D. Fer­ nando Franco de Béjar ; para tenientes D. Miguel teatros. Fernandez de Molina y D. Josef de Ruedas, y pa­ Ata'ía, tragedia en cinco actos, de Racime , tra­ ra subtenientes D. Lázaro Barnuevo y D.‘Francis­ ducida al castellano por D. Eugenio de Llaco Torralb…</t>
  </si>
  <si>
    <t>de Rumayor, Miguel</t>
  </si>
  <si>
    <t>Miguel de Rumayor</t>
  </si>
  <si>
    <t>ndivi­ duos, 15.— Villa del Saltillo. D. Francisco Antonio Farias , 50. Don Cristóbal Rodríguez, 5. D. Juan Bautista Chacón, 25. D. Manuel Alcalá, 5..D. Miguel de -Rumayor , 20. D. Toribio Alcalá , 5. D. Nepomuceno Váleles , 8. D. Juan de Aguirre , 10. D. Cristóbal Domín­ guez , 25. D. Francisco Aguirre, 15. D. Pedro Valdes, …</t>
  </si>
  <si>
    <t>de S, Domingo Menendez</t>
  </si>
  <si>
    <t>Domingo Menendez de S</t>
  </si>
  <si>
    <t>rcedoras de la Beneficencia, 1 y 4 rs. D. Francisco Cabrera y Martínez, guatda montarlo , 2, D, Tomas Sánchez , id., 2. D. Sebastian Valdés , id., 3, D. Domingo Menendez de S. Pedro, id. , 2. D. Francisco Ximenez, id. , 2. El maestro carpintero de la factoría , José Rosado, 2.—- Total del dona* tho mensual &gt; 192 pesos y 3 y m…</t>
  </si>
  <si>
    <t>de S, Justo</t>
  </si>
  <si>
    <t>Justo de S</t>
  </si>
  <si>
    <t>bre que se inutilizaron, y asímismo se destruyó la torre hasta los cimientos.” Ei el parce que acerca de este mismo suceso ello el resiente co­ ronel D. Justo de S. Martin ai gobernador de Penis cola con fecha del 8 á bordo del navio ingles Invencible en la boca del puerto de los Alfaques , se expresan las dificultades que hu…</t>
  </si>
  <si>
    <t>de S, Sebastian</t>
  </si>
  <si>
    <t>Sebastian de S</t>
  </si>
  <si>
    <t>n el real cu rt;o de ingenieros , á coronel ai teniente coronel D. Eusrbio Ruiz ; á este empleo á ios sargentos mayores de brigada D- Manuel Morete y D. Sebastian de S. Jaan.’á sargentos mayores de brigada á los capitanes D. Francisco Xaramillo y D. Mariano Carrillo de Albornoz ; y á este empleo á los tenientes D. Tomas de IL…</t>
  </si>
  <si>
    <t>de Sa'as, Bernardo</t>
  </si>
  <si>
    <t>Bernardo de Sa'as</t>
  </si>
  <si>
    <t>ión rebelde de la derecha:'al teniente de novio D. Pedro Celestino Negrete, al sargento mayor de Toluca D.- Juan Felipe de Alba, a! teniente de navjo D. Bernardo de Sa'as, que hizo con el 'batallón de Puebla una marcha tan rápida para caer sobre las bate­ rías enemigas , que casi llegó en batalla al propio tiempo que la ca­ b…</t>
  </si>
  <si>
    <t>de Sa, León</t>
  </si>
  <si>
    <t>León de Sa</t>
  </si>
  <si>
    <t>los ▼■ageros y marineros. En el dia todavía son las mismas AVISO. la arenosa Ellos, la montuosa Iraca, la verde Ja­ En virtud de providencia del Sr. D. León de Sa­ gas tu. juez de primera instancia, refrendada de D. An­ cinto. Con ía Ufada en la mano se pueden recor­ tonio López de Salazar, escribano del número de esta rer y …</t>
  </si>
  <si>
    <t>de Sáavedra, Dernardo Car</t>
  </si>
  <si>
    <t>Dernardo Car de Sáavedra</t>
  </si>
  <si>
    <t>dé S Lorenzo dei Escorial , 4000. El regente de esta real audiencia , marques de S. Juan Nepomuceno , 3000. — Aduanilla del Cillao. El administrador D. Dernardo Car­ de ¡Sáavedra, 1000. Francisco Javo , G. D Juan de Drizar , 25..-Contaduríay Juzgado de censos de indios. D. Gaspar Corrochano , contador, IOS y 2 y medio. D. Jos…</t>
  </si>
  <si>
    <t>de Sadá, Don Fernando</t>
  </si>
  <si>
    <t>Don Fernando de Sadá</t>
  </si>
  <si>
    <t>Orondo: Pane. — a En cumplimiento de las órdenes de V. S. de perseguir ai enemigo en su retirada, llegué á las inmediaciones de Ulldecona. Man­ eé si capitán Don Fernando de Sadá, comandante de las guerrillas, marcó-r ¡leíante con 40 tiradores , cubriendo con el resto do dichas guarí.illas- las avenidas del camino de AJcansr,…</t>
  </si>
  <si>
    <t>de Sagasr, León</t>
  </si>
  <si>
    <t>León de Sagasr</t>
  </si>
  <si>
    <t>res atacó i AVISO. Amposta y las Salinas de la embocadura del Ebro; pero saliendo de Tortosa contra di el general Ha­ A virtud de providencia del Sr. D. León de Sagasr cer» al frente de Seo hombres del 47. y quaren- ta, dada el 17 del corriente, se ha mandado volverá ta coraceros, le puso eo una completa derrota, sacar á públ…</t>
  </si>
  <si>
    <t>de Sagasta, Icón</t>
  </si>
  <si>
    <t>Icón de Sagasta</t>
  </si>
  <si>
    <t>ásticos quedan encargados de la AVISO. execucion de este decreto. = Firmados YO EL REI.ce Por S. M., el ministro secretario de Esta­ Por auto d«I Sr. D. Icón de Sagasta, como juez de la testamentaría de D. Juan Soler, proveído ante el dos Firmado ce Mariano Luis de Urquijo.” escribano de provincia D. Manuel López de Rmstn 29 …</t>
  </si>
  <si>
    <t>de Sagasta, León</t>
  </si>
  <si>
    <t>León de Sagasta</t>
  </si>
  <si>
    <t>principalmente la utilidad de para pago á sus acreedores; en junta particular celebrada Lí manufacturas mecánicas; y annqueconviene en ante el señar D. León de Sagasta , del consejo de S M., juez en primera instancia, y que conoce de Ja convo­ que este arbitrio, empleado con prudencia , es mui cación de los mismos por los apo…</t>
  </si>
  <si>
    <t>sez natural. La platina, mucho mas les parará el perjuicio que haya lugar. escasa que la plata , es sin embargo una tercera ‘ Por providencia del Sr. D. León de Sagasta, del parte mas barata que aquella. consejo de S. M., juez en primera instancia, de 24 del „ El precio del oro y de la plata ha debido ser presente , á solicit…</t>
  </si>
  <si>
    <t>be­ tiempo sereno, mandó encender en medio del cam­ neficencia pública , se servirá comunicarla al señor po ana hoguera con materias combustibles que D. León de Sagasta, caballero de la Orden Real de produxesen un humo tan espeso, que imitase una España , del consejo de $. M., juez de primera instan­ nube. Después mandó dispa…</t>
  </si>
  <si>
    <t>Gaceta de Madrid n.º 248</t>
  </si>
  <si>
    <t>esentaba.” Se repi-, ro 24, mana. 156, tasada en 396813 fs. Se acudirá i tieron las notificaciones, y el diputado mostró la hacer pe,tura ante el Sr. D. León de Sagasta, caballero misma inobediencia. Eo su vista pidió el fiscal que de la Orden Real de España, del consejo de S. M., juez de primera instancia en esta corte , por…</t>
  </si>
  <si>
    <t>a bien conocer por el si­ guiente oficio: „ Excmo. Sr.: Con mis dependientes monta­ AVISO. dos , auxiliado dé 30 soldados del regimiento im­ El señor D. León de Sagasta, del consejo deS.M., perial número 45salí en bnsca de las balijas del juez de primera instancia, y de los autos de testamen­ correo de París, y las del correo…</t>
  </si>
  <si>
    <t>de Saint-Jean, Regoauh</t>
  </si>
  <si>
    <t>Regoauh de Saint-Jean</t>
  </si>
  <si>
    <t>monumentos qae las adornan es de la ma­ el duque de ¿adora, ministro de Relaciones exte­ yor utilidad, no solo porque dándolos i conocer riores , el conde Regoauh de Saint-Jean-d’Angelí, se puede juzgar del estado de las bellas artes ea ministro de Estado, y el conde CaíFarelli, conse­ cada nación , y contribuir á sus progres…</t>
  </si>
  <si>
    <t>de Salas, Bernardo</t>
  </si>
  <si>
    <t>Bernardo de Salas</t>
  </si>
  <si>
    <t>1 junto á la barranca de Mauinalco: donde de resultas del vi­ vo ataque del batallón provincial de Puebla , á cuya cabeza estaba el teniente de navio D. Bernardo de Salas, se pusieron los rebeldes en precipitada fuga , abandonando 2 cánones ; y perseguidos en su retirada á S. Blaí, lo abandonaron todo, volando sus municiones …</t>
  </si>
  <si>
    <t>de tenian colocados dos cañones; pero á vista dd ataque vivo que les hizo el batallón provincial de Pue­ bla , á cuya cabeza iba el teniente de navio D. Bernardo de Salas, se pusieron en precipitada fuga, sin haber hecho mas que disparar 6 ca­ ñones, los quatro á metralla, sin efecto alguno* dexando abandonadas las dos piezas…</t>
  </si>
  <si>
    <t>has dobles al bacallon de Puebla para S. Blas con la orden de que se ie reúna la caballería de Quintanar, y vaya todo á car­ po del teniente de navio D. Bernardo de Salas, á quien he dado las ins­ trucciones de que acompaño á V. E. copia, formadas ála ligera, para . que tome las primeras disposiciones. Con el citado Salas he …</t>
  </si>
  <si>
    <t>de Salas, Joscf Ignacio Jóven</t>
  </si>
  <si>
    <t>Joscf Ignacio Jóven de Salas</t>
  </si>
  <si>
    <t>hipotecarias, vales reales, tado D. Sebastian Piñuela, T&gt;. Pedro Ramón de Echevcrn r cédulas de la caxa de descuentos, extraídas del arca de tres Ha- D. Joscf Ignacio Jóven de Salas para su cancelación; j ¡as, 'Ves á presencia de Jos excelentísimos señores consejeros de Es- S saber-. Cédulas hipotecarias de recompensa naciona…</t>
  </si>
  <si>
    <t>de Salas, Josef Ignacio Jóven</t>
  </si>
  <si>
    <t>Josef Ignacio Jóven de Salas</t>
  </si>
  <si>
    <t>potecarias, vales reales, tado D. Sebastian Piñuela, D. Pedro Ramón de Echeverría y cédulas de la caxa de descuentos, extraídas del arca de tres lla­ D. Josef Ignacio Jóven de Salas para su cancelación-; y son, ves á presencia de los excelentísimos señores consejeros de Es­ á saber: Cídulat hipotecarias de recompensa nacional…</t>
  </si>
  <si>
    <t>de Salas, Ramón</t>
  </si>
  <si>
    <t>Ramón de Salas</t>
  </si>
  <si>
    <t>Cáce,,Por lo qne hace á .las declaraciones de los res; á D. Joaquín Uñarte y Landa , de la da médicos, advierto que varían sus opiniones en Mérida; á D. Ramón de Salas, r.ctual prefecto de quanto.aí tiempo en que el Rei badexado de estar Guadalaxara, de la de Toledo, y á D. Diego Gacapaz para gobernar el timón del estado; per…</t>
  </si>
  <si>
    <t>de Salazar, Baltasar</t>
  </si>
  <si>
    <t>Baltasar de Salazar</t>
  </si>
  <si>
    <t>us, vacante por fallecimiento de D. Antonio Perez Barquero, al presbítero ex- En el del Príncipe, á las siete de la noche, se re-_ trinitario calzado D. Baltasar de Salazar.' presentará por la compañía española la ópera en dos Para el de Pifiar, vacante por proriiocion de actos titulada el Fanático por la Míisica. Actores. Se…</t>
  </si>
  <si>
    <t>de Salinas, Vicente Orliz</t>
  </si>
  <si>
    <t>Vicente Orliz de Salinas</t>
  </si>
  <si>
    <t>..................... jico de reside, por................................................... . 2 200 D. Ju lem ! laz, natural de Tembleque, provincia D. Vicente Orliz de Salinas, natural de Madrid, de la Mancha, residente en Toledo, por........... 2200 i lem , por............................................................. .…</t>
  </si>
  <si>
    <t>de SaMadrid, León</t>
  </si>
  <si>
    <t>León de SaMadrid</t>
  </si>
  <si>
    <t>. M. ; cuya sentencia será executada donde quiera que se le encuentre. (Gazeta de Zar agoza de 12 de agosto.) AVISO. En virtud de providencia del Sr. D. León de SaMadrid 6" de setiembre. gasta, caballero de la Orden Real de España, del con­ EL REI ha celebrado a} er consejo privado, al sejo de S. M., juez de primera instancia…</t>
  </si>
  <si>
    <t>de Sangroniz, Juan José</t>
  </si>
  <si>
    <t>Juan José de Sangroniz</t>
  </si>
  <si>
    <t>Juan de la Cruz Ríos, 4. D. Rafael Cueto, 0, y D. Francisco Eusebio González Tixero, 17, naturales de la Habana. D. Francisco Layseca, de Alava, 100. D. Juan José de Sangroniz , de Vizcaya, 34. D. Valentín y IX Basilio Martínez, de Medina de Pomar, 68. D. José Carrera, 50. D. Juan Fernandez , de Zamora , 17. D. An­ tonio Cres…</t>
  </si>
  <si>
    <t>de Santiago, Manuel</t>
  </si>
  <si>
    <t>Manuel de Santiago</t>
  </si>
  <si>
    <t>e Consuegra, de Toledo, por.......................................................... 2200 la misma provincia , residente en ella, por.......... 2200 D. Manuel de Santiago, natural de Madrid, don­ D. Miguel Martin de Arriba, natural de la villa de reside, por........................................................ 2 2®0 - de …</t>
  </si>
  <si>
    <t>de Santos, Francisco Fernandez</t>
  </si>
  <si>
    <t>Francisco Fernandez de Santos</t>
  </si>
  <si>
    <t>............. ............................. 2200 I). Josef Rodríguez.................................... . 200 D. Josef Ariza, ex mercenario calzado, D. Francisco Fernandez de Santos.......... 261920. .t¡&gt; residente en Camarina de Esteruelas, por 2200 D. Francisco Garmendia , por mano de D. Tomas Díaz , id., residente en Cien…</t>
  </si>
  <si>
    <t>.. 433 17 D. Juan Andureo............................ 5945 16 D. Juan Andrés ríe Loutbid.i.......... 833 25 D. Domingo Ortiz de Sintioste.... 5507 27 D. Francisco Fernandez de Santos. 13115 20 Doña Juana Tomasa Sánchez del D. Antonio Ruiz de Castilla........ too 27 Valle........................................... 33049 3&lt;3 O*…</t>
  </si>
  <si>
    <t>de Sarabia, Manuel</t>
  </si>
  <si>
    <t>Manuel de Sarabia</t>
  </si>
  <si>
    <t>Loche..... ........... 23C.07 22 I id. D. Joan Manuel Soriand y Soria...... 45615 11 Certificaciones de boletas tntregadas en tesorería: limosnas• 1 D. Manuel de Sarabia........................ 23007 22 concedidas en virtud de reales órdenes y otros títulos. k D. Josef Badao......... ......................... - 115038 12 Cert…</t>
  </si>
  <si>
    <t>de Sarasola, Juan</t>
  </si>
  <si>
    <t>Juan de Sarasola</t>
  </si>
  <si>
    <t>ex-carmelita D. Isidro Gorostegui. ' á D. Pedro Alcántara Martin* beneficiado de Pe- Para el beneficio vacante en dicha villa de Ab­ ñaparda. zaga á D. Juan de Sarasola, ex-regular del mis­ Para el de Villar de Puerco y su aoexo Bar­ mo órden. quilla , vacante por maerte de D. Francisco Ñi­ Para la rectoría de Aizarnazabal, e…</t>
  </si>
  <si>
    <t>de Saratof, Henrique de Escriben</t>
  </si>
  <si>
    <t>Henrique de Escriben de Saratof</t>
  </si>
  <si>
    <t>­ Manheim 4 de junio. ron aquel día el honor de eonier con S. M. el Em­ El 31 del mes de mayo próximo pasado fue perador. celebrado el matrimonio del príncipe Henrique de Escriben de Saratof, en Astracán , que á fines Reuss-Lobenstein coa la princesa Eraacisca de de marzo, en cuyo tiempo se goza ya por lo co­ Reuss-Kasestrig.…</t>
  </si>
  <si>
    <t>de Saravia, Martin</t>
  </si>
  <si>
    <t>Martin de Saravia</t>
  </si>
  <si>
    <t>on capital, 17 ce'ntimai para gastos de administración Fernando Miguel Hurtado , í D. Nicolás Jorge de y 4 céntimas para empleados. Arespacochaga y á D. Martin de Saravia; y ha Los pueblos tendrán facultad de imponer adi-, conferido la misma plaza en la de Toledo á Don sionalmente al total de la contribución dicha hasta Juan …</t>
  </si>
  <si>
    <t>de Sasado, León</t>
  </si>
  <si>
    <t>León de Sasado</t>
  </si>
  <si>
    <t>446</t>
  </si>
  <si>
    <t>se com­ pra 1500 veces. El precio de la plata relativamen­ AVISO. te al trigo y á qualquiera otra mercaduría, ha ba­ En virtud de providencia del Sr. D. León de Sasado cinco sextos; el del oro tres qoartillos. gasta, del consejo de S. M., juez en primera instancia, ,, Lo que acabamos de decir sobre el oro y la de 24 del prese…</t>
  </si>
  <si>
    <t>de Saxo, Alberto</t>
  </si>
  <si>
    <t>Alberto de Saxo</t>
  </si>
  <si>
    <t>bre este particular en Wenglarre, triz, y la elect ora viuda de Baviera , como tam­ pueblo dependiente del señorío de Grodek , y si­ bién S. A. R. el duque Alberto de Saxo: ia-Tes— tuado á corta distancia de esta ciudad, en Uuiow chen se dignaron honrar con sn presencia esta en el círculo de ZIoczow , y en Banilla en la Bu- f…</t>
  </si>
  <si>
    <t>de Saxonia, Antonio</t>
  </si>
  <si>
    <t>Antonio de Saxonia</t>
  </si>
  <si>
    <t>sor, y habiendo hecho venir á nuestra presencia Hasta mediados de agosto no llegarán aquí «y exítninado baxo juramento á los módicos y SS. AA. RR. el príncipe Antonio de Saxonia y la «demás personas empleadas cerca de S. M., para inarchiduquesa su esposa , hermana de Emperador, « formarnos acerca del estado de la sa:nd de S. …</t>
  </si>
  <si>
    <t>de Saxonia-Teschen, Alberto</t>
  </si>
  <si>
    <t>Alberto de Saxonia-Teschen</t>
  </si>
  <si>
    <t>Gaceta de Madrid n.º 244</t>
  </si>
  <si>
    <t>PRUSIA. y S. A. R, el duque Alberto de Saxonia-Teschen han dado en esta ocasión un nuevo testimonio de Berlín 27 de julio. que todos los establecimientos útiles pueden conSe ha publicado aquí el siguiente decreto de tar con su benéfica protección. Kan contribuid# S. M. igualmente al socorro de este esta</t>
  </si>
  <si>
    <t>de Sebastian, Manuel</t>
  </si>
  <si>
    <t>Manuel de Sebastian</t>
  </si>
  <si>
    <t>1382 D. Dionisio Ruiz de Gaona ai de Rejas de Uce- te de D. Tomas de Cos y Cosío, á D. Juan Ocon, rb ,'á D. Manuel de Sebastian , presbítero ex-fran- Clérigo de prima. ciscano. Para el de Alcozar, vacante por muerte de Para el de Vilfanueva de Gumi I, vacante por D. Ramón Llórente, con la circunstancia de estar promo</t>
  </si>
  <si>
    <t>de Sentirá, Santiago</t>
  </si>
  <si>
    <t>Santiago de Sentirá</t>
  </si>
  <si>
    <t>e los diarios publicados esta mañana. vacante por muerte de D. Amonio Román D Jz Las cartas particulares dicen que ha habida de Arcaya, al ex-regular D. Santiago de Sentirá. ana mutación repentina cu la enfermedad del Rei. Para el beneficio de radon entera de la i¡&gt; tsi, La soma irritabilidad se ha cambiado ea una tran­ parro…</t>
  </si>
  <si>
    <t>de Sentmanat, Miguel</t>
  </si>
  <si>
    <t>Miguel de Sentmanat</t>
  </si>
  <si>
    <t>á D. Juan María Van-herck , subte­ niente del regimiento de infantería de Córdoba: idem de cazadores á les cadetes D. Francisco Xavier de Echaleeu, y D. Miguel de Sentmanat: idem de fusileros á D. Juan de h Chausee, alférez de fragata retirado ce-la reai armada, D. Juan de Cortes, guardia de Corps, y D. Rafael Vaícarcsl, cade…</t>
  </si>
  <si>
    <t>de Sepúlveda, Pedro Teodoro González</t>
  </si>
  <si>
    <t>Pedro Teodoro González de Sepúlveda</t>
  </si>
  <si>
    <t>te de ls sexta compañía. En nuestro palacio de Madrid á 26 de febrero de .i8rr. Décimo batallón. "D -&gt;n Josef Napoleón por la gracia de Dios y por la D. Pedro Teodoro González de Sepúlveda, sargen­ corstitucion dei estado, Rei de Jas Españas y de las to primero, á subteniente de la primera compañía. Indias. El marques de Guad…</t>
  </si>
  <si>
    <t>de Sesane, Francisco</t>
  </si>
  <si>
    <t>Francisco de Sesane</t>
  </si>
  <si>
    <t>“Mariano Luis de Ur— zaga......................................................... T2oo quijo.” D. Rafael Martínez de Arizo................ 23013..23 D. Francisco de Sesane........................... 1600 Extracto de las minutas de la secretaría de Estado. D. Vicente Toriño.................................... 4400.-21 En nues…</t>
  </si>
  <si>
    <t>de Sierra, Justo Pastor</t>
  </si>
  <si>
    <t>Justo Pastor de Sierra</t>
  </si>
  <si>
    <t>spañola la comedia en tres Para el nono curato de la villa de Cantillana, actos titulada la juventud de Henrique v, y el fin de vacante por muerte de D. Justo Pastor de Sierra, fiesta Trápala y Tramoya. Actores en Ja comedia. Se­ ñoras Maqueda y Torres. Señores Ponce, Infantes, Ave­ á D. Antonio Sánchez Muñoz , presbítero, ex…</t>
  </si>
  <si>
    <t>de Sierra, Nicolás María</t>
  </si>
  <si>
    <t>Nicolás María de Sierra</t>
  </si>
  <si>
    <t>antos Ma i donado, 300, yon vale de 150 pesos de 1.®' de setiembre de 1808. El Sr. cardenal Barbón-, 4000. La Sra. condesa de Chinchón , 2000. El Sr. D. Nicolás María de Sierra, 320. Una patriota de Madrid , 40. Varios sacerdotes pobres , 800. D. Angel Gutiérrez Leal , 1000. D. A. P., 100. D. Antonia García , 100. Doña J. C. …</t>
  </si>
  <si>
    <t>de Siles, Antonio</t>
  </si>
  <si>
    <t>Antonio de Siles</t>
  </si>
  <si>
    <t>Santo Domingo, yen la de la viu­ El duque de Cotadilla D. Fran­ da de Illescas, calle ancha de Majaderitos. cisco Xavier de Negrece.......... 13500 -D. Antonio de Siles........................ 175 27 17 D. Isidro Monteros......................... 3375 PLAZA DE MADRID. BOLSA. -D. Mariano Sancho.......................... 4542 3…</t>
  </si>
  <si>
    <t>de Silva, Eduardo</t>
  </si>
  <si>
    <t>Eduardo de Silva</t>
  </si>
  <si>
    <t>o Moreli; ídem de cazadores á D. Justo Salafranca, te­ niente de fragata de la real armada, idem de fusilaros á D. Joaquín Morales, D. Benito Llinas, D. Eduardo de Silva, D. José Clemente de Buerens y D. Antonio de Fort, alféreces del mismo cuerpo , á Don Manuel Cortabarria, capitán del regimiento de voluntarios de Palma y á …</t>
  </si>
  <si>
    <t>de Sindc, Tomas</t>
  </si>
  <si>
    <t>Tomas de Sindc</t>
  </si>
  <si>
    <t>subtenencias á D. Manuel de los Ríos, D. Pío Tona, D. Juan Medrana, D. Cristóbal Sánchez, D. Pssdro Alvares:,.D. Cipriano V'dal., .D. Salvador Mora, D. Tomas de Sindc, D. José fereyra , D. D’ego Blanco y D. José Delgado; subtenencia de bandera á D. José Muñoz. En el batallón de infantería. ligera de voluntarios de Gerona : el…</t>
  </si>
  <si>
    <t>de Sinjaan, José</t>
  </si>
  <si>
    <t>José de Sinjaan</t>
  </si>
  <si>
    <t>o mas ó menos, y 200 y tantos heridos. Dia 18. El general dispuso que al rayar del alba saliese parte de la guarnición aí cargo del mariscal de campo D. José de Sinjaan, á destruir la trinchera construida ayer por el enemigo sobre la de­ recha del rio Francolí. Nuestra^derecha al mando del teniente co­ ronel de Hiberia D. Raf…</t>
  </si>
  <si>
    <t>de Sintioste, Domingo Ortiz</t>
  </si>
  <si>
    <t>Domingo Ortiz de Sintioste</t>
  </si>
  <si>
    <t>... 720 D. Antonio Ruiz de C-stilIa......... 433 17 D. Juan Andureo............................ 5945 16 D. Juan Andrés ríe Loutbid.i.......... 833 25 D. Domingo Ortiz de Sintioste.... 5507 27 D. Francisco Fernandez de Santos. 13115 20 Doña Juana Tomasa Sánchez del D. Antonio Ruiz de Castilla........ too 27 Valle..............…</t>
  </si>
  <si>
    <t>de Smith, Henrique</t>
  </si>
  <si>
    <t>Henrique de Smith</t>
  </si>
  <si>
    <t>761</t>
  </si>
  <si>
    <t>mercio, de bricks» 32 galeazas , cinco en Krems delante del quartel, en memoria del te­ goletas y dos yacts, en todo 178 buques, los qua- niente feld-mariscal Henrique de Smith, muerto les iban escoltados por 19 buques de guerra , á sa­ en el campo del honor Gerca de Darnstetn el dia ber, un navio de tres pnentes, de 108 caño…</t>
  </si>
  <si>
    <t>de Sola, Mateo Gil</t>
  </si>
  <si>
    <t>Mateo Gil de Sola</t>
  </si>
  <si>
    <t>ornas de Ortega.......................... 397*1 D D. Gonzalo Díaz de Ribera.......... . 7 Doñ« Margarita Macarthi..................i: 397 1 9 10125 4 D. Mateo Gil de Sola......................... 44 IQ 1 D. Josef Catnacho............................... • 90 8| 4 Doña María Micaela Girard..............- l8l8 16 D. Sebastian Lo…</t>
  </si>
  <si>
    <t>de Solis, Joaquín Leandro</t>
  </si>
  <si>
    <t>Joaquín Leandro de Solis</t>
  </si>
  <si>
    <t>de tan esclarecido varón ; al que con­ El Exento, señor consejero de Estado, prefecto testó el señor canónigo D. Jostf Isidoro Morales, de Sevilla , D. Joaquín Leandro de Solis, con ar­ dando las gracias en nombre de su ilustre cuerpo reglo al real decreto de 6 de marzo de 1809, eij á S. M., que decretando monumentos tan glor…</t>
  </si>
  <si>
    <t>de Somorostro, Andrés Gómez</t>
  </si>
  <si>
    <t>Andrés Gómez de Somorostro</t>
  </si>
  <si>
    <t>Mudrian. El 19 á las ocho de la mañana, rennidos en el Para el de Arcvalillo, vacante por promoción pa’acio del señor gobernador la prefectura, la de D. Andrés Gómez de Somorostro á ración de municipalidad, señores del tribunal, oficialidad de la extinguida colegiata de S. Ildefonso, á D. Do­ ambas naciones, funcionarios públ…</t>
  </si>
  <si>
    <t>de Sonza, Diego</t>
  </si>
  <si>
    <t>Diego de Sonza</t>
  </si>
  <si>
    <t>odo en tan crítica y dificil circunstancia. Dios guarde á V. S. muchos años. Palacio del Rio de Janejro 6 de junio de 1811. — Conde de Linares. — Sr. D. Diego de Sonza.” Tal es el estado en que se hallan nuestras cosas : esperamos en bre­ ve la llegada de las tropas portuguesas, á que seguirá la expulsión del enemigo, y el re…</t>
  </si>
  <si>
    <t>de Sorondo, Agustín</t>
  </si>
  <si>
    <t>Agustín de Sorondo</t>
  </si>
  <si>
    <t>a favor del exército de Cataluña. D. Santiago Iienette, 390 rs. D, Hugo Mucdermot, 500» D. Enrique Linch, 900. Ei Etnuio. cardenal de Borbon , 3000. D. Agustín de Sorondo , 500. Don E. B. 300. D. Victor Soret, 500. D. Francisco de Berrio, 500. D. Luis Fran­ cisco de Gardea/abal, 200. D. Juan Soler y G-arceran, 400. D. Alexand…</t>
  </si>
  <si>
    <t>de Sosa, Juan Pablo</t>
  </si>
  <si>
    <t>Juan Pablo de Sosa</t>
  </si>
  <si>
    <t>subdelegado de la intenden­ cia de- esta provincia en el partido de Sakabchen, por donativo con que han con;ribuido ios vecinos de su partido, 41-9. D. Juan Pablo de Sosa., subde­ legado de la intendencia de esta provincia en el partido de Boloncheñ-Oavieh , por donativo colectado de los vecinos de su partido , 85b y 1 real. …</t>
  </si>
  <si>
    <t>de Soto, Juan</t>
  </si>
  <si>
    <t>Juan de Soto</t>
  </si>
  <si>
    <t>ntaron hacia les Sartos u.?os 600 caballos enemigos, con quienes empezaron á batirse nuestros tiradores á caballo, mandados por el teniente coro­ nel D. Juan de Soto; inmediatamsrjte dispuso el mariscal Beresford que desde ¿*fia futse su caballería al encuentro de aquellos, verificando-</t>
  </si>
  <si>
    <t>de Soto, Juan Antonio Cabello y D José</t>
  </si>
  <si>
    <t>Juan Antonio Cabello y D José de Soto</t>
  </si>
  <si>
    <t>gud S ifornon ; compañía á D. Pedro Santáaa; agregación cié cantan á D. A dorno K sinirkí; ten me as á D: Fernando PoynaJo, D F a:-.cisco Rodríguez, D. Juan Antonio Cabello y D José de' Soto: y subtenencias á D. Pablo Chrtafal y O. Pedro Sánchez : en el Je Hiberaia, agregación de capitán á D. Cirios Francisco Ciinch ; subte­ …</t>
  </si>
  <si>
    <t>de Soxo, Luis Germán</t>
  </si>
  <si>
    <t>Luis Germán de Soxo</t>
  </si>
  <si>
    <t>monte-pio militar.................. 2.011343 9 Quintana...................................... 288o D. Manuel Barbería.................... . 1670a 17 D. Luis Germán de Soxo.............. D. Juan Seitre....... ......................... 3294 66622 10 Doña María Francisca Adelaida £1 duque de Cotadilla................... 9615a t …</t>
  </si>
  <si>
    <t>de Steinberg, Adan</t>
  </si>
  <si>
    <t>Adan de Steinberg</t>
  </si>
  <si>
    <t>contra Acaban de imprimirse las resoluciones tomadas quienes es necesario estar siempre alerta. en la ú tima dieta excraorci aria de Suecia. En el El conde Adan de Steinberg, que tenia gran­ último párrafo, de los 19 que comprehenden , se des poseúooes en Hungría en el territorio de Diospreviene que la dicta volverá á reunirs…</t>
  </si>
  <si>
    <t>de Sto, Juan Sans</t>
  </si>
  <si>
    <t>Juan Sans de Sto</t>
  </si>
  <si>
    <t>. D.» Antonio de Alsazua, 1000. D, Barto­ lomé Santa!6 , 300. D. Ramón Beltran, 160. D. Juan Whitte , 500. D. Miguel Boldíi, 200. D. Juan Imbert, 40. D. Juan Sans de Sto. Domingo, 200. D. Jo­ sé Gordoa, diputado en Cortes por América, 2000. D. José Co!í, 1000. Don Ignacio Garceran , 200. D. Pascual Moreno de. Mora, 200. D. An…</t>
  </si>
  <si>
    <t>de Suecia, Cárlos</t>
  </si>
  <si>
    <t>Cárlos de Suecia</t>
  </si>
  <si>
    <t>581</t>
  </si>
  <si>
    <t>. Lauriston. — XL\ príncipe Aíexandro Kurakin, hermano del embaxador ruso en Paris, ha obtenido su dimisión del ministerio de negocios interiores. El rey Cárlos de Suecia no ha accedido á los, deseos de B ^ñaparte, que le pedia 2000 marineros d« su nación; y ha ajustado e n el de Dinamarca un convenio, cuyos artículos se apar…</t>
  </si>
  <si>
    <t>de Suecia, Carlos</t>
  </si>
  <si>
    <t>Carlos de Suecia</t>
  </si>
  <si>
    <t>pasado en la fragata de guerra Horacio, mandado por el lord Stewart, ha arribado á lá isla de Heligoland. Los periódicos han publicado un decreto del rey Carlos de Suecia de 17 del pasado, en que prerestando la falta de salud encarga interi­ namente el cuidado del gobierno y.la dirección de los negocios á su he­ redero Bernad…</t>
  </si>
  <si>
    <t>de Suecia, Gustavo</t>
  </si>
  <si>
    <t>Gustavo de Suecia</t>
  </si>
  <si>
    <t>N(im. 67. 52 7 GACETA DE LA REGENCIA BE ESPAÑA É INDIAS DEL MARTES 21 DE MAYO DE 1811. GRAN-BRETAÑA. Londres 15 de abril. El rey Gustavo de Suecia, que se embarcó en Tarmouth el 28 del pasado en la fragata de guerra Horacio, mandado por el lord Stewart, ha arribado á lá isla de Heligoland. Los periódicos han publicado un decr…</t>
  </si>
  <si>
    <t>a que restituya la independencia al comer­ cio ruso, renunciando al sistema continental que ha arruinado á to­ dos los países que le han abrazado. El rey Gustavo de Suecia continuaba el 23 de abril en la rada de Iieligeland á bordo de la fragata de guerra inglesa Horado.— La escuadra grande del mando del almirante Saumarez ll…</t>
  </si>
  <si>
    <t>de Suecia, Heredero</t>
  </si>
  <si>
    <t>Heredero de Suecia</t>
  </si>
  <si>
    <t>talia , nos ha movido á declarar ia guerra fin de prestar el juramento de fidelidad á S. A. el á los reinos unidos de la Gran Br^tma é Irlanda, nuevo Príncipe Heredero de Suecia. y á. romper todas las relaciones de comercio, y SS. MM. el Rei de Prusia y el de Saxonia han demás que existían entre ellos y nuestros estados. ajus…</t>
  </si>
  <si>
    <t>de Suecia, Keal</t>
  </si>
  <si>
    <t>Keal de Suecia</t>
  </si>
  <si>
    <t>Gaceta de Madrid n.º 197</t>
  </si>
  <si>
    <t>o. ciones que amenazan la independencia de la coro­ Esta mañana á las nueve ha llegado aquí S. A. na, ó sea en fin de un sistema combinado de aca­ la Princesa Keal de Suecia, que viaja de incógni­ bar con ia constitución; que por consiguiente la to j y una hora después ha continuado su viage. as.mblea está plenamente convenci…</t>
  </si>
  <si>
    <t>de Tagie, Santiago</t>
  </si>
  <si>
    <t>Santiago de Tagie</t>
  </si>
  <si>
    <t>hez , sobrestante del molino , 4. D. Julián de Magallanes , id, segundo , 2, IX Esteban de Urbieta, mayoral, 1, D. Antonio Fialio , contramayoral, 1, D. Santiago de Tagie, sobrestante dé la cigarrería, 2, D. Juan Francisco Godoy ,.sobrestante del encajonado , 1. D. Rafael Pacheco, portero , 1. Don José Felipe García , sobrest…</t>
  </si>
  <si>
    <t>de Tagle, Pedro Perez</t>
  </si>
  <si>
    <t>Pedro Perez de Tagle</t>
  </si>
  <si>
    <t>ncia compañías de cazadores á los capitanes de fusile­ ros D. Francisco Utaiiz, y D. Juan Salcedo : compañías de fusile­ ros a los primeros tenientes D. Pedro Perez de Tagle, y D. Ignacio TJLiceta . y al primer ayudante mayor D. Pedro Agustín Roncaii: pri­ mera tenencia de granaderos al de fu fileros conde de M. jotes -claros…</t>
  </si>
  <si>
    <t>de Te, Diego</t>
  </si>
  <si>
    <t>Diego de Te</t>
  </si>
  <si>
    <t>e que Je dirigió D. Zacarías del Campo, comandante del escuadrón de la Romana, detal.ando la apre­ hensión de los 19 franceses necha por ei religioso D. Diego de Te va, y dice, que habiendo ido de su orden este valiente capuchi. o de granguardia con 6 soldados del citado escuadren , entró bizarramente y á viva fuerza en la vi…</t>
  </si>
  <si>
    <t>de Teateptecios, Jorge</t>
  </si>
  <si>
    <t>Jorge de Teateptecios</t>
  </si>
  <si>
    <t>peran noticias de la fe­ de la moneda. El conde de ¿zechin envió también ria efe Makarsew, qUe influye sobremanera en los 14 quintales de plata, y el conde Jorge de Teateptecios de nuestras mercancías del Asia. ties ha dicho que piensa amortizar un millón de florines en billetes de bmco. DINAMARCA. El rio Algeer separa á los …</t>
  </si>
  <si>
    <t>de Tejada, Francisco Lerda</t>
  </si>
  <si>
    <t>Francisco Lerda de Tejada</t>
  </si>
  <si>
    <t>la, CcHiellet y compañía. , 1G00. D. Sebastian Peñasco , 1000. D. Toma* Fleming, 300. 1&gt;. Domingo Pont y Closas . 300. X). Miguel do Mendizabal, 500. D. Francisco Lerda de Tejada, 1000. ÍX Juan Bautista Cheirasoo y Vico, ÍÜOÍL D. Santiago José de Tenar ,'500. D. Juan Vaidés 400. D. Fiaticúsco Jert.'s , 200. I). Miguel Mateu, …</t>
  </si>
  <si>
    <t>de Tejada, Romualdo Pasqual</t>
  </si>
  <si>
    <t>Romualdo Pasqual de Tejada</t>
  </si>
  <si>
    <t>al consulado, 500. Conde de Sta. Colonia, líiOO, D. Francisco Basil, 200. D. Clemente Fernandez de Elias , 100. Sres. Hieke, . Zinke y compañía, 100. D. Romualdo Pasqual de Tejada , 200. D. Carlos .García Texudor ,-100. Condesa de Torres, 160. D. José Martínez- de Vcngoa» 100. D. Martin Rolda y Beida , Í300. Sres. Dnwel y com…</t>
  </si>
  <si>
    <t>de Tena, Manuel</t>
  </si>
  <si>
    <t>Manuel de Tena</t>
  </si>
  <si>
    <t>empleo de ayudan e, general á D, Luis Muda Ba­ lanza: : los de ayudanrts primeros á D. Francisco del Rey , D. S.n* tos de Allende, D. Eraclio A:aiz &gt; D. Manuel de Tena, D. Emeteriu Velar de, D. Francisco Pablo de la Peña, D. Juan Morales y</t>
  </si>
  <si>
    <t>de Tenar, Santiago José</t>
  </si>
  <si>
    <t>Santiago José de Tenar</t>
  </si>
  <si>
    <t>ng, 300. 1&gt;. Domingo Pont y Closas . 300. X). Miguel do Mendizabal, 500. D. Francisco Lerda de Tejada, 1000. ÍX Juan Bautista Cheirasoo y Vico, ÍÜOÍL D. Santiago José de Tenar ,'500. D. Juan Vaidés 400. D. Fiaticúsco Jert.'s , 200. I). Miguel Mateu, 2000 D. José Balboa, 40. D. José Puyade , 100. D. Tomas SoW y Molins , 100. D…</t>
  </si>
  <si>
    <t>de Teran, José Gatierrer</t>
  </si>
  <si>
    <t>José Gatierrer de Teran</t>
  </si>
  <si>
    <t>289</t>
  </si>
  <si>
    <t>emadura ; para vice-presidente el Sr. D. José Sal­ vador López dei Pan , diputado propietario por la ciudad de la Co* ruña ; y para secretario el Sr. D. José Gatierrer de Teran , diputado suplente por el rey no de Nueva-España. El Excmo. Sr. gefe dei estado mayor general, acaba do recibir los siguientes partes que le dirige e…</t>
  </si>
  <si>
    <t>de Teran, Patricio Gutiérrez</t>
  </si>
  <si>
    <t>Patricio Gutiérrez de Teran</t>
  </si>
  <si>
    <t>este comercio. L'i Cádiz.— D. José González y D. José Diaz Martínez , como apodera­ dos , y á nombre del gremio de montañeses , 49.693 rs. y 17 mrs. D. Patricio Gutiérrez de Teran, como capataz mayor por la compañía de trabajadores de la rea aduana , 6900. D. Ignacio Gutiérrez de Ceüs , cabo principal déla compañía de ajámele…</t>
  </si>
  <si>
    <t>de Teran, Pedro</t>
  </si>
  <si>
    <t>Pedro de Teran</t>
  </si>
  <si>
    <t>z riel Olmo, 200. D. Antonio Diaz Tagle, 160. D. Antonio González de Columbres, 160. D. José Antonio de la forre , 120. D. Antonio García Tcraa, 120. D. Pedro de Teran, 120. D. Bernardo García de los Ríos, 120. I). Tomas del Corral, 130. D. Manuel Tornero y D. Antonio Hidalgo, 140. I). Juan Antonio Díaz de Celis, 100. D. José…</t>
  </si>
  <si>
    <t>de Terreros, Paulina Gil</t>
  </si>
  <si>
    <t>Paulina Gil de Terreros</t>
  </si>
  <si>
    <t>os. 12472 2 Doña María del Carmen Herran... 930 33 D. Jaime Caxanovas.......... ............* 3082 7 D. Francisco Fernandez.................. 7775 27 Doña Paulina Gil de Terreros....... 3904 D. Joaquín Josef de Ayanz y Doña María del Carmen Herran... 6300 Meneos.......................................... 89829 D. Pedio Metnend…</t>
  </si>
  <si>
    <t>de Texada, Josef García</t>
  </si>
  <si>
    <t>Josef García de Texada</t>
  </si>
  <si>
    <t>dos las cédulas hipotecarías correspondientes, articulo 1. „ Se declaran acreedores del con arreglo á nuestro decreto de 9 de.junio Estado á de 1809. D. Josef García de Texada art. iij. Nuestro ministro de Hacienda por mano de su apodera­ queda encargado de la execucion del presente do D. Pedro García Pi- Rcalgi' _ Mr_ decret…</t>
  </si>
  <si>
    <t>de Tezada, Francisco Crespo</t>
  </si>
  <si>
    <t>Francisco Crespo de Tezada</t>
  </si>
  <si>
    <t>escribanía sivas 6 círculos de nuestras acciones se componen de provincia de D. Manuel López de Rivas, á instan­ de este doble encadenamiento. cia de D. Francisco Crespo de Tezada, vecino de esta Aquí se h^c - clásico ei texto del autor, y na­ corte, contra Josef Sánchez, Francisco Calavera y Joda se puede omitir , si queremo…</t>
  </si>
  <si>
    <t>de Tí, Mariano</t>
  </si>
  <si>
    <t>Mariano de Tí</t>
  </si>
  <si>
    <t>er: por la ds* 8; Felipe, el ba­ rón de Sia. Bhkra : porta de Mordía, el marques de S. Josa : por la de Peníscola, B. José Falcó : por la de Onnuela, D. Mariano de Tí ibés ; y por la de Xijona. D. R fae) Miraües,. A oesar de la heroica conducta de los defensores de Tarragona,la pkza fué tomada por asalto el 28 del pasado por …</t>
  </si>
  <si>
    <t>de Toledo, Francisco Octavio</t>
  </si>
  <si>
    <t>Francisco Octavio de Toledo</t>
  </si>
  <si>
    <t>n, se me incorporó volunta­ riamente con los 80 hombres da su mando y se portó coa el mayor valor; su sargento primero Ildefonso Andrés ; mi ayudante D. Francisco Octavio de Toledo’; el comandante de adelantados ' D. Juan Antonio Guijarro, cayo denuedo y actividad füé superior á todo elogio; sus sargentos primeros Francisco R…</t>
  </si>
  <si>
    <t>de Tordesi, Diego</t>
  </si>
  <si>
    <t>Diego de Tordesi</t>
  </si>
  <si>
    <t>......................... 361 I7486 21 15 Doña Carolina López de la Huerta, 9 D. Clemente de Cabía, como apo­ como heredera de su padte Don derado de D. Diego de Tordesi lias. 3317 17 Josef,................................................ 18 D. Juan Rubio..................................... 124454 25! 43562 28 18 D. Pedro Ga…</t>
  </si>
  <si>
    <t>de Toremberg, Fischler</t>
  </si>
  <si>
    <t>Fischler de Toremberg</t>
  </si>
  <si>
    <t>Tsíiím. 186. 757 GAZETA DE MADRID DEL VIERNES j DE JULIO DE i8ir. PRUSIA. Saxonia Cobourg , acompañado del barón Fischler de Toremberg, con ct objeto de negociar ccm nues­ Berlín i.° de junio. tro gobierno el cambio de algunos pueblos, y la S. M. ha hecho dq viage á Copnick para ver demarcación de las fronteras del ducado</t>
  </si>
  <si>
    <t>de Toro, Fernando</t>
  </si>
  <si>
    <t>Fernando de Toro</t>
  </si>
  <si>
    <t>ldes contra Coro, en que fueron derrotados v¿rgo:izesaraente, con pérdida de 600 de los suyos, por los leales Inbiíaníes y tropas de aquella ciudad ; D. Fernando de Toro, que habla sido el comandan­ te de la expedición, fué desterrado ds la capital. El mando en gefa de la milicia de que se le h».bia despojado, se éió con el t…</t>
  </si>
  <si>
    <t>de Toro, Manuel</t>
  </si>
  <si>
    <t>Manuel de Toro</t>
  </si>
  <si>
    <t>. dad, l .s z ri jas para los cimientos dei palacio del Reí de Roma , que va á construirse en ChaUlot» Séptimo batallón. enfrente del puente de Jena. D. Manuel de Toro, teniente, á capitán de la primera compañía, en reemplazo de D. Pedro María de Zubiaga. ESPAÑA. D. Mariano Fabre , subteniente, á teniente de la primera compañ…</t>
  </si>
  <si>
    <t>de Torrero, Diego Muñoz</t>
  </si>
  <si>
    <t>Diego Muñoz de Torrero</t>
  </si>
  <si>
    <t>de 24 de este mes á la renovación de su nreJde te, del vice-pretiderte y del mas anticuo de sus secretados; han sido elegidos, para presidente el Sf. D. Diego Muñoz de Torrero, diputado propietario, por la rn'pví-aqia ce Extremadura: para vicepresidente el Sr. D. An­ drés de Jáarcgai, diputado propietario por la ciudad de la …</t>
  </si>
  <si>
    <t>de Torres, Benito</t>
  </si>
  <si>
    <t>Benito de Torres</t>
  </si>
  <si>
    <t>or las canti­ D. Félix de la Cruz, lego, natural de Tarancon, dades que respectivamente se les designan, residente en Toledo, por............... tico D. Benito de Torres, natura! de Sis inte, e:i la Man­ ES-IENEDICIINOS. Rs. vn. cha , residente en su pueblo , p ,r......................... 22 00 anuales. D. Julián Collado, nat…</t>
  </si>
  <si>
    <t>de Torres, José</t>
  </si>
  <si>
    <t>José de Torres</t>
  </si>
  <si>
    <t>pas y batió las posiciones enemigas con el acierto y serenidad que siem­ pre la distingue, conservando sü merecida reputación. Debo nombrar cambien á D. José de Torres que sirve con mucho honor y distinción en clase de voluntario , desde el principio de la campaña, y que en .las acciones que precedieron á la toma de Guanaxu«.…</t>
  </si>
  <si>
    <t>1179</t>
  </si>
  <si>
    <t>1179 Busíamante y D. José de Torres, ¿ los capitanea de voluntarlos y üko dí? Veracruz D. Juan Luengas y Dan Juan Zavaleta, al sar­ gento mayor D. Jasé Villa iba, y á los ayudantes D. Francisco Mar­ tines y D. Ignacio Iben-i:</t>
  </si>
  <si>
    <t>de Torres, Tomas</t>
  </si>
  <si>
    <t>Tomas de Torres</t>
  </si>
  <si>
    <t>!, D. Marcelino Morales, D. Nerbsrto Flo­ res, D. Fernando dei R:o, D. Ramón Pi aillos y D. Antonio Pala­ cios; y subtenencias á D. Cristóbal Julián, D. Tomas de Torres, D. Juan Garasa, D. Lorenzo Martínez, D. José Ortiz, D. Juan B-AIido, y D. Calixto de Rozas. En el batallón de infantería ligera de voluntarios de Mérida; los…</t>
  </si>
  <si>
    <t>de Tovar, Ramón</t>
  </si>
  <si>
    <t>Ramón de Tovar</t>
  </si>
  <si>
    <t>ta i estos poderes seria Por decreto de 28 del corriente S. M. se ha injuriosa para él, y no haría sitio meterle en difi­ servido nombrar prefectos á D. Ramón de Tovar, cultades y laberintos. ex-intendente de Avila , de la prefectura de Cáce,,Por lo qne hace á .las declaraciones de los res; á D. Joaquín Uñarte y Landa , de la…</t>
  </si>
  <si>
    <t>de Traspeña, Juan Manuel Ortiz</t>
  </si>
  <si>
    <t>Juan Manuel Ortiz de Traspeña</t>
  </si>
  <si>
    <t>oce otra renta 6 sueldo equivalente. D. Miguel Antonio Oquendo......................... 3217..16 art. I11. Nuestros ministros de Negocios eclesiásti­ D. Juan Manuel Ortiz de Traspeña............. 12577..16 cos y el de Hacienda quedan encargados de la execu­ D. Timoteo O Scalan de Laci..................... 816ÓS..14 cion del p…</t>
  </si>
  <si>
    <t>de Trido, Juan Estéban</t>
  </si>
  <si>
    <t>Juan Estéban de Trido</t>
  </si>
  <si>
    <t>acioxuss da capitales de acciones y réditos 3 por 1 La condesa de Mora....................... 832 6¡ • del reiitd empréstito de tSo millones. 3 por 1 D. Juan Estéban de Trido........... 576 Certificaciones. ' 3 por 13 El marques de Salinas, como po■ seedor de los mayorazgos de Or2 D. Dominj’w Josef tle Casas............... 23…</t>
  </si>
  <si>
    <t>de Truxilío, Eduardo José</t>
  </si>
  <si>
    <t>Eduardo José de Truxilío</t>
  </si>
  <si>
    <t>pacto , se verificará la rifa en las casas de ayuntamiento de la R:al isla da León. Se despacharán las cédulas de esta rifa en Cádiz en la tienda de D. Eduardo José de Truxilío, calle Ancha, núra. 72; en casa de D. Roque Aguado, frente ei León de las des Castillas : en la calle de S. Francisco nú«n. 56, tienda de instrumentos…</t>
  </si>
  <si>
    <t>de Tudela, Joaquín</t>
  </si>
  <si>
    <t>Joaquín de Tudela</t>
  </si>
  <si>
    <t>............ 8303 4 D. Pedro de Mora y Lomas............. 992 Al; ESPAÑA. 2 D. Tomas Rcmeodero...................... . 1895 Madrid 18 de diciembre. i D. Joaquín de Tudela........................... 361 1 D. Francisco Antonio de Belaunde... 1083 Extracto de las minutas de la secretaría de Estado. 2 D. Juan Francisco Gavino de …</t>
  </si>
  <si>
    <t>de U, Mannel</t>
  </si>
  <si>
    <t>Mannel de U</t>
  </si>
  <si>
    <t>par de Losas Hidalgo, teniente, á espi­ se puede executar por indisposición de uno de los ac­ tan de la tercera compañía. tores que entraban en ella. D. Mannel de U.¡barrí, subteniente, á tenien­ En el de la Cruz, á las seis de 1a- tarde, se eje­ te de la segunda compañía. cutará la comedia heroica en tres actos del célebre M…</t>
  </si>
  <si>
    <t>de Ujoeta, Martin</t>
  </si>
  <si>
    <t>Martin de Ujoeta</t>
  </si>
  <si>
    <t>y Forncs , 1000. D. Manuel Mícheo, 500. D. Lorenzo Camps, 500. Don. Juan Antonio Cobo y Tanderas, 100. D. Miguel Xiqucs,200. D. Guillermo Power, 500. D. Martin de Ujoeta, 400. D. Francisco Buch y Verges, 400. D. Pedro Mártir Pascual , 200. 1). José TraseiJas, 150. D. José Sopeña , 3,20. IX José Alvareda , 3000. D. Manuel Ferr…</t>
  </si>
  <si>
    <t>de Ujueta, Martin</t>
  </si>
  <si>
    <t>Martin de Ujueta</t>
  </si>
  <si>
    <t>de los Meros , 400. 1) Tomas rieming , 200. D. José Fray le Jarro , 12 0. Varios emigrados, 122. Un ma­ drileño , GO. D. Juan Antonio Llórente, 1000. D. Martin de Ujueta, 3tX). D. Antonio Castaño, 100. D. Juan Manuel de Gandasegui , &gt;000. I). Isidoro Sartorio , 300. Dos Sras. viudas, de Madrid , 200. D. J. R G. S., 32.». El a…</t>
  </si>
  <si>
    <t>de Ulloa, Antonio</t>
  </si>
  <si>
    <t>Antonio de Ulloa</t>
  </si>
  <si>
    <t>serva sn quartel general en se ba encontrado este metal singular eo las miual Llerena, donde pafícé qti8 S5 réüdirán todas sus de Choco, y el célebre D. Antonio de Ulloa fue fuerzas. el primero qne nos lo dio á conocer. El conde dé Algúnds de nuestros periódicos han sido tan Sickengen me enseñó el modo de trabajar esta pre­ n…</t>
  </si>
  <si>
    <t>de Ulloa, Juan Josef</t>
  </si>
  <si>
    <t>Juan Josef de Ulloa</t>
  </si>
  <si>
    <t>uenca Romero. Quinto batallón. D. Felipe Gutiérrez de Qaevedo. D. Agustín Tavira, ayudante segundo, á ca­ Subtenientes. pitán de la séptima comoañía. D. Juan Josef de Ulloa. D. Manuel García S¿nz, sargento primero, á D. Josef de Loque Beltran. subteniente de la quinra compañía. D. Francisco de P iula deVárga*. D. Ramón García…</t>
  </si>
  <si>
    <t>de Ulloa, Luis</t>
  </si>
  <si>
    <t>Luis de Ulloa</t>
  </si>
  <si>
    <t>793</t>
  </si>
  <si>
    <t>triotas de caballería que el mismo día se presentó en la barca de Mejorada. Elche de la Sierra, partido de Alcaráz ,6 de julio. El teniente co­ ronel D. Luis de Ulloa, comandante del cantón de Alcaraz, ha dado parte ¿ ia junta superior de la Manch* , de que el comandante fraaces de I liantes, conde de Nassau, deseoso de venga…</t>
  </si>
  <si>
    <t>de Unzueta, Juan Antonio</t>
  </si>
  <si>
    <t>Juan Antonio de Unzueta</t>
  </si>
  <si>
    <t>uten­ ción de un soldado , 9. D, Jgnaeio Alvares , director de labores , para la ma­ nutención de 3 soldados que ofrece por todo el presente año, 27. D. Juan Antonio de Unzueta, secretario ele la superintendencia, para la manuten­ ción de un soldado , 9. D. Juan Martin Vegue, oficial segundo , 2. D. Ma­ riano Medina, ofieia! …</t>
  </si>
  <si>
    <t>de Ur, Mariano Luis</t>
  </si>
  <si>
    <t>Mariano Luis de Ur</t>
  </si>
  <si>
    <t>e de galan un joven de catorce años, El Excmo. Sr. D. Josef de Mazarredo........ 500 hijo del señor Antonio González, el que se prefina El Excmo. Sr. D. Mariano Luis de Ur~ por primera vez en ei teatro:. seguirá una tonadilla; y quijo................................................................ 500 se dará fin con un diver…</t>
  </si>
  <si>
    <t>de Urda, Juan Martin</t>
  </si>
  <si>
    <t>Juan Martin de Urda</t>
  </si>
  <si>
    <t>melita des­ D. Manuel Bravo, id., residente en id., por 2200 calzo, residente en Madrid , por............ 22CO D. Josef Camón , ex franciscano, resi­ D. Juan Martin de Urda, ex-carmeiita dente en Ciudad Real, por..................... 2209 calzado, por.................................................. . 2200 D. Josef Moraleda …</t>
  </si>
  <si>
    <t>de Urebaí, Luis Josef</t>
  </si>
  <si>
    <t>Luis Josef de Urebaí</t>
  </si>
  <si>
    <t>pero con mu­ (..y) A&lt;i consta de les Reparos contra los anales de chos yerros, y distinta del original. Probablemente se Sevilla, escritos por el P. D. Luis Josef de Urebaí, copió con mucha negligencia. mangt profeso de la cartuja de Sevilla, cuyo original manuscrito existía en el archivo de dicha cartuja, tras­ ladado i este…</t>
  </si>
  <si>
    <t>de Uria, Joaquín María</t>
  </si>
  <si>
    <t>Joaquín María de Uria</t>
  </si>
  <si>
    <t>122 J D. Antonio Chasscrot y Castro.... 80OO D. Tadeq Font............................... , ¿ÓOO D. Juan Murfi................................ 1ocooo D. Joaquín María de Uria y la El monte-pio militar.................. 2.011343 9 Quintana...................................... 288o D. Manuel Barbería.................... . 1670…</t>
  </si>
  <si>
    <t>de Urqiv'jo, Mariano Eiais</t>
  </si>
  <si>
    <t>Mariano Eiais de Urqiv'jo</t>
  </si>
  <si>
    <t>6U síones de María Pepa, y délas de raí parte á los compañeros. — Es de V. siempre afectísimo amigo &amp;c. — Azanza. — Exemo. Señor D. Mariano Eiais de Urqiv'jo. De D. Pablo Arribas á José Bonaparle. Señor : D;-sde mi último parte dei 29 de abril ninguna novedad notable ha ocurrido en Madrid. Se va calmando la fermentación de op…</t>
  </si>
  <si>
    <t>de Urqnijo, Mariano Luis</t>
  </si>
  <si>
    <t>Mariano Luis de Urqnijo</t>
  </si>
  <si>
    <t>ha recibido esta mañana i ona diputa­ D. Gonzalo O-Farríl» ministro de la Guerra, y ción del senado del reino de Italia, á los obispot el Excmo. Sr. D. Mariano Luis de Urqnijo» mi­ de este reino y á los diputados de las ciudades de nistro secretario de Estado. Venecia, Bolonia» Ver ona, Brescia y Mantua. El Excmo. Sr. conde d…</t>
  </si>
  <si>
    <t>de Urqui, Juan</t>
  </si>
  <si>
    <t>Juan de Urqui</t>
  </si>
  <si>
    <t>capitán D. Bernardo Tello: el del regimiento provincial de Puebla de infantería , D. Manuel Gu­ tiérrez de les Ríos : el del regimiento de la Corona D. Juan de Urqui- . di : el teniente veterano de dragones de Puebla , D. José Mora : el al­ férez del propio cuerpo D. José Ignacio de la Cuesta : el subteniente de la columna de…</t>
  </si>
  <si>
    <t>de Urquidi, Juan</t>
  </si>
  <si>
    <t>Juan de Urquidi</t>
  </si>
  <si>
    <t>729</t>
  </si>
  <si>
    <t>gencia las órdenes por medio de los ayudantes : en cuya clase se distinguieron, por el acierto y prontitud couque las llevaron, los ayudantes mayores D. Juan de Urquidi, D. José Mora y D. Ignacio Urratia, y el alférez D. José Ignacio Iberri; y no emito hacer mención de los capellanes y cirujanos del exército que han llenado c…</t>
  </si>
  <si>
    <t>de Urquizu, Ramón María</t>
  </si>
  <si>
    <t>Ramón María de Urquizu</t>
  </si>
  <si>
    <t>Irusta............. ........... 10108 los.../........................................... 10584 28 D. Juan Duat................................. 4693 D. Ramón María de Urquizu....... 11756 28 El hospital de presbíteros naturales. 22923 *7 Dona Ana María Hetiríquez de Lu­ D. Edmundo Bourke..,........ .......... 12589 na , viuda…</t>
  </si>
  <si>
    <t>de Urriola, Juan Manuel</t>
  </si>
  <si>
    <t>Juan Manuel de Urriola</t>
  </si>
  <si>
    <t>156 P. Jusb/Garcí a Je Paredes, id., 360. D. Juan Manuel de Urriola, 100. D. An­ tonio Ximenez, 100. D. Manuel de Ortiz, 200. D. Juan Andrés de Gaviria, 40. X). Luis de la Barrera, 100. D. Ambrosio Ansuategui, 100. D. Francisco de Argote , en plata labrada</t>
  </si>
  <si>
    <t>de Urrotia, Domingo</t>
  </si>
  <si>
    <t>Domingo de Urrotia</t>
  </si>
  <si>
    <t>or vía de limosna............... ........................ 768 1 D. Juan Antonio Medina......... . ; 4661 1S. 1 1 D. Francisco López Lisperguer, por l D. Domingo de Urrotia............ ........ 5242 16 sus sueldos en diferentes destinos;. . 18049 5 9904 t Doña Antonia Andrés, por real or­ den de 22 de agosto de 1807 , por vía …</t>
  </si>
  <si>
    <t>de UVquidi, Juan</t>
  </si>
  <si>
    <t>Juan de UVquidi</t>
  </si>
  <si>
    <t>on acierto y actividad las órdenes , partiendo desde la vanguardia los capitanes D Bonifacio Tos a y D Bernardo Tello, el ayudante mayor de la Corona D. Juan de UVquidi , los de la columna de granaderos teniente D. Ignacio Urrutia y subteniente D. José Mariano Zavala , el del cuerpo de patriotas de S Luis D. Juan Juárez , los…</t>
  </si>
  <si>
    <t>de Uztariz, Juan Bautista</t>
  </si>
  <si>
    <t>Juan Bautista de Uztariz</t>
  </si>
  <si>
    <t>Brine y 15Ó lanceros caballería de las. haciendas del benemérito patriota D. Gabriel de Yermo, todp aí mando def teniente de,navio de la real armada D. Juan Bautista de Uztariz, á quien ordené dis­ pusiese la colocación dé los dos&gt;cañones envíos puestos que rae pa­ recieron mas ventajosos, cubriéndolos de rautas para ocultar …</t>
  </si>
  <si>
    <t>de Vaca, Pedro</t>
  </si>
  <si>
    <t>Pedro de Vaca</t>
  </si>
  <si>
    <t>ento i D. Pedro Ignacio Rioboo. D. Diego de Leori; para mayor á D. Francisco de D. Josef María Sánchez. Paula Valdivia; para comandantes de batallona D. Pedro de Vaca. D.J uan de Molina y D. Lope Fernandez de Cór­ Subtenientes. doba ; para ayudantes D. Josef Vázquez y D. Ra­ fael Fernandez , y para abanderados á D. Vicente D.…</t>
  </si>
  <si>
    <t>de Vailejo, Felipe Carlos</t>
  </si>
  <si>
    <t>Felipe Carlos de Vailejo</t>
  </si>
  <si>
    <t>Josef Vasallo...........;................. 2279i 5 D. Apolinar Rouyer...................... 9720 D. Alejandro Silva......................... 9220 20 D. Felipe Carlos de Vailejo.......... 0220 D. Pedro Miranda....»......,............ 3M4 14 D. Juan de Gaona , como tutor de D. Bernardo Iriarte.............. ......... 35641 19 D…</t>
  </si>
  <si>
    <t>de Valenzuepues, Manuel</t>
  </si>
  <si>
    <t>Manuel de Valenzuepues</t>
  </si>
  <si>
    <t>entonces contra la dudad. gado al tribunal de contaduría mayor «Te Ccentas, Esta segunda tentativa no fue mas íeliz para ellos, como miembro de él, á D. Manuel de Valenzuepues el fuego de las baterías de la costa les obligó la. y Cimeros. biea pronto i largarse. Los enemigos tuvieron igual suerte delante de Catooa, de’donde s…</t>
  </si>
  <si>
    <t>de Valle, Juan</t>
  </si>
  <si>
    <t>Juan de Valle</t>
  </si>
  <si>
    <t>propietario por la provincia de la Mancha; para ▼ice-presidente el Sr. D. Francisco de la Sima, diputado suplente por Avila, y para secretario el Sr. D. Juan de Valle3 diputado pro­ pietario por el principado de Cataluña. El capitán general D. Francisco Xavier Castaños , coa fecha de 13 del corriente desde su cuartel general …</t>
  </si>
  <si>
    <t>de Varga, Jasé</t>
  </si>
  <si>
    <t>Jasé de Varga</t>
  </si>
  <si>
    <t>n bizarría, los -artilleros voluntarios"distinguidos extramuros do esta plaza, D. José-P^ez, D. Manual Santa María, D.. Pudre Orozco, B.J aan Daran y D. Jasé de Varga?. Ei general en gef-5 Ies ha dado las gr&amp;sias, y el Clmsejo de H'jigi;ucia ha mandado igualmente que se les den en su nombre. • . . •' ' 1 '• , í-f A &gt; V: * ■ C…</t>
  </si>
  <si>
    <t>de Várgas, Antonio</t>
  </si>
  <si>
    <t>Antonio de Várgas</t>
  </si>
  <si>
    <t>iciales de la** quatro compañías los individuos de esta capital quedan promovidos los iudividaos que siguen : siguientes: Capitanes. Tercer batallón. D. Antonio de Várgas._ D. Francisco Lefebvre, ayudante segundo, á D. Antonio Andrés Galiano. «apitan de la segunda compañía. D. Manuel Notario. D. Francisco Sinz Ruiz, teniente,…</t>
  </si>
  <si>
    <t>de Vargas, Francisco</t>
  </si>
  <si>
    <t>Francisco de Vargas</t>
  </si>
  <si>
    <t>Gaceta de Madrid n.º 147</t>
  </si>
  <si>
    <t>ijjla Spezzia , y á pesar de su ex­ ballería y ofi ial de ordenanza, capitán de la mis­ tensión y de las grandes dificultades que presenta ma arma; á D. Francisco de Vargas, comandante el terreno,, se espera verlo concluido dentro de de batallón del real cuerpo de artillería , mayor del pocos meses. mismo cuerpo; á D. Juan An…</t>
  </si>
  <si>
    <t>de Vargas, Manuel</t>
  </si>
  <si>
    <t>Manuel de Vargas</t>
  </si>
  <si>
    <t>o F reyre, D. Gasnar Escapa, D. Benjamín Barríe, D. Pedro Sánchez, D. Joan Zaldivar, D. Manuel Zeldivar, í). Mdro Caballero, D. Bernabé Santibañ***,- D. Manuel de Vargas y ü. Joan Dow.de Brizo; y subtenencias á D. Diego Pacheco, Don Ramón Sancho, D. Juan Estraus, D. Máximo - Reynoso, D. Agus­ tín O e ti veros, D. Miguel de la…</t>
  </si>
  <si>
    <t>de Vázquez, Josef Miguel</t>
  </si>
  <si>
    <t>Josef Miguel de Vázquez</t>
  </si>
  <si>
    <t>............................. • 90 8| 4 Doña María Micaela Girard..............- l8l8 16 D. Sebastian Loche............................. - 15342 17 2 D. Josef Miguel de Vázquez...... 2 D. Joaquín Martínez.......................... 4ji 8 3000 9 Sor Isabel María de Jesús, por su 3 D. Sebastian Sempere.......................... …</t>
  </si>
  <si>
    <t>de Vcngoa, José Martínez</t>
  </si>
  <si>
    <t>José Martínez de Vcngoa</t>
  </si>
  <si>
    <t>z de Elias , 100. Sres. Hieke, . Zinke y compañía, 100. D. Romualdo Pasqual de Tejada , 200. D. Carlos .García Texudor ,-100. Condesa de Torres, 160. D. José Martínez- de Vcngoa» 100. D. Martin Rolda y Beida , Í300. Sres. Dnwel y compañía , 5000. D. MF gnel Lobo , 000. P. José Durana, 80. Sres. Strangc , hermanos y compañía, …</t>
  </si>
  <si>
    <t>de Ve, Cayetano Perez</t>
  </si>
  <si>
    <t>Cayetano Perez de Ve</t>
  </si>
  <si>
    <t>te, cura de Gallinero. Francisco Iñiguez. Para el de Dcrroñadas y el Royo su anexo, Para el de Porteirubio y su anexo Chavaler, vacante por maerte dé D. Cayetano Perez de Ve­ vacante por renuncia de D. Joscf Sanz de la Vega, ra , í D. Josef Celedonio Ruiz, cura de Sinovas. i D. Gabriel Sanz, clérigo de prima. Para el de Regum…</t>
  </si>
  <si>
    <t>de Ve, Cipriano</t>
  </si>
  <si>
    <t>Cipriano de Ve</t>
  </si>
  <si>
    <t>gracias que del dar á este oficial por su conducta. tac distinguieron en esta ocasión mis dos ayudantes de campo, el testante de dragones de Saguato D. Cipriano de Ve!asco , y el alferi¡ D. Sebastian Moreno; y mis oficiales de órdenes el teniente D.ltman Manuel de Segovia y el capitán D. Francisco Ferraris.— El mude de Penne …</t>
  </si>
  <si>
    <t>de Vega, Joaquín</t>
  </si>
  <si>
    <t>Joaquín de Vega</t>
  </si>
  <si>
    <t>a haciendo quarentcna. PLAZA DE MADRID. BOLSA. NECROLOGIA. DIA í DE MARZO DI l8ll. - Los estudios reales de Madrid acaban de per­ der con L muerte de D. Joaquín de Vega, profe­ sor de física, un hombre zeíoso de los progtesos Efectos públicos. de la ciencia que cultivaba, y de los adelantamien­ Vales reales...................…</t>
  </si>
  <si>
    <t>de Velasco, Josef María</t>
  </si>
  <si>
    <t>Josef María de Velasco</t>
  </si>
  <si>
    <t>avistamos un buque, que no pude reco­ cretario de legación en Copenhague, que resuda nocer, y el i.° de agosto doblamos el cabo de Buena- vacante, á D. Josef María de Velasco. Esperanza por los 35 grados, 3© minutos de latitud. Por decreto de 23 del corriente D. Josef Vas„ El segundo pasamos á 4 leguas de 8 embarcacio­ coni h…</t>
  </si>
  <si>
    <t>de Vera, Eugenio</t>
  </si>
  <si>
    <t>Eugenio de Vera</t>
  </si>
  <si>
    <t>artínez tic Viiianueva , natural de Villare.jo de Salvanés, por................................. 2200 SaeÜccs, provincia de Cuenca , icsidcntc en To­ D. Eugenio de Vera, natural de Madrid, resi­ ledo , por...................................................................... 2 200 dente en Toledo, por.........................…</t>
  </si>
  <si>
    <t>de Vergara, Juan Francisco</t>
  </si>
  <si>
    <t>Juan Francisco de Vergara</t>
  </si>
  <si>
    <t>dal, 120 D. Ricardo Mea.de , 1000. D. Jacobo Enrique Mistíer , 400. IX Andrés del Fresno, 120. D. Francisco Miguel Barón , 500. Don Ramón Soler, 504. D. Juan Francisco de Vergara , ItíOO. D. Miguel Gomer, 400. D. José JLaíihre, llKX D. Juan García de Falencia, 150. D. Valentín. Tar* ris, 2000. (Sé continuará.) CADIZ t EN LA I…</t>
  </si>
  <si>
    <t>de Vergara, Martin</t>
  </si>
  <si>
    <t>Martin de Vergara</t>
  </si>
  <si>
    <t>oten. 1173 8f D. Andrés de Abrisqneta.............. D. Raimundo Ruiz de Alegría..... D. Pascual Trotíaga...................... . 33°45 iS 4188 238 [j D. Martin de Vergara.................... 13076 8f D. Francisco Xavier Porto.......... D. Joaquín de Cordero y Vargas. 1354 22 90 D. Ambrosio María Cerdan........... 1 80 24 P. A…</t>
  </si>
  <si>
    <t>de Vicotomar, Ramón</t>
  </si>
  <si>
    <t>Ramón de Vicotomar</t>
  </si>
  <si>
    <t>flaquecido infinito» lo Znazo, en la propia provincia, vacante por muer­ que proviene principalmente de su repugnancia en te de su último poseedor, á D. Ramón de Vicotomar alimento. No obstante» los médicos no fia , beneficiado de media ración de dicha iglesia. creen qne se halla todavía en un riesgo inminente. Para el medio …</t>
  </si>
  <si>
    <t>de Vildoslada, Antonio Juan</t>
  </si>
  <si>
    <t>Antonio Juan de Vildoslada</t>
  </si>
  <si>
    <t>idro Breña Posada........................ 3a 49 D. León García Serrano.......................... 12949 D. Pedro de Faura....................... 433 a D. Antonio Juan de Vildoslada, por D. Francisco Hernández París.............. 4512..17 mano de L). Fermín Ripando............ 25631 D. Domingo Ortiz y Zarate................... …</t>
  </si>
  <si>
    <t>de Villa, Manuel Vciez</t>
  </si>
  <si>
    <t>Manuel Vciez de Villa</t>
  </si>
  <si>
    <t>as, 100. D. Joaquín Sánchez, 1.09 D. José Vela Mesones, 100. D. Manuel Sán­ chez de la Torre, 100. D. Carlos de Hoyos, 100. D. Felipe Argumedo , 100. D. Manuel Vciez de Villa, 100. Di José M uñoz , 100. D. Antonio Ruiz , 100. D. Nicolás Molleda , 100. D. José González 5 100. D. Francisco Fernandez, 100. D. Antonio Arrí, 100, …</t>
  </si>
  <si>
    <t>de Villanu, Diego</t>
  </si>
  <si>
    <t>Diego de Villanu</t>
  </si>
  <si>
    <t>omo les ha dicho Mr. Perceval. estudio de ia arquitectura, baxo la dirección yen-, ,, Los almacenes de London Dock, Wert In~ señanza de su hijo mayor D. Diego de Villanu. va, dia Dock , East India Dock están ran llenos de empleado en la delincación del real palacio nuevo géneros , ol ¡niales, que lia sido preciso tomar en por…</t>
  </si>
  <si>
    <t>de Villanueva, Tomas</t>
  </si>
  <si>
    <t>Tomas de Villanueva</t>
  </si>
  <si>
    <t>, natural de la villa de Me­ cho pueblo, por.................................................... 2200 nas Albas, provincia de Toledo, residente en su D. Tomas de Villanueva, natural de Mora , en la pueblo, por.......................................................... 2200 Mancha, residente en Toledo , por.................... …</t>
  </si>
  <si>
    <t>de Villaurrulia, Jacobo</t>
  </si>
  <si>
    <t>Jacobo de Villaurrulia</t>
  </si>
  <si>
    <t>de guiara honorarío D. Pedro González Moriega, varias piezas de plata.baxilla y dos pares de hebillas de oro que produxeron 4527 ps. y 1 y cuarto rs. D. Jacobo de Villaurrulia , varias piezas de la misma .clase que importaron 230 y 4 y cuarto rs. D. Ignacio García Saenz , 500. D. Juan Cervantes Padilla , 400Ó. La archicofradi…</t>
  </si>
  <si>
    <t>de Viltafañe, Manuel</t>
  </si>
  <si>
    <t>Manuel de Viltafañe</t>
  </si>
  <si>
    <t>1405</t>
  </si>
  <si>
    <t>s’on t e 24 de este nvs a la iei&gt;oViCioo de su yr si ieide, viee-p-;'«i¿ defí e , &gt; uno de sus secrétalos ; salieron e ect#* , pa?a presidente el Si, D. Manuel de Viltafañe, dipu ;^do por el re-.-n ? d Va’erci-; pnra vico- preñlftBti él *?• . D. Ba¿-tiago K v, diputado ir C inanss; v pa­ ya: secretario; ei Si. O. Jóse Antonio…</t>
  </si>
  <si>
    <t>de Viüademoros, Domingo Rico</t>
  </si>
  <si>
    <t>Domingo Rico de Viüademoros</t>
  </si>
  <si>
    <t>1091</t>
  </si>
  <si>
    <t>«enemigos ó no enemigos, sino que se íes debe cucion de la pena de muerte impuesta al desgra­ « examinar con la mayor escrupulosidad.: Sepamos ciado D. Domingo Rico de Viüademoros. «cada uno qual ha sido y es, con lo qual evitare! El diputado Martínez; ,, Se trata de los fun- » naos que se impute á V. M. una coodescenden»eiou…</t>
  </si>
  <si>
    <t>de Wilezeck, Juan Jotcf</t>
  </si>
  <si>
    <t>Juan Jotcf de Wilezeck</t>
  </si>
  <si>
    <t>ras para ver si mejoraba el Víena 12 de febrero. tiempo , y maduraban; pero tuvieron el desconsue­ lo de verlos perecer miserablemente, con motivo El conde Juan Jotcf de Wilezeck, caballero de las lluvias y hielos consecutivos que sobrevinie­ del Toison de oro, nombrado gran -n»rhcal de la ron por espacio ele seis semanas; de…</t>
  </si>
  <si>
    <t>de Wottentberg, Fernando</t>
  </si>
  <si>
    <t>Fernando de Wottentberg</t>
  </si>
  <si>
    <t>148» ciodiendo de ciertos principios peligrosos que con­ príncipe Fernando de Wottentberg. Asistió á este tiene , no puede negarse que por lo demas está lle­ exercicio toda la corte y un nuoieroso concurso, na de ideas ingeniosas. Oirá obra se ha publicado así de habitantes como</t>
  </si>
  <si>
    <t>de Wur, Eugenio</t>
  </si>
  <si>
    <t>Eugenio de Wur</t>
  </si>
  <si>
    <t>466</t>
  </si>
  <si>
    <t>ión con el mayor encarnizamien­ crecido. Por la misma razón ha suspendido sus to, y los turcos han perdido mucha gente y mu­ eperacionev militares el príncipe Eugenio de Wur- chos cañones. También dicen las mismas cartas temberg, quien ha vueito á Bacharest el 23 de fe­ qne la indisposición del general en gefe conde Ka­ brero…</t>
  </si>
  <si>
    <t>de Wurtemberg, Alexandio</t>
  </si>
  <si>
    <t>Alexandio de Wurtemberg</t>
  </si>
  <si>
    <t>Gaceta de Madrid n.º 226</t>
  </si>
  <si>
    <t>nr mbrsdo consejero íntimo TRANSILVAN1A. al pi inri pe ZixuqoW , n.cto del fa inoso Ui-raciio, erar de Georgia. Hermanitadt a / de junio. S. A. R. el duque Alexandio de Wurtemberg, El campo ruso situado cerca de Sinteschki se gobernador militar de la Rusia B am a , ha llegado ha levantado el dia 14 d« este mes, y se ha diri­ …</t>
  </si>
  <si>
    <t>de Wurtemberg, Alezandró</t>
  </si>
  <si>
    <t>Alezandró de Wurtemberg</t>
  </si>
  <si>
    <t>o se han ■ Vx interrumpido todavía las negociaciones de paz, si­ Petersbnrgo *j de abril. no que continúan como antes. Los 'generales ra­ S. A. R. el duque Alezandró de Wurtemberg,: sos insisten en decir que están encargados por su general de caballería, ha sido nombrado goberna­ córte de facilitar todos los medios capaces de…</t>
  </si>
  <si>
    <t>de Yarritu, Antonio</t>
  </si>
  <si>
    <t>Antonio de Yarritu</t>
  </si>
  <si>
    <t>...... 6coo D. Juan Hourco............................. 1800 D. Juan Hourco.............................. 20100 Sor María de la Asuacion Moreno. 1080 D. Antonio de Yarritu................... 20000 D. Josef García Ximenez...... ........ 122 J D. Antonio Chasscrot y Castro.... 80OO D. Tadeq Font............................... ,…</t>
  </si>
  <si>
    <t>sef de Carranza...................... 110151 x Íes y sexmeros de la ciudad de D. Santiago de Abarrategui......... . 22200 Segovia............... 4786 D. Antonio de Yarritu................... 5^550 t&gt;. Ramón Fernandez üe Qniroga. 5104 * D. J osef Antonio de Uriarre......... 50115 D. Rodrigo de Zorrilla y Mourni. 44150 21 D. Jo…</t>
  </si>
  <si>
    <t>de Yermo, Gabriel</t>
  </si>
  <si>
    <t>Gabriel de Yermo</t>
  </si>
  <si>
    <t>. E. me remitió con la escolta de, 50: patriotas &gt; dirigidos por- Antorii'0 Brine y 15Ó lanceros caballería de las. haciendas del benemérito patriota D. Gabriel de Yermo, todp aí mando def teniente de,navio de la real armada D. Juan Bautista de Uztariz, á quien ordené dis­ pusiese la colocación dé los dos&gt;cañones envíos puest…</t>
  </si>
  <si>
    <t>on efecto des­ de entonces no han hecho mas que experimentar nuevas perdidas que han asegurado el triunfo de la justicia y def orden. Habiendo sabido D. Gabriel de Yermo que los rebeldes trataban de apoderarse délas haciendas de Temisco y S. Gabriel, y de la villa dé Cuernavaca y su tierra, dispuso con. permiso del vi rey que…</t>
  </si>
  <si>
    <t>de Z, Esteban</t>
  </si>
  <si>
    <t>Esteban de Z</t>
  </si>
  <si>
    <t>na gran fun­ Viena 10 de abril. ción , á que estuvo también convidado el duque El día 7 de este mes salió de aquí para 10 des­ de Sudermania. tino el conde Esteban de Z ch¡, que ha sido nom­ S. M. se halla ya restablecido, y tomará tú bra lo enviado extraordinario y ministro plenipo­ breve las riends del gobierno. tenciario d…</t>
  </si>
  <si>
    <t>de Z, Tomas Ramón</t>
  </si>
  <si>
    <t>Tomas Ramón de Z</t>
  </si>
  <si>
    <t>50. D. Juan Antonio Paez, 12. D. Pedro España, 10. D. José Castro, 1.0j Varios individuos, 61. — Nueva Bilbao. El subdelegado D. José Herrera, TOÓ.' D. Tomas Ramón de' Z avala,* 12. El cura D. Mariano Riaño , 25. Varios individuos, 19 y 7 rs.— &amp;. Buenaventura. I). Andrés Mola no, 15. D. Antonio Rivas, 20. Va­ rios individuos,…</t>
  </si>
  <si>
    <t>de Zafra, Francisco</t>
  </si>
  <si>
    <t>Francisco de Zafra</t>
  </si>
  <si>
    <t>trae consigo , vendrían á colmarlos las pa&lt; D. Josef Hernández Romero. = D. Isidoro de Ace«siones exaltadas, los vicios y los delitos de rao* vedo. = D. Francisco de Zafra. «chos, sj.no fuesep. reprimidos por una severa é Todos juraron cumplir las obligaciones de sus «imparcial justicia. Tal es, señores , el honroso é destino…</t>
  </si>
  <si>
    <t>de Zárate, Antonio Ortiz</t>
  </si>
  <si>
    <t>Antonio Ortiz de Zárate</t>
  </si>
  <si>
    <t>e para mantener la tranquilidad pública. mayor, juez de primera instancia de VillanucSegún dice el Evening-yost de Dublin parece ya de la Serena; y á D. Antonio Ortiz de Zárate, ue los'católicos de la ciudad y del condado de juez primero de la junta criminal extraordinaria 5 ilkencí se han reouido , y han tomado ciertas re­ s…</t>
  </si>
  <si>
    <t>de Zarate, Manuel Ortiz</t>
  </si>
  <si>
    <t>Manuel Ortiz de Zarate</t>
  </si>
  <si>
    <t>do, que con su ceñoa hizo fuego sobre les baterías enemi­ gas; á la compañía de escopeteras de Rio Verde, agregada al mis­ mo cuerno, al del teniente D. Manuel Ortiz de Zarate, y 2 escua­ dro íes de E-'pí.ñay México con sus comandantes D. Gabriel'Martí­ nez y D. Benito Asíudillo, dando timhi3?¿ tiempo para que se sitúa-, se y…</t>
  </si>
  <si>
    <t>de Zarate, Santiago Ort Z</t>
  </si>
  <si>
    <t>Santiago Ort Z de Zarate</t>
  </si>
  <si>
    <t>Real D. Juan Hiua go, al teniente del propio cuerpo D. Juan de la Calle; al cadete de la aca­ demia militar D. Pedro Cebalios, y al teniente de navio D. Santiago Ort’Z de Zarate, enmandante del cañonero núm. 17 &gt; heridos todos en la misma acción, el primero de gravedad y el segundo levemente. La misma recomendación merecen lo…</t>
  </si>
  <si>
    <t>de Zarate, Santiago Ortiz</t>
  </si>
  <si>
    <t>Santiago Ortiz de Zarate</t>
  </si>
  <si>
    <t>414</t>
  </si>
  <si>
    <t>infantería de Ciudad-Real D. Juan Elida!go , y el te­ niente del mismo cuerpo D. Juan de la Calle: también lo ha sido levemente el teniente de navio D. Santiago Ortiz de Zarate , comandante del cañonero núm. 17.— El brigadier D. Antonio Begines de los Ríos ha remiti­ do ál general en'gefe del cuarto exército el parte siguient…</t>
  </si>
  <si>
    <t>de Zarate, Santiago OrtiZ</t>
  </si>
  <si>
    <t>Santiago OrtiZ de Zarate</t>
  </si>
  <si>
    <t>Ayalde manifiesta en sus partes lo mucho que con­ tribuyeron las lanchas para el éxito de las operaciones, habiendo sido herido e! teniente de navio D. Santiago OrtiZ de Zarate, comandan­ te del cañonero rúm 17 —Eí comandante de la Carraca, marcea! de campo D. Juan de Dios Topete, expresa en su parte que en eí citado dia h s …</t>
  </si>
  <si>
    <t>de Zaraves, DL'go Garúa Para el</t>
  </si>
  <si>
    <t>DL'go Garúa Para el de Zaraves</t>
  </si>
  <si>
    <t>de D. Josef Frias, á D. Josef ca , debe decir Leca ; y;tn la pág. 1378 , donde Ahumada i cura de S. Martin de Rejas. dice*, al ex-carmelita descalzo D. DL'go Garúa Para el de Zaraves, vacante por maerte de Ororbia , debe decir \D. Diego Grao Ororbia. D. Tomas Roiz Corchon , á D. Plácido Martínez Cabello, clérigo de prima. Par…</t>
  </si>
  <si>
    <t>de Zayas, Esteban</t>
  </si>
  <si>
    <t>Esteban de Zayas</t>
  </si>
  <si>
    <t>Francisco López del Pulgar , por el prest de un soldado de caballería en 5. meses , 90. Doña Rosalía Penal ver , por el de 5 soldados en 2 meses, 90. D. Esteban de Zayas, 500. D. Tornas de Juava, síndico del convento de Ca­ puchinos, á nombre del hermano Snmboy , 6. D. Esteban CambrEeng, agre­ gado á la secretaría del gobiern…</t>
  </si>
  <si>
    <t>de Zuazo, Ambrosio María</t>
  </si>
  <si>
    <t>Ambrosio María de Zuazo</t>
  </si>
  <si>
    <t>696 vieso , 102. B, Francisco Barba , sargento mayor de milicias , por dos meses de su oferta durante la guerra, 31. Dr. D. Ambrosio María de Zuazo , por el prest en 4 meses de dos soldados que ofrece mantener durante la guerra en el exército de Andalucía, 72. El íegidor D. Carlos Pedroso, por el de tres soldados en 3 meses, …</t>
  </si>
  <si>
    <t>de Zubiaga, Pedro María</t>
  </si>
  <si>
    <t>Pedro María de Zubiaga</t>
  </si>
  <si>
    <t>á teniente de Certificaciones del tesoro público.... 84 la s.guada cómpañía. Oro español contra plata..................., Séptimo batallón. TBATROS. D. Pedro María de Zubiaga, ayadante segun­ En el de! Príncipe, á las ocho déla noche, se re­ do, á capitán de la primera compañía. presentará por la compañía española la ópera en…</t>
  </si>
  <si>
    <t>construirse en ChaUlot» Séptimo batallón. enfrente del puente de Jena. D. Manuel de Toro, teniente, á capitán de la primera compañía, en reemplazo de D. Pedro María de Zubiaga. ESPAÑA. D. Mariano Fabre , subteniente, á teniente de la primera compañía, en la vacante de D. Fran­ Madrid 28 di octubre. cisco Barsanti. Extracto de…</t>
  </si>
  <si>
    <t>de Zulueía, Pedro Juan</t>
  </si>
  <si>
    <t>Pedro Juan de Zulueía</t>
  </si>
  <si>
    <t>ompañías á D= José Ignacio de Lazcano, D. Bartolomé de Iturraido, Don Juan Francisco de Llano y Sangines,'D. Bernardo Pérez, D. Joa­ quín Casalduero, D. Pedro Juan de Zulueía, marques de Villareal de Purullesa, D. Manuel Goicolea, D. Gaspar Aguado y D. Fran­ cisco Noguer; tenencias á D. Mauricio de L -rgacha, D. Jo é Per­ not…</t>
  </si>
  <si>
    <t>de Zúñiga, Mauricio</t>
  </si>
  <si>
    <t>Mauricio de Zúñiga</t>
  </si>
  <si>
    <t>de la provincia de la Luisiana, 500, D. Pedro OH— ver y compañía , por oferta del comercio de la villa del Puerto del Prín­ cipe , 539. El c-'ron el D. Mauricio de Zúñiga, -comandante del tercer ba­ tallón del regimiento fixo de la Habana, por el prest dedos soldados en 0 meses durante la guerra, 83. -D. Juan Cevallos, por el…</t>
  </si>
  <si>
    <t>de Zuza, Vicente</t>
  </si>
  <si>
    <t>Vicente de Zuza</t>
  </si>
  <si>
    <t>Petit............................... 9 2 04.. 13 Aguirre é hijos................ 60000 Doña Antonia Delgado........ 456a.. 6 Los señores Douat herma­ D. Vicente de Zuza por su nos............... ........................ 1.249807..23 apoderado D. Pedro Gar­ D. Vicente González-Arnao. 21 51.. 3 2 cía de Pinillos,...............…</t>
  </si>
  <si>
    <t>Decaen</t>
  </si>
  <si>
    <t>­ montañas mas elevadas y áridas, y otros han des­ das , apoderándose de la fragata Africana. Tengo aparecido enteramente. el honor ole ser Scc. = £1 capitán Decaen." El señor genera) Haoenthein acaba de dar un f Los documentos que acompañan á esta relación alcance á muchas partidas reunidas; las ha ido per­ se irán insertand…</t>
  </si>
  <si>
    <t>la Ifigenia y de la Tengo el honor de ser de V. E. obediente ser­ batería del islote de Passe. vidor = Firmados: Th. Lambert. = A S. E. el ca­ pitán general Decaen &amp;c. A bordo de la fragata de S. M. I. y R. la Mi— nerva d ay de agosto de 1810. A bordo de la Vénus 2y de agosto de 1810. Mai señor mió: Santiago Félix Hamelin , o…</t>
  </si>
  <si>
    <t>r&amp;miííerou muy Inego á Europa en el bergan­ tín Activo, per la vía d« Nueva-España! Se^deiuvo y declaró' de buena presa una goleta despachada ¡sor el general Decaen, gober­ nador de la isla de Francia , que arribó en el mes da mayo de 1809 coa pliegos j en que mezclando la seducción con ia* maenazas, inten­ taba corromper kt …</t>
  </si>
  <si>
    <t>Decaeo</t>
  </si>
  <si>
    <t>ate, que duró dos horas neral = Firmado = Decaeo. y media, la obligó á rendirse. KOM. Y. Este número contiene un parte remitido al ca­ TEATROS. pitán general Decaeo por Mr. Hamelin, en que da cuenta de que Ijabiendo salido del puerto Ñapo— En el del Príncipe, á las siete de la noche, se re­ león en la noche del 21 al 22 de ag…</t>
  </si>
  <si>
    <t>Decatur</t>
  </si>
  <si>
    <t>bir la noticia de que el general dente, fragata , comandante llogers; los EstadosSass, después de haber recibido refuerzos de la Va- Unidos, fragata, comandante Decatur , y el Ar­ laquia inferior, ha dado una batalla á los turcos, gos , sloop de guerra , han entrado en Nueva- Yorck V ha vuelto á ocupar la importante posición …</t>
  </si>
  <si>
    <t>Decrés</t>
  </si>
  <si>
    <t>lo Inte­ Bourdier. rior, ha despachado correos á I03 departamentos para noticiarles el nacimiento del Rei. de Roma. SS. HE. los duques de Feltre y el conde Decrés, ministros de la Parir 20 de marzo. Guerra y de la Marina, han enviado órdenes á la* Hoi ao de marzo , í las nueve y 20 minutos de la plaza» de armas y puertos para…</t>
  </si>
  <si>
    <t>Decvtur</t>
  </si>
  <si>
    <t>Presidenta , conmóduro Rogers. Servicio de 1810. La Constitución , capitán Hnlls. ,,Las reatas se habian regulado como los años Los Estados-Unidos , capitán Decvtur. anteriores en 740 millones de francos ; pero ca;</t>
  </si>
  <si>
    <t>Dedovich</t>
  </si>
  <si>
    <t>ocos de las otras provincias de la recibir por mar todos los socorros de hombres, de monarquía. municiones, de artillería y de víveres ; porque la El general Dedovich ha sido nombrado go­ esquadra rusa, que habia bloqueado momentánea­ bernador de la fortaleza de Coinoro. Las obras que mente á Varna, se retiró hace ya tiempo á…</t>
  </si>
  <si>
    <t>del Aguila, Bernabé</t>
  </si>
  <si>
    <t>Bernabé del Aguila</t>
  </si>
  <si>
    <t>mpañías francas de Madri J y de Cuen­ temente indiciado en el robo de unas ovejas que ca, rindieron las armas. Dos esquadrones de Caba­ pertenecían á D. Bernabé del Aguila, vecino de llería enemiga, que quisieron detener la carga de Villarubia, como también de otros iguales exce­ los dragones, fueron acuchillados, y mas de 20…</t>
  </si>
  <si>
    <t>del Aguila, José</t>
  </si>
  <si>
    <t>José del Aguila</t>
  </si>
  <si>
    <t>Bl¿íke, al sargento mayor D. José Castellar, al de la misma clase gradúa lo de teniente coronel Di José Iglesias ,,y á los capitanes D. Simón Wall, •D. José del Aguila, graduado de teniente coronel, D. Ventura Mena, D. Antonio Puig, graduado de teniente coronel, y Marques de Villacampo; y los de ayudantes segundos á los capit…</t>
  </si>
  <si>
    <t>del Arco, Tomas</t>
  </si>
  <si>
    <t>Tomas del Arco</t>
  </si>
  <si>
    <t>go, ex-inercena- Madrid, por................................................... 2200 rio descalzo, por.......................................... 2200 D. Tomas del Arco , id. id., id.................... 2200 D. Cristóbal Texada. ex-aerónimo leso, D. Juan Manuel González, ex-cistercienpor........................................…</t>
  </si>
  <si>
    <t>del B, Pedro</t>
  </si>
  <si>
    <t>Pedro del B</t>
  </si>
  <si>
    <t>te c :ronel al espi tan del propio cuerpo p. Dom íngo Gó­ mez Cuesta :Já capitanes, V los tenientes .D; A uptiiO González Ron, D.i Joaquín de Miguel, D Pedro del B treó y D. Francisco Saraviáy y a teniente al subteniente D. Francisco Méca., •V ,¡ .. r,. -N-U :•* &gt; 1 ..i k . ! í. rnrrrr. ".“■'U" "7 CADIZ : EN LA IMPRENTA RE^.</t>
  </si>
  <si>
    <t>del Barco, Diego Vaca</t>
  </si>
  <si>
    <t>Diego Vaca del Barco</t>
  </si>
  <si>
    <t>a tenencia de granaderos al de fusileros D. Manuel Ma­ ría de Vorey : primera tenencia de fusileros á los segundos tenientes D. José Vaca del Barco , D. Diego Vaca del Barco, D. Isidro Montero, de granaderos, y D. Angel de Noguer, segundo ayudante mayor : segunda tenencia de granaderos á los agregados de fusileros D. José Bro…</t>
  </si>
  <si>
    <t>del Barco, José Vaca</t>
  </si>
  <si>
    <t>José Vaca del Barco</t>
  </si>
  <si>
    <t>is de CrayMdnckel: primera tenencia de granaderos al de fusileros D. Manuel Ma­ ría de Vorey : primera tenencia de fusileros á los segundos tenientes D. José Vaca del Barco , D. Diego Vaca del Barco, D. Isidro Montero, de granaderos, y D. Angel de Noguer, segundo ayudante mayor : segunda tenencia de granaderos á los agregados…</t>
  </si>
  <si>
    <t>del Barno, Juan García</t>
  </si>
  <si>
    <t>Juan García del Barno</t>
  </si>
  <si>
    <t>00. D. Francisco de la Ve­ ga, 100. D. Manuel Velez Campa, 100. D. Santiago García, 100. D. José García del Barrio , 100, D. Alexaudro Marina , lOÍ). D. Juan García del Barno , 100. D. Juan de Cebados Argumeda , 100. D. Antonio Sobaron, 100. B. José Escalante, 100. D, Ramón de Renedo , 100. I). José de la Campa* 100. D. José …</t>
  </si>
  <si>
    <t>del Barrí, Felipe</t>
  </si>
  <si>
    <t>Felipe del Barrí</t>
  </si>
  <si>
    <t>teniente coronel, comandante de artillería de esta plaza, D. Domingo Marañosa , 140. Ei administrador de cor­ reos D. Manuel García de Paredes, 400. D. Felipe del Barrí/) y D. Juan de Anauatcgui, 700. El coronel de ingenieros y comandante de esta plaza Don Antonio Bocarro , 200 El capitán D. José de Fábrega, comandante acci­ …</t>
  </si>
  <si>
    <t>del Barrio, Francisco</t>
  </si>
  <si>
    <t>Francisco del Barrio</t>
  </si>
  <si>
    <t>án González Saez..... 400 quidación de la deuda del Estado; lo expues­ Los señores Albert é hijos.... 400 to por nuestro ministro de Hacienda, y oido D. Francisco del Barrio........ *200 nuestro consejo de Estado, hemos decretado D. Santiago Gavirare........... gaoo y decretamos lo siguiente: D. Felipe de Bies y Santeli- arti…</t>
  </si>
  <si>
    <t>del Barrio, José García</t>
  </si>
  <si>
    <t>José García del Barrio</t>
  </si>
  <si>
    <t>utiérrez, 100. D. Antonio Ortegon, 100. D. Manuel Sánchez , 100. D. Francisco de la Ve­ ga, 100. D. Manuel Velez Campa, 100. D. Santiago García, 100. D. José García del Barrio , 100, D. Alexaudro Marina , lOÍ). D. Juan García del Barno , 100. D. Juan de Cebados Argumeda , 100. D. Antonio Sobaron, 100. B. José Escalante, 100. …</t>
  </si>
  <si>
    <t>del Barrio, Pedro Macho</t>
  </si>
  <si>
    <t>Pedro Macho del Barrio</t>
  </si>
  <si>
    <t>stra , 20. D. Andrés Cacho de Herrera , 100. D. Santiago Diego García, 102. Doña Rita Tixero, 51. D. Patricio José Gómez , 17. D. Vicente Samper, 20. D. Pedro Macho del Barrio yvsu hermano , 17. D. Juan Barangot, 10 y 4 rs. D. Fernando Busí amante , 34. D. Joaquin Zorrilla, 10 Don Francisco Cagigas, 20. Y D. Isidoro Saenz de …</t>
  </si>
  <si>
    <t>del Basto, Angel Peiez</t>
  </si>
  <si>
    <t>Angel Peiez del Basto</t>
  </si>
  <si>
    <t>ía se ha servido nombrar, á consulta del de Ordenes, para la vara de alcalde mayor de la villa de Segura de la Siena, territorio de la de Santiago, á D. Angel Peiez del Basto. CARTA INTERCEPTADA. De D. Celestino Caríbaldi, canónigo intruso de Toledo, al duque de Campo - Alange. Excmo. Sr. : muy srñor mío y de toda mi veneraci…</t>
  </si>
  <si>
    <t>del Bosque, José Santos</t>
  </si>
  <si>
    <t>José Santos del Bosque</t>
  </si>
  <si>
    <t>15¿ D. Pedro Casa-mayor , sacristán n.avor , 2o. D. Gerardo de Casas , id menor , 15. E! presbítero O. .Manuel ViU dáz, \0.~—Jurisdicción de Parita. D. José Santos del Bosque , vicario juez cele ■lasticn , 20. Fr. Martin de la Santísima Trinidad, cura interino , 25. I). Jo­ sé Sixto Márquez , 5. D. José Magdalena Veiasco , 5.…</t>
  </si>
  <si>
    <t>del Callejo, Agustín</t>
  </si>
  <si>
    <t>Agustín del Callejo</t>
  </si>
  <si>
    <t>D. Antonio Loredo, subteniente, á teniente de cio pendiente del cuello nn letrero qóe anunció la quinta compañía. ........... al público sas delitos. D. Agustín del Callejo, sargento i.*, á subte­ niente de la primera compañía. D. Diego Miranda, sargento i.°, á subtenien­ TRATROS. te de la quinta compañía. D. Andrés Caiasola …</t>
  </si>
  <si>
    <t>del Campillo, Joaquín</t>
  </si>
  <si>
    <t>Joaquín del Campillo</t>
  </si>
  <si>
    <t>916</t>
  </si>
  <si>
    <t>2 onzas de pan. Nuestra pérdida en dicha acción de Aguilas» fué de 2 muertes y 3 heridos/ haciéndola muy sensible la muerto jdd bene mérito ofi­ cial D. Joaquín del Campillo, ayudante primero de estado mayor, que cajo atravesado de dos balas, ¿ando á la tropa cxemplo del intrépido valpr que siempre le había distinguido. CADIZ…</t>
  </si>
  <si>
    <t>del Campillo, Juan López</t>
  </si>
  <si>
    <t>Juan López del Campillo</t>
  </si>
  <si>
    <t>mente Lo&amp;ga la conducta ¿i?,• todos los oficiales y tropa, aseguraatlo que nada han dexad® que desear.— El c-íuiiundantá de las «aosíf ña* de Enredo, D. Juan López del Campillo, da parí® d«sds Supuesta, de cpi* en los últimos dias de setkiabrs último ha tenida vastos encucntroe coa los enemigos, c-híeuieude tm todos ellos ven…</t>
  </si>
  <si>
    <t>del Campo, Alexmidro</t>
  </si>
  <si>
    <t>Alexmidro del Campo</t>
  </si>
  <si>
    <t>as , 25. D. Juan Huise, 25. D. Manuel Antonio Barbachano , cada año , 20. D. Antonio Gual , 20 D Antonio Martin , 20. D. José Mauricio Rodríguez, 12. D. Alexmidro del Campo, 12. D. Antonio Montero, 12. D. Juan Flota y compañía, 12 D. Antonio Guerra, 10. D. Rafael Castilla, 10. D. Gerónimo García, 10. D. Jacinto Perora, 10. D.…</t>
  </si>
  <si>
    <t>del Campo, Diego</t>
  </si>
  <si>
    <t>Diego del Campo</t>
  </si>
  <si>
    <t>e Doña María de los Ange­ D. Felipe Sanz.................................. ........ les Quer..................................... .............. 5625 D. Diego del Campo............................... 6588.. D. Nicolás Blasco de Orozco, por ma­ D. Miguel María de Gortázar......... . 6227.. 8¿ no de D. Vicente González Arnao.. …</t>
  </si>
  <si>
    <t>del Campo, José Gómez</t>
  </si>
  <si>
    <t>José Gómez del Campo</t>
  </si>
  <si>
    <t>ida de caballería que se hallaba en esta previaciá de la tercera división volante del segundo exército en observación, ai mandos del teníante capitan D. José Gómez del Campo, los que efectuaron su reunión inmediatamente, y al amane* cct del 4 de este mes nos apostamos en la Calzada y sitio del Puente Uñez, en donde se colocar…</t>
  </si>
  <si>
    <t>del Campo, Miguel</t>
  </si>
  <si>
    <t>Miguel del Campo</t>
  </si>
  <si>
    <t>man te, y ei señor coronel D. Nicolás Ibemj y á, reta­ guardia el regimiento de dragones de S. Carlos, mandado por el sar­ gento mayor del de Puebla D. Miguel del Campo. La reserva com­ puesta de un escuadrón del regimiento de dragones de España , 2 ael de 5. Luis y 1 del de Puebla , la puse al mando del teniente coro­ nel D.…</t>
  </si>
  <si>
    <t>del Campo, Ramón Diaz</t>
  </si>
  <si>
    <t>Ramón Diaz del Campo</t>
  </si>
  <si>
    <t>sos fuertes. D. Vicente Robles , ademas del prest de 30 hombres en coso de ser atacada por los enemigos esta provincia, 500. El tesQrero oficial real D. Ramón Diaz del Campo, 1000, y ademas, 2500 que ofrece al que en batalla quite la vida ó prenda á Napoleón, emperador de los franceses. El teniente coronel D. Juan de Aldrete,…</t>
  </si>
  <si>
    <t>del Campo, Zacarías</t>
  </si>
  <si>
    <t>Zacarías del Campo</t>
  </si>
  <si>
    <t>l batallón segundo de Barcelona.— El mismo brigadier B-’gines de los Ríos, con f¿cha en Ximena á 18 del actual, remite copia del parte que Je dirigió D. Zacarías del Campo, comandante del escuadrón de la Romana, detal.ando la apre­ hensión de los 19 franceses necha por ei religioso D. Diego de Te va, y dice, que habiendo ido …</t>
  </si>
  <si>
    <t>del Carmen, Joaquín Josef de Ayanz y Doña María</t>
  </si>
  <si>
    <t>Joaquín Josef de Ayanz y Doña María del Carmen</t>
  </si>
  <si>
    <t>.. 930 33 D. Jaime Caxanovas.......... ............* 3082 7 D. Francisco Fernandez.................. 7775 27 Doña Paulina Gil de Terreros....... 3904 D. Joaquín Josef de Ayanz y Doña María del Carmen Herran... 6300 Meneos.......................................... 89829 D. Pedio Metnendao............. ........ 3269 30 D. Juan …</t>
  </si>
  <si>
    <t>del Cartilla, Pedro Rodríguez</t>
  </si>
  <si>
    <t>Pedro Rodríguez del Cartilla</t>
  </si>
  <si>
    <t>mpa jamas, sin D. Manuel Roldan. qúe haya obstáculo ni autoridad que pueda privar D. Juan Braojos. de ella á los cabildos, á menos que estos no hayan D. Pedro Rodríguez del Cartilla. perdido sn derecho por causas legítimas , y qn vir­ D. Manuel Veque. tud de nn.juicio legal y competente. art. iy. En los 10 batallones de milic…</t>
  </si>
  <si>
    <t>del Casti, Carlos</t>
  </si>
  <si>
    <t>Carlos del Casti</t>
  </si>
  <si>
    <t>enez en diñe, o y alhajas, 92, G y medio rs.D. Pedro Chiari, 36. D. Félix Paredes, 36. D. Ma* too Matos , 3G. Subtenientes. D. José María Ayala , 25. D. Carlos del Casti­ llo , 20. D. José María Velarde , 29. D. Juan Paredes , 29. D. Sebastian Biasini , 10. D. José Antonio Velarde , 25. D Manuel Rodríguez 10. D..Eduar­ do de …</t>
  </si>
  <si>
    <t>del Castillo, Andrés</t>
  </si>
  <si>
    <t>Andrés del Castillo</t>
  </si>
  <si>
    <t>1268</t>
  </si>
  <si>
    <t>e. — Ausente D. Joaquín JBlake con permiso de las Cortes. —Pedro de Agar. — í&gt; ido en Cádiz i 11 de noviembre de 1811. — A !&gt;. 'Ignacio déla Pcznela# D. Andrés del Castillo, diputado territorial do Minería en él asiento de Yae.ll y tente nte gobernador del partido de Huarschiri, ha remitido desd i Lima 12000 duros de donativo…</t>
  </si>
  <si>
    <t>del Castillo, Josef Guillen</t>
  </si>
  <si>
    <t>Josef Guillen del Castillo</t>
  </si>
  <si>
    <t>D. Leonardo Morales, al presbítero Gato.; de una Fan. , u cel. y 10 est.'á 450. rs. Quietx quisiere hacer postura á dichas tierras acuda ante el se­ D. Josef Guillen del Castillo. ñor D/Josef Piqueras, del consejo de S. M., juez da Para el de Picena y Cherin, vacante por pro­ primara instancia , y escribanía de provincia de D…</t>
  </si>
  <si>
    <t>del Castillo, Pedro</t>
  </si>
  <si>
    <t>Pedro del Castillo</t>
  </si>
  <si>
    <t>José Mercado , padre del eclesiástico difunto, D. José Antonio Perez, los coroneles D. José Manuel Gómez y D. Pablo Covarrubias, el guardia de corps D. Pedro del Castillo, y otros eclesiásticos de los mismos honores ) sin cárcel competente, con lo que se duplica el trabajo y fatiga de las guardias, y ha obligado á tomarse el …</t>
  </si>
  <si>
    <t>del Castillo, Pedro Rodríguez</t>
  </si>
  <si>
    <t>Pedro Rodríguez del Castillo</t>
  </si>
  <si>
    <t>342 Quinto batallan. D. Pedro Rodríguez del Castillo á teniente en la D. Antonio Ortega, sargento primero, á «obte­ vacante de D. Ramón Aivarez Iturza, niente de la primera compañía. D. Paulino de la Bodega á teniente en reemplazo D. Josef de Vclasco, sargento</t>
  </si>
  <si>
    <t>del Castillo, Podro Pascual</t>
  </si>
  <si>
    <t>Podro Pascual del Castillo</t>
  </si>
  <si>
    <t>cisco Gómez, B. Antonio Díaz, D. Juan Sánchez y D. Gregorio Vázquez; y subtenencias á D. Francisco Rafael, D. Manuel Taquinet©, D. íhdegria Msliana , D. Podro Pascual del Castillo, D„ Antonio Elers, D. Melchor Moya, D. José Matras, D. Aarustin Scrra, D. Antonio Quircó, D. Cristóbal Alvaro, Don José Torreas, D. José María Caza…</t>
  </si>
  <si>
    <t>del Castillo, Vicente</t>
  </si>
  <si>
    <t>Vicente del Castillo</t>
  </si>
  <si>
    <t>* 1488 4 . . ... Para el de Daifontes, vacante por ascenso de Para el de Bagal, vacante por muerte de Don D. Vicente del Castillo al de Iznalloz, al presbí­ Juan de Murcia, á D. Melchor Casanova,'cura tero D. Josef García Escobar. de Jayena. Para el del Fondon, vacante por muerte de Para el de Soportnjar, vacante por renuncia…</t>
  </si>
  <si>
    <t>del Corral, Andrés</t>
  </si>
  <si>
    <t>Andrés del Corral</t>
  </si>
  <si>
    <t>gunos boques pequeños Tenientes. de guerra. No por esto se ha interrumpido nuestra D. Manuel Galindo. navegación; pero las embarcaciones que salen do D. Andrés del Corral. este puerto tienen que ir con cuidado para no D. Josef Rodríguez. tropezar con el enemigo. Subtenientes. IMPERIO FRANCES. D. Josef Galindo. D. Antonio Marí…</t>
  </si>
  <si>
    <t>del Corral, Diego</t>
  </si>
  <si>
    <t>Diego del Corral</t>
  </si>
  <si>
    <t>D. Ignacio Chamuia, D, José Rahamonde,' D. Mariano Cadles, D. José María' Montero, D. Tomas de Castro y D. Baltasar Peusan; subtenencias de bandera á D. Diego del Corral, En el regimiento de infantería de Truxillo; ayudantía á Don Cristóbal Montero; tenencias á D, Diego Antonio Bsrnardo, Don Juan Serradilla y D. Bjnito Cuzese…</t>
  </si>
  <si>
    <t>del Corral, Fernando Miguel</t>
  </si>
  <si>
    <t>Fernando Miguel del Corral</t>
  </si>
  <si>
    <t>spoes una misa, á la que siguió on D. Pedro Pablo Ibarra. solemne Te Deum, y concluido se retiró S. E. con D. Nicolás León. el misino acompañamiento. D. Fernando Miguel del Corral. S. E. tuvo después una vistosa parada, en la Subtenientes. que dio el primer lugar i la milicia cívica; y este D. Josef Onieva. lucido cuerpo se d…</t>
  </si>
  <si>
    <t>del Corral, Francisco</t>
  </si>
  <si>
    <t>Francisco del Corral</t>
  </si>
  <si>
    <t>l de Cabiedes, 10000. D. Manuel Martí­ nez Conde , 3000. D. Domingo del Rio, 2500. D. Manuel García Rodríguez, 2000. D. Esteban García é hijo , 2000. D. Francisco del Corral, 2000. I). Jo­ sé de Teran , 2000. D. Pedro de Mier y Teran , 2000, D. Manuel de la Torre, 1500. D. Antonio y D. Manuel Gutiérrez del Corral, 15o0. D. Cl…</t>
  </si>
  <si>
    <t>del Corral, Francisco Eugenio</t>
  </si>
  <si>
    <t>Francisco Eugenio del Corral</t>
  </si>
  <si>
    <t>ntonio Hidalgo, 140. I). Juan Antonio Díaz de Celis, 100. D. José Santiago Palacios , 109. I). Pe­ dro de Cabiedes , 100. D. Diego de los Ríos , 100. D. Francisco Eugenio del Corral, 100. D. Pedro de Hoyos, 100. D. Ildefonso del Corral , lOU. D. José González de Rueda , 60. D. Juan Diaz Cosío. 10Q. D. Antonio Gómez Porras, 10…</t>
  </si>
  <si>
    <t>del Corral, Ildefonso</t>
  </si>
  <si>
    <t>Ildefonso del Corral</t>
  </si>
  <si>
    <t>osé Santiago Palacios , 109. I). Pe­ dro de Cabiedes , 100. D. Diego de los Ríos , 100. D. Francisco Eugenio del Corral, 100. D. Pedro de Hoyos, 100. D. Ildefonso del Corral , lOU. D. José González de Rueda , 60. D. Juan Diaz Cosío. 10Q. D. Antonio Gómez Porras, 100. D. Joaquín Sánchez, 1.09 D. José Vela Mesones, 100. D. Manu…</t>
  </si>
  <si>
    <t>del Corral, Josef</t>
  </si>
  <si>
    <t>Josef del Corral</t>
  </si>
  <si>
    <t>ores acerca de la salida de S. S. de Ro­ Do ña Margarita de Pereda............ 200173 27 ma ; su transito por la Italia y por el territorio fra ices; D Josef del Corral......................... 11503 2® su residencia enParis; la consagración y coronación de D. Livirno Stuick y Vandergoten. 46015 S. M. I.; las funciones piados…</t>
  </si>
  <si>
    <t>del Corral, Pablo</t>
  </si>
  <si>
    <t>Pablo del Corral</t>
  </si>
  <si>
    <t>para no D. Josef Rodríguez. tropezar con el enemigo. Subtenientes. IMPERIO FRANCES. D. Josef Galindo. D. Antonio María Escalera. Corfú. 24 de enero. D. Pablo del Corral. Las fragatas Paulina y la Témis han llegado i art. iv. En la villa de Castilleja de la Cues­ esto puerto. El día 12 de diciembre salieron de ta se formará un…</t>
  </si>
  <si>
    <t>del Corral, Rosalía González</t>
  </si>
  <si>
    <t>Rosalía González del Corral</t>
  </si>
  <si>
    <t>eto, 500. -Los comisarios del ayuntamiento cíela ciudad de S. Felipe y Santiago por en­ trega de varios vecinos de aquella jurisdicción , 724 y 7 rs. Doña Rosalía González del Corral, 1030. D. José Pereyra, teniente ayudante de la pla­ na mayor da Blancos , agregada al batallón de Pardos, 16.-D. Agustín Ra­ mos, en cada mes, …</t>
  </si>
  <si>
    <t>del Corral, Vicente</t>
  </si>
  <si>
    <t>Vicente del Corral</t>
  </si>
  <si>
    <t>en cada mes , 6, D. J osé María Granados, 200. D. José Mariano de Casas y hermanos , 100. Bcña María Loreto y Doña María Ignac.ia de Cárdenas, 1020. D. Vicente del Corral , I09d. El presbítero B. Francisco Xavier Noriega , 500. La con­ desa viuda de Buenavista , 340. El superintendente director general de tabacos , 1000. Los …</t>
  </si>
  <si>
    <t>del D, Juana Tomasa Sánchez</t>
  </si>
  <si>
    <t>Juana Tomasa Sánchez del D</t>
  </si>
  <si>
    <t>.......... 5945 16 D. Juan Andrés ríe Loutbid.i.......... 833 25 D. Domingo Ortiz de Sintioste.... 5507 27 D. Francisco Fernandez de Santos. 13115 20 Doña Juana Tomasa Sánchez del D. Antonio Ruiz de Castilla........ too 27 Valle........................................... 33049 3&lt;3 O* JQan Andrés de Lomhida.......... 17S8 16 D…</t>
  </si>
  <si>
    <t>del Escalda, Dionisio da</t>
  </si>
  <si>
    <t>Dionisio da del Escalda</t>
  </si>
  <si>
    <t>rios puntos, asi por alga nos extrangeros como por ici ftaoa á las 8 estaba en Terneuse, á la orilla izquier­ nacionales, a saber, D. Vicente Tofiño, D. Dionisio da del Escalda, y creemos que haya ido á visitar Galiano, y otros oficiales de la armada. la isla de Sud-Beveland, de modo que hasta ma­ ñana no esperamos ver cnmpli…</t>
  </si>
  <si>
    <t>del Hoyo, María Josefa</t>
  </si>
  <si>
    <t>María Josefa del Hoyo</t>
  </si>
  <si>
    <t>ya por tres veces la demostración de querer tomarla j se pato entonces de rodillas para recibir­ AVISO. la de mi mano» y habiéndola besado, hizo' una Doña María Josefa del Hoyo, vecina de Tarancon, señal al gefe de sus eunucos» el qual se acercó i tn la Mancha, desea saber el paradero de Doña María tomarla, la besó, la puso s…</t>
  </si>
  <si>
    <t>del I, Lutiens</t>
  </si>
  <si>
    <t>Lutiens del I</t>
  </si>
  <si>
    <t>uena presa, y esta Arden tendrá F.n nuestra gazeta se han publicado vario; artículos fuerza y cxecucíon como si se hubiese dado desde el relativos al capitán Lutiens del I 1 ."'regimiento de dra­ principio (id gobierno rcvolucionariode aquella ciudad. gones , que lia sido hecho prisionero. Para hacer justi­ ,,Todas las embarc…</t>
  </si>
  <si>
    <t>del Monstruo, Manuel Lorenzo</t>
  </si>
  <si>
    <t>Manuel Lorenzo del Monstruo</t>
  </si>
  <si>
    <t>á las seis de la tarde, se excPara el de la villa de Paterna del Campo, va­ cutará la comedia en tres actos titulada el mayor cante por promoción de D. Manuel Lorenzo Del­ Monstruo los zelos y Tctrarca de Jerusalen; y se dará gado, á D. Juan Gómez, presbítero, ex regular de fin con el mismo baile cómic* que se ha executado io…</t>
  </si>
  <si>
    <t>del Olmo, Margarita Ximenez</t>
  </si>
  <si>
    <t>Margarita Ximenez del Olmo</t>
  </si>
  <si>
    <t>tian de Otaegui...............i.:...... . 31875 D. Antonio Fernandez de Córdoba.......... 16653..23 Que á una suma importan un millón quarenta y tres Doña Margarita Ximenez del Olmo y mil ochocientos ochenta y dos reales y veinte y siete Alarcon y D. Gabriel Alcaraz................ 1086..26 maravedís de vellón. D. Luis.de Eli…</t>
  </si>
  <si>
    <t>lipe Hoyos............................................... 4680-19 lego, residente en Chinchón, por........ 1100 D. Gabriel de Alcaraz, como marido de Doña Margarita Ximenez del Olmo...... 874-25 Rs. vn. 66000 El colegio de niñas de nuestra Señora de Loreto, por tnano de D. Simón Piñuela. 5815 27..21 art. 11. El tesoro público…</t>
  </si>
  <si>
    <t>del Otero, Genaro</t>
  </si>
  <si>
    <t>Genaro del Otero</t>
  </si>
  <si>
    <t>m. Nuestro ministro de Hacienda queda en­ D. Mariano Luis de Urquijo................... 2617.. 8 cargado de la execucion del presente decreto. = Fir­ D. Genaro del Otero.............................. 3519..25 mado = YO EL REI. = Por S. M., el ministro secre­ D. Manuel Sarabia.................................... 10739-25 tario…</t>
  </si>
  <si>
    <t>del Piélago, Agustín</t>
  </si>
  <si>
    <t>Agustín del Piélago</t>
  </si>
  <si>
    <t>Molleda , 100. D. José González 5 100. D. Francisco Fernandez, 100. D. Antonio Arrí, 100, D. Pedro Ganzalez , 100. D. Manuel Sánchez Cal­ derón, 100. D. Agustín del Piélago, 100. D. Francisco Rodríguez de los Ríos, 100. I). José Gutiérrez y D. Pedro Hidalgo, 100. D. Francisco Fernandez, 100. D Marcos de los Ríos , 100. D Juan…</t>
  </si>
  <si>
    <t>del Pont, Francisco Marcó</t>
  </si>
  <si>
    <t>Francisco Marcó del Pont</t>
  </si>
  <si>
    <t>u división, como los que asisten y se organizan en este cuartel general. Efectivamente , expedidas las órdenes y convocados los maris­ cales de campo D. Francisco Marcó del Pont, segundo comandan­ te general de este exércíto , I). Cárlos Francisco Cabrer, coman­ dante general de ingenieros , D. Pedro Villacampa, comandante ge…</t>
  </si>
  <si>
    <t>del Ponte, Bartolomé Benitez</t>
  </si>
  <si>
    <t>Bartolomé Benitez del Ponte</t>
  </si>
  <si>
    <t>rancisco Sevane....................... 2 &gt;66 Mas............................................. 3560 D. Jalian Brethous........................ 3068 *7 D. Bartolomé Benitez del Ponte... 4416 6 D. Francisco López de A.'caráz.... 90 8f D. Manuel Josef de Montiano....... 88x2 2 El conde de Casa-Valencia.......... 589 Doña Josefa J…</t>
  </si>
  <si>
    <t>del Prado, Francisco</t>
  </si>
  <si>
    <t>Francisco del Prado</t>
  </si>
  <si>
    <t>garios individuos, 46 y 1 rs. — S. Fernando. D. Fé­ lix Cevallos , 25. D. José Antonio Me riel mea, 12. V arios individuos, 47 y 2 rs. — Santa Rosa. D. Francisco del Prado, 30. D. Melchor Velarde, SO. D. Antonio Muñiz, SO. D. José María Cadena, 20. Don Miguel Sánchez, 35. D. Rafael Valle, 10.—Riogrande. D José le Je­ sús Rodr…</t>
  </si>
  <si>
    <t>del Prado, Juan Josef</t>
  </si>
  <si>
    <t>Juan Josef del Prado</t>
  </si>
  <si>
    <t>.................................. 2200 drid , y residente en Toledo, por......................... 2100 D. Francisco Vaquero, lego, natural de Ciudad D. Juan Josef del Prado , nat.iral de Toledo, don­ Real, donde reside, por............................................ jico de reside, por.......................................…</t>
  </si>
  <si>
    <t>del Príncipe, Com En el</t>
  </si>
  <si>
    <t>Com En el del Príncipe</t>
  </si>
  <si>
    <t>rthier. „ Debo citar igualmente al teniente de voltea­ dores Mr. Gilbert, que ha sido herido; á Mr. To­ , TEATRO. mas , subteniente de granaderos; al capitán Com- En el del Príncipe, á las ocho de la noche, se re­ bin; al ayudante mayor del regimiento 82.0 Mr. presentará por la compañía española la comedia en tres Charboonicr…</t>
  </si>
  <si>
    <t>del Príncipe, En el</t>
  </si>
  <si>
    <t>En el del Príncipe</t>
  </si>
  <si>
    <t>on tan superiores fuerzas enem:gas : circuns­ TEATROS. tancia que , unida á la desventajosa posición de Poznhalcon , li.ibia decidido la retirada del general En el del Príncipe, á las siete de la noche, se re­ Quadra. (Redactor general núnt. ) presentará por la compañía española la comedia de Le­ pe de Vega en tres actos titu…</t>
  </si>
  <si>
    <t>del Príncipe, Francisco Xavier Eri el</t>
  </si>
  <si>
    <t>Francisco Xavier Eri el del Príncipe</t>
  </si>
  <si>
    <t>as Roiz Corchon , á D. Plácido Martínez Cabello, clérigo de prima. Para el de Paredes Royas y sn anexo Torral- TEATROS. 'billa, vacanre por muerte de D. Francisco Xavier Eri el del Príncipe , á las siete de la noche, se re­ Bordigé, á D. Ramón Paul, cura del Angosto. presentará por la compañía española la comedia en cin­ Para…</t>
  </si>
  <si>
    <t>del Pulgar, Francisco López</t>
  </si>
  <si>
    <t>Francisco López del Pulgar</t>
  </si>
  <si>
    <t>ciudad que JicRos señores lian colectado, 103?- y 3 y medio rs. Doña Rosalía Penal ver, por el prest de 5 soldados en un mea. darante la guerra , 45. D. Francisco López del Pulgar , por 3 meses de su ofer­ ta en cada tino, 45. El conde de $ta. María de I,oreto , por mano de D. Juaiv Luis Marqueti •, y entrega de Mr. Vertaut, …</t>
  </si>
  <si>
    <t>esús del Monte, 102. D. Diego José de Aguiar , meritorio con goce del tri­ bunal de cuentas, por 2 meses de su oferta , 20. Doña Mariana Antayo , 35. D. Francisco López del Pulgar , por el prest de un soldado de caballería en 5. meses , 90. Doña Rosalía Penal ver , por el de 5 soldados en 2 meses, 90. D. Esteban de Zayas, 500…</t>
  </si>
  <si>
    <t>sco González del Valle , por el prest de 2 sol­ dados en un año, 216. D. Andrés López Armesto, por 4 meses de su ofer­ ta de G pesos en cada uno, 31. D. Francisco López del Pulgar , para el mantenimiento de un soldado de caballería, en 3 meses, 45. El Dr. Don Marcos Sánchez Rubio, de los fondos de la real universidad y-á nomb…</t>
  </si>
  <si>
    <t>del Rey, Francisco</t>
  </si>
  <si>
    <t>Francisco del Rey</t>
  </si>
  <si>
    <t>ia se ha servido conferir en el estado njtayóé délos excreíros el empleo de ayudan e, general á D, Luis Muda Ba­ lanza: : los de ayudanrts primeros á D. Francisco del Rey , D. S.n* tos de Allende, D. Eraclio A:aiz &gt; D. Manuel de Tena, D. Emeteriu Velar de, D. Francisco Pablo de la Peña, D. Juan Morales y</t>
  </si>
  <si>
    <t>del Rio, Domingo</t>
  </si>
  <si>
    <t>Domingo del Rio</t>
  </si>
  <si>
    <t>3000. D. Pedro Bedoya , 400. D. Joaquín Diaz del Valle , 100. En la Isla de León. — D. Manuel de Cabiedes, 10000. D. Manuel Martí­ nez Conde , 3000. D. Domingo del Rio, 2500. D. Manuel García Rodríguez, 2000. D. Esteban García é hijo , 2000. D. Francisco del Corral, 2000. I). Jo­ sé de Teran , 2000. D. Pedro de Mier y Teran ,…</t>
  </si>
  <si>
    <t>del Rio, Juan</t>
  </si>
  <si>
    <t>Juan del Rio</t>
  </si>
  <si>
    <t>os y armados han arrestado i la Martina? con 20 de su partida en Zárate, y la han conducido hácia Belaunza, Una carta firmada de Castaños, dirigida á D. Juan del Rio á Bjrberana, está concebida en estos términos: ,,Ym. irá inmediata­ mente aLcanfon de Medina, y hará saber á todas las autoridades que deben presentar lista de t…</t>
  </si>
  <si>
    <t>del Río, María Antonia</t>
  </si>
  <si>
    <t>María Antonia del Río</t>
  </si>
  <si>
    <t>Francisco Hernández París.............. 4512..17 mano de L). Fermín Ripando............ 25631 D. Domingo Ortiz y Zarate................... 7039.. 17 Doña María Antonia del Río................ 38519 D. Juan Aivarez de Faria..................... 7761.-17 D. Josef Antonio de Criarte................... 28338..17 D. Manuel García …</t>
  </si>
  <si>
    <t>del Rio, Pedro</t>
  </si>
  <si>
    <t>Pedro del Rio</t>
  </si>
  <si>
    <t>8 de D. Pascual Salinas.......................... 180-17 D. Gerónimo de Irurmcndia................... 10358-25 El cabildo eclesiástico de la villa de D. Pedro del Rio...................................... 5923-16 Chinchón, por mano de D. Antonio D. Fermín de Zelayeta............................ 8953..22 Morndillo.............…</t>
  </si>
  <si>
    <t>del Rivero, José</t>
  </si>
  <si>
    <t>José del Rivero</t>
  </si>
  <si>
    <t>acierto sus encargos y obligaciones, y lo mismo los del cuartel maes­ tre general capitanes D. Saturnino Samaniego, D. Francisco D.¿z de Bustamante y D. José del Rivero, habiendo sido el primero herido de un golpe de metraUa en una rodilla en el ataque de la entrada de la cañada de Marfil, á quien y al capean de mi escolta D.…</t>
  </si>
  <si>
    <t>Caballos, 600. D. Manuel de Olea, 500. Mozos de tas tiendas. — D Manuel González Plancho , 500. D. José Gó­ mez Soldado, 300. D. Antonio Tagle , 300. D. José del Rivero, 200. D. Ma3uu-[ Salceda, 200. D. José Candido Sánchez , 300. D. Juan García , 200. Don Dionisio de Hoyos, ‘’OO. D. Pantaleoa y D. Severo Merino , 240. D. Ant…</t>
  </si>
  <si>
    <t>del Solar, Diego</t>
  </si>
  <si>
    <t>Diego del Solar</t>
  </si>
  <si>
    <t>Juan Antonio Gutiérrez, 100. I). José Fernandez y D. Melchor Gómez , 70. D. Ramón Martínez , 100. Ron Liego de Hontoria: 100. D. Juan Asturiza , 100. D. Diego del Solar. !()0= L. Manuel Gutiérrez y D. Manuel Riaño, 100. D. Félix García , IO0. D. Pe­ dro García dejos Ríos, 100. D. Manuel Mancina, 100. D. José Perez, 100. L. Ma…</t>
  </si>
  <si>
    <t>del Tallat, C M</t>
  </si>
  <si>
    <t>C M del Tallat</t>
  </si>
  <si>
    <t>de oasar á las alturas del es­ trecho de la R bi, si bien que no fue posible por haber Hespido antes á M &gt;*iblai.ick la columna enem ga que b\xó oor d C &gt;M del Tallat. Coa este motivo se dHgió aquella noche D \ do-do Tn&gt; vellas con su gente á la Pasa de Pobút, y yo lo pra-ri iué á la ma­ drugada del 30 siguiente: desde este p…</t>
  </si>
  <si>
    <t>del Talle, Pedro</t>
  </si>
  <si>
    <t>Pedro del Talle</t>
  </si>
  <si>
    <t>e 3000 hom­ bres se disponían á acometerle: destacó, pues, inmediatamente una porción de caballería con el eapilan D. Pedro Jasé García, el al­ férez D. Pedro del Talle y el aventurero n. José Blanco, á que los contuviese mientra* él llegaba con su trepa, lo que verificó inme­ diatamente perp apenas desplegó en batalla, cuand…</t>
  </si>
  <si>
    <t>del Tejo, Antonio José</t>
  </si>
  <si>
    <t>Antonio José del Tejo</t>
  </si>
  <si>
    <t>mas firme adhesión á nuestra sagrada causa. Por auto del supremo consejo de la guerra de 9 de noviembre del año próximo pasado, se declaró inocente á D. Antonio José del Tejo, capitán del regimiento de patricios de Buenos-Ayres, acusado de haber conspirado contra lá vida del virey y de su comandante con ocasicn de las ocurren…</t>
  </si>
  <si>
    <t>del Toro, Manuel</t>
  </si>
  <si>
    <t>Manuel del Toro</t>
  </si>
  <si>
    <t>ias de infantería, en el partido de Pon ce , 315. Las cuatro compañías de morenos libres 3 agregados a! regimiento de milicias. 615 y A Juan Font, 8. D. Manuel del Toro, 200. Juan Eusebia Sánchez, 100. O. n Mateo Felipe , 40. María Delgado , 100. Joaquín Xilarte , 100. Varios indivi­ duos del partido de Juana Díaz. , 15 y 4. …</t>
  </si>
  <si>
    <t>del Val, Anselmo</t>
  </si>
  <si>
    <t>Anselmo del Val</t>
  </si>
  <si>
    <t>Manuel Gutiérrez, de id. 8 con 4. D. M. A. 8 con 4. D. Juan Isíepcmucene Cúbrales , de Asturias , 4 con 2. D. Víctor Igi csias , de Burgos, 8 con 4. D. Anselmo del Val, del vallé de Tobalina, 204, B. Julián dei Val, de id., 25. (Se continuará.) PAPELES INTERCEPTADOS. lielacicn de acontecimientos, paso de tropas y convoyes des…</t>
  </si>
  <si>
    <t>del Valle, Domingo Luis</t>
  </si>
  <si>
    <t>Domingo Luis del Valle</t>
  </si>
  <si>
    <t>; Rafael Figüera, D/iJéíé?cDiaz, íD. Pablo &lt;Ru}z de íj.^Pa tída "José Gord l’o, D. Mannel G sn’ia , D. .-Ma­ riano Miguel Polo ,D Franchco Barreycua, D. Domingo Luis del Valle, D Mariano deGoic echea ,’D Carlos CapetidoD. JA'éGñativia y D. V cenie de la Encina. ^.En conrecqencia del real ^decreto de 5 de enero del año próximo…</t>
  </si>
  <si>
    <t>del Valle, Francisco</t>
  </si>
  <si>
    <t>Francisco del Valle</t>
  </si>
  <si>
    <t>negociación con Mr. Forster , ó que á lo Por decretos de 24 del expresado mes S. M. menos se ha suspendido el tratar de ciertos puntos ha nombrado á D. Francisco del Valle regidor de preliminares, y que no puede pasar adelante has­ la municipalidad de Madrid : á D. Antonio de ta que vengan nuevas instrucciones de Inglaterra. …</t>
  </si>
  <si>
    <t>del Valle, Francisco González</t>
  </si>
  <si>
    <t>Francisco González del Valle</t>
  </si>
  <si>
    <t>Estrada, por "su oferta de la mitad de la pen­ sión que disfruta en el monte Pió militar', correspondiente al segundo tercio de este año , 83 y 2 rs. D. Francisco González del Valle , por el prest de 2 sol­ dados en un año, 216. D. Andrés López Armesto, por 4 meses de su ofer­ ta de G pesos en cada uno, 31. D. Francisco López…</t>
  </si>
  <si>
    <t>del Valle, Joaquín Diaz</t>
  </si>
  <si>
    <t>Joaquín Diaz del Valle</t>
  </si>
  <si>
    <t>Ignacio Gutiérrez de Ceüs , cabo principal déla compañía de ajámeles de a caballo, por sí y en nombre de dicha compañía, 3000. D. Pedro Bedoya , 400. D. Joaquín Diaz del Valle , 100. En la Isla de León. — D. Manuel de Cabiedes, 10000. D. Manuel Martí­ nez Conde , 3000. D. Domingo del Rio, 2500. D. Manuel García Rodríguez, 200…</t>
  </si>
  <si>
    <t>del Valle, María Josefa</t>
  </si>
  <si>
    <t>María Josefa del Valle</t>
  </si>
  <si>
    <t>superior de la provineia.”— Siguen los donativos de la provincia de Tucatan. Comercio: D. Pedro Manuel de Regil, 400 ps. fs. D. Luis Totosans , 300. Doña María Josefa del Valle , 4000. D. Fernando Gutierre*;, 500. D. Mi­ guel Duque de Estrada, 500. D. José Perez Medina, 500. D. Hemeterio Dalias, 500. D. Juan Agustín de Ibarra…</t>
  </si>
  <si>
    <t>del Yerro, Itadro</t>
  </si>
  <si>
    <t>Itadro del Yerro</t>
  </si>
  <si>
    <t>a de bandera á D. Rafael de *¡ftj.ova, rt «* En el regimiento de infantería de L?on: ayudantía á D. Santiago fritaron: cías á D. Santiago la Rejilla, D. Itadro del Yerro, IX Víctor R.?strebada y D. Francesco Doñas; subtenencias á Do» Miguel Villar, D. Sautiaíro Nryra, D. Ignacio Barros, D. José 1^ í~lo T-oloiTW^ - Antonio Son…</t>
  </si>
  <si>
    <t>Dela</t>
  </si>
  <si>
    <t>eta , vis­ y con particularidad al guardia Mariani, y á los to con el telescopio de Herscheti, es igual í la de marineros Follinch y Bernardini, y al sargento Dela luna. El núcleo central y brillante no es visible roeuel. con un telescopio de 10 pies, oi con otros de me­ Laiback 28 de setiembre. nores dimensiones. S. E. el go…</t>
  </si>
  <si>
    <t>Delgado, Antonia</t>
  </si>
  <si>
    <t>Antonia Delgado</t>
  </si>
  <si>
    <t>. 603483..3a su apoderado D. Grego­ D. Manuel Francisco de rio Petit............................... 9 2 04.. 13 Aguirre é hijos................ 60000 Doña Antonia Delgado........ 456a.. 6 Los señores Douat herma­ D. Vicente de Zuza por su nos............... ........................ 1.249807..23 apoderado D. Pedro Gar­ D. Vice…</t>
  </si>
  <si>
    <t>Delgado, Antonio</t>
  </si>
  <si>
    <t>Antonio Delgado</t>
  </si>
  <si>
    <t>Para el tercero de la misma, vacante por falle­ Oro español contra plata................... cimiento de D. Cristóbal Hornillo y Lora, al pres­ bítero D. Antonio Delgado. Para la vicaría perpetua de primera provisión VEA TROS. del Puerto de Sta. María al presbítero D. Pedro En el del Príncipe, á las ocho de la noche, se re­ Lo…</t>
  </si>
  <si>
    <t>Delgado, Antonio Mariano Gil</t>
  </si>
  <si>
    <t>Antonio Mariano Gil Delgado</t>
  </si>
  <si>
    <t>........... 9612 Josef Malladu............................. 502 32 D. Josef López de Arcos............... a 7 ©00 La"congregación del Santísimo Cris* D. Antonio Mariano Gil Delgado. 14786 16 ta de ía Fe, establecida en la D. Antonio Alvo y Doña Manue­ referid? parroquia, por mano de la Fernandez de la Herran....... . 23530 17…</t>
  </si>
  <si>
    <t>Delgado, Clemente</t>
  </si>
  <si>
    <t>Clemente Delgado</t>
  </si>
  <si>
    <t>opa, 491. — JScxar. D. Ignacio Pcrez, 200. D. Francisco Montes, 50. D. Manuel Barrera, 40. D. Francisco de los Santos, 30. D. Fernando Baramendi, 30. D. Clemente Delgado, 10. D. Vicente Travieso, 10. I). Francisco de Arocha, 9. D. José Antonio de la G irza, 10. D. Víctor Blanco, 20. D. Apolinar de Marrnela, 40. D. Be nito Ant…</t>
  </si>
  <si>
    <t>Delgado, Juan</t>
  </si>
  <si>
    <t>Juan Delgado</t>
  </si>
  <si>
    <t>ovecharon del terreno montuoso para preservarse, y al fin se metieron en Cácares. Tuvimos la pérdida del alferez de SagUn­ to , graduado de teniente, D. Juan Delgado, que fue muerto, y 8 cabos y soldados de caballería heridos, 3 caballos mu/rtos y 16 heri­ dos. Eí enéraigo tuvo un capitán y unos cuantos soldados muertos, y 88…</t>
  </si>
  <si>
    <t>Delgado, Manuel</t>
  </si>
  <si>
    <t>Manuel Delgado</t>
  </si>
  <si>
    <t>D. Félix Estrada, 10. D. Fran­ cisco Col jantes , 40. D. Rafael Cortes , 10. D. Juan José Zambrano, 10. El barón de Bastrop, 100. D. Pedro Giral, 50. D. Manuel Delgado, 10. D. Luis Galan, 10. D. Félix Mencliaca, 50. D. Manuel Nunez, 10. Varios individuos 144 y 6 rs. Los vecinos de la misión de la Espada, 24. El cura D. José C…</t>
  </si>
  <si>
    <t>Delgado, Pedro</t>
  </si>
  <si>
    <t>Pedro Delgado</t>
  </si>
  <si>
    <t>o , 50. D. Cenon Sastre, 50. Alexo Fncalada , 50. D. Juan González , 50. D. José Sirarola, 50. Don Joaquín Casares, 50. D. Juan Vicente Alfonso , 50. D. Pedro Delgado, 50. D. D iego Ríos Carta, 50. D. Martin Yerobi, 50. D. Juan Bautista Yerobi, 50. D. Francisco Batllé , 50. D. Cristóbal Sansón , 50. D. Miguel Lanz, 40. D. Raf…</t>
  </si>
  <si>
    <t>Delgado, Ramón</t>
  </si>
  <si>
    <t>Ramón Delgado</t>
  </si>
  <si>
    <t>o­ 2 D. Andrés Tarancon........................... 361 derado D. Juan Josef Gamboa..... 361 6 „ Deña Plácida de "Urquijo................... 2°7f 2J 6 D. Ramón Delgado, por su apode­ 2 D. Francisco Calleja...................... 180; rado D. Nicolás Barsanti............... 10 j 9 10 Doña Margarita de Pereda.................. 70…</t>
  </si>
  <si>
    <t>Delgado, Salvador</t>
  </si>
  <si>
    <t>Salvador Delgado</t>
  </si>
  <si>
    <t>uque, En las memorias de la academia de Berlin de 1756 ex-carmelita calzado. se halla una memoria de Eulero sobre la teoría da los Para la de Illar á D. Salvador Delgado, ex-ge- molinos de viento: encuentra que la ala debe de for­ rónimo. mar con e! exe, en li parte inmediata á él, un ángulo Pira ia de Adra y la Alquería á D.…</t>
  </si>
  <si>
    <t>Delirado, Francisco</t>
  </si>
  <si>
    <t>Francisco Delirado</t>
  </si>
  <si>
    <t>nciaco Cabelmates; el de primer ayudante á -D. Ifndyes Clemente; los de capitán segundo á D. Juan Antonio CxOtygz, D- Pedro Meriel, D. Pedro Cortijo, D. Francisco Delirado. y DfFarn&amp;ndo Rosales; los de teniente á D. Joaquín Pardo, Don Aosilpüo Mayoral, D. Pascual Perez, D. Manuel Inostrosa, y Don Ssbíiiiían Sánchez; los de su…</t>
  </si>
  <si>
    <t>Delzons</t>
  </si>
  <si>
    <t>ct de la tarde nn globo, en el qual se Teian las cifras Romanas filii matri de SS. MM. y las palabras viva Napoleón! viva Dulcissima. Luisa! El señor general Delzons di» después un banquete magnifico á todas las autoridades. Por la Es digno de notarse que.se han encontrado los noche hubo iluminación general: los edificios pú­…</t>
  </si>
  <si>
    <t>Dema</t>
  </si>
  <si>
    <t>rís / ó" de junio. Sornil, - después de haber muerto al que lo lle­ El brick de S. M. la Abeja, armado de 20 vaba. carroñadas de á 24 , al manilo del capitán Dema— El señor mayor Montigni, que ba dirigido es­ citan , se encontró el 26 de mayo en el canal de ta expedición, merece ¡os mayores elogios; pues Córcega con el brick …</t>
  </si>
  <si>
    <t>Demai</t>
  </si>
  <si>
    <t>onsejero Natri, dipu­ destino áQuimper, se han perdido enteramente. tados qn la diera extraordinaria , que pasen inme­ Los Dos amigos, mandada por el capitán Demai, diatamente á Berna á ofrecer en su nombre á los y destinada para Redron , ha encallado, Según di­ rr.¡ri¡srros uc ¡as dos curies imperiales de arrancia cen, eu la…</t>
  </si>
  <si>
    <t>Demostenes, Juan</t>
  </si>
  <si>
    <t>Juan Demostenes</t>
  </si>
  <si>
    <t>s de la secretaría de D. Matías de Robles........ 63710..30 Estado. IX Jucmro Colmenero......... 20145..24 En nuestro palacio de Madrid á 17 de agos­ D. Juan Demostenes Du* to de 18 1 í. eoure................................ 8880 Don Josef Napoleón por la gracia de Dios Dona María Pacheco, viuda y por la constitución del Esta…</t>
  </si>
  <si>
    <t>Demoutien</t>
  </si>
  <si>
    <t>bre de 1811. I.os plenipotenciarios El general Expert elogia al esquadrpn del 18.0 encargados por el señor brigadier D. Luis Maiía de drag ones, y al capitán Demoutien que le man­ Andriani, gobernador del castillo de S. Fernando daba , asegurando que se habia portado mui bien de Saguuto, firmamos por admitida y concluida la l…</t>
  </si>
  <si>
    <t>Den, José Nicolás</t>
  </si>
  <si>
    <t>José Nicolás Den</t>
  </si>
  <si>
    <t>eniente JJ. Andrés Meñdibla , I0Ó.’ÁFdréz ■ *D. Juan Angel dé Ibarra, 50. La tropa, 463. — 'Quintil id. Gapitan. T); Jobteé-Mana Sudu'V 200. Teniente’D. José Nicolás Den i tez , 100. ‘Alférez* Don -iJosd Cayetano Cáritú , 60. La tropa ,' 500. ^Sexka ¡idi -Capitán Jb. Jüán Jésé . .SaVitoJ ,■ 200.« Teniente D. Félix Perez , 100…</t>
  </si>
  <si>
    <t>Deroi</t>
  </si>
  <si>
    <t>Gaceta de Madrid n.º 44</t>
  </si>
  <si>
    <t>cia neral de artillería. Nuestro mui amado hijo ei Prín­ de la Servia. cipe Real de Baviera, el duque Guillelmo de Ba— SAXONIA. viera , y el teniente general Deroi, quedan nombra­ - Leipsick t.° de enero de 1811. dos Generales de infantería; el teniente general con­ de Wrede, general de caballería, y el teniente Ademas de los…</t>
  </si>
  <si>
    <t>Des-essart, Francisco de Paula</t>
  </si>
  <si>
    <t>Francisco de Paula Des-essart</t>
  </si>
  <si>
    <t>................. 24187 5 D. Antonio, Doña M«ríi Gar&lt;.és y 2 D. Juan de Llagona........................... 1173 8§ Doña Crispina Guches , herederos 6 D. Francisco de Paula Des-essart, por de D. Manuel Garué:..............-....... mano de su apoderado D. Juan. M34 8|l 3 D. Juan de Iriarte..-............................ 16335 ü…</t>
  </si>
  <si>
    <t>Desborongh</t>
  </si>
  <si>
    <t>Gaceta de Madrid n.º 48</t>
  </si>
  <si>
    <t>pa, el gobierno francés supondría que eran del lord J. Thinne, el lord Clive, el lord SjIde origen ingles, y las quemaría. No alcanzamos merstoü y el coronel Desborongh. El lord corre­ cómo la América podrá hacer efl ningún tiempo gidor ha presidido una junta de ios representantes con toda seguridad el comercio con la FralFia…</t>
  </si>
  <si>
    <t>Desbureaux</t>
  </si>
  <si>
    <t>477</t>
  </si>
  <si>
    <t>ctersbnrgo 8 de marzo. un parte telegráfico que rraxo el gefe de esquadron La princesa Sergejesvera Gagarin, que ha sido RobeIJeuu, primer edecán del general Desbureaux, educada en el instituto de la orden de Sta. Catali­ comandante de la quiita división militar. Inme­ na, ha sido nombrada el 22 de febrero dátna de diatamente…</t>
  </si>
  <si>
    <t>Descalz, Vicente</t>
  </si>
  <si>
    <t>Vicente Descalz</t>
  </si>
  <si>
    <t>de capitán segundo á D. Juan Vivas, D. Calixto Gar­ cía Buj.anda, D. Liocente^Argüello, y D. Juan Antonio Tostado; los deteniente á D. Ignacio Perez, D. Vicente Descalz,D. Juan Hi­ dalgo Chacón, D. José Carrasco, D. . Ra r on González y D. Ra­ món Novoa; los de subteniente á D. Juan Rosales y D. Ramón González; y el de subten…</t>
  </si>
  <si>
    <t>Deslande, Juan</t>
  </si>
  <si>
    <t>Juan Deslande</t>
  </si>
  <si>
    <t>a de Schevellingoe el Emperador re­ El Sr. D. Pedro Monnertt.............................. 50 cibió á las principales autoridades del departa­ El Si. D. Juan Deslande........................... 200 mento. El Sr. D. Juan Bautista Sainsere.......................... 200 Por la noche hubo una hermosa iluminación, y E. Sr. D. Edua…</t>
  </si>
  <si>
    <t>Desmaissieres, Antonio</t>
  </si>
  <si>
    <t>Antonio Desmaissieres</t>
  </si>
  <si>
    <t>ejo de Regencia ha concedido en el regimiento de reales guardias Waiemas, compañías á los primeros ayudantes mayores D. Agus­ tín barón de Roissin, y D Antonio Desmaissieres marques de la Mo­ rilla , y al primer teniente D. Bernardo María de Guindulaín; empleo de primer ayudante mayor , al primer teniente D. Manuel Luis de Cr…</t>
  </si>
  <si>
    <t>Desmaissieres, Arnaldo</t>
  </si>
  <si>
    <t>Arnaldo Desmaissieres</t>
  </si>
  <si>
    <t>resan á continuación y por las cantidades si- D. Pedro García Pinillos, por 6300 rea­ b Reales vellón. les anuales............................. 63000 D. Arnaldo Desmaissieres............................ 154041.. 2 Rs. vn...... 126900 D. Francisco de Biezma.............................. 347 5C..3I D. Francisco Gómez Xara......…</t>
  </si>
  <si>
    <t>Desmontis</t>
  </si>
  <si>
    <t>npdie mas grande hechicero que Brancanelo el herrero,'adornada con todo-su teatro, á Toledo. transformaciones, vuelos, y seis decoraciones nuevas F.i capitán Desmontis, Mr. Noirfontaiae, ayu­ pint dís por el célebre profesor D. Antonio María Tadante mayor, y el subrenienie Mr. Edilicn, que de¡; Analizando la función con el di…</t>
  </si>
  <si>
    <t>Desmotáis</t>
  </si>
  <si>
    <t>............................. cesa , que se componía de solos 1 j dragones , se re­ plegó entonces con toda ia celeridad posible sobre la coluna : el capitán Desmotáis y algunos hom­ teatro*. bres , coyos caba los fueron muertos , cayeron en En el del Príncipe, á las siete de la soche , se re­ esta retirada en manos del enemi…</t>
  </si>
  <si>
    <t>Despalier, Bernardo</t>
  </si>
  <si>
    <t>Bernardo Despalier</t>
  </si>
  <si>
    <t>Manuel Zambrano, 50. El notario y sacristán, 8. Los veci­ nos de la villa de S. Marcos , 8 y 4 rs.— Villa de la Trinidad. D. Ge­ rónimo Hernández, 6. D. Bernardo Despalier, 30. D. Francisco Tra­ vieso, 6. Varios individuos, 146. Los vecinos»de la había del Espí­ ritu Santo , 105 y 6 rs. — Nacogdoches; ¡Comandante el. teniente…</t>
  </si>
  <si>
    <t>Después</t>
  </si>
  <si>
    <t>primera de ellas. Relativamente á las noticias dél norte de España, se sabe que la guardia imperial tiene orden de volver a Francia.—ffellington. P. D. Después de escrito este oficio v recibo parte de una bizarra acción que sostuvo ayer tarde entre Aiberca y Guarda una de meítras patrullas man Jada por los tenientes Persse, d…</t>
  </si>
  <si>
    <t>ivisiones lo había pasado, y jusgo que dichas divisiones hayan llegado el 9 á Piasencia, y todo el exército el 10 del corrien­ te. — Wellington. — P. D. Después de escrito este pliego, he reci­ bido parte de que las tropas del general Drouet se reunieron ayer á !a derecha del exército enemigo en Bfrlanga y Azuaga, y otro avi­…</t>
  </si>
  <si>
    <t>Dessaix</t>
  </si>
  <si>
    <t>el 7.0 de linea , mandada El 23 comenzó A construirse una batería de por el gefe de batallón Miocque y por mi edecán brecha á 60 rusa- del fuerte. el capitán Dessaix, salió de ia derecha de la bate­ En ¡os dias 24, 25 y 26 quedaron coronados ría de brecha , y se arrojó sobre la parte del luer«1 ataque de la derecha y las esca…</t>
  </si>
  <si>
    <t>Dessau, Juan Jorge de Anhalt</t>
  </si>
  <si>
    <t>Juan Jorge de Anhalt Dessau</t>
  </si>
  <si>
    <t>terías del estado, que deben pagarse1 én m.yor equidad uná especie de impuesto gcueral, dinero convencional. que se establecerá para este ol j.to. El príncipe Juan Jorge de Anhalt Dessau, que habia fixado hace algonos años su domicilio en es­ JLeipsick _9 de abril. ta ciudad, ha fallecido eo uoo de estos últimos Hace algunos …</t>
  </si>
  <si>
    <t>Dessoles</t>
  </si>
  <si>
    <t>541</t>
  </si>
  <si>
    <t>de la acción del uj en las inmediaciones de Badajoz: tedes Íes mas escaparon i excepción de 150 que juraros en l oie 0 y Ma­ drid : venia cambien el general Dessoles y otros 3 de su clase; Do * B*as de Aranza, que parece está llamado por B.ñaparte; 300 oficiales que van a formar nuevos cuerpos, y 1300 ir útiles que se retiran…</t>
  </si>
  <si>
    <t>Deviaud</t>
  </si>
  <si>
    <t>101</t>
  </si>
  <si>
    <t>que el exército francés ha podido, si públicamente en la plaza de la Lonja en presencia hubiese querido, conservar la suya, y aguardar de los señores general Deviaud, comandante de di­ a'.li los refuerzos. visión; Arnault, intendente de la provincia de K! deseo dt* acelerar la conquista de Abrante» Trieste; Rabié, coronel y c…</t>
  </si>
  <si>
    <t>Dez, Juan</t>
  </si>
  <si>
    <t>Juan Dez</t>
  </si>
  <si>
    <t>F.: ante seo Mcnñwil ./D. Antonio Q-droga,, graduado du te siente coronel, Biái Jc-áé R¿vsrt, D. Podio. Laiap-srez , graduado do teniente cbroiie?, y D. Juan Dez. CADIZ : E® LA IMPRENTA REAL. ..y</t>
  </si>
  <si>
    <t>Dgvksod</t>
  </si>
  <si>
    <t>701</t>
  </si>
  <si>
    <t>tuvo, cómo acostumbra, su grande reputación , y tuvieron ocasión de distinguirse ei mayor Dorviile y el capitán Purvis , de los dragones reales, y el capitán Dgvksod del 14 de dragones ligeros. No puedo formar juicio seguro acerca del pian del enemigo : pe­ ro se que salió de Salamanca coa IS900 hombres de infantería y mas de…</t>
  </si>
  <si>
    <t>Dialogoni</t>
  </si>
  <si>
    <t>884</t>
  </si>
  <si>
    <t>Lo; ga, Campillo y Pinto están á sd fVente con 1200 infantes y 400 caballo? , que ocupan los punto3 de Castro, Rívero, Vdiassnte, Agüera y Lista?. El capitán Dialogoni se limita á maniobrar en el valle de M na, á íLj de impelir que los bergantes tomen víveres de qu* carece e? t r eno que ellos ocu­ pan. Han querido entrar en …</t>
  </si>
  <si>
    <t>Diamante, Juan Bautista</t>
  </si>
  <si>
    <t>Juan Bautista Diamante</t>
  </si>
  <si>
    <t>Zelanda. Créese se executará la comedia antigua en tres actos titulada el que permanecerá en el Escaldavy tus cercanías has­ Negro mas prodigioso, de D. Juan Bautista Diamante, ta el 27, y que después irá á Ambéres á encontrar con todo el adorno y aparato teatral que exige su re­ á S. M. la Emperatriz , que se hallaba el 26 e…</t>
  </si>
  <si>
    <t>1228</t>
  </si>
  <si>
    <t>civil que seexecutará la comedia antigua en tres actos titulada el la política ha convertido en principio ,y que acaso es el Negro mas prodigioso, de D. Juan Bautista Diamante, principio mas humano y mas santo que la política misma con'tódo el adorno y aparato teatral que exige su re­ confie’a; es á saber: quando las exército…</t>
  </si>
  <si>
    <t>Diar</t>
  </si>
  <si>
    <t>presentaron en las aliares de la ven­ ta de Gor c«m§ unes 400 enemigas de infantería, y caballería con ánimo de soíp’/eliende? á nuestros puestos. Ei general Diar-.dó salir fuer z xs do ámbso srnes con artillería, y les enemigos fu •■•ron recha­ zaos vigorosa cíente. La división del general Qundro ss vn apro­ ximando á Izo&amp;lí…</t>
  </si>
  <si>
    <t>Dias</t>
  </si>
  <si>
    <t>ecibió con el mismo fue?» Estockolmo ir de junio. 8° y con la misma serenidad que la vez primera. Se acaba de publicar aquí ana circular, que se ,,E1 alférez Dias mandaba también esta vez la, van­ ha remitida á todos los ministros y embajadores guardia: el destacamento llegó hasta el pie dq la, roca; de S. M. el Reí de Suecia…</t>
  </si>
  <si>
    <t>Díaz</t>
  </si>
  <si>
    <t>de canon y mortero que les hacía la plaza, avanzaron con la mayor intrepidez y el raejor orden hasta el pie de la brecha, guian­ do la vanguardia el alférez Díaz, del regimiento 51 , que se había ofrecido voluntariamente pata esta facción. Pero hallaron que el ene­ migo Imbia limpiado de minas el fondo de la escarpa, y sin em…</t>
  </si>
  <si>
    <t>Diaz</t>
  </si>
  <si>
    <t>69</t>
  </si>
  <si>
    <t>69S de qu - enenrgo Ies opus© los mismos medios que habla emplead» el d*a 6 —E alférez Diaz guiaba también la avanzada ; y habiendo IL gido ios nuestros al pie de la brecha , hallaro i que era imposible montarla, porque el enemigo había vuelto.» quitar las ruinas del fondo de lá escarpa. El destacamento sufr</t>
  </si>
  <si>
    <t>Diaz, Antonio</t>
  </si>
  <si>
    <t>Antonio Diaz</t>
  </si>
  <si>
    <t>, re­ D. Raimundo y D., Gregorio Necoechea» sidente en el Molar, por.......................... 2200 por mano de D. Juan Bautista Iribarren. 45615..11 D. Antonio Diaz, ex-capuchino, residente D. Joset Rodríguez........................................... 3000 en Chinchón, por....................................... 2200 D. Maria…</t>
  </si>
  <si>
    <t>Diaz, Bernarda</t>
  </si>
  <si>
    <t>Bernarda Diaz</t>
  </si>
  <si>
    <t>a D. Fernando Perez Rico................ 6600 y Morrreai....... ............................ 1460 D. Juan Duat.................................. 3600 Doña Bernarda Diaz........................ atyo D. Josef Clemente de Luja............ 3360 D. Pedro de la Serna....................... 8100 D- Josef Antonio Rodríguez......... 7…</t>
  </si>
  <si>
    <t>Díaz, Eugenio Saturnino</t>
  </si>
  <si>
    <t>Eugenio Saturnino Díaz</t>
  </si>
  <si>
    <t>villa de ledo, donde reside, por.......................................... 2200 Orgaz, provincia de Toledo, residente alli , por 2200 EX-ACON IZANTE. D. Eugenio Saturnino Díaz , natural de Toledo, IX Manuel Tenorio, natural de la Puebla del Re­ . donde reside, por,.................................................... 2200 tama…</t>
  </si>
  <si>
    <t>Díaz, Felipe</t>
  </si>
  <si>
    <t>Felipe Díaz</t>
  </si>
  <si>
    <t>Mora , en la pueblo, por.......................................................... 2200 Mancha, residente en Toledo , por.................... . 1200 D. Felipe Díaz, natural del lugar de Escalunilla, D. Francisco Pérez , natural de Gata , provincia de residente en supueblo, por.................................. 2200 Badajoz , …</t>
  </si>
  <si>
    <t>Díaz, Fernando</t>
  </si>
  <si>
    <t>Fernando Díaz</t>
  </si>
  <si>
    <t>resaltas de los D. Pedro Muradas. terremotos, y tenemos ia prueba de esto en las D. Iñigo Fonseca. adunas antiguas yen los obeliscos, que todavía se D. Fernando Díaz. conservan en pie después de tantos siglos. D. Migue! C^b.'zas. París 6 de marzo. D. Jo^et Roldan. D. Amador Jover. El señor Labouchere, comerciante de Amster- D…</t>
  </si>
  <si>
    <t>Diaz, Fernando</t>
  </si>
  <si>
    <t>Fernando Diaz</t>
  </si>
  <si>
    <t>.................... D. Juan Teran............................ ............... 1188.. 7 , D. Carlos Menche................ ................. :9o.. 8} D. Fernando Diaz.................................... *965..27 La real congregación de S- Fermín, D. Francisco Ortiz.................................... 1684 por mano de D. León …</t>
  </si>
  <si>
    <t>Díaz, Francisco</t>
  </si>
  <si>
    <t>Francisco Díaz</t>
  </si>
  <si>
    <t>500. D. Luis Fran­ cisco de Gardea/abal, 200. D. Juan Soler y G-arceran, 400. D. Alexandro Firpo , 300. D. Pablo Roura, 400. D, Gaspar Remisa, 1000. D. Francisco Díaz, 500. D. Agustín Ciotet, 200. D. Jacinto Alvarez de Pazos , 1000. D. Domin­ go José Cierto , 1000. D. Ramón de barreta, 200. Sres. Gordon Shaw y com­ pañía , 10…</t>
  </si>
  <si>
    <t>Diaz, Gregorio</t>
  </si>
  <si>
    <t>Gregorio Diaz</t>
  </si>
  <si>
    <t>de la misma ar­ tillería, 225 y 4 rs. D. Antonio Arcilla, capitán del partido dei Horcon, por su oferta mensual , 10. Doña Antonia Josefa Barca, 18. D. Gregorio Diaz, ve­ cino del partido de Buena Ventura, 102. El Dr. D. Damián Ramírez , tesorero de la universidad de S. Gerónimo de esta ciudad, por oferta del cuerpo de doc­ t…</t>
  </si>
  <si>
    <t>Diaz, Hilario</t>
  </si>
  <si>
    <t>Hilario Diaz</t>
  </si>
  <si>
    <t>o Rei, natural de Yélamos de arriba, Toledo, residente en su pueblo , por.................. 2 209 en Guadalaxara, residente en Camarena, por,... 2200 D. Hilario Diaz, natural de la villa de Mora, re­ D. Inocencio Ruiz , natural de Yévenes, residente sidente en Toledo, por............................................. 2200 en e…</t>
  </si>
  <si>
    <t>Díaz, José</t>
  </si>
  <si>
    <t>José Díaz</t>
  </si>
  <si>
    <t>argento mayor de brigada al capitán graduado de teniente coronel D. Mariano Genaro Sehtmanat; y á capitanes á Ies tenien­ tes D. Joaquín Luzariaga, y D. José Díaz, aquel graduado de capitán. El consejo d© Regencia se ha servido conferir en el regimiento de infantería de línea de voluntarios distinguidos de Cádiz compañías á D…</t>
  </si>
  <si>
    <t>ñías de artillería de Granada y Camayagua, en el rey no de Geatemala. El capitán Don Manuel Arzu, 90 pesos. Teniente Don Miguel Correde­ ra , 46. Id. D. José Díaz , 46. Sargento primevo José Abad , 25. Segundo Be­ nito Rodríguez, 18. Id. Serapio Castillo , 18. Id. Valerio Montenegro , 25. Id. Lorenzo Lizundia, 18. Id. Pedro A…</t>
  </si>
  <si>
    <t>Diaz, Juan</t>
  </si>
  <si>
    <t>Juan Diaz</t>
  </si>
  <si>
    <t>Francisco Mendoza, 1. D. Pedro Arguelles , 150. B. Juau Totosans , 150. D. Pablo Gual, 100. D. Juan Antonio. Ferreiro , 50. D, Francisco Moreno , 50. D. Juan Diaz , 40. D. Jorge Montero , 25. Don Domingo'Mosqueira, 25. D. Aiidres Pumar , 25. Jóse Antonio Perez, 15. Santiago Forco , 6. D. Agustín Ferrer , 10. D. Juan Antonio C…</t>
  </si>
  <si>
    <t>Diaz, Juan Manuel</t>
  </si>
  <si>
    <t>Juan Manuel Diaz</t>
  </si>
  <si>
    <t>é Felipe García , sobrestante del rapé, 1 y un real. D. Nicolás Nuñez de Acosta, sobrestante primero de la fábrica de cigarros de la Beneficencia, 2. D. Juan Manuel Diaz, id. seguxdo , 1 y 4 rs, Juana Diaz , maestra do las torcedoras de la Beneficencia, 1 y 4 rs. D. Francisco Cabrera y Martínez, guatda montarlo , 2, D, Tomas …</t>
  </si>
  <si>
    <t>Díaz, Leandro</t>
  </si>
  <si>
    <t>Leandro Díaz</t>
  </si>
  <si>
    <t>escal­ el campo de Criptana en la Mancha, por 2200 zo, por............................................... 2200 D. Tomas López, id. , residente en Ca­ D. Leandro Díaz , ex-benedictino , por... 2200 bezuela en Extremadura, por.................. 2200 B. Manuel Sánchez, cx~capuchino, por 22cc D. Joa ’ uin Madrigal ¡ id, , residen…</t>
  </si>
  <si>
    <t>Díaz, Miguel</t>
  </si>
  <si>
    <t>Miguel Díaz</t>
  </si>
  <si>
    <t>ridos y llevaban atravesados en los caballos , arrojaron 4 muertos en las viñas de VMal-pando, La acción fué junto á Villar de Era des. En la Mancha, D. Miguel Díaz encontró el 11 del mismo 300 enemigos de infantería que conducían 5 carros desde Consuegra á Villarubia, con quienes peleó, quitándoles 3 carros, los dos con raci…</t>
  </si>
  <si>
    <t>Díaz, Sebastian</t>
  </si>
  <si>
    <t>Sebastian Díaz</t>
  </si>
  <si>
    <t>ana, D. Antonio E chozada, teniente de Or­ denes, militares, y D; Ambrosio Saiazar, alférez de reales guardia» de infantería española; á tenientes, á D. Sebastian Díaz, D. Do­ mingo Zavala y D.-Santiago Novoa, subtenientes de España, Or­ denes militar?» v voluntarios de Navarra; D. Meliton Fernandez y Arvina y D, Cipriano Gob…</t>
  </si>
  <si>
    <t>Díaz, Tomas</t>
  </si>
  <si>
    <t>Tomas Díaz</t>
  </si>
  <si>
    <t>o calzado, D. Francisco Fernandez de Santos.......... 261920. .t¡&gt; residente en Camarina de Esteruelas, por 2200 D. Francisco Garmendia , por mano de D. Tomas Díaz , id., residente en Cienpo- D. Juan Bantista de Iribarren.................... j682i,.3¡ zuelos , por......................................... .......... 2200 D. Fr…</t>
  </si>
  <si>
    <t>Díaz, Xavier</t>
  </si>
  <si>
    <t>Xavier Díaz</t>
  </si>
  <si>
    <t>D. Mariano Urrca , 200. El alférez D. José Mena , 10, Don José María Sopeña, 25. D. Antonio Andrade , 5. D. Manuel Rodríguez, G. D. José Buelna , 20. D. Xavier Díaz , 25. D. Ignacio León , 25. D. Ignacio Serrano, 10. D. Tomas Valencia, 10. D. José López, 20. D. Ignacio Noriega , 8. D. Manuel Bailo , tesorero interino de la re…</t>
  </si>
  <si>
    <t>Dibusos, Antonio María Gon</t>
  </si>
  <si>
    <t>Antonio María Gon Dibusos</t>
  </si>
  <si>
    <t>. Eugenio Josef Chanfo’i, Descripción Jet arte de construir los molinos , por ex-franciscano JSeyer , aumentado por YVeinhold. Y para la de Trevelezá D. Antonio María Gon­ Dibusos artificiales de toda suerte de molinos di zález , ex- franciscano. viento iré., por Juan de Strada de Rosberi.</t>
  </si>
  <si>
    <t>Dícese, Francisco Xa</t>
  </si>
  <si>
    <t>Francisco Xa Dícese</t>
  </si>
  <si>
    <t>s. pues no hablan de otra casa que de confiscaciones Subprefecto de la subprefectura deAlcaraz, en de nares inglesas. la prefectura de Ciudad-Real, á D. Francisco Xa­ Dícese que la corte de Petersburgo ha accedi­ vier del Moral, actual subintendente. do en un todo al sistema continental, y que se es­ Nuestro ministro de lo In…</t>
  </si>
  <si>
    <t>Dícese, Medi</t>
  </si>
  <si>
    <t>Medi Dícese</t>
  </si>
  <si>
    <t>er regimiento de guardias, que de Francia. A pesar de los muchos buques de se hallaron en el ataque de Barrosa. guerra enemigos que andan cruzando en d Medi­ Dícese que se han avistado en ios mares de la terráneo , no bilí teoido tropiezo ninguno. India occidental quatro fragatas francesas, y que Una fragata inglesa, que ba t…</t>
  </si>
  <si>
    <t>Dictamen</t>
  </si>
  <si>
    <t>Gaceta de Madrid n.º 298</t>
  </si>
  <si>
    <t>naba el Extracto de hs minutas de la secretaría de Es­ capitán de navio Leconte-Saint-Haouen; le acom­ tado. pañaban el príncipe de Neufch-itel y ,el ministro Dictamen del consejo de Estado. de Marina. Al mismo tiempo la fl tilla disparó algunos ca­ En la sesión del consejo de Esrado , celebrada ñonazos contra varios boques i…</t>
  </si>
  <si>
    <t>Die</t>
  </si>
  <si>
    <t>rique 20 de junio de 1811. Ei Consejo de Regencia se ha servido conferir en el regimiento de infantería de Navarra, compañías al ayudante y tenientes D. Die­ go Estrada, D. Domingo Notario y D. José Rodríguez, y tenencias á los subtenientes D. Antonio Nieto, D. Juan Veaegas, D. Raiuoa Dieguez, D. Antonio Mena y D. Juan Antoni…</t>
  </si>
  <si>
    <t>Diego</t>
  </si>
  <si>
    <t>uar­ Colomina ( D. Ignacio) , fusilero de nuestra guar­ dia de honor de Granada. dia real. Alooso (D. Josef), sargento de húsares de nuestra Collado (D. Diego), tirador del regimiento de guardia real. Toledo, 2.0 de infauteiía de línea. Aivarez (D. Anselmo), sargento segando del re­ Cnbells ( D. Tadeo), capitap agregado at es…</t>
  </si>
  <si>
    <t>Gaceta de Madrid n.º 210</t>
  </si>
  <si>
    <t>ondenar Ja trage­ adelantamientos. Entre tanto diré que s&lt; □ dignos dia , y para probar al público que se había equi­ de alabanza el razonamiento que D. Diego hace ai vocado completamente; por fortuna que la auto­ Re¡ en favor de su hijo en la escena octava del se­ ridad de EL'chelicu uo llegaba á tanto, tía vano ar­ gundo ac…</t>
  </si>
  <si>
    <t>1299</t>
  </si>
  <si>
    <t>eron nuestras tro— Nombramos para comandante de este batallón »pas, y del orden coa que executarou sa retirada, á D. Cristóbal Solít; para ayudaut* á D. Diego</t>
  </si>
  <si>
    <t>anuel), comandante de batallón de corona. artillería, y director de la fundición de Sevilla. Altuna (D. Josef Ignacio de), secretario general Sande ( D. Diego ) , capitán de infantería de línea. de la prefectura de Granada. San Vicente ( O. Ignacio), capitán de escopete­ Alvatez ( D. Francisco), sargento segundo del re­ ros ,…</t>
  </si>
  <si>
    <t>mpezaron á sonrosarse hasta que se pusié- gurón de D. Agustin Moreto en tres actos titulada el 'ron encendidas; sus ojos adquirieron una viveza lindo D. Diego, en la que hará el figurón el señor An­ extraordinaria; su pulso estaba agitado; su respi­ tonio Ponce-, y el sainete el Renegado. EN LA IMPRENTA REAL.</t>
  </si>
  <si>
    <t>te de la noche, se eje­ Gutiérrez abanderado. cutará la comedia de figurón en tres actos titulada El Asimismo quedan nombrados para capitanes y lindo D. Diego, y el sainete Casada, viuda y soltera. oficiales de las tres compañías : En el de la Cruz, á las quatro de la tarde, se'exeCapitanes. cutará la comedia de magia trágico…</t>
  </si>
  <si>
    <t>Granada , vacante por Olías, vacante por promoción de D. Bernardo muerte'de D. Josef Alcover Higueras, al presbí­ Ramón Clavero al de los Ojijares, á D. Diego tero D. Vicente García. Coimeras, diácono. Para el del Salar, vacante por promoción de Para el de Huetor Tajar, vacante por muerte D. Gaspar Juan Comino á un beneficio …</t>
  </si>
  <si>
    <t>Diego, Gerónimo</t>
  </si>
  <si>
    <t>Gerónimo Diego</t>
  </si>
  <si>
    <t>dad del Rei. Capitanes. Ljs notirias particulares de Wiudsor aseguran D. Antonio Brihuega y Morales. que la recaída que ha tenido S. M. á mediados de D. Gerónimo Diego. la semana última, ha sido originada de un paseo de­ D Cristóbal Peña. masiado ,-gitado y de muchas horas que dio S. M. D. Rafael Barragan Cañas. por el parque…</t>
  </si>
  <si>
    <t>Dieguez, Raiuoa</t>
  </si>
  <si>
    <t>Raiuoa Dieguez</t>
  </si>
  <si>
    <t>al ayudante y tenientes D. Die­ go Estrada, D. Domingo Notario y D. José Rodríguez, y tenencias á los subtenientes D. Antonio Nieto, D. Juan Veaegas, D. Raiuoa Dieguez, D. Antonio Mena y D. Juan Antonio Pardo; y en el del infante D. Carlos, en el segundo exército, subtenencia á D. Esteban Falcon. Igualmente ha concedido S. A.…</t>
  </si>
  <si>
    <t>Diericke</t>
  </si>
  <si>
    <t>reflexiones que ha cantado un Te De tan. S. M. ha vuelto á pie al se hacen sobre la devastación del Portugal, con el palacio, donde el señor teniente general Diericke designio de impedir los progresos de Massena; por­ le ha presentado los nuevos caballeros; y después que en la actualidad se Sabe que este expedíeute S. M. ha p…</t>
  </si>
  <si>
    <t>Diest</t>
  </si>
  <si>
    <t>Gaceta de Madrid n.º 57</t>
  </si>
  <si>
    <t>228</t>
  </si>
  <si>
    <t>Í5 DE FEBHF.RO DB l8ll. preciso tener su patente de médico, y el título de doc­ tor costaba entonces mas de 69 francos. Un antiguo médico, llamado el doctor Diest , ha­ Curso de los cambios. bia dexado á 1¿ facultad fondos suficientes para dispen­ sar cada dos años una licencia ó título gratuito al estu­ JO Hs. 6 0 cls. o Hf.…</t>
  </si>
  <si>
    <t>Diesté</t>
  </si>
  <si>
    <t>como por la reunión y aproxima­ ción de las tropas de Rigin.es. Tomó, pues, el partido de retirarse en 2 columnas con dirección á Arco» y Medina. Di capitán Diesté elogia el valor y serenidad de la guarnición, cuyo;* oficiales y tropa se distinguieron á porfia. Di mariscal de campo D. Antonio Reginas de ios Ríos, con fe­ cha …</t>
  </si>
  <si>
    <t>Dieste, Juan</t>
  </si>
  <si>
    <t>Juan Dieste</t>
  </si>
  <si>
    <t>do teniente del primer batallón de guardias v alonar,: capitán I). Manuel María Vanherk y D. Rafael Valcarcel, alféreces de id.; I). Luía Postillón y D. Juan Dieste , tenientes de voluntarios de la Patria: D. Antonio A malte , subteniente de imperiales de Toledo : D. Francisco Oliver y T&gt; %T■ i), ene as Salazar , capitanes de…</t>
  </si>
  <si>
    <t>Dietriehs</t>
  </si>
  <si>
    <t>sshof blico de su satisfacción al burgomaestre de Cons­ y en Prcsburgo. tanza Antonio Burkart, por la actividad y el zeJo Esta mañana ha celebrado el conde Dietriehs- que ha manifestado en extender y perfeccionar en ein, gran mariscal de los estados de Austria, la el círculo del Lago el caluyo del tabaco, del lúpu­ primera as…</t>
  </si>
  <si>
    <t>Diez, Antonio</t>
  </si>
  <si>
    <t>Antonio Diez</t>
  </si>
  <si>
    <t>00. D. Ma3uu-[ Salceda, 200. D. José Candido Sánchez , 300. D. Juan García , 200. Don Dionisio de Hoyos, ‘’OO. D. Pantaleoa y D. Severo Merino , 240. D. Antonio Diez riel Olmo, 200. D. Antonio Diaz Tagle, 160. D. Antonio González de Columbres, 160. D. José Antonio de la forre , 120. D. Antonio García Tcraa, 120. D. Pedro de T…</t>
  </si>
  <si>
    <t>Diez, José</t>
  </si>
  <si>
    <t>José Diez</t>
  </si>
  <si>
    <t>, 1000. D.Juaa . Xovato , 500. JD. Tomas Ravina, ¿00. D. Luis de Gárgol lo, 1000.1). Fernán*dp.de Gárgol ío, 200. ÍJ. Dionisio Garda de Ugaríc ,800. D. José Diez ím* ' bfeelits , 1Ó0: D. Juan Autopio Carozo , &lt;&gt;00.IX Juan Antonio’ Llórente , 1000. Sres. Olasaguilia é Inara, 1000. J&gt;. Pedro Antonio de Aguinre , Diputado en Cóv…</t>
  </si>
  <si>
    <t>Diez, Miguel</t>
  </si>
  <si>
    <t>Miguel Diez</t>
  </si>
  <si>
    <t>a; el de subte­ niente de bandera á 1). Juan Maceda. . Ei el batallón de infantería ligera de voluntarios de ía Victo­ ria : los de caoitan primero á D. Miguel Diez, D. ‘Miguel A rióla y D. Joaquín Rodríguez; el de primer ayudante á D. Miguel Me­ ra; los de capitán segundo á D. Mariano Ó diana, D. Juan Csvallos, D. Juan Verga…</t>
  </si>
  <si>
    <t>Digeón</t>
  </si>
  <si>
    <t>470</t>
  </si>
  <si>
    <t>nde estaba el núm. 2 de juramentados, consistente en 150 plazas. Del 19. El gobernador dé Córdoba Godinot ha llegado hoy , y le sucede en su mando el general Digeón. L-jS fuerzas de aquella ciudad el dia 15 eran 870 infantes, habiéndose reunido las tropas qué había desde la Carolina para salir 300 hombres con. Morder. El rey …</t>
  </si>
  <si>
    <t>Digeon</t>
  </si>
  <si>
    <t>os del depósito. Esta co botín, llevándose 2© moros cautivos y 1700 j copia se halla en poder del señor gobernador gene- cristianos rescatados. | ral barón Digeon , y para colocar al margen de ella Se apodera de ella Alonso vn en 1146; mas no j una noticia cronológica de Córdoba se ha dispnes- la puede conservar, y la entrega…</t>
  </si>
  <si>
    <t>Dilabre, Benito</t>
  </si>
  <si>
    <t>Benito Dilabre</t>
  </si>
  <si>
    <t>9905 rs. vn. contra reales provisio­ nes , que no ha sido pagada, y estaba coraprehendida en la suma , ex­ presada allí ,de 98322 rs. vn , 88416. De D. Benito Dilabre, 40. Del Sr. D. Víctor Soret, tesorero general del rey 13o, 500 Baxo las iniciales; N. N., h D. Ignacio María de Alaba, en pitan ge? jera! de De la Exorna. Sra.…</t>
  </si>
  <si>
    <t>Dilk</t>
  </si>
  <si>
    <t>87</t>
  </si>
  <si>
    <t>tallón........... lt Teniente. miento de guar­ Regimiento'28.0 de infante-Ci Capitán. dias , edecán del ría, primer batallón........... 13 Tenientes. general Dilk.es. Regimiento 82.° de infante­ Total de oficiales heridos lev. 25 , ría , segundo batallón......... 1 Teniente. Regimiento 95.® de infante- Ci Teniente coronel. ' …</t>
  </si>
  <si>
    <t>Dilkes</t>
  </si>
  <si>
    <t>s número 20, sé empeñaban e n los tiradores enemigos dé lá izquierda. A la subida dé la altura , el enemigo ufano ya con su posición, encontró con el general Dilkes. EL combate fué obstinado y smgriento. Nada pudo al­ terar sin embargo la firmeza de las tropas blancas; y la división del general Rufin fué arrojada á bayonetazo…</t>
  </si>
  <si>
    <t>Dimi, Miguel</t>
  </si>
  <si>
    <t>Miguel Dimi</t>
  </si>
  <si>
    <t>emigos intentaron apode­ rar ¡?e de tos ohuecs, pe? o ‘a metralla dí estos, el fuego de los graneo.eros y v in lores al mando del capotan de IIiberia D. Miguel Dimi­ te , y la fr.sil iía y artillería del Olivo, obligaron á los francesas á refugiáis á sus parapetos con mucha pérdida. Tuvimos en esta oca­ sión un oficial y 4 so…</t>
  </si>
  <si>
    <t>Dimian, Cosme</t>
  </si>
  <si>
    <t>Cosme Dimian</t>
  </si>
  <si>
    <t>la, 200. El P, Fr. Vicente de la Peña ft nombre del convento de religiosas de Sta. Catalina dé Sena de aquella capital, 500. D. Santiago Goitia, 100. D. Cosme Dimian, gobernador de la parcialidad de S. Pabb» Tepemaxalco , D. Bernardiuo de la Cruz , los de­ mas gobernadores que han sido , los alcaldes , república y común de na…</t>
  </si>
  <si>
    <t>Dio</t>
  </si>
  <si>
    <t>calidad de general Ginova 20 de mayo. co aere. (The Morning advertiste.) Las fragatas uc S. M. Amelia y Adriana han "Kan deseu bireado en Pumonth el general Dio entrado en este puerto de vuelta de su «¡age á kes, el coronel Nheadi, el coronel Anson y 500 Argel, adonde habían ido para conducir al cóasul hombres del primer regi…</t>
  </si>
  <si>
    <t>Dionisio</t>
  </si>
  <si>
    <t>), sargento de tiradores de nuestra París........ efectivo. 1 5 *5 guardia real. Hamburgo. efectivo. 103 Sepálveda (D. Mariano), grabador. Seudellis (D. Dionisio), cabo de granaderos de Sobre las provincias del reino. nuestra guardia real. d la v. 8 ds. po ds. Sierra (D. Manuel Antonio), teniente de cora de S. Ildefonso de Ma…</t>
  </si>
  <si>
    <t>iano de), nuestro oficial de orde- los cabildos no nombran en el término de ocho día* nanz - un vicario ó un administrador, el derecho de nom­ Voljo (D. Dionisio), granadero del regimiento brar pasa por devolución al obispo sufragáneo mas Rea' Extrangero. antiguo, si la&lt; iglesia es metropolitana; al metro­ art. 11. Nuestros g…</t>
  </si>
  <si>
    <t>Dirmagnac</t>
  </si>
  <si>
    <t>an varíes empleados y efectos de su.exército.-^-Eimismo diase han recibido caitas de Soult instando" siempre por. socorros. El 24 se ha sabido que el general Dirmagnac, desunes de haber recibido refuerzos, ha avanzado hácla Cuenca con 3000 hombres, y es regular que también haga movimiento el general Gay desde Guadalaxara, así…</t>
  </si>
  <si>
    <t>Diza, Pedro</t>
  </si>
  <si>
    <t>Pedro Diza</t>
  </si>
  <si>
    <t>Bernardo Rivera, tenieate de la rnk&amp;m, el espitan graduado de teniente coronel D. Francisco Eút?an, ei cspititn de ia segunda de granaderos de Ausona D. Pedro Diza, el. subte atente de tiradores de Cataluña D. Nicolás Vitar y M.¿s. — Merecen una recompensa particular, el tirador de húsares de Cataluña Francisco Marios, que po…</t>
  </si>
  <si>
    <t>Dnbskl</t>
  </si>
  <si>
    <t>Gaceta de Madrid n.º 310</t>
  </si>
  <si>
    <t>de la nueva, la tura de la nueva dieta, y en seguida se procedió ¡mág?n milagrosa de nuestra Señora de Casan. Se á la elección de ana diputación. £1 conde Dnbskl observa con complacencia qoe no se han empleado de Trzebomislitz, que fue nombrado primer comi­ en este edificio mas que materiales de Rusia, tra­ sario, entregó, de…</t>
  </si>
  <si>
    <t>Dnigenan</t>
  </si>
  <si>
    <t>qna- tas veces, y yo he Tenido tantas ocasiones de ma­ tro millones; pero esto es ageno de verdad. El nifestarle mi opinión sobre este punto, que no doctor Dnigenan asegura, que según los encabe­ creo necesario repetir lo que ya tantas veces se ha zamientos mas exactos la población de la Irlanda dicho. Los defensores de las p…</t>
  </si>
  <si>
    <t>Dnpeircux</t>
  </si>
  <si>
    <t>Krnse, quien tantes del pai», i quienes causaba mil vczacionet le mató 150 hombres, y le cogió 20 cazones de robándoles qaanto tenían. cartuchos. £1 coronel Dnpeircux fae el 4 de abril á Mo­ La actividad del señor barón de Kruse merece rdía con 600 hombres del regimiento 11 j alli los mayores elogios. tuvo noticia de que 1500…</t>
  </si>
  <si>
    <t>do Conirérás, Juan Scnen</t>
  </si>
  <si>
    <t>Juan Scnen do Conirérás</t>
  </si>
  <si>
    <t>.3 no_ volvieron á parecer mas por aquella parte-”- ’ (Se conibmará). Tarragona .30 de mayo, jParte que con cria ficha dirige el ¡naris* tal de campo D. Juan Scnen do Conirérás al -generai en syje-,,Eí coronel Q. Edmundo O-Rví an oue se ofreció &amp; tomar el fuerte del Oi-iva, que los enemigos oóupai©a anoche, salió en efecto co…</t>
  </si>
  <si>
    <t>do Eixalá, Juan</t>
  </si>
  <si>
    <t>Juan do Eixalá</t>
  </si>
  <si>
    <t>615 miga,' quedátoñ levemente heridos el teniente D. Juan do Eixalá, el tambor y 4 tiradores : mas e! enemigo, á mas de Les nauerios y prisioneros arriba expresados , tuvo raucMsimos heridos y algunos de gn V ídad. — No puedo menos de recomendar * Y. E. el</t>
  </si>
  <si>
    <t>do Haces, Manuel</t>
  </si>
  <si>
    <t>Manuel do Haces</t>
  </si>
  <si>
    <t>el el» dragones de Granula, comandancia de escuadren i D. Gívro Meceses, comandar.te de! extimraido escuadrón de cazadores de? Hur­ gas ; tenencias « D. Manuel do Haces, D. Roque Tesantes y D. J.**n M ateo, tenientes del mismo «gcnarlton; 'y empleos de a&amp;rez á ios du la propia dase y cuerpo D. Jcaqmn Girar, D'.Jtafael Marín C…</t>
  </si>
  <si>
    <t>do Herrera, Joaquín</t>
  </si>
  <si>
    <t>Joaquín do Herrera</t>
  </si>
  <si>
    <t>o en 5 comisos, y que ha cedido par . las atenciones, de la guerra, .519 - y 5 rs. El monasterio do.ibta. Clara , á cuerna de su oferta, 1301 y 3 rs. D. Joaquín do Herrera, alcalde ordina­ rio, por el prest de 6 soldados en 9 meses, 486. D. Juan Montaivo , por el de 6 sol-:lados en 7 meses, 378. D. José X.enes , por el do. 3 …</t>
  </si>
  <si>
    <t>do M'n, Gabriel</t>
  </si>
  <si>
    <t>Gabriel do M'n</t>
  </si>
  <si>
    <t>a dirección. Nuestro señor guarde ;á V, E. maches sftos. •San-_ fíll su 54 de octubre &lt;-&gt; 1811.— Exorno. S?.— Francisco Espoz y Mi,k&lt;z.— Ks."rcc. Sr. D. Gabriel do M'n&gt;itofeoV* Valencia de Alca'¡tara 22 de noziembre. E¿ 15 del corriente llega­ ron á este cuartel geno ral 5 cañones, un ebus y 4 car&gt;os de moni--., ciones que ee…</t>
  </si>
  <si>
    <t>do Oña, Francisco</t>
  </si>
  <si>
    <t>Francisco do Oña</t>
  </si>
  <si>
    <t>656 En el regimiento de infantería, primero de Burgos, Ira conferido el Consejo de Regencia compañías á los tenientes D. Francisco do Oña, D. Domingo Ace vedo, D. Juan Recio, D. Antonio Hida'go y D. José Soldes, y al ayudante D. Valentín Alegre; ayudan tí i al teniente D Joaquín Henriquez ; tenencias í los subtenientes D. J *</t>
  </si>
  <si>
    <t>do Rubia, Fernan</t>
  </si>
  <si>
    <t>Fernan do Rubia</t>
  </si>
  <si>
    <t>tarios de Sa&amp;iirgo y cazadores clel R y, como también d* Iss col o can as de gVBr.ade.rcs y cazadores de! expresado exérciío, á D. Felipe Sitavecka , D. Fernan­ do Rubia, D. Francisco Bilarmt y D. Salvador Valencia. lía los cuerpos do voluntarios distinguidos de Cádiz so ha servi­ do el Concejo de Regencia conferir ks empleos…</t>
  </si>
  <si>
    <t>do Wilhaugbi, Hamelin</t>
  </si>
  <si>
    <t>Hamelin do Wilhaugbi</t>
  </si>
  <si>
    <t>a Lambers, comandante de la Ifigenia. tarde me a visó el prefecto colonial que el viento Curtís, comandante de la Magica. contrario había impedido al capitán Hamelin do­ Wilhaugbi, comand-nte de la Nereida, que blar la isla y venir al sitio que yo le había señala­ ha perdido ur&gt; ojo en el combate del 2"?, y que sa do ; aunque…</t>
  </si>
  <si>
    <t>Dobernet</t>
  </si>
  <si>
    <t>s bii.idis y aclamaciones. consagra todos sus desvelos y roda su existencia. Por la tarde se executó una corrida de novi­ Concluida ia misa, el señor barón Dobernet llos, en que el pueblo se divirtió sobremanera , co­ leyó ai clero un excelente discurso dirigdo á que mo que es su fiesta f.vorira. A las ocho de la no­ continua…</t>
  </si>
  <si>
    <t>Dobourdieu</t>
  </si>
  <si>
    <t>705</t>
  </si>
  <si>
    <t>o. El conmodoro líos t, comandante de la di­ visión de fragatas inglesas del Adriático que el 13 de marzo venció y destruyó 1, francesa del mando dei capitán Dobourdieu (1), dió parte el 15 del mismo de que sabiendo que la tripulación de ia fra­ gata comandanta francesa Favorita había abandonado su buque y retiradose á Lissa,…</t>
  </si>
  <si>
    <t>Dofufull, Próspero</t>
  </si>
  <si>
    <t>Próspero Dofufull</t>
  </si>
  <si>
    <t>Molefc, idem , 1000. D. Segismundo Moret, ídem , 1000. D. Juan Serra , ídem, 1000. i). Francisco Piycl, ídem , 1000. D. Pablo de Goniis, ídem , 600. D. Próspero Dofufull, 200. Sres. Xiques, Cruz y compañía, ídem, 801). X). Diego DuíR cónsul de S, M. B., 10000, Conde d-* Maulé , 4-00. 1). Juan P&amp;’an , 500. Don Juan Pión , 1.00…</t>
  </si>
  <si>
    <t>Doile</t>
  </si>
  <si>
    <t>Gaceta de Madrid n.º 311</t>
  </si>
  <si>
    <t>de la fortuna rias fragatas, y muchas lanchas cañoneras , y otras «y el poderío decantado de Bonaparte , las cortes embarcaciones de vela y reino. El general Doile »españobs habrán llenado dignamente las altas recibió ayer pliegos del gobierno en que le dice to­ «funciones á que han sido convocadas, si asegu— do esto, mandánd…</t>
  </si>
  <si>
    <t>Dokjero</t>
  </si>
  <si>
    <t>, te ba retira* haciendas de Livonia. El príncipe de Gortschekoíf do del servicio m¡litar,y le ba nombrado conte» y el general Saken, como también el general Dokjero de Estado. torlf, tienen gobiernos en lo interior. La muerto Ei rice-almirante Pusroichklin, comandante de ha arrebatado al'general Kamenski, qué se ha dis­ la e…</t>
  </si>
  <si>
    <t>Dolgorouki</t>
  </si>
  <si>
    <t>estro Señor, de Ñapóles S de setiembre. obedecer á sus gefes, y de no separarse de sus Hace algunos dias que ha llegado á esta capi­ banderas. tal el príncipe Dolgorouki, embaxador de S. M. Madrid jo de octubre. el Emperador de Rusia cerca del Rei d# Ñapóles. S. M. ha celebrado hoi consejo general de Estado. PROVINCIAS 1LIRIC…</t>
  </si>
  <si>
    <t>Dolim</t>
  </si>
  <si>
    <t>ndantes, grandes bailíos y demas gefes superiores por mar y tierra , que Copenhague o de diciembre. tomen las medidas convenientes, cada uno en su El conde Dolim, nuevo ministro de Rusia jurisdicción , y de acuerdo con las demas aurori- cerca die nuestra corte , tuvo ayer su primera au­ dat.'esjtonsiituidas , no solo para que…</t>
  </si>
  <si>
    <t>Dombrowskt</t>
  </si>
  <si>
    <t>Gaceta de Madrid n.º 170</t>
  </si>
  <si>
    <t>oronel príncipe Nicolás de Sapie- y otras han sido eatregadas á la justicia. ha,el qual se distinguió mucho en la última cam­ paña en la división del general Dombrowskt. Sus GRAN DUCADO DE FRANCFORT. haciendas y posesiones están en Volhinia y en las orillas del Dniéster, cerca de Mohiiow. Francfort 1 § de mayo. Según informes…</t>
  </si>
  <si>
    <t>Domenec, Agustín Magi</t>
  </si>
  <si>
    <t>Agustín Magi Domenec</t>
  </si>
  <si>
    <t>1191 tires Lima, D, Jáan Antonio Gil, D. Salvador PJau , D. José Manri£b&gt;, D. Rimon Lanza, D. Agustín Magi Domenec, D. Juan Ma­ nuel Suero y D. Isidro' Parrado; los de subteniente á D. Bernardo Cohniro, D J mn La*o Policarpo, D. Juan Corvera, D. Manuel T-boada, D. Nicolás Pardo, D. Juan Mosquera. D. Man</t>
  </si>
  <si>
    <t>Domin</t>
  </si>
  <si>
    <t>exandro Firpo , 300. D. Pablo Roura, 400. D, Gaspar Remisa, 1000. D. Francisco Díaz, 500. D. Agustín Ciotet, 200. D. Jacinto Alvarez de Pazos , 1000. D. Domin­ go José Cierto , 1000. D. Ramón de barreta, 200. Sres. Gordon Shaw y com­ pañía , 10Ó0. D. Joaquín y D. Juan Casaldaero, 400. D. Pedro Boullcsa y Mii anda, 100. Doña A…</t>
  </si>
  <si>
    <t>aire va­ dea nueva del Codonal, vacante por muerte de rias materias terreas y pedazos de roca, que calan en el D. Sebastian Martin de la Carrera , á D. Domin­ mar y sobrenadaban: salían como de entre las aguas go Ilcrranz, cura de Berinui de Zapardiel. otras rocas negruzcas, de las quales algunas sobresalían Y para el de la d…</t>
  </si>
  <si>
    <t>Mauricio de L -rgacha, D. Jo é Per­ noto , D. José deGaiilenea, D. Esteban S. Miguel, D. José Anto­ nio Romero, D. Ram&amp;n de Larrieta, D. Manuel Sanz, D. Domin­ go Cierto, I). Antonio Vallaría© y D. Sebastian Peñasco; y subte­ nencias á D. Diego Blanco, D. Manuel Miravete, D. Pablo J *¿ica, D. José Camerino, D. Mariano de Migu…</t>
  </si>
  <si>
    <t>Sanz, clérigo de prima. Para el de Regumiel, vacante por promoción Para el de la E'tepa de S. Juan, vacante por de D. Josef Palomar ai de Arévalo, á D. Domin­ muerte de D. Pablo Diaz, al ex-premostratense go Miguel, &lt;x-carmelita descalzo. ; D. Agustín Hiera. Para el de Valderueda, vacante por muerte Para el de Santa María de …</t>
  </si>
  <si>
    <t>Domín, Cristóbal</t>
  </si>
  <si>
    <t>Cristóbal Domín</t>
  </si>
  <si>
    <t>Juan Bautista Chacón, 25. D. Manuel Alcalá, 5..D. Miguel de -Rumayor , 20. D. Toribio Alcalá , 5. D. Nepomuceno Váleles , 8. D. Juan de Aguirre , 10. D. Cristóbal Domín­ guez , 25. D. Francisco Aguirre, 15. D. Pedro Valdes, 10. Eos veci­ nos pobres de toda la jurisdicción , 186 y 5 rs. D. Francisco Pereyra, 50. D. José Lobo y…</t>
  </si>
  <si>
    <t>Domingo</t>
  </si>
  <si>
    <t>t Fotleo (D. Josef), subteniente del regimiento Luna ( D. Domingo ), sargento de húsares de nues­ de cazadores á caballo. tra guardia real. Fraquio (D. Manuel), fiscal de la junta criminal Lianza ( D. Rafael de), capitán de granaderos del extraordinaria d'</t>
  </si>
  <si>
    <t>a de 4 soldados durante la guerra, 378. D. Mariano Arango, 100. El teniente coroné! D. Rafael Móntalvo, por el prest de 2 soldados en 3 me • ses, 36. D. Domingo de la Madrid . subteniente y habilitado del regimiento de la Habana, 4 nombre del subteniente agregado á dicho regimiento Don Vicente Sierra, 22. D. Francisco de Arma…</t>
  </si>
  <si>
    <t>ro; loque se anuncia a¡ público py, ros, bij &gt; legítimo del virtuoso y desgraciado ma­ que todo el que s»a interesado á dicho concurio co-í. gistrado D. Domingo, víctima de un tribunal ene­ curra en el día y hora señalados por sí ó por medio dsus apoderados con poder bastante; baxo de apere!’,;! migo , que aun dominaban las p…</t>
  </si>
  <si>
    <t>idos eo la ahogar su seotimieoto en el vino. Por todas partes milicia cívica de la ciudad de Arcos te oían canciones en loor de los púgiles ingleses. D. Domingo deBeas, mayor , á teniente de la ,,Ya hemos dicho que los principales personagss tercera compañía, vacante desde la creación, de es­ de Inglaterra habian venido á pre…</t>
  </si>
  <si>
    <t>errer, 75. IX Matias Rere/., 50. D. Gaspar Bavi , 50. D- Jaymc Pont, 50. I). Juan Plá , 35 y 5 rs. D. Santiago Parodi, 30. D. Domingo Esiaracbe , 60. D. Domingo íJarcia , 45 y 3 rs. D. Francisco Grana, 52 y 2 D. Pedro "Rumen , 183 y 3. D. Ignacio Tubores , 30. D. Juan. Rosoli, 40. D. Francisco Carreras, 256 y 4. D, José Xavie…</t>
  </si>
  <si>
    <t>6. Juan León , 10 Juan Rodríguez, 20. Martin Fornes, 15. Cristóbal Sala, 11 y 2. Narciso Ño­ ñez , 22 y 4. Antonio Vidal., 20. D. Narciso , D. Tomas, D. Domingo , Don Antomo, Doña María GuadaiupeSy Doña María de la Asunción Perez Guer­ ra, 451 y ó. Francisco Oramas, 20. Guillermo Caumil,'- ISO. José Borras, 10. Atanasio de Va…</t>
  </si>
  <si>
    <t>...................................... 100454 ni Junco.................. .......... ................ 70444 *8 7 por D. Cayetano de la Lana, por sí, 1 D. Domingo. Fernandez del Campo. 18410 32 y en virtud de poder de D. Jo­ I D. Diego Tcnidesiiias, su apoderado sef de Taló...... ................ .......... . D. Gemeuits de Cáb…</t>
  </si>
  <si>
    <t>Domínguez, Josef</t>
  </si>
  <si>
    <t>Josef Domínguez</t>
  </si>
  <si>
    <t>e señores sacerdotes para el próximo año de 1812 se r en­ D. Manuel Barrantes. den en la librería de Barco , carrera de S. Gerónimo. Quarto batallón. D. Josef Domínguez , sargento primero, á sub­ teniente de ¡a quinta compañía, en reemplazo de TEATROS. D. Josef María Abades. D. Eugenio Perez, sargento primero, ¿ aban­ En el d…</t>
  </si>
  <si>
    <t>Domínguez, Temas García</t>
  </si>
  <si>
    <t>Temas García Domínguez</t>
  </si>
  <si>
    <t>teniente , á capitán de la se­ Córdoba.................... efectivo. | 2 gunda compañía, en reemplazo del marques de Efectos públicos. Campo Vi lar. D. Temas García Domínguez, teniente, A ca- Vales reales......................................... 93a Cédulas hipotecarías.............................. 94? itan de la quinta comp…</t>
  </si>
  <si>
    <t>Dominj</t>
  </si>
  <si>
    <t>millones. 3 por 1 D. Juan Estéban de Trido........... 576 Certificaciones. ' 3 por 13 El marques de Salinas, como po■ seedor de los mayorazgos de Or2 D. Dominj’w Josef tle Casas............... 23803 9 tiz y Megretc............. .................. • 2 D.-Jcsrí Baidan..................................... *34*3 2 i • 3Í49 H| por…</t>
  </si>
  <si>
    <t>Domint</t>
  </si>
  <si>
    <t>.................... üúo D. Juan Juárez, natural drl botillo de Labrada, EX-TR INI r ARIOS IIFS. ALZOS. provincia de Toledo , residente en su pueblo, D. Domint;o M aiiinez ilcOrdoñcz, natuial de Ma­ por......................................................................... 12 00 drid, residente en Toledo, por...............…</t>
  </si>
  <si>
    <t>Don</t>
  </si>
  <si>
    <t>ería emboscada. Nuestra pérdida no ha sido proporcionada al número de horas de combate y tesón de los combatientes , pero ha sido muy sensible la del teniente coronel Don «íoaquin de Mera.—Al coronel conde de Penne- Villemur, comandan­ te general de la vanguardia , se le debe, por su inteligencia en las diferentes maniobras d…</t>
  </si>
  <si>
    <t>n mitentes , compuesta de 1300 excmplares en papel, ta­ al fuego en una sartén se cubren de vextgaillas, y sado cada uno en quatro reales y medio, su autor Don después revientan ; toman luego un color roxizo Antonio Fernandez, cirujano en esta corte; y se ha obscuro, y en seguida un color casi negro, causa­ vuelto i señalar p…</t>
  </si>
  <si>
    <t>1023</t>
  </si>
  <si>
    <t>ha servido conferir ea el estado ma­ yor d-A ios reales exércitos, íes emplees de ayudante primero á Dan Luis L&amp;sidáburu, y de ayudantes segundos ai teniente coronel Don</t>
  </si>
  <si>
    <t>1183</t>
  </si>
  <si>
    <t>con toda malicia , sepan que la España Cádiz 4 de setiembre. europea es libre é independiente; que necesitan 'abso­ En la sesión de cortes de ayer el diputado Don lutamente de su protección para oponerse á los proyec­ Josef Martínez propuso que á todas las letras de tos del gabinete británico; que sin ella no pueden pros­ cam…</t>
  </si>
  <si>
    <t>las noches son brLos estados de Jersei han sido convocados para gas, y quando por el temporal se hayan visto pre­ el día de hoi, y S. E. el teniente general Don les cisados á retirarse de la costa nuestros buques de ha comunicado una carta del secretario de Estado, guerra apostados delante de Cherburgo.” en que le anuncia que…</t>
  </si>
  <si>
    <t>el cumplimiento de este de­ Para el de Mecina de Bonbaroo, vacante por creto. = Firmado= YO EL REI.rrPorS. M., el muerte de D. Josef de la Cerda , al presbítero Don ministro secretario de £stado=Firmado = ManaAntonio Lao. no Luis de Urquijo.” Para el de S. Miguel de Granada, vacante por promoción de D. Antonio Rubio al'%^. Lu…</t>
  </si>
  <si>
    <t>Doñas, Francesco</t>
  </si>
  <si>
    <t>Francesco Doñas</t>
  </si>
  <si>
    <t>En el regimiento de infantería de L?on: ayudantía á D. Santiago fritaron: cías á D. Santiago la Rejilla, D. Itadro del Yerro, IX Víctor R.?strebada y D. Francesco Doñas; subtenencias á Do» Miguel Villar, D. Sautiaíro Nryra, D. Ignacio Barros, D. José 1^ í~lo T-oloiTW^ - Antonio Sonto, D. Juan Garmon , D. Juan García y F ~ o*u…</t>
  </si>
  <si>
    <t>DoneH, Cádes O</t>
  </si>
  <si>
    <t>Cádes O DoneH</t>
  </si>
  <si>
    <t>nsistió en un muerto, algunos malamente heridos , y 8 caba­ llos muertos. Con f *ch9s del 9 y 10 ds este m**3 ha dirigido el genera! en g fe interino D. Cádes O DoneH dos oficios á la janta superior de .este rey no, que sustasci&amp;lmente dicen lo que sigue: 44 En la noche del 6 se adelantó, de orden del general en ge fe, el mar…</t>
  </si>
  <si>
    <t>Donell, Cárlos O</t>
  </si>
  <si>
    <t>Cárlos O Donell</t>
  </si>
  <si>
    <t>segando exército. Orden general del a a. “ Entregado el ma do militar y político de es­ te re y no que interinamente he exercido, a marital de campo D. Cárlos O Donell, nombrado por S. A. capí tan general interino del mismo, previdente de su real audiencia y general e¿. g. fe u terino del segundo ixérdto; debo yo pasar ámi an…</t>
  </si>
  <si>
    <t>Donná</t>
  </si>
  <si>
    <t>... . 500 art. v. Los capellanes del exército y armada, El señor marques de Casa P..lacios y como igualmente los de las plazas y fortalezas, el señor general Donná mensual men­ dependerán de los diocesanos en todo lo relativo te................... 400 al exercicio de su ministerio, y obtendrán de los El mayor, gefe y señores …</t>
  </si>
  <si>
    <t>Donnell, José O</t>
  </si>
  <si>
    <t>José O Donnell</t>
  </si>
  <si>
    <t>915</t>
  </si>
  <si>
    <t>el mariscal de campo D. Am­ brosio, de la Ciad; a ea Pozoha^con, y que habla mandado pálir con la cuarta del cuarto exérciío al gefe del estado mayor D. José O Donnell para que en unión ó combinación con él atacase al enemigo é ímpiditse su movimiento, añadiendo que solo ssbia que el resultado no fué feliz, pues che:* se habí…</t>
  </si>
  <si>
    <t>Donnell, O</t>
  </si>
  <si>
    <t>O Donnell</t>
  </si>
  <si>
    <t>á HuercalO vera, á Patpi, .á Aguilas, y una legua-dates de llegar apareció un -paisano,' dando aviso de que.había 500 dragones enemigos. Me llamó el general O Donnell, y quiso - sabe?, mi opinión, que era lo mismo q-u&lt;? la suya, de atacarlos, y abrirnos paso i balazos, lo que se verifi có , disponiendo 4 columnas , dos da o a…</t>
  </si>
  <si>
    <t>Donóte, Manuel</t>
  </si>
  <si>
    <t>Manuel Donóte</t>
  </si>
  <si>
    <t>estando, pata desprecio é indignación del pueblo Para el de Bmquistar, vacante por fallecimiento ingles, el nombre y domicilio de los infames, que de D. Manuel Donóte, al presbítero ex-agustiuo sin duda con patente y privilegio del gabinate de descalzo D. Fernando María Portilla. Londres, roban y ahogan á los infelices, qne h…</t>
  </si>
  <si>
    <t>Donoy, Carlos</t>
  </si>
  <si>
    <t>Carlos Donoy</t>
  </si>
  <si>
    <t>715</t>
  </si>
  <si>
    <t>o ía luna. La derecha iba al cargo del mariscal de campo D. Joan de la Cruz Mocrgcon , y la izquierda al del brigadier • de reales guardÍEs. w ilenas D. Carlos Donoy : y en el ínterin que esto ee realizaba, al guna infantería pasó el rio Tinto, para hacer un ataque falso por la parte de levante de la fortaleza. ' Las tropas a…</t>
  </si>
  <si>
    <t>Doogt</t>
  </si>
  <si>
    <t>identales están cu­ narca, de 74, capitán Lee;el Vanguard, de 74, biertos ds corsarios franceses. Su sistema es «rger capitán Llin; la Belena, de 74, capitán Doogt .s; todo lo qce tiene algún valor de los b-reos que «1 Marte, de 74, capitán Rapper; el Nerge, de apresan, y después quemarlos ó regalarlos a la tri­ 74, espitan R…</t>
  </si>
  <si>
    <t>Doraal, Dicgs</t>
  </si>
  <si>
    <t>Dicgs Doraal</t>
  </si>
  <si>
    <t>Yerazít, del mismo escuadre-*.; graduado de tarde.:. U, y D Jo­ sé Liki-ie, del de cazadores de E*p¿iñ%; captesa do o.y‘H:í:z á ¿03 de h-propia claí^ D. Dicgs Doraal, í*grítgaíia ai mumo do ITL-hqí!^, D G.-íó ímo Lugo, del da U:r¿-ra, 7 D. Lt.uo.izo Sonsa; y Ci^ploo ¿o port^^íeteadaste á D. M^aut-1 da M-;na , ca­ dete úal do …</t>
  </si>
  <si>
    <t>Dorsann</t>
  </si>
  <si>
    <t>uestras disposiciones pamel csco cloque d gpnoi&amp;i bri­ tánico quisiese hacer una diversión, y volviese sobre Badajoz; pero de Galicia. — Luego que el general Dorsann® supo esto, rv.&amp;scl»6 sobro Asíorga , batió ¿los gallegos , los disparré hasta mas »ríl$ de Yitl&amp;franca, que este mov ra&amp;nc*; pero se maatuvieron insensibles ¿ e…</t>
  </si>
  <si>
    <t>Dorsennc</t>
  </si>
  <si>
    <t>íganlo los heridos franceses abandonados , sus repuestos co­ gidos , el águila imneviai suspendida en la capilla de Santiago. Prescindi­ mos de si el general Dorsennc se habla propuesto mas objeto q?e el de.des­ organizar el exército de Galicia : los dos obuses de á 8 y los dos cañones de á 12 que conducía , indican designios…</t>
  </si>
  <si>
    <t>Dorsenne</t>
  </si>
  <si>
    <t>iones, con que reciben á S. M. los habi­ dad , habiendo salido á recibirle el general gober­ tantes de los pueblos del tránsito , y de aquellos nador conde Dorsenne, el estado mayor de su exér- en que pernocta , y el ansia con que sup.ican el cito, y una lucida rficialidad francesa y española. pronto regreso de su Rkl, excita…</t>
  </si>
  <si>
    <t>Gaceta de Madrid n.º 194</t>
  </si>
  <si>
    <t>r satisfacción á los especta­ previsto su fin próximo. Este Soberano ha reinado dores. por espacio de 65 años; de manera que era el de­ Ayer el señor conde Dorsenne dio un banque­ cano de los príncipes de ia Alemania. La Europa te con motivo de la llegada del REI, y la guar­ sabe bien la prudencia con que en todo este largo d…</t>
  </si>
  <si>
    <t>ia. — Aguardo la decisión que V. E. se-digne dar sobre el contenido de la presente. — Pido á Y. E. acepte el lio raen age de mi probando respeto — El conde Dorsenne. Del mismo al mismo. Burgos 9 de julio de 1811.—- A S. E. el mariscal duque de Is • tria.—Monseñor í tengo la honra de dar cuenta a Y- 2. de que Mina ha entrado e…</t>
  </si>
  <si>
    <t>ís en que se Jaan establecido. — Tendré el honor de informar á V. E. del ¡resultado de la expedición, y le pido se sírva aceptar el homenage &amp;c. — El conde Dorsenne. Buques que han recogido correspondencia en la administración de correos de Cádiz durante la semana finalizada en 24 del corriente, Para Montevideo: fragata San t…</t>
  </si>
  <si>
    <t>de su alma. De con­ Valladolid g de setiembre. siguiente , y en conformidad del piadoso y anti­ guo qso de la iglesia de Francia , teDgo el honor El conde Dorsenne, general en gefe dei exér­ de ii.vir ros á que adoptéis un pensamiento tan' cito del norte, da .parte al REI nuestro Señor de santo y tan saludable, mandando que e…</t>
  </si>
  <si>
    <t>102</t>
  </si>
  <si>
    <t>102$ El conde Dorsenne ordenó al general Bonnet todas las naciones tributarias y sujetas al imperio, tie­ que Je siguiese el ¿¡canee con dos brigadas de in­ ne precisión de recurrir y presentarse en Belcn, co­ fantería y 6co caballo»: te encontró situado en las mo descendiente de la casa</t>
  </si>
  <si>
    <t>1169</t>
  </si>
  <si>
    <t>A REGENCIA DE ESPAÑA É INDIAS DEL MARTES 29 DE OCTUBRE DE 1811. ESPAÑA. Madrid 14 de setiembre. El 9 por la tarde entró un correo despa­ chado por el general Dorsenne, participando desde Vallado-id con fecha del 7, que temeroso de ser cortado por las tropas del general Silvcyra, se había visto precifatlo á retroceder en dilig…</t>
  </si>
  <si>
    <t>contrarias al orden y á la subordina­ te en gefe del exército de Por'ugal, y el señor general ción debida á las autoridades legítimas. En seguida to­ conde Dorsenne , comandante en gefe del exército dfcl mó la palabra el señor Arguelles, y con una energía norte de lis paña, han abastecido de todo lo necesario á laudable ponde…</t>
  </si>
  <si>
    <t>Dorssnne</t>
  </si>
  <si>
    <t>1210</t>
  </si>
  <si>
    <t>Toledo, otra desde Mombeltmn á Piasen* cia, la caballería á la orilla izquierda del Tajo hasta Toledo, y la artillería desde el Carpió á IHescas. El general Dorssnne ocupa con 6000 hombres la línea del Ter­ mes, Avila, Salamanca y Ledesma, en donde se fortifican. — Los hospitales de Salamanca los evacúan, dirigiendo los enfer…</t>
  </si>
  <si>
    <t>1417</t>
  </si>
  <si>
    <t>los .trabajo*: da sucampo-atrincherado--en Fasníe-Gakáldo ral­ ban ya adelantados, y que el tren de sitio habla llegado de Oqdrío. Pupuse entonces al general Dorssnne que se me incorporas* con paite, de a&amp; exército .para .hacer levantar .el sitio de Ciudae-Rodri­ go , abastecerla para mucho tiempo, tomar el-campo atrincherado…</t>
  </si>
  <si>
    <t>Dortoían, Bernardo</t>
  </si>
  <si>
    <t>Bernardo Dortoían</t>
  </si>
  <si>
    <t>Espí­ ritu Santo , 105 y 6 rs. — Nacogdoches; ¡Comandante el. teniente Don José María Guadiana, 60.. £).aSamupLDayimpor, 50. D., Guillermo Bar , 50. D. Bernardo Dortoían, 12. D. ^jr^j^inio^Qiiiriíio.^ 10. D. Jo­ sé Florez, ,10. D. José de la Vega 9x .12. Varios,^pdfyicluos Lo$ vecinos de Bayupier, 27 y 2 rs. Los de la Concepc…</t>
  </si>
  <si>
    <t>dos Epaife, C</t>
  </si>
  <si>
    <t>C dos Epaife</t>
  </si>
  <si>
    <t>ibo á ®aí© úUkao pue­ blo fué cargado peí la caballería- de D. Julián Sánchez, que man* daba él mismo , y tuvieron los ffa nueces que femar d cuadro. D. C¿dos Epaife me participa, que el enemigo sufrió una pérdi­ da considerable, y qm sus trepas consiguieron apoderare# de al­ gún dinero, que ¡os Iraaceses habían refeaáo á los…</t>
  </si>
  <si>
    <t>Dot, Juan</t>
  </si>
  <si>
    <t>Juan Dot</t>
  </si>
  <si>
    <t>ngan nuevas instrucciones de Inglaterra. Ojesto secretario general de la prefectura de San­ Serrnrier ha sabido sin duda quanto ha pasado tander; y á D. Juan Dot, D. Antonio Medrano entre Mr. Forster y Mr. Maddisson, y en lugar y D. I nocencio Estúniga para formar el consejo de limitarse á observar la negociación, él habrá si…</t>
  </si>
  <si>
    <t>Dow</t>
  </si>
  <si>
    <t>osario apresó el 18 del mismo mes delante de Dungeness 2 lugres enemigos de guerra, bie 1 ar­ mados, y tripulados.—El mismo dia la chalupa Realista , capitán Dow-! nié, cogió a s leguas de Fecamp al corsario francés Aventurero de 14 cañones y 50 hombres de tripulación: lo ha conducido á Dea!. Ha arribado á Spithead el navio d…</t>
  </si>
  <si>
    <t>Dowaíe</t>
  </si>
  <si>
    <t>958</t>
  </si>
  <si>
    <t>ue el brigadier D. Pablo Morillo avanzaba .por, la izquierda con las columnas de infantería y caballería que tenia á sus órdenes. £¡n este momento el coronel Dowaíe, comandante dé la dividen extre­ meña, pidió se lo permitiese marchar con la columna de: ataque i ja cabeza de su caballería 5 pero así que ei enemigo conoció est…</t>
  </si>
  <si>
    <t>Dowiiye, Juan</t>
  </si>
  <si>
    <t>Juan Dowiiye</t>
  </si>
  <si>
    <t>1400</t>
  </si>
  <si>
    <t>nir de Castilla. La ma­ yor parte de la escolta que lleva, es de juramentados. Badajoz 2 de enero. Hace pocos dias llegó á esta ciudad el ca­ ballero D. Juan Dowiiye , coronel comandante de la legión extre­ meña que va á levantarse , y constará de 3000 hombres de infantería y caballería. Este generoso ingles , inflamado del m…</t>
  </si>
  <si>
    <t>Downie</t>
  </si>
  <si>
    <t>pas españolas , que rechazó al enemigo. En Extremadura ,’éí destacamento de tropas españolas del mando del brigadier Morillo, reunido á la legión del coronel Downie y á Ip caballería del quinto exército, todo á las órdenes del conde de Penr.e VUlemur, consiguió algunas ventajas en un ataque que h’zo contra un destacamento de …</t>
  </si>
  <si>
    <t>1SI06 áiftmicLoncs: el coronel Downie, que siempre busca las ocasiones detalar á conocer su valor, cargó á la cabeza de su caballería. El capean Hiiiier , al servicio de S. M. B., dió á los demas oficiales de infMitería el mejo</t>
  </si>
  <si>
    <t>Downye</t>
  </si>
  <si>
    <t>tuario y armamento para todo el cuerpo , que ha llegado ya de In­ glaterra á Lisboa. El uniforme es á la española antigua , y con, él se presentó el coronel Downye en el paseo de esta ciudad el 30 del pa­ sado. Antes de ayer entraron 16 prisioneros franceses que fueron sor’prehendidos en el puerto de Perales cori oíros .5 que…</t>
  </si>
  <si>
    <t>Dowríie</t>
  </si>
  <si>
    <t>o á ¿a !íH¿mtcría, para preservarse de las .repetidas cargas d n u ffjtri cana¿ im-: qu e les fué á los alcances hasta legua y media, de Cáoarc-s. E: coronel Dowríie dio el mejor exempío para una tí opa biso-ñ:;, huyéndola servir en este día como la mas veterana y aguer­ rida : á se ! v.kí iln el capitán ing-es Ililler, que m…</t>
  </si>
  <si>
    <t>Doy</t>
  </si>
  <si>
    <t>general Loüg por sus activos y oportunos esfuerzos- .durante ,ei combate, así como p@ar su asistencia efl todas ocasiones.-—Debo también elogiar ¡al brigadier Doy , comandante de la caballería españolá ( por ¿star el conde de Penne enfermo en Villafranca) y .al brigadier general Mariden, comandante de la división portuguesa, …</t>
  </si>
  <si>
    <t>el desembarco en los dos primeros dias por la marejada y oleada? , y en todo tiempo imprac­ ticable el reembarco sin sufrir gran pérdida; y este y el general Doy le opinaron decididamente que en virtud de las circunstancias de ningún modo se hiciese desembarco en la ciudad, per ser inútil para la guarnición, y probablemente d…</t>
  </si>
  <si>
    <t>Droste</t>
  </si>
  <si>
    <t>ARTICULO DE OFICIO. En el regimiento de reales guardias walonas ha concedido el consejo ds Regencia agregación de segundos tenientes á D. Edmun­ do, barón Droste, y á D. Cirios ds Ciery, primeros tenientes que eran del cxércllo austríaco ; y ha concedido asimismo empleo de al­ férez en el propio real cuerpo á D Augusto de Buz…</t>
  </si>
  <si>
    <t>Drouet</t>
  </si>
  <si>
    <t>la casa para interceptar toda horas ya puede haberse reunido al exército de Mascomunicación , y todos los que la habitaban fueron sena el cuerpo del general Drouet, que se compo­ conducidos fuera de la plaza. También ha muerto ne,de 2 j© hombres. Atendidas todas estas circuns­ en !a ciudad un fraile al segundo dia de enferme­…</t>
  </si>
  <si>
    <t>ecirse otro tanto de la de Massena, el qual, mediante este movimiento retrógrado, podrá jun­ PROVINCIAS ILIRICAS. tarse fácilmente con las tropas del general Drouet. Esta comparación nos parece exacta: sio embargo, Trieste 28 de noviembre. aun puede notarse una diferencia entre ambos ca­ sos , y es que en el primero el exérci…</t>
  </si>
  <si>
    <t>mero de franceses enfermos cuesta ciulad no pasa en la actualidad de 8oohonfbres , han muerto en lo que va del mes 430. Las fuerzas que ha reu ido el general Drouet para socorrer á Massena, asc:enden á 2556 cabillos y 8780 infantes en esta forma.— Re­ zagados dei ekértilo francés de Portugal: 1230 caballos de los regimien­ to…</t>
  </si>
  <si>
    <t>el 12 , y una mala de Lisboa coa cartas del 13. Del go. Massena ha recibido por fin los refuerzos que Diario de la salud del Rei. veoian al mando del general Drouet. Estas tropas han venido por el mismo camino que vino Mas- ,, S. M. está como ayer." sena , y como eran soperiores en número á las que El bilí de la regencia se l…</t>
  </si>
  <si>
    <t>la noche del 9. cada día mas serias, y se teme que los dos parti­ Ei enemigo conserva la misma posición; solo dos vendrán por ditimo 4 las manos. el general Drouet se ha trasladado á Leiria, y ha fixardo alli su quarrei general. £ B A VI ERA. El enemigo sigue hacieudo bateos en las ori­ llas del Zexere y del Tajo. * lngolstad…</t>
  </si>
  <si>
    <t>to volveremos ■ de ciencias matemáticas y físicas del instituto de á Torres Vedras y i Vilutrancá, porque tene­ Francia durante el arto 181 o. mos ai general Drouet, que.se ha apoderado de S. M. el Emperador y Reí, que en medio de las Coimbra, en donde ha encontrado grao cantidad ocupaciones y cuidados de! gobierno no quiere …</t>
  </si>
  <si>
    <t>5 c* ñaues, con doc crina á Talayera. El 22 se pidieron á los Gremios 36000 raciones de pan de munición para los dos dias siguientes. E¿ 23 lí?gó el general Drouet con su piaña mayor, 600 infantes y 200 caballos : y á estos siguieron el 24 2600 í 2800 hombres de mfiratexía coa el general Ctaparéele. — Las divirio íes de ambos…</t>
  </si>
  <si>
    <t>al de gendarmes españoles. — Hoy han entrado 80 franceses heridos. Del 3. Avisan desde Almagro que el tercer cuerpo de exérciío f mees mandado por el general Drouet viene á marchas dobles á re­ forzar á Seulí. Quieren decir que consta de 10000 hombres ; pero Ijl ty dates para creer que no llega á la mitad de esta fuerza. Quiz…</t>
  </si>
  <si>
    <t>n el cual se ve claramente que el enemigo quería reunir en Extremadura todas sus fiieizas , y yo tenia razones para creer que el cuerpo del maedo del general Drouet que había salido de Toledo el 28 y 29 de mi yo, y se esperaba en Córdoba el 5 ó 6 del corriente, se habría ya reuni­ do al exércilo del Sur el 10 ; y era opinión …</t>
  </si>
  <si>
    <t>Piasencia, y todo el exército el 10 del corrien­ te. — Wellington. — P. D. Después de escrito este pliego, he reci­ bido parte de que las tropas del general Drouet se reunieron ayer á !a derecha del exército enemigo en Bfrlanga y Azuaga, y otro avi­ so de que su caballería estaba esta mañana en movimiento con di­ rección Á. l…</t>
  </si>
  <si>
    <t>713</t>
  </si>
  <si>
    <t>infantería inglesa á la corte de Peleas. Los enem:go3 el expresado dia 13, en que ya se le había reuni­ do una dlvMon dsi noveno cuerpo del mando del general Drouet y otros 3000 hombres da diferentes puntes de Andalucía, ocuparon con gvtiesas columnas á Zafra y los Santos. E 11 v 13 continuáron las tropas su marcha, quedando …</t>
  </si>
  <si>
    <t>el 28. Una partida de patriotas apresó un correo militar con su escolta de 50 dragones poca mas arriba del cementerio de la. puerta de Tole­ do.,— El general Drouet entró coa 400 infantes’ y SO lanceros po­ lacos én esta villa, donde también se halla Latear Mauhourg. La correspondencia de A .■••el aluda no está muy expedita \…</t>
  </si>
  <si>
    <t>Druet</t>
  </si>
  <si>
    <t>0." dos extraviados. P. jD. ,, Después de escrita esta carta he recibido Destacamentos del primero y segundo batallones de aviso de que el cuerpo del general Druet se ha reuni­ infantería ligera de la legión alemana. Uu soldado muer­ do ayer con la derecha del enemigo en Berlanz.t y to; otro herido. Azuega, y que su cabuücríj…</t>
  </si>
  <si>
    <t>Dsísense</t>
  </si>
  <si>
    <t>esmontados, y unos .500 españoles prisioneros de guerra, escoltados poT 350 franceses. ■— El 16 entraron en la misma ciudad, también para Francia, la condesa Dsísense, ios generales de división BíUiard y Frenen, los dé bri­ gada Aloran, Gírard , Fouraier y Comí*, 16 edecanes de estos,-fino del príncipe Neufchatei con una pier…</t>
  </si>
  <si>
    <t>Duarte, Francisco</t>
  </si>
  <si>
    <t>Francisco Duarte</t>
  </si>
  <si>
    <t>ES. Manuel Bueno , ex-agustino calzado. Para la de Narila á D. Juan Pablo Arias, exHamburgo zS de noviembre. tnercenarió calzado. Para la de Juiles á D. Francisco Duarte, ex­ Los ingleses no cesan de hacer continuamente capuchino. tentativas por acercarse á las costas para desem­ Para la de Conchar á D. Félix Rejón , ex-carba…</t>
  </si>
  <si>
    <t>Duarte, Ignacio</t>
  </si>
  <si>
    <t>Ignacio Duarte</t>
  </si>
  <si>
    <t>iásticos, nombramos; quidos. Para el curato Oc Ca'tilfrio, vacante por muer­ Es de creer que algunas de las personas ricas 6 te de D. Timas Cubóla, á D. Ignacio Duarte, industriosas , de que abunda este departamento, cura de los Villares. establecerá alguna fábrica de añil, siguiendo el mé­ Para el de la colegial de Roa , vac…</t>
  </si>
  <si>
    <t>Duarte, Matías</t>
  </si>
  <si>
    <t>Matías Duarte</t>
  </si>
  <si>
    <t>I). Juan José Iguaran , capitán de la tercera compañía urbana de naturales de Vizcaya y Navarra, por oferta de dicha compañía, 3196 pesos y 4 reales. D. Matías Duarte , 100. D. Ignacio Arnaud de Courbille, oficial segundo da la contaduría de Panzacola, 25. D. Manuel José Bínelo , como apoderado y á nombre del Dr. D José Nicol…</t>
  </si>
  <si>
    <t>Duat, Juan</t>
  </si>
  <si>
    <t>Juan Duat</t>
  </si>
  <si>
    <t>9205 J 7 to de Sta. Clara de CiempozueD. Francisco Irusta............. ........... 10108 los.../........................................... 10584 28 D. Juan Duat................................. 4693 D. Ramón María de Urquizu....... 11756 28 El hospital de presbíteros naturales. 22923 *7 Dona Ana María Hetiríquez de Lu­ D. Ed…</t>
  </si>
  <si>
    <t>................ 12060 Doña María Nicolasa Villaoucva D. Fernando Perez Rico................ 6600 y Morrreai....... ............................ 1460 D. Juan Duat.................................. 3600 Doña Bernarda Diaz........................ atyo D. Josef Clemente de Luja............ 3360 D. Pedro de la Serna..............…</t>
  </si>
  <si>
    <t>Dubour</t>
  </si>
  <si>
    <t>mui sensible. Era hubiese llegado ningún buque de nuestra división. un oficial esforzado, y un hábil marino; pero la A las nueve y quarto me dixo el capitán Dubour- vista del enemigo le sacó fuera de sí. dieu: ,, Me parece que me he dado demasiada ,,La pérdida de los ingleses ha sido enorme: »priesa; ánimo uq rato mas, que va…</t>
  </si>
  <si>
    <t>Ducal, Juan</t>
  </si>
  <si>
    <t>Juan Ducal</t>
  </si>
  <si>
    <t>00. El canónigo Don Isidro dé i ílio , 1q0, Di \Santos 'Bartolomé Lauge , 200. D. Bernardo José de Arce , 500. El guarda jmáyor'interino de la aduana D. Juan Ducal*, 200. El coronel D. Pedro Téxtvda , Secretario de esta comandancia general , 10 pesos mensuales ínterin dure Ja guerra. D. Ventura Martínez en plata labrada , 502…</t>
  </si>
  <si>
    <t>Ducar, Francisco</t>
  </si>
  <si>
    <t>Francisco Ducar</t>
  </si>
  <si>
    <t>a labrada y en pasta, 450. Be los fondos de propios del mismo cabildo , 400. — Administración principal de tabacos. El oficial mayor de la contaduría D. Francisco Ducar, 20. El fiel de reales Almacenes I)on Pedro Obarrio , 100. El fiel de la real fábrica, de cigarros D. Sebastian Saldivar, 20, Varios vecinos por mano de D. Si…</t>
  </si>
  <si>
    <t>Ducatur</t>
  </si>
  <si>
    <t>én salieron á sidenta , mandada por el conmódoro Rogers, y los Es­ esperarle el secretario del país , los habitantes mas tados Unidos, mandada por el capitán Ducatur, coa priucipales y una gran multitud de gentes. El pri­ otras dos fragatas, han recibido órdenes de salir inme­ mer ministro, que habla mui bien la lengua fran­ …</t>
  </si>
  <si>
    <t>Duckworth</t>
  </si>
  <si>
    <t>Gothland por el zelo que han mostrado en el dará todas las fuerzas de S. M. en el Mediterráneo. alistamiento de un cuerpo de voluntarios destina­ El coronel Duckworth , que ha sido muerto do para concurrir á la defensa de la isla. El barón en la batalla de Albuera , era hijo del almirante de Cedetstroem , encargado de la orga…</t>
  </si>
  <si>
    <t>Dufur, Simón</t>
  </si>
  <si>
    <t>Simón Dufur</t>
  </si>
  <si>
    <t>eniente, á te­ produce, constante ó que varíe según una leí dada, en niente de la octava compañía. el mismo plano ó en planos diferentes de los modos D. Simón Dufur, sargento primero, á subte­ siguientes: niente de Ía quinta compañía. . i.° Un cilindro que gira sobre su exe, y una cuer­ D. Pedro Leguei, sargento primero, á su…</t>
  </si>
  <si>
    <t>Duigeaan</t>
  </si>
  <si>
    <t>como uoa invitación para invadir y su­ de Mainooth ? ¿ No ha elevado á su mas cuel ene­ blevar aquel pais, somos realmente culpables; pero migo , el doctor Duigeaan, á la plaza de conseje-</t>
  </si>
  <si>
    <t>Duigenan</t>
  </si>
  <si>
    <t>zan los demas súbditos, pues de­ el general IVlathen hablaron en el mismo sentido xa solo á u discreción del parlamento h decisión que Mr. Gratan: el doctor Duigenan, al contrario, de su suerte. se opuso fuertemente á la propuesta, y comenzó</t>
  </si>
  <si>
    <t>es por también que su iglesia participase de los mismos Ja gloria , sino por el dinero que se le da. privilegios qoe la iglesia constitucional ?” El doctor Duigenan, después do haber exami­ Mr. Perceval no ignora que ciertas gentes se nado la cuestión con respecto á la constitución, y complacen en motejarle, llamándole enemig…</t>
  </si>
  <si>
    <t>Dujárdin, Juan Arnaldo</t>
  </si>
  <si>
    <t>Juan Arnaldo Dujárdin</t>
  </si>
  <si>
    <t>idad variable se­ rado. gún una leí dada, se puede mudar en circular continuo, Octavo batallan. qqe tenga la misma velocidad que el movimiento que le D. Juan Arnaldo Dujárdin, subteniente, á te­ produce, constante ó que varíe según una leí dada, en niente de la octava compañía. el mismo plano ó en planos diferentes de los mod…</t>
  </si>
  <si>
    <t>Duodo</t>
  </si>
  <si>
    <t>553</t>
  </si>
  <si>
    <t>rancesas, y los demas buques italianos. La fragata apresada es la Corona , de 46 cationes, capitán Pas­ cua Jin i : ía corbeta es dé 28'cánones, y su capitán Duodo fue muerta en la acción. También lo fué el comandante de la escuadra francesa D iubervi;&lt;e, que se hallaba á bordo de la fragata Favorita: el piloto déla Amfion,y …</t>
  </si>
  <si>
    <t>Dupeiroux</t>
  </si>
  <si>
    <t>Gaceta de Madrid n.º 303</t>
  </si>
  <si>
    <t>uadrones enemi­ tentaron nn ataque contra Monserrate; pero lo de­ gos, y los arrolló uno tras otro: el teniente Mon— fendía el regimiento x r 5 -° El coronel Dupeiroux dragón al frente de 50 caballos mató á 12 hom­ marchó contra el enemigo, al frente de dos bata­ bres y 4 caballos enemigos, y cogió 10 con 3 sol­ llones , le b…</t>
  </si>
  <si>
    <t>Dupeirouz</t>
  </si>
  <si>
    <t>ece rdía con 600 hombres del regimiento 11 j alli los mayores elogios. tuvo noticia de que 1500 valencianos se habían adelantado hasta Cantavieja. El coronel Dupeirouz marchó inmediatamente contra ellos 1. una compañía de volteadores formaba la vanguardia do AVISO. nuestras tropas,y á los primeros fusilazos qne dis­ A virtud …</t>
  </si>
  <si>
    <t>Duperré</t>
  </si>
  <si>
    <t>a’dqiir|r?e'mayor gloria. f mito á V. E., señalada con el número i.®» la re­ - iL,, El .a3 , á coss dft. las dos de la tarde , avista­ lación que el capitán Duperré me ha enviado so­ mos dos fragatas , que creí al principio pertenecer bre esta brillante acción. .. ■ á la dívision'Ha'litliS'í gue había zarpado de Puer­ ,,Por e…</t>
  </si>
  <si>
    <t>se de deseacallar á la Sirio, ó sea que enemigos hao tenido un gran número de muertos y temiese que nuestras fragatas podrían conseguirlo heridos. El capitán Duperré dice en su relación la* y acero.,* e á él , tomó el partido de transportarse pérdidas que ha tenido, que son mucho metíate* á. la Ifigenia con su equipage, y pon…</t>
  </si>
  <si>
    <t>ncargados, cada ano en la los oficiales y marinos que ha recomendado mas es­ parte que le toca, de la execucion del presente de­ pecialmente el señor capitán Duperré , para obte­ creto. = Firmados: YO EL REI. = Por b. M., el ner de las gracias y bort.iades de S. M. las recom­ ministro secretario de Estado = Firmado = Maria­ p…</t>
  </si>
  <si>
    <t>Dupont</t>
  </si>
  <si>
    <t>Córdo­ nieto del gran Marcelo) la amplificaron, fundaron ba es educado en ella. en ella la primera colonia de ciudadanos romanos Eatrata á fuerza el general Dupont en 7 de ju­ de estos paises , con el título de Patricia, que re­ nio de 1808. tuvo jnntamente con el de Córduba; le dieron el Sométese pacíficamente á S. M. católi…</t>
  </si>
  <si>
    <t>Duptrré</t>
  </si>
  <si>
    <t>os bastante agitación, dando lugar.á diferentes conjeturas, hasta que se recono­ Isla de Francia 18 de setiembre de.t$io. ció que era la división del capitán Duptrré, que A S■ E- el ministro de Id' Matina y de- las Co­ volvía del crucero para donde había Salido de orden lonias. mi»en él mes dé marzo último. E¡ C3pitan Dupérré…</t>
  </si>
  <si>
    <t>Duque, Eugenio de Llaco Torralbo</t>
  </si>
  <si>
    <t>Eugenio de Llaco Torralbo Duque</t>
  </si>
  <si>
    <t>D. Josef de Ruedas, y pa­ Ata'ía, tragedia en cinco actos, de Racime , tra­ ra subtenientes D. Lázaro Barnuevo y D.‘Francis­ ducida al castellano por D. Eugenio de Llaco Torralbo Duque. guno y Amirola, y representada en el coliseo art. iv. En las nuevas poblaciones del reino del Príncipe. de Córdoba , partido de Ecija, se for…</t>
  </si>
  <si>
    <t>Duran</t>
  </si>
  <si>
    <t>?¿rniciori de Daroca , la cual se fea encerrado en el pueblo, sin atrever­ se á salir á la oampi fia y pTobar la suerte de las armas. La división del brigadier Duran, que había abandonado la ciudad de Calaía•yud, ha vuelto de nuevo á ocuparla; !o* enemigos fueron oreja­ dos dí l castillo de Molina; el capitán D. Autonio Herná…</t>
  </si>
  <si>
    <t>s acótes , mas de hOO herid es y una pieza de artillería de cuatro que Me vaba ; que ei Empecinado continuaba persiguiéndolos , y oue la div ¿Ion del brigadier Duran los aguardaba en el puerto de U¿ed , por Con da debían pasar para Drroea. Báhaegs, llevándose umefeo trigo y algunas personas de la ciudad, aparentemente en rehe…</t>
  </si>
  <si>
    <t>Duran, Domingo</t>
  </si>
  <si>
    <t>Domingo Duran</t>
  </si>
  <si>
    <t>, 200. El alguacil mayor I). Manuel Hernaiz, 3700. Antonio Hernández, 60 y 6 rs. D. Jaime Ravasa, £0. O. Gí-rarJa Tejedor, 29, D. Diego Becerra, 100. D. Domingo Duran, 953. D. Pedro Pablo de León, 100.-Francisco'Yebovich, 100. CADIZ : EN LA IMPRENTA REAL.</t>
  </si>
  <si>
    <t>Duran, Francisco</t>
  </si>
  <si>
    <t>Francisco Duran</t>
  </si>
  <si>
    <t>, la seguridad y el Don Tomas García, teniente , i capitán del ter-r honor: todo el . que retardare sus resoluciones se cer batallón en la vacante de D. Francisco Duran. arrepentirá.¡{Gazeta de Sevilla de i¡ de noviem­ Don Antonio Quevedo y Muelasubteniente, bre.) i • ,,t á tenieote en reemplazo, de D. Tomas García. Madrid 19…</t>
  </si>
  <si>
    <t>Duran, Francisco Xavier</t>
  </si>
  <si>
    <t>Francisco Xavier Duran</t>
  </si>
  <si>
    <t>......... 31587-17 ^ Rs. vn. Mrs. D. Ambrosio Martínez Negrece............ 7129-25! D. Josef Corral......................................... 8844..17 D. Francisco Xavier Duran............... 3690..14 Doña María Gavier............... .................. 722 D. F,stéban de Agreda............................ 1 lco D. Vicente Tori…</t>
  </si>
  <si>
    <t>Duran, José</t>
  </si>
  <si>
    <t>José Duran</t>
  </si>
  <si>
    <t>885</t>
  </si>
  <si>
    <t>ento de Cariñena, es quien los ha recibido y hecho con* ducir á Valencia. • Parte circunstanciado que ha dirigido á la junta' superior el bri­ gadier D. José Duran, comtpséhnte general de las tropas de la pro­ vincia , sobre la acción de Jjuikhreras de 19 de este mes. „Exeme. Sr.: con esta fecha dirijo al Excino. Sr. general …</t>
  </si>
  <si>
    <t>e es lo único en que estas tropas tienen su mayor satisfacción.— Dios guarde á V. S. muchos años. Enc”so 24 de agosto de 18-11. —Bartolomé Amor. —Sr. D. José Duran.-—Lo que participo á V. E. lleno de satisfacción, por la quo resultará á Y. E. al ver que una división de las de su mando se distingue con acciones tan frecuentes …</t>
  </si>
  <si>
    <t>Duran, Juan</t>
  </si>
  <si>
    <t>Juan Duran</t>
  </si>
  <si>
    <t>ariño, D. Juan Aguado, D. Manuel Diz &gt; Don Benito Yarela y D. Pablo del B J ; subtenencias á D. F ¿ruando Yara, D. Antonio Barbeira, D. Lorenzo Lema, D. Juan Duran, D. Luis Antonio Freise, D, Julián Alvarez, D. Dirgo Fragoso, Don Vicente María López, D. Víctor Urquiza, D. José Cameiro., Doa Manuel Cid, D. Anselmo Quíroga y D.…</t>
  </si>
  <si>
    <t>Duran, Mariano</t>
  </si>
  <si>
    <t>Mariano Duran</t>
  </si>
  <si>
    <t>316</t>
  </si>
  <si>
    <t>,'á una altura para recibir el refuerzo que efec­ tivamente le enviaron Recasens y Oliveras. Al mismo tiempo atacó al enemigo por su flanco izquierdo D. Mariano Duran, y á pesar de la superioridad de los franceses, se logró desalojarlos de las posiciones que habían temado, y obligarlos á retirarse hasta un llano en que se rep…</t>
  </si>
  <si>
    <t>DuranD, Miguel</t>
  </si>
  <si>
    <t>Miguel DuranD</t>
  </si>
  <si>
    <t>ez, I). Dionisio Sií?c,h:s, D. Fe lio. Mariis Carnea, D. Rimon Vázquez y D. Ber­ nabé Fae-zsubtenencias i D. Juan-Castellanos, D. Casimiro Fue­ llo , D. Miguel -DuranD. José Morales, D. Luis Valderas, Don Juan Extrémela , D. José Romas»nta , D. Diego Malfeito, D. Alon­ so Perez, D. Pedro Santiso, D. Manuel Morgade, D. José Mo…</t>
  </si>
  <si>
    <t>Durant</t>
  </si>
  <si>
    <t>do sageros que hai entre el precio corríenre de la plata asentir á las pretensiones de la Suiza. y el del papel- moneda. El gobierno aprecia dema­ El barón Durant, ministro plenipotenciario d* siado su papel para prodigarle en cambio del oro y Francia, que ha sido nombrado eutbavadoc d* Ñi­ de la plata. Ya no se recibirán de …</t>
  </si>
  <si>
    <t>Durazo, Hipólito</t>
  </si>
  <si>
    <t>Hipólito Durazo</t>
  </si>
  <si>
    <t>quiz............................... 44866..19 D. Jaime Felipe , D. Juan Lucas, D. Jo­ D. Gregorio Pereira y Pacheco................ 11000 sef María y D. Hipólito Durazo........... 52500 Doña Eugenia Pahvicini............................... 87700 Rs. vu.... 1.043882..27 D. Sebastian de Otaegui...............i.:...... . 31875 D…</t>
  </si>
  <si>
    <t>Durclop</t>
  </si>
  <si>
    <t>ninguna espfcfcie , y lo mas particular 4.a división: general Colé, en Estremoz. es qpe la ciudad estaba .sitiada por la parte de tier­ 5.a división: general Durclop , en Portaiegre. ra por el exército de Buenos-Aires, el qual había 6.a división: general Campbell, en Alpedrinha. principiado ya á bombardear la plaza. El capitá…</t>
  </si>
  <si>
    <t>Durigni</t>
  </si>
  <si>
    <t>Oliva: su número llega ya ¿ mas de la ciodad, donde el mayor de trinchera 15 83 « y cada día se encuentran otros nuevos. Te­ Dooarche y mi edecán el capitán Durigni persi­ mo mucho el que si la guarnición de la plaza es­ guieron con un panado de saldados en su fuga pre­ pera al asalto de su último recinto, me vea preci­ cipit…</t>
  </si>
  <si>
    <t>Durjnond</t>
  </si>
  <si>
    <t>la po­ sición ocupada por el regimiento 43, que tac ganada ár.t-s que lle­ gase 11 tercera división. Estoy asimismo muy satisfecho de la conducta del coronel Durjnond, que manda ia otra brigada de la división ligera. Quaado principió el fuego, ei*¡exío cuerpo dexó la posición de Rovira , y marchó con dirección á Rendo. Los de…</t>
  </si>
  <si>
    <t>Durosnel</t>
  </si>
  <si>
    <t>o á la vela desde Cá liz al mando Tesoro público, el conde de Montaiivet. ministro del. general Graham (10). Nosotros no estamos de lo Interior, y el conde Durosnel, uno de sus acostumbrados á excitar antes de tiempo esperan­ cdecaues. zas que el suceso pueda luego graduar de dema­ ESPAÑA. siado presuntuosas y vanas; pero ts …</t>
  </si>
  <si>
    <t>Dutnoustier</t>
  </si>
  <si>
    <t>las fatigas, de ios pe­ ya, al mismo tiempo que el general Reicle salía ligros á que está expuesto e! militar , jamas es bas­ de Pamplona , y que el general Dutnoustier guar­ tantemente remunerado. Toda gloria debe desapare­ daba ciertos pasos importantes. El general Cafíáre- cer delante de la suya; pero esta gloria , este mi…</t>
  </si>
  <si>
    <t>Duvernet</t>
  </si>
  <si>
    <t>117</t>
  </si>
  <si>
    <t>Núm. 15. 117 / GACETA DE LA REGENCIA \ . DE ESPAÑA É INDIAS DEL SABADO 2 DE FEBRERO DE 1811. ESPAÑA. CáUojnr I6 de diciembre de 1810. El llamado barón Duvernet que se titula gobernador de esta provincia de Soria y es tan sanguinario ,como él tirano á quien sirve , quitó inhumanamente la vida id coro­ nel graduado D, Gregorio …</t>
  </si>
  <si>
    <t>e A, J</t>
  </si>
  <si>
    <t>J e A</t>
  </si>
  <si>
    <t>Manuel BjUmonts, D. José Giiau-de., D. Gaspar Surianor, D. Pablo Lozano, D. Ciato.Eguimbái, y D. Fabián Mantilla; y subtenr notes á D. Juan'Psu*»!», D. J«&amp;é A ios'Ós , D. Pedro Lí/ó, D. Akonio Bereitgtier, D. «José- Cueva?, D. Jasé S&amp;rnpér, D. Aídolu» Forrar, D. Bjrnabó Vda, D. y ícen­ te N¿ñaz Cortes, O. Alfonso • C Jbach* *…</t>
  </si>
  <si>
    <t>e Allende, Ignacio Jo</t>
  </si>
  <si>
    <t>Ignacio Jo e Allende</t>
  </si>
  <si>
    <t>za, teniente general. D. Francisco Olmedo. D. Nicolás Nava. Don desé María Salqido. D. Antonio Ruiz. D. Antonio Bclan. D. Ignacio Hidalgo. Seculares. D. Ignacio Jo*é Allende, generalísimo. D. Mariano Xiroenez, capitán general. D. Juan de Aldama, teniente general. D; Manuel Smta María, mariscal. D. Mariano Abasólo, mariscal. D…</t>
  </si>
  <si>
    <t>e Ech, Juan Jo</t>
  </si>
  <si>
    <t>Juan Jo e Ech</t>
  </si>
  <si>
    <t>to sucedía en el pueblo, per la otra orilla del rio se adelantaba á acometerlo una banda de unos icco hombres. Por fortuna se encontró con el espitan D. Juan Jo é Ech¿rte , que volvía'de una ccmkion , y reuniendo su poca gente, que eran los voluntarios europeos, cabo Don Manuel Codo Pardo, Dun José Gon­ zález, Don Fernando Ru…</t>
  </si>
  <si>
    <t>e Em, Vial</t>
  </si>
  <si>
    <t>Vial e Em</t>
  </si>
  <si>
    <t>ra vestir á otro, y de aquí r ace que no ade­ lantamos nada (1).— Ei general Hugo ha perseguido al Empecinado hasta el Xarama : alcanzóle en Uceda el coronel Vial — E* Em­ pecinado pai-ó el Xarama el día 1.®, y se fdirigió á Terrehíguua. 11; formad o de este movimiento, hice marchar' imnediatamento á-ni edecán M:,jou coa una …</t>
  </si>
  <si>
    <t>e Fábrega, Felq</t>
  </si>
  <si>
    <t>Felq e Fábrega</t>
  </si>
  <si>
    <t>hagre todo el tiempo que sirva este empleo , 200. D. Nicolás Remon 500. El ayudante mayor D.Baftasar Avala, 40. Tenientes. D. José María Chiavi, 100. D. Felq e Fábrega , 40. D. José Toribio Frontis a , 25.|D. Francisco Ximenez en diñe, o y alhajas, 92, G y medio rs.D. Pedro Chiari, 36. D. Félix Paredes, 36. D. Ma* too Matos ,…</t>
  </si>
  <si>
    <t>e Fer, Jo</t>
  </si>
  <si>
    <t>Jo e Fer</t>
  </si>
  <si>
    <t>a uuólica esta necesi­ dad, paro que *os pud lentes celosos del bien de la nación, contribu­ yan á 'minorar sus escaseces , asi como lo ha verificado D Jo*é Fer­ rando , que impelirlo de su patriotismo, ha' remitido desde Yal érela algunas cbias ds mérito para la instrucción de la citada Academia»</t>
  </si>
  <si>
    <t>e Gra, J</t>
  </si>
  <si>
    <t>J e Gra</t>
  </si>
  <si>
    <t>a recibido esta jun'a supeñor resulia, que el dia 23 llegaron nuestras guerri! as á 1v-. c'-reunías de Orce donde había unos 600 enemigos. El c^nit n D. J»é Gra­ nados tuvo un choque, les mató 3 hombres y fes hirió 6 : con mas 2 caballos muertos y 3 heridos, y les cogió 4 reses bacunas, ponién­ dolos en precipitada faga. Las …</t>
  </si>
  <si>
    <t>e M, Jo</t>
  </si>
  <si>
    <t>Jo e M</t>
  </si>
  <si>
    <t>ez ; tenencias í los subtenientes D. J *só Fierra , D. José María Cejaibo, D. José Márquez y D. P dro Bi­ en; y subtenencias á los sargentos primeros D. Jo é M up y Doa Jorge García, y á los cadetes D. Manuel Aranda, D. Pedro Lillo y D. Felipe Gordon. igualmente ha conferido S. A. la sargentía mayor del regimiento ds infanter…</t>
  </si>
  <si>
    <t>e Mi, Jo</t>
  </si>
  <si>
    <t>Jo e Mi</t>
  </si>
  <si>
    <t>iendo ei arrecife y á la iz­ quierda de este; por la izquierda ei mariscal de campo D. Carlos ODonnell con las divisiones de los mariscales de ca upo D. Jo é Mi­ randa, D. Pedro Villa campa y la de caballería de D. Jiaé San Juan. El general en gefe con tropas de la reserva y artillería quedó en las pequeñas alturas del Paig, …</t>
  </si>
  <si>
    <t>e Montero, Jy</t>
  </si>
  <si>
    <t>Jy e Montero</t>
  </si>
  <si>
    <t>O i ve; pn meras tenencias de cazadores á los de fusilercs D, .Fede­ rico Liñ.n y D. Antonio Aguilar, marques de Vega Armijo, y al se­ gundo teniente D Jy é Montero; primeras tenencias de fusileros á los segundes tenientes D. Indalecio de ia Torre, D. José R faei Solis, gra­ duado de teniente coronel, D. Manuel Sergeant y D. …</t>
  </si>
  <si>
    <t>e Otero, Jo</t>
  </si>
  <si>
    <t>Jo e Otero</t>
  </si>
  <si>
    <t>afertáo.dc infantería de voluntarios de Cádiz: rompañi.2R á -D. Jusú-Ufeiña, D. Andrés Perez, D. Francisco Mogollen y D. Pablo Senderos : ayudantía á D Jo -é Otero ; tenencias á D. Joan Rodríguez, D. Alfonso. Tercero, D. Tomas Manzanar-?, D. Jocó Yszquez Rdova, D. Juan Amar, D. Francisco García, Dan Mu» tía Arrute ? D Juan Ga…</t>
  </si>
  <si>
    <t>e Per, Jo</t>
  </si>
  <si>
    <t>Jo e Per</t>
  </si>
  <si>
    <t>an de Zulueía, marques de Villareal de Purullesa, D. Manuel Goicolea, D. Gaspar Aguado y D. Fran­ cisco Noguer; tenencias á D. Mauricio de L -rgacha, D. Jo é Per­ noto , D. José deGaiilenea, D. Esteban S. Miguel, D. José Anto­ nio Romero, D. Ram&amp;n de Larrieta, D. Manuel Sanz, D. Domin­ go Cierto, I). Antonio Vallaría© y D. Se…</t>
  </si>
  <si>
    <t>e Soler, Jo</t>
  </si>
  <si>
    <t>Jo e Soler</t>
  </si>
  <si>
    <t>585</t>
  </si>
  <si>
    <t>enfermos arrancados desapiadada­ mente ele sus camas y conducidos á los campamentos ene.*n?gos , sin embargo de haber reconvenido el médico de número D. Jo^é Soler al general Sjltne, manifestíndole y leyéndole un testimonio de la ex­ presada estipulación. Por último pegaron fuego por varias partes á los hospitales, mas por fo…</t>
  </si>
  <si>
    <t>E'lizalde, José Matías</t>
  </si>
  <si>
    <t>José Matías E'lizalde</t>
  </si>
  <si>
    <t>ño de los que* dure la guerra,500. El VI R. arzobispo 1). Bartolomé' de las Heras, I-0000. D. Ramón Eduardo Anchori , presbítero, 1(K). I). Antonio y D. José Matías E'lizalde, 4000. E¡ cirujano D. José de Avi­ la , 200. Ei conde de S. Isidro , 500. D. Antonio Bedoya , 102. 1). Manuel García de ia Plata, 1000. D. José Ulle, 10…</t>
  </si>
  <si>
    <t>Eabicb, Juro</t>
  </si>
  <si>
    <t>Juro Eabicb</t>
  </si>
  <si>
    <t>atallen de cazadores.— Ss ver ileó la salida de Irs r^ses de la ciudad po&lt;- el punto contra­ rio, pues sa ic o?*, i áeia ía C e?. Tejarle. El capi'an D. Juro Eabicb y r! alfVrez D Eustaquio Hernández fueron ocultes per el ho­ yo del tfs &gt; de S. F ancitco hasta aproximarse al cementerio , don­ de se hallaban las va/es y deras …</t>
  </si>
  <si>
    <t>Eagelbrechcea</t>
  </si>
  <si>
    <t>han entrado en la tesorería ic0 hombres; la de Rugen esrará á las órdenes del Gran Señor mas que algunos millones en dine­ del coronel Normana, y el coronel Eagelbrechcea ro y piedras preciosas. mandará la de la Pomerania. El plan de Suleiman-baxá era nada menos Hdbiéndose tenido noticias de que varios bu­ que hacerse indepen…</t>
  </si>
  <si>
    <t>Eaolaleite</t>
  </si>
  <si>
    <t>luego ca­ yeron en que los brazos que habían visto serian vían. . , „ , , . postizos, y que uoa almohadilla puesta con ar-j „El Exorno. Sr. teniente general Eaolaleite, te liaría parecer que se halloba en un estado en que gobernador militar del Alentejo, hará imprimir y hxar la presente órden general eu todos ios pue­ probabl…</t>
  </si>
  <si>
    <t>Earile, Pascual</t>
  </si>
  <si>
    <t>Pascual Earile</t>
  </si>
  <si>
    <t>n da cuevas muestras de su búllante bizarría. , * ■ Los ayudantes generales de estado ,mayor D. José Espoleta, bri­ gadier de los reales exéreitos, y D. Pascual Earile, que me han acompañado en e3Ía expedición , han dado t&amp;nt&amp;s pruebas de ?u ce­ lo y capacidad ,aa iliíaí es el discurso de esta operación, cuanto han manifestad…</t>
  </si>
  <si>
    <t>Eblé</t>
  </si>
  <si>
    <t>to habia formado sobre la orilla derecha y sobre Ja El 15 la vanguardia francesa se hidaba en Foz izquierda del Zexere cerca de Punhete. de Arome. El general Eblé logró construir 200 barcos con Nuestra artillería estaba en r&gt;r'SÍcion en la ori­ □na actividad y un conocimiento de todos los re­ lla derecha dei C ra , que domi &lt;…</t>
  </si>
  <si>
    <t>Ecametlap, Metiuo</t>
  </si>
  <si>
    <t>Metiuo Ecametlap</t>
  </si>
  <si>
    <t>e fe -B ibifsea ; y no fsubo corrida^Él rey intruso salió para }&gt;. .’er.f-’u do?:de s* hallaba el 11 del mismo mes, mientras que !as t o* «•' s -:íel coronel Metiuo Ecametlap. á un numeroso destacs¿ceiito• ele t' * « / t r *v*T ■» v ^ * i .* s~*A 1 _ í ; j. vnccse'-;Ví7o:&gt;-i nerrera v aioccanas , snaianao a ou ue e-i-.os, y c…</t>
  </si>
  <si>
    <t>Ech, Francisco Aguirre</t>
  </si>
  <si>
    <t>Francisco Aguirre Ech</t>
  </si>
  <si>
    <t>eoz, adonde los gv£$s franceses enviaron en su nombre y con plenos po­ dares á D. Joaquín G-rónimo Navarro, diputado dsl revn^ y veciño de Estella, á D. Francisco Aguirre Ech’ohurí, á I) José Pelou y ¿ Sebastian Lujo de 1 rocín. E3poz llegó á penetrar que loa enemigos intentaban sor pr^ henderle y apoderarse de su persona en …</t>
  </si>
  <si>
    <t>Echáis, Jo e Mina</t>
  </si>
  <si>
    <t>Jo e Mina Echáis</t>
  </si>
  <si>
    <t>osé Mi­ guel Arroyo. D. A ¿toaio Alvarez Vega, sargento mayor retirado. D V ícente-A costa , sa'geato mayor. D. M vilano Olivares , teniente coronel. D. Jo¿é Mina Echáis. D. Cárlos Cepeda, coronel, f). José de los A agoles , teniente. D. Mariano Hidalgo. D. Valentín H í man­ de z , alférez. D Ignacio Chaves, capitán honorario…</t>
  </si>
  <si>
    <t>Echáis, Juan</t>
  </si>
  <si>
    <t>Juan Echáis</t>
  </si>
  <si>
    <t>nio Nieva. D. Gerónimo BaÜeza. D Joaquín Xiinanez. D. Teodoro C3iab;U. D. Francisco Pastor. D. José Mari* Canal. D. Vicente. Fría». D. Pedro Taboada. D. Juan Echáis. D. Sebaptiun Conejo. D. Manuel María Lanza sorta. Lie. D. Jcsé Marín Chicc. D. Luis Msrcles. Lie. D. José María Letona. D. Jacoho A rctdo, teniente coronel. D. L…</t>
  </si>
  <si>
    <t>Echanove, José María</t>
  </si>
  <si>
    <t>José María Echanove</t>
  </si>
  <si>
    <t>0. El segundo D. Blas Valladares, en cada mes , 5. El tercero D. Gerónimo Medina . 30. El quai'to D. Juan de Dios Centeno , en cada mes, 2. El quinto D. José María Echanove, 12 y 4 rs. El oficial agregado D. Miguel González.Rueda, en cada més, 1. El guarda mayor D. Francisco Tarrazo ha ofrecido para mantener 2 soldados por ti…</t>
  </si>
  <si>
    <t>Echarri, Francisco</t>
  </si>
  <si>
    <t>Francisco Echarri</t>
  </si>
  <si>
    <t>el Adriático, de 80 tonela­ das , cargada de vinos y de madera. D. Antonio Gamarra, subteniente, á teniente de la quinta compañía. Roma 21 de junio. D. Francisco Echarri, Sargento primero , á subte­ Se continúan cada dia con mayor actividad las niente de la tercera compañía. excavaciones y desmonte de los tnouementos anti­ D.…</t>
  </si>
  <si>
    <t>Echarte, Juan José</t>
  </si>
  <si>
    <t>Juan José Echarte</t>
  </si>
  <si>
    <t>orden dé dirigirse á Guadalaxara, y 140 rusues, anny¡ é 6000 que les acometieron con un arrojo indecible , y recomienda especialmente ¿ los oxídales D. Juan José Echarte , D. Antonio Cor-</t>
  </si>
  <si>
    <t>mos muertos los capitanes Chefino é Inchaústi, el cabo de voluntarios europeos D. Facundo Anxo* nio de Otero y 12 lanceros, y heridos á los oficiales D. Juan José Echarte, D. Franeisc3 Terricabra , D. Ignacio Unquite, el P. Fr. Aiseímo Ocotor, del orden de S. Francisco, y ^ granaderos. Tarragona 19 de marzo. Ua destacamento q…</t>
  </si>
  <si>
    <t>Echegoyen, José Ignacio</t>
  </si>
  <si>
    <t>José Ignacio Echegoyen</t>
  </si>
  <si>
    <t>teniente coronel Francisco Lgmaur, 150. Los ocho re­ gidores que. siguen, diputados para la recolección en esta ciudad de los ■donativos, entregaron, D. José Ignacio Echegoyen , 1146: ei’ conde de Ü.-Reiíy, 210 y 4 rs. D. José de Genes 195 y uno y rneilio. D. Joaquín &lt;ue Herrera , 243 y medio. D. Luis Ignacio Caballero , 933 …</t>
  </si>
  <si>
    <t>Echevar, Cipriano</t>
  </si>
  <si>
    <t>Cipriano Echevar</t>
  </si>
  <si>
    <t>1125</t>
  </si>
  <si>
    <t>nidos todos habían queda­ do acampados para emprender su marcha por la noche: la arti­ llería ya habia salido. El comisionado regio de José Bnnaparte D. Cipriano Echevar­ ría , enviado por él á Valladoiid , fué recibido con una extraordi­ naria. indiferencia por el intendente frasaces , quien le dixo que nada tenia que ver co…</t>
  </si>
  <si>
    <t>Echevarría, Hilario</t>
  </si>
  <si>
    <t>Hilario Echevarría</t>
  </si>
  <si>
    <t>yudante mayor D. Cos­ me Martínez j los alféreces JD. Lucas Molbaedo, D. Ju n Caníbn, Don José Rodríguez , y D. Juan Alvarez, los porta-estindartes , D. Hilario Echevarría , y D. Angel M:riño, el padre capellán D. Domingo Guvsal, el sargento primero Juan Seroquel, el cabo primero Manuel Saua , y el espitan de artillería D, Ma…</t>
  </si>
  <si>
    <t>Echevarría, José Alberto</t>
  </si>
  <si>
    <t>José Alberto Echevarría</t>
  </si>
  <si>
    <t>icieron nía fuego horroroso, tanto que fué preciso suspen­ derlo por uaa y otra parte: en esta intermisión ilegó del campo ene­ migo el parlamentario D. José Alberto Echevarría, pidiendo capi­ tulación. El gífs D. Manuel Cabañas se vaia con mas de 100 prisio­ neros, sin seguridad alguna, con pacas municiones de cañan, la gent…</t>
  </si>
  <si>
    <t>Echeverría, Ramón</t>
  </si>
  <si>
    <t>Ramón Echeverría</t>
  </si>
  <si>
    <t>e logramos derrotarlos, aunque se formaron varias veces. La infantería, aunque estaba sin foguearse, ha dado pruebas de valiente; pero eí in­ trépido D. Ramón Echeverría, subteniente de mi compañía , fué el fun­ damento de la destrucción por haberlos desordenado , y puesto en dis­ posición de obrar toda la caballería nuestra:…</t>
  </si>
  <si>
    <t>Edgar</t>
  </si>
  <si>
    <t>­ certaron Jos proyectos del enemigo , el qual se vio La embarcación la Perseverancia, mandada obligado á largarse despnes de haber sufrido una or el capitán Edgar , y procedente de Nuevagran pérdida de resultas del fuego de metralla que hicieron contra él nuestras batcríis, y señalada­ ? orek ,'»ht llegado a Inglaterra, y ha…</t>
  </si>
  <si>
    <t>Edmun</t>
  </si>
  <si>
    <t>as conjeturas. ARTICULO DE OFICIO. En el regimiento de reales guardias walonas ha concedido el consejo ds Regencia agregación de segundos tenientes á D. Edmun­ do, barón Droste, y á D. Cirios ds Ciery, primeros tenientes que eran del cxércllo austríaco ; y ha concedido asimismo empleo de al­ férez en el propio real cuerpo á D…</t>
  </si>
  <si>
    <t>Edo</t>
  </si>
  <si>
    <t>ord Strangford á la junta de Buenos-Ayres. “Exorno. Sr.: He recibido la carta de Y. E. de 24 de febrero, en que me informa* de los procedimientos del general Edo para iaterrurnpir el comercio de Buenos-Ayres, y on la que ( lespues d?e ha­ cer algunas observaciones sobre su natural:za , y la supuesta f ita de legítima autorida…</t>
  </si>
  <si>
    <t>Eduardo</t>
  </si>
  <si>
    <t>D. Joaquín de), oficial de la secreta­ Josef Napoleón. ría del ministerio de lo Interior. Alíaro y Rtmon (D. Ijjedro), oficial de la secre­ Clavijo ( D. Eduardo) , admidistrador de correos taría del ministerio de Negocios eclesiásticos. de Medina del Campo. Almera (D. Francisco), individuo de nuestra guar­ Colomina ( D. Ignac…</t>
  </si>
  <si>
    <t>Eernan-Gonznlez</t>
  </si>
  <si>
    <t>Gaceta de Madrid n.º 306</t>
  </si>
  <si>
    <t>208</t>
  </si>
  <si>
    <t>atro de la tarde, se esc­ bre ) (0 oltará la comedia en tres act&lt; s titulada la Conquista de Bcrga a 8 de setiembre de 1811. La junta su- Lara por el conde Eernan-Gonznlez, ,ó Triunfar solo pe.uu ha Ji'ioo i*» siguientes noticias confiden­ por la fe; seguirá una buena tonadilla, y se dará fin coa ciales de PiMpiú-ll. un diver…</t>
  </si>
  <si>
    <t>Efectos</t>
  </si>
  <si>
    <t>l8ll. destronaron al Príncipe. La autoridad real, de­ cían, no soh está poderosamente contrarestada por este cuerpo legislativo, sino que es inferior d Efectos pálidos. él. Jarnos se ha visto una reunión de energúmenos Vales reales..... ............................... . 93* á 94 y hombres tan desatentados. La llamada regencia…</t>
  </si>
  <si>
    <t>Gaceta de Madrid n.º 239</t>
  </si>
  <si>
    <t>8 1 I. y que el general Freire hab¡3 recibido una herida en la cargt de caballería dada por el general Soult torre Cull.tr y Chirivel. Parece que el general Efectos públicos. Odonell ha procurado reunir los restos de dos di­ visiones, que dirige por Vera hacia la Torre de Vales reales..........................................…</t>
  </si>
  <si>
    <t>Efectos, Ana María de Llano y el En</t>
  </si>
  <si>
    <t>Ana María de Llano y el En Efectos</t>
  </si>
  <si>
    <t>Mariano Sancho.......................... 4542 32 DfA l6 DB DICIEMBRE DB l3ll. ■D. Raimando Ruiz de Alegría por • : su apoderado D. PedroMuró... 3600 Doña Ana María de Llano y el En­ Efectos públicos. cinal...,.............................. 2700 Sor Alfórisa de S. Nicolás............... 2587 17 Vales reales....................…</t>
  </si>
  <si>
    <t>Egma, Francisco</t>
  </si>
  <si>
    <t>Francisco Egma</t>
  </si>
  <si>
    <t>Rozas debía ser teñid© por infamatono , y como tal detenido, recogiéndose sus exemplares : é igual­ mente declaró quedar salvo y líbre, así ai señor D. Francisco Egma como á ios demás que se tuviesen por agraviados, el derecho de se­ guir contra su autor juicio de injurias ante el tribunal á que corres­ pondiese; iodo con arr…</t>
  </si>
  <si>
    <t>Eguia, Francisco</t>
  </si>
  <si>
    <t>Francisco Eguia</t>
  </si>
  <si>
    <t>otismo perseguido á traición por la arbitrarle* con d y el despotismo, fué. d ^ une avió ao supremo, Consejo de Regencia dad por ei teniente, geneiaí D. Francisco Eguia , del consejo de Estado, í* cómo im íí daiipV beñfeérítós y ! a-suya propia, rqstexiormente, ei riscal asi rey fen el suórerno'const-ja dr CáinÜe, D. Antonio'…</t>
  </si>
  <si>
    <t>Eguia, Pedro</t>
  </si>
  <si>
    <t>Pedro Eguia</t>
  </si>
  <si>
    <t>es destacamentos de esta arma. — Los generales balazo de fusil ea el sombrero , y dos en la silla del caballo el gefe del estado mayor de su división D. Pedro Eguia. — La aitilieiía ú caballo tiro algunos caño;tzos despucs de haber subido á la risi­ ta. &gt;— N mísfcras tropas se conduxare-ncon su acodarribrado vuíoi. Hu­ bo peq…</t>
  </si>
  <si>
    <t>Eguilus, Ramón</t>
  </si>
  <si>
    <t>Ramón Eguilus</t>
  </si>
  <si>
    <t>I). Jorge Montañés. 500. D. Antonio Suris, 200. í&gt;..Domingo Gual, 500. DrAntonio Pizano , 200. D. Benito Picnrdo, 1000. IX- Francisco Escudero, 500. D. Ramón Eguilus, 300. Sres. Somera Hermanos,.500.. D. Serafín Alaix , 300. D. Claudio Itoioero, 500, D. Ramón Romero, ¿00. D. Juan Antonio de Criarte, 500. I). Juan Ma­ ría de I…</t>
  </si>
  <si>
    <t>Eguy, Pablo</t>
  </si>
  <si>
    <t>Pablo Eguy</t>
  </si>
  <si>
    <t>241</t>
  </si>
  <si>
    <t>premo Consejo de .Regencia de España é Indias , sin que pueda destinarse á ningún otro .objeto. Se resolvió también que al encargado de la expedición D. Pablo Eguy se diesen los documentos que necesítase para poner á cubierto su responsa­ bilidad , quedando en aptitud de continuar su viage á Londres con el resto de su pertene…</t>
  </si>
  <si>
    <t>Eider</t>
  </si>
  <si>
    <t>376</t>
  </si>
  <si>
    <t>^ y tercero de cazadores mandados por el coro­ nel Drumond , B ck^ith y el mayor Patzikson , el teniente coronel Ross, mayores Gilman y Stewart, y el teniente coronel Eider, se dis­ tinguieron particularmente , como también los batallones de infuutrí* i¡g; ra, pertenecientes i la división del general Picton, y mandados por el…</t>
  </si>
  <si>
    <t>que pasó el Coa con dos escuadrones de caballe­ ría sobre la derecha : quatro compañías del regimiento 95 , y 3 de las de los cazadores del mando del coronel Eider repelieron los pique­ tes enemigos, y paró ello fueron sostenidas por el regimiento 43. En este momento principió una lluvia copiosa que impidió enteramente</t>
  </si>
  <si>
    <t>í como aquella.parte del regimienro 95 que se halla en la brigada del coronel Beckiwithy mandada por el mayor Gilraour, y los cazadores del mando del coronel Eider. — El primer batallón del regimiento 52 , mandado por el teniente coro-</t>
  </si>
  <si>
    <t>Eiío</t>
  </si>
  <si>
    <t>1201</t>
  </si>
  <si>
    <t>recelos excitados por les movimientos militares, y procedimien­ tos políticos de sus vecinos.— Creo oportuno decir á Y. E. qü® también he escrito al general Eiío sobre el particular ¿ que se refie­ re esta carta , y que he trabajado para producir en él una disposición correspondiente á la que vehementemente espero, y confiada…</t>
  </si>
  <si>
    <t>Eiio, Francisco Xavier</t>
  </si>
  <si>
    <t>Francisco Xavier Eiio</t>
  </si>
  <si>
    <t>51</t>
  </si>
  <si>
    <t>o Martínez Saenz.—José García del Barrio. — Joaquín de Enterría. — Francisco Riera. — Francisco Dia% de Bedoya — José Ca~ rissimo. — Excmo. Sr. virey D. Francisco Xavier Eiio.” Ei señor virey no ha podido menos de dar un testimonio público del aprecio que le merece el patriotismo de aquella fidelísima pro­ vincia ; y á este f…</t>
  </si>
  <si>
    <t>Eiizalde, Luis</t>
  </si>
  <si>
    <t>Luis Eiizalde</t>
  </si>
  <si>
    <t>o heredero de ©oña Manuela Ribero............................................ . 2685 23 r? D. Francisco Boulígni........................... 20084 25f D. Luis Eiizalde , su apoderado Doa 4 D. Juan Cal tí lio.................................... 4061 8§ .5 Juan Bautista Goitia................. 31500 H Doña Angela Pineda.........…</t>
  </si>
  <si>
    <t>Einsiedel</t>
  </si>
  <si>
    <t>de Comeau, teniente coronel al ser­ cho, y que él llama epidendrum fias aeris. vicio del Rei. Loureiro ha dado el nombre de aerides odo- Por S. E. el conde Einsiedel, ministro pleni­ rata al género de que hace parte esta especie: se potenciario de S. M. el Rei de Saxooia, encuentra, según él, en la China y Cochinchina en El c…</t>
  </si>
  <si>
    <t>Eisenstuck</t>
  </si>
  <si>
    <t>rra.............- 3.000000 bajado la dieta por el bien público. Después de Extraordinarios de Irlanda.................... 20000 este discurro leyó el doctor Eisenstuck, refrenda- GdStos imprevistos del año último...... 627018 ri - íntimo de S. M-, la acta llamada despedida de Artillería................................... 5.01…</t>
  </si>
  <si>
    <t>Eitenoz, Pedro</t>
  </si>
  <si>
    <t>Pedro Eitenoz</t>
  </si>
  <si>
    <t>nas fuerzas que, sin duda con otras superiores, se disponían á pers^guú'o seriamente. Las partidas de guerrilla al mando del capi­ tán de c;:balJeria D. Pedro Eitenoz, empezaron un tiroteo con las que salieron d; la ciudad , y como la nochi muy obscura ofrecía poco in­ teres en esías escaramuzas , les di orden de retirada y q…</t>
  </si>
  <si>
    <t>el Bravo, Sancho</t>
  </si>
  <si>
    <t>Sancho el Bravo</t>
  </si>
  <si>
    <t>683</t>
  </si>
  <si>
    <t>o, que ni es ia obra de Lope, ni un drama en las mas sin conocimiento de causa. Que se le an­ que á lo menos se advierta sentido: no solamente toje á D. Sancho el Bravo requerir de amores á ia no se puede juzgar en la tal producción del ioge- hermana de un regidor de Sevilla , y que por ha­ uio de su legítimo autor, sino que …</t>
  </si>
  <si>
    <t>el Empecinado, Juan Martin</t>
  </si>
  <si>
    <t>Juan Martin el Empecinado</t>
  </si>
  <si>
    <t>63 Los enemigos han impuesto á la provincia 'de GuaJ alaxara una contribución de 30000 fanegas de grano. Sabemos que D. Juan Martin el Empecinado les da mucho que hacer por aquella parte ,* y que lia conseguido últimamente ventajas en Cogollo Jo y Jadraque. Han salido esta mañana 100 juramenta los de refuerzo para Gua­ dal ix…</t>
  </si>
  <si>
    <t>supe » rior, con fecha de ayer : „ Ciaseeuente á las instrucciones que el Exorno. Sr. D. Joaquín Blake tenia d^das á I03 brigadieres D. José O irán y D. Juan Martin el Empecinado, avisa el primero desde el lugar de A«ca, con fecha de 25 de setiembre, hallarse reunidos am­ bos brigadieres con sus divluioaes, y con obras varias…</t>
  </si>
  <si>
    <t>, y otra compuesta de Jourdan, Danltanne y José. Pa* rece que las noticias recibidas fueron poco agradables: de G rada * laxara'avisaban haber vuelto D. Juan Martin el Empecinado i Sigüítíza, y que avanzaba hacia aquella ciudad por Torija y Bribuega, por lo cual se había mandado retirar la guarnieion de esta ú tiraa villa á G…</t>
  </si>
  <si>
    <t>el Marengo, Dantzick y</t>
  </si>
  <si>
    <t>Dantzick y el Marengo</t>
  </si>
  <si>
    <t>no hai ninguno Creían, de r8, capitán Paine; !a Primorosa, de que haya hecho tantas presas como el Duque de 18 | capitán Phillat ; el Osprei, de .18, capitán Dantzick y el Marengo. A bordo de una de ¡as Cliueh; el Raven, de 16, capitán Lennock; el embarcaciones apresadas por este último se li dia­ PrSspero, de 14 , capitán Go…</t>
  </si>
  <si>
    <t>el Q, Nicolás Otero</t>
  </si>
  <si>
    <t>Nicolás Otero el Q</t>
  </si>
  <si>
    <t>a admiración do iodos los hombres. ARTICULO DE OFhCIO. Navegando por al mar de las Antillas la goleta de guéíp. Fénix al mando del capitón de fragata D. Nicolás Otero el 2Q de j alio, se</t>
  </si>
  <si>
    <t>el Rei, María Luisa y</t>
  </si>
  <si>
    <t>María Luisa y el Rei</t>
  </si>
  <si>
    <t>ispersó otra vez á las guerrillas sin necesidad de Viva Napoleón 1, mediador de ¡a Suiza ! hacer grandes esfuerzos; pero la retaguardia de la Viva la Emperatriz María Luisa y el Rei de partida del Médico fue acuchillada. Roma ! El señor Carabclle, edecán del general Bigarré, ha manifestado mucho valor en esta orador, REINO DE…</t>
  </si>
  <si>
    <t>el Sabio, Alomo</t>
  </si>
  <si>
    <t>Alomo el Sabio</t>
  </si>
  <si>
    <t>as de D, Alonso el Sa­ bio. En consecuencia se autorizó á la real acade­ mia de la Historia para que llevase hasta el cabo Las siete Partidas del Rei D. Alomo el Sabio, tan ardua empresa. La academia inmediatamente cotejadas con varios códices antiguos por la puso en execucion quantos medios creyó oportu­ real academia de la …</t>
  </si>
  <si>
    <t>Elcjalde, Josef</t>
  </si>
  <si>
    <t>Josef Elcjalde</t>
  </si>
  <si>
    <t>lo , cretnms ona en­ D. Juan Sarriet. fermedad del día , es un achaque mui antiguo, que Subtenientes. «n tiempos mui remotos se llamó barbarie, y que D. Josef Elcjalde. después se disfrazó con el título pomposo de esco­ D. Auge! Scrmini. lasticismo!. Se cotejarían ios síntomas; se compa-</t>
  </si>
  <si>
    <t>Eldiaántes</t>
  </si>
  <si>
    <t>oiivr. — Oíos guar e á Vr. E. muchos anos Cañizares f febrero 26 de i8u. El Empecina­ do Exento. Sr. presidente y junta superior de Gaa :a t.x r.” P. D. Eldiaántes del ataque quese r ifiére, me acom-tiercn en Priego á h.s 5 ce la carie; pero por fjurcu.ia, cjino habían llegad» ya los 1 bat Uones de tirad eres y voluntarios y …</t>
  </si>
  <si>
    <t>Elias, Francisco</t>
  </si>
  <si>
    <t>Francisco Elias</t>
  </si>
  <si>
    <t>clics 2 artilleros, é igual maneto de heridos, siéndolo el teniente D. Pedio Casas, hermano del coronel, y el capellán del primer batallón do Ausona D. Francisco Elias, qne le fueron por su sobrado arrojo. — D os guarde á V. S. muohcn años. Cervtra 16 do octubre cl« 1811. — El barón de Eróles. — Sr. 1). Luis Lscy” Núva. I. ‘ …</t>
  </si>
  <si>
    <t>. Gaspar Corrochano , contador, IOS y 2 y medio. D. José Antonio Cerra , oficial de la contaduría , 41 y 5. D. José Her rera, defensor déla caxa, 50. D. Francisco Elias, escribano del juzgado, 83 y 2 y medio. D. José da Echa* arria, oficial de id., 95. D. Justo Mesdoza y Toledo , cobrador , 33 y 2 y medio. D. Alejandro Poquis…</t>
  </si>
  <si>
    <t>ÉLíIiard</t>
  </si>
  <si>
    <t>la lana la llevaban á loa lavaderos de th rra de Segóvia, y el ganado á las sierras de Burgos , y de allí, pasado el ve-rano., í Francia de órden del general ÉLíIiard. Al administrador de S. Femando se le ha ipandado aprontar, con. la mayor brevedad que le asa posible, todos los rendimientos de la labr.ní.za y demas produccio…</t>
  </si>
  <si>
    <t>Elio</t>
  </si>
  <si>
    <t>do algunos dispersos de Extrema­ Hemos recibido noticias del rio de la Plata de fe­ dura en Almodovar del Campo, siendo continua cha de 1de julio. El general Elio estaba sitiado en la deserción por el inal trato que experimentan ; y Montevideo, cuya plaza se resistia aun: de consiguien­ aun quando no lo asegurasen asi, se con…</t>
  </si>
  <si>
    <t>1277</t>
  </si>
  <si>
    <t>neLs con el conde deWallis. culares de su gobierno relativas a! estado actual de cosas.” GRAN BRETAÑA. noticias de oficio.. 'Londres 3 de octubre. El gobernador Elio ha envi.ido un parlamenta­ Una carta de Buenos-Aires del 13 de jolio di­ rio á Buenos- Aires para proponer un armisticio, ce lo siguiente : y hacer dimi ion de s…</t>
  </si>
  <si>
    <t>Elío</t>
  </si>
  <si>
    <t>1184</t>
  </si>
  <si>
    <t>r­ SS. MM. han salido de aqci esta mañana 4 las cial ; y en efecto fue enviado al Rio de la Plata 10. El camino estaba lleno de nn gentío inmenso, el general Elío, y á México el general Vemegas, en cuyos rostros se veia pintado, no ya el vivo en­ hombres valientes, pero violentes, que con sus tusiasmo que experimentamos á su …</t>
  </si>
  <si>
    <t>ncia entre 2 comisario* ministro cerca de la de Carkruhe, han prestado el de esta y otros 2 de Ello á hordo del Nereo. juramento en manos de S. M. El general Elio ha recibido víveres y aigunos Mr. Serra ministro plenipotenciario de Fran­ refuerzos. Por otra parte las tropas que la junta cia cerca de nuestra corte, ha sido nom…</t>
  </si>
  <si>
    <t>Elio, Xavier</t>
  </si>
  <si>
    <t>Xavier Elio</t>
  </si>
  <si>
    <t>811 Oficio. “Incluyo i vmd. él adjunto roamfí'sto del Excmo. Sr. viley de estes provincias D. Xavier Elio, por el cual son declarados traydores todos los que d^fbndan la causa de la subversiva junta de B kh.oü .Ayres. Si vrad. quiere evitar el ssr tintado como tal, solc le q:.’.eda c\ Medio de</t>
  </si>
  <si>
    <t>Elío, Xavier</t>
  </si>
  <si>
    <t>Xavier Elío</t>
  </si>
  <si>
    <t>n en 24 de setiembre del añ j próximo pasado. Con, efecto, luego que llegó esta plausible noticia, al mismo tiempo que la‘de la íkgada del Excmo. Sr. D. Xavier Elío, nom­ brado virey y capitán general de estas provincias, el ilustre cabildo del Paraguay le dirigió con fecha de 22 de marzo el oficio siguiente* en qui brdlan á …</t>
  </si>
  <si>
    <t>Elisagarate, José</t>
  </si>
  <si>
    <t>José Elisagarate</t>
  </si>
  <si>
    <t>6. Administración de correos. El administrador D. Antonio Canobas , 25Ó. El oficial mayor D. Miguel Rengil25. D. Francisco Cosgaya , subalternó, 10, D. José Elisagarate , id., 10. En la jgaceta niím. 12 de! sábado i 6 ¿e enero último, se padeció la equivocación de llamar partida deD. Antonio Veas, á la que sostuvo las accione…</t>
  </si>
  <si>
    <t>Elizalde, Pió</t>
  </si>
  <si>
    <t>Pió Elizalde</t>
  </si>
  <si>
    <t>E¡ 17 marcharon nnestras tropas á Ubríque, y partida, todos los papeles del comisario insurgen­ destruyeron varios almacenes de todas especies, y te D. Pió Elizalde , á quien dicen hirieron grave­ diferentes talleres para la composición de armas y mente en su huida , y que murió de sus resultas monturas. El enemigo perdió tam…</t>
  </si>
  <si>
    <t>Elizarde, Juan Luis</t>
  </si>
  <si>
    <t>Juan Luis Elizarde</t>
  </si>
  <si>
    <t>n de Osuna, 10. D. Pedro Chiquete, 40. Don Vicente Osuna , 10. Varios individuos, 8G y 2 rs. — S. Ignacio. El subde­ legado D, Francisco Figueroa, G. D. Juan Luis Elizarde , 25. Doña Manuela Elizarde , 25. D. Macedonio Laranaga, 10. D. Juan José Padilla, 25. D. Xa­ vier Manj arres , 10. D. Ignacio Ramírez, 10. 1). Urbano Ibar…</t>
  </si>
  <si>
    <t>Elizarde, Manuela</t>
  </si>
  <si>
    <t>Manuela Elizarde</t>
  </si>
  <si>
    <t>quete, 40. Don Vicente Osuna , 10. Varios individuos, 8G y 2 rs. — S. Ignacio. El subde­ legado D, Francisco Figueroa, G. D. Juan Luis Elizarde , 25. Doña Manuela Elizarde , 25. D. Macedonio Laranaga, 10. D. Juan José Padilla, 25. D. Xa­ vier Manj arres , 10. D. Ignacio Ramírez, 10. 1). Urbano Ibarra , 10. Va­ rios individuos…</t>
  </si>
  <si>
    <t>Elizdde, Luis</t>
  </si>
  <si>
    <t>Luis Elizdde</t>
  </si>
  <si>
    <t>unciones piadosas del santo padre, y sus D. Felipe-Alvarez................ ........... 12003 28 conferencias con el clero; sus relaciones con los em­ D. Luis Elizdde por mano de su pleados públicos, tos sabios y los artistas ; y sus visitas apoderado D. Juan Bautista Goi* Á varios museos', monumentos de artes, manufacturas ti…</t>
  </si>
  <si>
    <t>Elizondo</t>
  </si>
  <si>
    <t>de 20 hombres, mandados por un asesino nombrado Mar roquín, marchaba con las armas presentadas, á quienes luego que llegaron al punto donde estaba el comandante Elizondo, se les intimó que se rindiesen, y lo verificaron sin re­ sistencia. Reunidos en ua punto toda la gabilla de les perversos insurgentes de que queda hecha irf…</t>
  </si>
  <si>
    <t>Elizondo, José María</t>
  </si>
  <si>
    <t>José María Elizondo</t>
  </si>
  <si>
    <t>zondo, 200. D. Nicolás Elizondo, 25. D. Vicente de los San­ tos , 25. D. Santiago Fernandez, 12. D. Juan Casimiro, 10. D. José María de la Garza, 10. D. José María Elizondo, 20. Varios indivi­ duos, 15.— Villa del Saltillo. D. Francisco Antonio Farias , 50. Don Cristóbal Rodríguez, 5. D. Juan Bautista Chacón, 25. D. Manuel Al…</t>
  </si>
  <si>
    <t>Elizondo, Nicolás</t>
  </si>
  <si>
    <t>Nicolás Elizondo</t>
  </si>
  <si>
    <t>a de Encinas. T). José Mariano Vázquez, 50. D. Atanasio Bor­ rego , 50. Varios individuos, 38 y 4 rs.—Hacienda del Alamo. D. Ig­ nacio Elizondo, 200. D. Nicolás Elizondo, 25. D. Vicente de los San­ tos , 25. D. Santiago Fernandez, 12. D. Juan Casimiro, 10. D. José María de la Garza, 10. D. José María Elizondo, 20. Varios indi…</t>
  </si>
  <si>
    <t>Elliot</t>
  </si>
  <si>
    <t>nos quedarán espe­ aduana las facturas de sus cargamentos , han sido ranzas de defenderá Lisboa, y mucho menos la enviados á Maldonado de &lt;5rden del capitán Elliot, península. (Marning chronicle.) comandante de la fragata Porcupina, el qual ha­ En un diario de esta mañana se lee el artículo bía ¡do á quejarse del gobierno por…</t>
  </si>
  <si>
    <t>Elo</t>
  </si>
  <si>
    <t>22 de diciembre ,, Nuestro encargo es sostener al batallón de ca­ Un brick ingles de 12Ó toneladas ha dado á la zadores portugueses á l*s órdenes del coronel Elo- costa esta tarde cerca de este puerto. Este barco ler, que está destinado para defender por encima no tenia tripulación, y estaba desmantelado. de Ponte y de Cleris…</t>
  </si>
  <si>
    <t>Elucher</t>
  </si>
  <si>
    <t>ob-noticia de una carta ds Francfort, de 12 de octubre, y se conjetura que este graa cuerpo debe ir a Es­ paña.! reemplazar las tropas francesas, SI general Elucher pasó por aquella ciudad con dirección £ París. „En tal estado de c©sas, ¿que partido tomará la Pmsia, situada como está entre'dos grandes cuerpos, cuyo pt£© y enc…</t>
  </si>
  <si>
    <t>Elvira</t>
  </si>
  <si>
    <t>ones......................... 94i amor del Hipócrita; todo el papel de Juana ; va­ Certificaciones del tesoro público........ . 7H rios trozos del de Doña Elvira, y en general el de Acciones del Banco nacional de S. Carlos D. Simplicio. Idem de la Compañía de Filipinas............ Oro español contra piara.....................…</t>
  </si>
  <si>
    <t>Emeriau</t>
  </si>
  <si>
    <t>meros resultados. edad. ■ Ha sub'ido extraordinariamente el valor de las Tolon 28 de agosto. . tierras en.la Gale' meridional; una posesión.que.el El conde Emeriau , contra-almira3tef,'coman-* año 1796 se vendió en el Carmathenshire en 540 dante de la esquadra del mediterráneo, hombrado libras ester inas; acaba de venderse ah…</t>
  </si>
  <si>
    <t>Emparan</t>
  </si>
  <si>
    <t>Gaceta de Madrid n.º 317</t>
  </si>
  <si>
    <t>cherado eu las gargan­ tas del mar, y adornadas con estaruts y arbustos tas de las montadas, recortados en mil formas difereores. No solo estaa », El general Emparan se ha avistado en Méxi­ pintadas las tablas , las celosías y todo lo qne es co con el vire!, con quien ha tenido largas confe­ madera, sino que hasta la baxilla …</t>
  </si>
  <si>
    <t>Emparan, Miguel</t>
  </si>
  <si>
    <t>Miguel Emparan</t>
  </si>
  <si>
    <t>scuadro­ nes1 del de S. Luis, un piquete del de Querétaro, y 4 escuadrones de lanceros con z cañones de artillería de caballo á las órdenes del señor D. Miguel Emparan: la de la izquierda compuesta de 3 escuadrones de provinciales de Puebla, y el cuerpo de caballería de frontera de la Colonia al mando del señor ccconel D. Man…</t>
  </si>
  <si>
    <t>Empecinado</t>
  </si>
  <si>
    <t>Se avistó la avanzada del refuerzo que venia de Zaragoza, en número de 200 infantes , 50 co­ raceros. y húsares, á una legua de la ciudad, y salió el brigadier Empecinado con el primero y segundo escuadrón de Guad&amp;laxara, tiradores de Sigüenzá y voluntarios de Ga&amp;dalaxara. A poco rato se ' mandó volver á éste batallón, y sigu…</t>
  </si>
  <si>
    <t>EmpéradoK</t>
  </si>
  <si>
    <t>or sus vistosos jardines, ha sido mi­ ,, Recibid &amp;c. &amp;c.” rado háhta^alibMf como uii patrimonio”'personal del El dia 18 de este/nies tomó posesión el conde EmpéradoK-^eha nombrado una comisión para Schulembourg Einde-m en nombre de S, M. e¡ Reí discDtírieM*i&lt;derecho , y h&gt; declatado que este si­ de W^estfdia de 'os pm btos de…</t>
  </si>
  <si>
    <t>En, Antonio</t>
  </si>
  <si>
    <t>Antonio En</t>
  </si>
  <si>
    <t>os, y el sai­ juntas se formarán tres compañías. nete el Duende fingido. D. JosefCustodio queda nombrado comandan­ te; D. Antonio Aguacil ayudante, y D. Antonio En el mismo teatro, á las siete de la noche, se eje­ Gutiérrez abanderado. cutará la comedia de figurón en tres actos titulada El Asimismo quedan nombrados para capit…</t>
  </si>
  <si>
    <t>En, Jo</t>
  </si>
  <si>
    <t>Jo En</t>
  </si>
  <si>
    <t>urgos Extracto de las minutas de la secretaría de el regocijo y satisfacción que experimentó eo los Estado. días de nuestro católico Monarca el Señor D. Jo- En nuestro palacio de Madrid á 16 de abril sef Napoleón X. de 1811. El 18 á las seis de la mañana fue annnciada es­ Don Josef Napoleón por la gracia de Dios y ta festivid…</t>
  </si>
  <si>
    <t>s, at presbítero* ex-mercenario calzado D/^Mcent# Gil. Para el de Montillana , vacante por renuncia de xvrso. D. Francisco Pedro Casanova, al diácono D. Jo­ En virtud de real decreto de S. M. se venden las sef Sánchez ‘Barrionuevo. tierras sitas en término de Vallecas, que son las siguien­ Para el de Murtas y Mecina de Tedel,…</t>
  </si>
  <si>
    <t>En, Juan Francisco Gavino de la Pre</t>
  </si>
  <si>
    <t>Juan Francisco Gavino de la Pre En</t>
  </si>
  <si>
    <t>D. Joaquín de Tudela........................... 361 1 D. Francisco Antonio de Belaunde... 1083 Extracto de las minutas de la secretaría de Estado. 2 D. Juan Francisco Gavino de la Pre­ En nuestro palacio de Madrid á 10 de diciembre de 1811, silla..................................................... ' 541 17 Don JosefNapoleon …</t>
  </si>
  <si>
    <t>En, Mar</t>
  </si>
  <si>
    <t>Mar En</t>
  </si>
  <si>
    <t>ayudante segundo, en la vacante de D. Francisco Barsanti. D. Camilo González, subteniente, á teniente AVISOS. de la tercera compañía, en reemplazo de D. Mar­ En virtud de providencia del Sr. D Juan Bautista tin de Azcue. Guitart de 25 del corriente se ha mandado volverá D. Manuel Lucio Gutiérrez, sargento primero, publicar la…</t>
  </si>
  <si>
    <t>En, Na</t>
  </si>
  <si>
    <t>Na En</t>
  </si>
  <si>
    <t>Gaceta de Madrid n.º 51</t>
  </si>
  <si>
    <t>202</t>
  </si>
  <si>
    <t>esean-mas que ma, y que el total está destinado para la ciudad ocasiones de medir su* fuerzas con las del enemigo. de Jen i. Este es un regalo que el Emperador Na­ En estos últimos dias ha recibido varias refuerzos poleón hace á aquella ciudad , para indemnizarla de bergantines y de otros buques ligeros. Se asegu­ de lo que p…</t>
  </si>
  <si>
    <t>Enchino, Alfonso</t>
  </si>
  <si>
    <t>Alfonso Enchino</t>
  </si>
  <si>
    <t>inado. Pero mi división dé la izquierda malogró en parte la operación , porque po hasta las tapias de la Membrilla, donde fué hecho prisionero por el soldado Alfonso Enchino. Reforzados ellos por 200 caballos me, re­ tiré, dexanlo en el campo 19 cadáveres enemigos, y U ?vácdcme 2 prisioneros 9 caballos, con otros tantos sable…</t>
  </si>
  <si>
    <t>Enco, Cristóbal</t>
  </si>
  <si>
    <t>Cristóbal Enco</t>
  </si>
  <si>
    <t>Paula Pavía, sargento mayor del regimiento da infantería provincial de Traxiiio : los de sargentos mayores, en el batallón de tiradores de Castilla Á D. Cristóbal Enco­ var, capitán del de voluntarios de Navarra; en el segundo de vo­ luntarios de Cataluña, á D. Félix Sala, capitán del mismo cuerpo; en eí regimiento de infante…</t>
  </si>
  <si>
    <t>Enga</t>
  </si>
  <si>
    <t>acertado fuego que le hizo la división del mayor Housten. En esta ocasión observé partí cu'ár­ mente-.que los-’cazadores británicos , mandados por el coronel Enga­ ce, se portaron con mucha firmeza; y el mayor general I'loustoa elogia con encarecimiento la bizarra conducta de urs dcstc^ amanto dé infantería ligera del cuerpo …</t>
  </si>
  <si>
    <t>Engelhardt</t>
  </si>
  <si>
    <t>ta de la corre¿ de la acción que hobo el dia 26 de agosto á orillas del rio Looi, y enfrente 'GRAN BRETAÑA. de la isla fortificada que hai en él. „EI teniente coronel Engelhardt pasó á la isla á las 3 de la tarde con 800 hombres de infantería, Londres de noviembre. y parte de nuestra flotilla, y se apoderó de la par­ te super…</t>
  </si>
  <si>
    <t>Engelhart</t>
  </si>
  <si>
    <t>Gaceta de Madrid n.º 270</t>
  </si>
  <si>
    <t>ba ¿tienfermos rosos. Entre los? oficiales' suí^érióVes' &lt;j’úéf clonando áfilos demasiado. han sido heridos en la última batalla se halla el BAVIERA. general Engelhart. EJ.qnartel general .rttsoperm»nece en Bacharest. Munich 2 r de agosto. Según carras' de-ConfctarvtinopIael caprtao-ba- En la gazeta del gobierno se ha publica…</t>
  </si>
  <si>
    <t>England</t>
  </si>
  <si>
    <t>es 25 de diciembre. El 18 de este mes desembarco en Plimouth, procedente de Malta, Luciano Bonaparte con su muger y 7 hijos. El almirante Calder y el general England los conduxeron en sus coches desde el muelle á la posada. f)e Plimoutb se trasladarán á Linares, casa de campo del conde de Powis en el condado de Mont. gomery. …</t>
  </si>
  <si>
    <t>Enmienda</t>
  </si>
  <si>
    <t>698</t>
  </si>
  <si>
    <t>la pazvde sobre las resoluciones propuestas por Mr. Vatt- Amiens es posterior á la citada suspensión. sittart el dia 28 de abril último, y relativas d Enmienda ai mím. 6.° Que ea el periodo de las especies de oro y de plata acuñadas ó sin 7Í años concluidos en i.° de enero de 1796, y ea acuñar, y al cambio. el intervalo entre…</t>
  </si>
  <si>
    <t>Enri</t>
  </si>
  <si>
    <t>a, 25. IX Francisco Villegas, 17. IX Juan Sánchez, 17. IX Antonio Cosío, 20.1). Ma­ nuel de Celis , 20. D. Joaquín Muza, 34. D. Valentín González, 6. D. Enri­ que Perez Lastra , 20. D. Andrés Cacho de Herrera , 100. D. Santiago Diego García, 102. Doña Rita Tixero, 51. D. Patricio José Gómez , 17. D. Vicente Samper, 20. D. Ped…</t>
  </si>
  <si>
    <t>Ensebio</t>
  </si>
  <si>
    <t>ndréis io necesario á su cumplimien­ to. Joaquín Blake, presidente.-—Pedro de Agar.— Gabriel Ciscar.— En la Real Isla de León á 5 de enero de 1811.—A D. Ensebio llar? daxí y Azara.” Otro decrete. “Habiendo llamado muy particularmente toda la soberana atención de las Cortes generales y extraordinarias los escandalosos abusos q…</t>
  </si>
  <si>
    <t>Entre</t>
  </si>
  <si>
    <t>angeros. Él p íncipe Ctsi niro Lubnmmki ha sido nom­ JDet 22. brado gentilhombre de S. M. I., y gobernador ci­ vil d&lt;- Twer el principe Schachowskji, consejero Entre los extrangeros qne han venido poco de Estado. tiempo há á Viena se cuentan el príncipe Bar a™ POMER.ANIA. t'U'ki, ministro de RuSia cerca de la corte de BaStrai…</t>
  </si>
  <si>
    <t>er punto. Parts \.° de julio. SUECIA. S. M. el Emperador y Rei dio ayer audiencia Estockohno 13 de junio. en el palacio de las Tuberías al Excmo. Sr. duque Entre las pinturas de la academia de las artes, del Campo de Alange, embaxador de S. M. el Rei que han estado expuestas últimamente á la vista de España, el qual presentó …</t>
  </si>
  <si>
    <t>Eraacisca</t>
  </si>
  <si>
    <t>o próximo pasado fue perador. celebrado el matrimonio del príncipe Henrique de Escriben de Saratof, en Astracán , que á fines Reuss-Lobenstein coa la princesa Eraacisca de de marzo, en cuyo tiempo se goza ya por lo co­ Reuss-Kasestrig. mún en aquel país de ia estación de la primavera, cayó una oevada tan terrible, que muchas …</t>
  </si>
  <si>
    <t>Erai-c, José</t>
  </si>
  <si>
    <t>José Erai-c</t>
  </si>
  <si>
    <t>214</t>
  </si>
  <si>
    <t>e coronel D. Tomas Gar­ cía , comandante de! extinguido tercio de la Seu de Urgel : al tenien­ te coronel D. Edmundo Roña , capksn del de Ultonia : á D. José Erai-c espitan del de Soria : al teniente coronel D, Ramón Sureia, sargento mayor, deí de Baza : y con agregación al primer exército al teniente coronel D. Gerónimo &gt;de.…</t>
  </si>
  <si>
    <t>Erlon</t>
  </si>
  <si>
    <t>Gaceta de Madrid n.º 74</t>
  </si>
  <si>
    <t>llos fuertes y misarios ordenadores y de guerra desde la publica­ Sanos. ción de este decreto será casaca azul celeste, con El día 26 de diciembre el conde Erlon se re­ forro del mismo color, vuelta y cuello encarnado, unid con so segunda división al exército de Por­ y un bordado de plata representando espigas y ra­ tugal , e…</t>
  </si>
  <si>
    <t>Eróles, Je</t>
  </si>
  <si>
    <t>Je Eróles</t>
  </si>
  <si>
    <t>*91 El barón Je Eróles consiguió otras ventrjrs el n y it Je abril, y finalmente la sorpresa del casciilo de S. F¿rn;nío de Fogueras ha co­ ronado los deseos y esfuerzos de los fieíes catalanes. — Las noticias Je Aragón l egan af 20 * y Jas de Valencia al</t>
  </si>
  <si>
    <t>Erskine</t>
  </si>
  <si>
    <t>eral Pack y la caballería: las ctras tropas formaban ia reserva. — El puesto del pinar sobre la derecha del enemigo, fué primero forzado por el mayor general Erskine con la divbion ligera. Entonces pudimos formar las tropas'en la llanura á la otra parte del de? filadc ro : al mismo pasóla tercera división del mando dJ rcryor …</t>
  </si>
  <si>
    <t>Erskine, Carlos</t>
  </si>
  <si>
    <t>Carlos Erskine</t>
  </si>
  <si>
    <t>ticia del nacimieoto de protestado contra esta resolución, aprobada por la S. M. el Reí de Roma. mayoría de la dieta, y han presentado so protesta El cardenal Carlos Erskine, natural de Esco­ al Rei al mismo tiempo nu1* la dieta prest .u&lt;S su cia , falleció en esta capital el 19 del corriente , y resolución. Los cabildos de M…</t>
  </si>
  <si>
    <t>Erskine, Sir Guibermo</t>
  </si>
  <si>
    <t>Sir Guibermo Erskine</t>
  </si>
  <si>
    <t>a deí Cuervo, sino también en otras cualesquiera que pudiese tomar déla parte de aeí del ■Ceira.. La división de tropas ligeras, mandada por el mayor general Sir Guibermo Erskine, había tenido orden de apoderarse de algunas délas alturas situadas inmediatamente sobre la Foz de Arouce, mientras que la división del mayor genera…</t>
  </si>
  <si>
    <t>Erskine, Sir Guillermo</t>
  </si>
  <si>
    <t>Sir Guillermo Erskine</t>
  </si>
  <si>
    <t>l mariscal B’resford, así como de la que con este motivo ha escrito el coronel Grant. — Igualmente hilhrá V. E. inclusas las copias dé los partes del general Sir Guillermo Erskine que manda los puestos avanzados del ala izquier­ da d-a exé c to, que confirman haber sido hecho prisionero el ¿ ya­ cíante de órdenes del general …</t>
  </si>
  <si>
    <t>ra el puente; en el momento mismo llegó el mayor gene­ ral Campbell con el regimiento 36 y los batallones ligeros de la quinta división, que el mayor general Sir Guillermo Erskine habla destacado de Aldea del Obispo para Barba del Puerco, luego qus oyó que el enemigo habia salido de Almeyda. Sin embargo el enemigo ha sufrido …</t>
  </si>
  <si>
    <t>Erskint</t>
  </si>
  <si>
    <t>onde la malina del 12 le atacaron 1500 enemigos, pero fueron puestos en fuga con pérdida da 7 muertos: los heridos los llevaron consigo. El parte del general Erskint se reduce á que el alférez Slreerubitz se conduxo con mucha inteligencia en el encuentro que tuvo cerca de Alcañede con las patrullas francesas, á quienes hizo p…</t>
  </si>
  <si>
    <t>Ersklne, Sir Guillermo</t>
  </si>
  <si>
    <t>Sir Guillermo Ersklne</t>
  </si>
  <si>
    <t>(ÜO (i La sexta división volvió para cubrir el bloqueo de la plaza de Almeyia en la tarde de aquel día, y se determinó que el general Sir Guillermo Ersklne enviase un batallón á Barba del Puerco á fin de guardar el puente que hay en aquel punto; este mismo batallón ha­ bla sido anteriormente enviado á apostarse eu el lugar , …</t>
  </si>
  <si>
    <t>Erskme, Sir Guillermo</t>
  </si>
  <si>
    <t>Sir Guillermo Erskme</t>
  </si>
  <si>
    <t>407</t>
  </si>
  <si>
    <t>que el enemigo se había retirado con tanta precipitación de la Moita, continué en perseguirlo con la caballería y división ligera al maneta del mayor general Sir Guillermo Erskme, sosteniendo dichas, tropas, en la derecha del Mondego con la tercera y sexta división de infantería, y con las milicias, mandando que el resto del …</t>
  </si>
  <si>
    <t>Ertireque</t>
  </si>
  <si>
    <t>1239</t>
  </si>
  <si>
    <t>ión, quien por no entristecer á la gazeta de la regencia del 3 del corriente de los sus co. '.ciudadanos, ocultábalas noticias ciertas que partes del general Ertireque ,,los enemigos habían tenia de este suceso, dexando al gobierno el cui­ iK-mpieado 12© hombres contra la posición del dado de laxarle en su verdadero lugar , i…</t>
  </si>
  <si>
    <t>Eru, Gregor</t>
  </si>
  <si>
    <t>Gregor Eru</t>
  </si>
  <si>
    <t>662 Parte primero: de D. Gregor** Eru^haga al coronel D. Francisco Espoz.— Galipienzo 15 de abríi de 1811. ; Ei haberme internado va Aragón hasta las cercanías de Z *rr goza, coa los 2 batallones 1 ,Q y 2.% y caballería, obligó á los enenrig s á</t>
  </si>
  <si>
    <t>Eruchaga, Gregorio</t>
  </si>
  <si>
    <t>Gregorio Eruchaga</t>
  </si>
  <si>
    <t>biendo salido á las inmediaciones del pueblo para romper la marcha hácia Lumbier, guarnecido por rrí\ fueron atacados por los comandantes del Scgunuo D. Gregorio Eruchaga, y del tercero D, Lucas Gcrriz , á cu­ yo tiempo juzgué imputante y necesario manda: que la inf.nt ria de mi mando bat ese v va mente y con el m yor orden, …</t>
  </si>
  <si>
    <t>ovecharse de aquella noticia , y del silencio de la noche para sorprehenderlos en inacción ; mas la vigilan­ cia de los segundes gefes de la división D. Gregorio Eruchaga, y D. Lu­ cas Gorriz , pudo evitar las consecuencias que podían seguirse. Llega­ ron á noticia del enemigo las disposiciones de estos gefes , y desistie­ ro…</t>
  </si>
  <si>
    <t>310</t>
  </si>
  <si>
    <t>ar.cj* de 3 horas de la posición qae debía tomar para atacarlo* pero Sin re­ parar en inconvenientes, y encargando al comanda are S8g$3j¿9 ba­ tallen D. Gregorio Eruchaga de mi infante:íi., me pase «en mt-fGk.* eoj» la caballería y 2 compañías de infantería pfcpt apoderarme de la V*flr guardia. En efecto se -emprendió el.-mas…</t>
  </si>
  <si>
    <t>ángel de las victorias que mi divi­ sión no le temía , á pe¿af de lo decantado de sus triunfos. En Orbizni quedó con alguna indisposición mi segundo D. Gregorio Eruchaga: este valiente soldado, y digno comandante de mi divisi^r, se ha­ llaba días había enfermo; pero su ardor militar, que á todo trance le conduce á la campaña,…</t>
  </si>
  <si>
    <t>Es, Francisco</t>
  </si>
  <si>
    <t>Francisco Es</t>
  </si>
  <si>
    <t>gobernador: Sr. D. Joaquín Navarro: hallándome enterado da Para arreglar el asunto á que fui venido necesito al­ los oficios que por insinuaciones de D. Francisco Es­ gunos días mas de tiempo, pues las dificultades son mas poz han mediado entre la ilustrísima diputación, V. S. «le las que me había prometido. Sin embargo, espe…</t>
  </si>
  <si>
    <t>Esca, Claudio</t>
  </si>
  <si>
    <t>Claudio Esca</t>
  </si>
  <si>
    <t>rse* á pesar di ViVo fuego que le h clan , del molino llamado de iá Horca, puntó muv interesante para observar sus movimientos El escuadrón que manda D. Claudio Esca­ lera que ocupaba la derecha , env ó otra.guerrilla que unida á otra ter­ cera que env-ó Díaz por e! centro con el objeto de llamar ai enemigo* no pudieron en to…</t>
  </si>
  <si>
    <t>Escalena, José María</t>
  </si>
  <si>
    <t>José María Escalena</t>
  </si>
  <si>
    <t>ir al pueblo ,1,y que se han hecho dignos ds la gratitud de la patria por tan señalado servicio, son: el R. P. Fr. Miguel Vazquez , cura del partido, D. José María Escalena, encargado de justicia, D. José Francisco Subori, D. José Santander, D. Francisco Solis, D. Pedro Zsvala, D. Juan Romero, D. Ignacio Hsrrera, D. Miguel Es…</t>
  </si>
  <si>
    <t>Escalera, Antonio María</t>
  </si>
  <si>
    <t>Antonio María Escalera</t>
  </si>
  <si>
    <t>l Corral. este puerto tienen que ir con cuidado para no D. Josef Rodríguez. tropezar con el enemigo. Subtenientes. IMPERIO FRANCES. D. Josef Galindo. D. Antonio María Escalera. Corfú. 24 de enero. D. Pablo del Corral. Las fragatas Paulina y la Témis han llegado i art. iv. En la villa de Castilleja de la Cues­ esto puerto. El …</t>
  </si>
  <si>
    <t>Escalera, Francisco</t>
  </si>
  <si>
    <t>Francisco Escalera</t>
  </si>
  <si>
    <t>ismo quedan nombrados capitanes y ofi­ ciales de las tres compañías los individuos si­ REINO DE ITALIA. guientes : Capitanes. _ Ve necia tC de enero. D. Francisco Escalera. Hace algunos dias que cruza entre nuestro puer­ D. Josef Escalera. to y el de Trieste una esqoadriüa inglesa com­ D. Joaquín Peñaranda. puesta de tres fra…</t>
  </si>
  <si>
    <t>Escalera, Joaquín</t>
  </si>
  <si>
    <t>Joaquín Escalera</t>
  </si>
  <si>
    <t>o que es leal pro­ instancia de Ciudad-Real, y proveer esta última cura iospirar á los demas ios' sentimientos de que plaza, qua resulta vacante , en D. Joaquín Escalera. él está animado. Las observaciones siguientes sobre la proclama del señor Pole y sobre sus consecuencias han si­ TSATKC3. do extractadas del Dubltng- Evenin…</t>
  </si>
  <si>
    <t>Escalera, Josef</t>
  </si>
  <si>
    <t>Josef Escalera</t>
  </si>
  <si>
    <t>individuos si­ REINO DE ITALIA. guientes : Capitanes. _ Ve necia tC de enero. D. Francisco Escalera. Hace algunos dias que cruza entre nuestro puer­ D. Josef Escalera. to y el de Trieste una esqoadriüa inglesa com­ D. Joaquín Peñaranda. puesta de tres fragatas y algunos boques pequeños Tenientes. de guerra. No por esto se ha …</t>
  </si>
  <si>
    <t>go Josef de Casas.................. 3700- 8f D. Santiago de Abarrategui............. . 7J3I” 7 D. Francisco Meruendano...................... 2707..17 D. Josef Escalera.................................... . 1Q4f D. Andrés de Abrisquieta por sí, y á Doña María Tournier.................................... 872 nombre de otros int…</t>
  </si>
  <si>
    <t>oyos Cevaüos....... *3*7 das y de las Indias. 1980 D. Rafael Reinal te......................... 4569 16 vistas las 37 consultas de la comisión de li­ D. Josef Escalera............................ quidación de la deuda del estado, lo expuesto'por 11290 29 Ei marques de Salinas...... *............. 10271 3® nuestro ministro de …</t>
  </si>
  <si>
    <t>Escapa, Gasnar</t>
  </si>
  <si>
    <t>Gasnar Escapa</t>
  </si>
  <si>
    <t>dauitía3 primera y segunda á D. Francisco Trespalacios y Don Joaquín O'lviras; tenencias á D. Francisco Cano, D. Benjamín D woia, D. Ensebio F reyre, D. Gasnar Escapa, D. Benjamín Barríe, D. Pedro Sánchez, D. Joan Zaldivar, D. Manuel Zeldivar, í). Mdro Caballero, D. Bernabé Santibañ***,- D. Manuel de Vargas y ü. Joan Dow.de B…</t>
  </si>
  <si>
    <t>Escardó, Antonio</t>
  </si>
  <si>
    <t>Antonio Escardó</t>
  </si>
  <si>
    <t>r de Aranzarnendi , 203 y 6. D. José Geipi , 38. D. Juan Soler, 30. Francisco Aguerra,# 80. D. Andrés Gonza’ez , 40. D. Juan-Mayvnó y compañía , 150. D. Antonio Escardó , 70. D, Francisco Puche , 50. D. ¡Miguei l’orrens, 100. D. Feliciano Válls, 40. D. Pascual Este vez , 44. José Aliguel Andino, 502. D. Manuel González , 30 y…</t>
  </si>
  <si>
    <t>Escardo, José</t>
  </si>
  <si>
    <t>José Escardo</t>
  </si>
  <si>
    <t>Pedro Sorela, 200. D. An­ tonio Faxas , 500. D .Joíé Moda , 300. 1). Pedro Perato, lOoO. D. Bernardo• A'uevo-Iglesias , 30,0. D. Joaijuin Bucet. 600. D. José Escardo , 1000. D.Juaa . Xovato , 500. JD. Tomas Ravina, ¿00. D. Luis de Gárgol lo, 1000.1). Fernán*dp.de Gárgol ío, 200. ÍJ. Dionisio Garda de Ugaríc ,800. D. José Diez…</t>
  </si>
  <si>
    <t>EscarníHa, Miguel</t>
  </si>
  <si>
    <t>Miguel EscarníHa</t>
  </si>
  <si>
    <t>scalena, encargado de justicia, D. José Francisco Subori, D. José Santander, D. Francisco Solis, D. Pedro Zsvala, D. Juan Romero, D. Ignacio Hsrrera, D. Miguel EscarníHa, D. José Francisco López , D. José Francisco Hernández , Don Manuel Güemes, y el indio Juan Lázaro , que tuvo una parte con­ siderable en esta gloriosa empre…</t>
  </si>
  <si>
    <t>Escasi, Luis</t>
  </si>
  <si>
    <t>Luis Escasi</t>
  </si>
  <si>
    <t>nzález y D. Carlos Malagamba ; ayudantía á D. Diego Rodrigues; tenencias ú D. Juan Bsojkmcda, D. José García de! jl rdo, L). u*.sé ivieicuor García y D. Luis Escasi; y subtenencias á D. Rafael R osead e 5 Don Manuel Vazpiez, D. Juan Márquez y D. Marcos B¿v¿.</t>
  </si>
  <si>
    <t>Esccsura, Francisco Huerta y Don Manuel</t>
  </si>
  <si>
    <t>Francisco Huerta y Don Manuel Esccsura</t>
  </si>
  <si>
    <t>encarg mióte el de la puerta y I MCma. cié esta al teniente de ia compañía d* E-tepo'-v D. Ju..n Bomra, y ios otro? á los de igual clase del L-íLato, D. Francisco Huerta y Don Manuel Esccsura.</t>
  </si>
  <si>
    <t>Escobosa, Bernabé</t>
  </si>
  <si>
    <t>Bernabé Escobosa</t>
  </si>
  <si>
    <t>acinto Vatiz , 120. El subdelegado D. José Corde­ ro, 25. El tesorero interino D. Manuel Bailo , 20; El contador interino Don Francisco Vázquez , 20. D. Bernabé Escobosa , 6. D. José Banga, 100. Don Nicolás Gaxioía , Í26y2rs. D, Ventura Vatiz ,. 10. D. ManueT González, 100. El ensayador D. Agustín Aguilar , 100. Su teniente D…</t>
  </si>
  <si>
    <t>cia, 10. D. José López, 20. D. Ignacio Noriega , 8. D. Manuel Bailo , tesorero interino de la real caxa de Cósala, 120. D. Martin Vázquez Franco, 80. D. Bernabé Escobosa, 20. D. Fran­ cisco Lascuraiiv, 12. El subdelegado D. Manuel Sebeas, 30. D. Juan Ven­ tura Vatiz, 25, El presbítero D. Manuel de la Flor, 12. Diario de las d…</t>
  </si>
  <si>
    <t>Escribá, Joaquin María</t>
  </si>
  <si>
    <t>Joaquin María Escribá</t>
  </si>
  <si>
    <t>tenien­ te de infantería ccn sueldo de tal, y á los cadetes del mismo regi­ miento de guardias Españolas D. Manuel Barry, D. Manuel de San Llórente , D. Joaquin María Escribá , D. Ambrosio María Salazar y P, Francisco López Pinto. El Consejo de Regencia se ha servido conceder los empleos de ayu­ dantes segundos en el estado m…</t>
  </si>
  <si>
    <t>Escu, Fernando</t>
  </si>
  <si>
    <t>Fernando Escu</t>
  </si>
  <si>
    <t>. José Banga, 100. Don Nicolás Gaxioía , Í26y2rs. D, Ventura Vatiz ,. 10. D. ManueT González, 100. El ensayador D. Agustín Aguilar , 100. Su teniente D. Fernando Escu- * dero , 50. D. Miguel ítoncal , 5. — IMaioya. El cura D. Isidro Camacho , 10. El subdelegado D._ Francisco Padilla , 20. D. Salvador Padilla , 25. Varios (2) …</t>
  </si>
  <si>
    <t>Escudero, Jorge Francisco</t>
  </si>
  <si>
    <t>Jorge Francisco Escudero</t>
  </si>
  <si>
    <t>ha D. Genaro Abad , sargento primero , á subte­ ele tener. niente de la ocr-iva compañía, eo la vacante de También siguen abriéndose con suma activi­ D. Jorge Francisco Escudero. dad, l .s z ri jas para los cimientos dei palacio del Reí de Roma , que va á construirse en ChaUlot» Séptimo batallón. enfrente del puente de Jena. …</t>
  </si>
  <si>
    <t>Escudero, Josef María</t>
  </si>
  <si>
    <t>Josef María Escudero</t>
  </si>
  <si>
    <t>ovido perdonado cuidado ni esmero, ni tiempo, ni gas­ D. Joaquín López á ayudante en reemplazo tos, ni víages p.ara perfeccionar los talentos y Ja de D. Josef María Escudero. fuerza de su ahijado. aut. 11. En la milicia cívica de la villa de Es­ ,,Concluyóse aquel dia con regocijos al uso del tepa queda igualmente promovido p…</t>
  </si>
  <si>
    <t>Esiaracbe, Domingo</t>
  </si>
  <si>
    <t>Domingo Esiaracbe</t>
  </si>
  <si>
    <t>obus , 62 v 6 rs. D. José Ferrer, 75. IX Matias Rere/., 50. D. Gaspar Bavi , 50. D- Jaymc Pont, 50. I). Juan Plá , 35 y 5 rs. D. Santiago Parodi, 30. D. Domingo Esiaracbe , 60. D. Domingo íJarcia , 45 y 3 rs. D. Francisco Grana, 52 y 2 D. Pedro "Rumen , 183 y 3. D. Ignacio Tubores , 30. D. Juan. Rosoli, 40. D. Francisco Carre…</t>
  </si>
  <si>
    <t>Eskeles</t>
  </si>
  <si>
    <t>DINAMARCA. que se verifique u pae. V 5: 9 ''T , Copenhague rs de enero. Segoola*últimas.noticias del Belt parece que . Íí *'"*■ tq negociacíemes del barón Eskeles para abrir se han detenido en Niborg y cu Corsoer mochos en país extranjero un empréstito en favor de nues­ viageros por no poder pasar por aquel - brazo tra edite,…</t>
  </si>
  <si>
    <t>Esmima</t>
  </si>
  <si>
    <t>Gaceta de Madrid n.º 326</t>
  </si>
  <si>
    <t>n la lengua del pais borkates. Pr es burgo de octubre. TURQUIA. El día xi llegó aquí S. A. I. el archiduque Carlos, gem-raií.imo, y el 13 S. A. R. el duque Esmima 1 y de agosto. Alberto de SaxouL-Tcsehen ; estos dos p-ínupes Acaban de lle gar á este puerto dos embarcacio­ habitan cD el palacio d-d barón de Brauneckcr. nes ame…</t>
  </si>
  <si>
    <t>Espa, Carlos</t>
  </si>
  <si>
    <t>Carlos Espa</t>
  </si>
  <si>
    <t>151</t>
  </si>
  <si>
    <t>es de nuestro exército que se hallaban en el combinado de Pv rtugal ■ vienen ruar brindo en di­ ligencia , y que anoche dormirían en Arroyólos. La de D. Carlos Espa­ ña , compuesta de 1500 infantes y 200 caballos , ertá en Cimpomayor , y se espera también á D. Julián Sánchez con sus btncer s. Del 2 5. fíí día 2-3 "se rindió a…</t>
  </si>
  <si>
    <t>Españas, Francisco María Te</t>
  </si>
  <si>
    <t>Francisco María Te Españas</t>
  </si>
  <si>
    <t>............................. 8880 Don Josef Napoleón por la gracia de Dios Dona María Pacheco, viuda y por la constitución del Estado, REÍ de las de D. Francisco María Te- Españas y de las indias. .................................................. 5 220. .24 Vista la consulta de la comisión de liquida» D. Antonio Gutiérrez..…</t>
  </si>
  <si>
    <t>Español, Joaquiu</t>
  </si>
  <si>
    <t>Joaquiu Español</t>
  </si>
  <si>
    <t>a, 25. D. Pablo Soler , 25. Don José Bobos , 25. D. José Ector Padrón, 25. I&gt;. Antonio Castilla, 25. Don Manuel Salecio, 25. D. Roberto Ciaberot, 35. D. Joaquiu Español, 25. (Se continua* d.J i? CADIZ : EN LA IMPRENTA REAL.</t>
  </si>
  <si>
    <t>Espcz</t>
  </si>
  <si>
    <t>s cubren la frontera , de este reyno por la portade Angón, donde el enemigo hi disminuido sus fuerzas, destinando parte de ellas á Navarra, contra ei coronel Espcz. Nuestras columnas volantes se mueven- en to las direcciones. U .i i mamante se han ccgido al enemigo 400 cabezas de ganado, según avisa ei comandante gene­ ral D.…</t>
  </si>
  <si>
    <t>Especulo, Manuel Zavala</t>
  </si>
  <si>
    <t>Manuel Zavala Especulo</t>
  </si>
  <si>
    <t>la octava compañía. de D. Jasel Celedonio de Cea al de Valhermoso, k D. Antonio Trejn. Noveno batallón. Y para el de S. Gines de Gundalaxara , vacan­ D. Manuel Zavala Especulo, teniente, á capi­ te por ascenso de D. Ignacio Ramón Velasco ai tán de la segunda compañía. ' de Arroba, á D. Juan Manuel García Fiores, cu­ D. Lorenz…</t>
  </si>
  <si>
    <t>Espert</t>
  </si>
  <si>
    <t>.... ........... efectivo.T too b. gidos , y su gefe Gasea escapó con mucho trabajo r 2 por Córdoba...... roo de y por una casualidad. .daño El señor barón Espert de laTourl, coronel del regimiento 42.0, marchó el 7 de agosto con ana co- Efectos público?. l.una de infantería y caballería á Calaf en busca de Claros, á qnien en…</t>
  </si>
  <si>
    <t>anes Auvr.ii, edecán de S. tí. el total derrota, dexando un gran número de muer­ señor mariscal, y Lavadme, del 5.0, cargaron in­ tos en el campo. El general Espert destacó el dia trépidamente al enemigo : ios mariscales de logis 16 seis compañías escogidas á Orpi y Canne para Cosa y Saurín se dd tiuguieron particularmente , …</t>
  </si>
  <si>
    <t>Espert, Juan</t>
  </si>
  <si>
    <t>Juan Espert</t>
  </si>
  <si>
    <t>niente del esquadron de cazadores IMPERIO FRANCES. de montaña de Carmona , teniente del mismo cuerpo. Roma 13 de abril. Por decreto de 18 de abril: á D. Juan Espert, El dia a de elte mes se instaló la lotería impe­ cor o ti el, mariscal de campo. rial de Francia. La o imer extracción se ha hecho Por decreto de 8 de mayo: á D.…</t>
  </si>
  <si>
    <t>Espinal, Bernardo</t>
  </si>
  <si>
    <t>Bernardo Espinal</t>
  </si>
  <si>
    <t>ub­ Mr. Brougniart ha reconocido que este terrena teniente de la primera compañía en reemplazo de ha sido formado en agua dulce , no solamente en las D. Bernardo Espinal*. inmediaciones de Paris, sino en otros muchos paraD. Antonio Ramirez Angel, sargento primero, ges de la Francia mui distantes de la capital: ha pre­ á subte…</t>
  </si>
  <si>
    <t>Espinar, Andrés</t>
  </si>
  <si>
    <t>Andrés Espinar</t>
  </si>
  <si>
    <t>tes: buirla con profusión, la qual prueba claramente la Para la de la parroquia del lugar de Ohanez á verdad de quanto hasta ahora se ha dicho acerca D. Andrés Espinar, ex-franciscano descalzo. de la critica situación de aquel desgraciado pais. Para la de Mecina de Fondalas á D. Florencio Se prohibe por dicha orden pescar de …</t>
  </si>
  <si>
    <t>Espino</t>
  </si>
  <si>
    <t>i­ miento el coronel D. Antonio Retaca p-r los malos caminos, forman* do mi reserva ia Legión de Extremadura: habiendo los tiradores y la columna del'coronel Espino dispersado la de equipsges, y forzado á los dragones de su escolta á abandonar el canino de Metida y tomar el de D. Benito, yo avancé con la segunda línea, matean…</t>
  </si>
  <si>
    <t>Espinoa, Ramón</t>
  </si>
  <si>
    <t>Ramón Espinoa</t>
  </si>
  <si>
    <t>Sñ tos , heridos , prisioneros y dispersos í entre !®s muertos lo fué igno­ miniosamente D. Ramón Espinoa, cuya cabeza me presentaron. I) j nuestra parte solo hubo 21 muertos, 2 heridos, y tí o 7 prisianeroé. No tengo voces para explicar el mérito de los geRs, ¿le' las divisiones, el valor y se</t>
  </si>
  <si>
    <t>Espinóla, Ramón</t>
  </si>
  <si>
    <t>Ramón Espinóla</t>
  </si>
  <si>
    <t>pió el fuego, y habiendo observado que flaqueaba, quise pasar á la. de C¿¿bañas; pero Fu na partida de facinerosos en fu mero como de 50, el mando de D. Ramón Espinóla, se dirigieren con ia mayor tarad* z á sorprehenderme en ia capilla de Paraguari dend- me co;?sid- :v¿ b»; me vi cortado por dicha partida, y sin duda habida s…</t>
  </si>
  <si>
    <t>Espinosa, Antonio Romero</t>
  </si>
  <si>
    <t>Antonio Romero Espinosa</t>
  </si>
  <si>
    <t>esta del Arroyo, de 9 fan., 8 cel. y z Para el dei Nacimiento , vacante por. falleci­ est. á 700 rs. Otra donde dicen los Garbanzales y ca­ miento de D. Antonio Romero Espinosa, al pres­ mino de los Yeseros, de una fan., 6 cel. y 8 est, á bítero D. Rodrigo Valtejo. 800 rs. Otra en la huerta de’He'rrera, de z fan., 8. cel. Par…</t>
  </si>
  <si>
    <t>Espinosa, Jacobo María</t>
  </si>
  <si>
    <t>Jacobo María Espinosa</t>
  </si>
  <si>
    <t>; y un soldado de Lorca, dos do V&gt;ies-Má7aga y un carabinero real , heridos.— El coronel L). Luis Miaría Vala&amp;zat, el ayudante adicto al estado mayor D. Jacobo María Espinosa , mí ayudante de campo D. Amus­ tia Psrez de Guzmnn . el teniente coronel de ingenieros D. Maria­ no Seímanat, corno igualmente todos los gefes , oficia…</t>
  </si>
  <si>
    <t>Espinosa, José</t>
  </si>
  <si>
    <t>José Espinosa</t>
  </si>
  <si>
    <t>D. Juan Iriarte , 10. D. Agustín Costa, 10. D. Agustín Riera, 10. D Rafael Tomas, 10. D. Juan Puig, 10. D. Francisco Becerra, 10. Antonio Ordz , 10. D. José Espinosa, 10. Doña Rita Viñas , 10. Tomas Herrera , 12. D Juan Ibas , 10. D Francisco Pé­ rez Díaz , 10 D. José Cabrera , G. D. Francisco Púa , 6. D. Roque Beyroa , G. D …</t>
  </si>
  <si>
    <t>Espinosa, Josef Vázquez</t>
  </si>
  <si>
    <t>Josef Vázquez Espinosa</t>
  </si>
  <si>
    <t>... *965..27 La real congregación de S- Fermín, D. Francisco Ortiz.................................... 1684 por mano de D. León de Galarza.. 180.. 17 D. Josef Vázquez Espinosa.................... 1684..31 D. Anselmo Revenga............................... 180.. 17 D. Jacinto García de la Parra............... 561..2X D. Josef A…</t>
  </si>
  <si>
    <t>Espinosa, Josefa</t>
  </si>
  <si>
    <t>Josefa Espinosa</t>
  </si>
  <si>
    <t>de León, id., en Alcalá de Henares, por...................... 3200 por.................................. 2200 D. Dionisio López Abad , ¡d., residente Doña Josefa Espinosa, ex-agustina reco­ en S. Martin de la Vega, por............... 2200 leta del convento de Santa Isabel, por. 2200 D. Tomas de Yel y Cuesta, id., residen­ Doñ…</t>
  </si>
  <si>
    <t>Espinosa, Manuel</t>
  </si>
  <si>
    <t>Manuel Espinosa</t>
  </si>
  <si>
    <t>de la izquierda compuesta de 3 escuadrones de provinciales de Puebla, y el cuerpo de caballería de frontera de la Colonia al mando del señor ccconel D. Manuel Espinosa: .y las 3 del centro que formaban los 2 batallones de alta fuerza de la columna de granaderos provinciales , y el regimiento de infantería de la Corona con 2 c…</t>
  </si>
  <si>
    <t>oña María Magdonell.................................. 773- 2S do = Mariano Luis de Urquijo.”' D- Gerónimo Pereira y Pacheco..... ........... 12888-14 D. Manuel Espinosa.............. .......................... 1838- 8 Extracto de las minutas de la secretaría de Estado. En nuestro palacio de Madrid á 16 de setiembre Rs. vn....…</t>
  </si>
  <si>
    <t>Espioosa, Manuel Sixto</t>
  </si>
  <si>
    <t>Manuel Sixto Espioosa</t>
  </si>
  <si>
    <t>o­ I D. Diego Tcnidesiiias, su apoderado sef de Taló...... ................ .......... . D. Gemeuits de Cábia................... 28333 5 T979 7 por 2 D. Manuel Sixto Espioosa.............. 3241 16I 1 Doña Marga rita Macarthi..........'......... 9204 *3 13660 18 7 P°r 3 D. Francisco Alcobendas............... J2 166829 14 15964…</t>
  </si>
  <si>
    <t>Espoleta, José</t>
  </si>
  <si>
    <t>José Espoleta</t>
  </si>
  <si>
    <t>la Legión extremeña-, D. Juan ílow&amp;ie, que en cada ocasión da cuevas muestras de su búllante bizarría. , * ■ Los ayudantes generales de estado ,mayor D. José Espoleta, bri­ gadier de los reales exéreitos, y D. Pascual Earile, que me han acompañado en e3Ía expedición , han dado t&amp;nt&amp;s pruebas de ?u ce­ lo y capacidad ,aa iliía…</t>
  </si>
  <si>
    <t>Espoz</t>
  </si>
  <si>
    <t>brero, las de Cataluña al 2, y las de Alie inte al 5 del mismo. —- En Cataluña y Valencia no hay novedad de consideración. — Han venido los panes del coronel Espoz, en que da cuenta de los combares de 24 y 26 de diciembre, que costaron al enemigo mas de 200 muertos y too prisioneros, sin mas pérdida por parte de Espoz que 3 m…</t>
  </si>
  <si>
    <t>l, Varios d-. stacamenros del exército valenciano han peleado con valor en Uudecona, S .rrion , Mcsqueruela y otros puntos del partido de Te uel.— El coronel Espoz continua defendiendo con gloria la caasa de la liber­ tad en Navarra. Perseguido tenazmente por fuerzas superiores enemigas* hubo de internarse por algunos dias en…</t>
  </si>
  <si>
    <t>se felici­ taban por sus heridas, porque les proporcionaban ir á su pais, y no volver nrs á España. — Otras noticias de la frontera confirman las del coronel Espoz en orden al transito de tropas h cia Francia. Tarragona 16 de abril. Eas divisiones del general Coarten y del brigadier D, Pedro Sarsfield se pusieron en movimient…</t>
  </si>
  <si>
    <t>610</t>
  </si>
  <si>
    <t>para 6 meses y guarnecido con S000 hombres mandados por el bizarro Eróles, se ha­ llaba en estado de despreciar cualesquier esfuerzos del enemigo. El coronel Espoz tuvo en Arcos y Nazar en los dias §3 y 26 de marzo dos reencuentros con los francesas, en que estos perdieron en­ tre muertos , heridos y prisioneros de 600 á 700 …</t>
  </si>
  <si>
    <t>ón del general Ballesteros estaba en la isla de la Canela. Hay noticia por varios conductos de una nueva ventaja de con­ sideración conseguida por el coronel Espoz contra el enemigo entre Santacruz de Campezu y Estalla, y se esperan los pormenores. ARTICULO DE OFICIO. Habiendo procedido las Cortes generales y extraordinarias …</t>
  </si>
  <si>
    <t>on su correspondiente dotación de hilas, r-nAderaas vienen varios pertrechos y utensilios de la misma dase que ios ante­ riores, para la división del coronel Espoz j Mina, partidas dé la Man­ cha . junta de Valencia y otras partes. Ea lo3 buques que han conducido ei donativo anterior y fondea* ron en esta bahía el 19 de agost…</t>
  </si>
  <si>
    <t>Espoz, Francisco</t>
  </si>
  <si>
    <t>Francisco Espoz</t>
  </si>
  <si>
    <t>a* cosa que de enriquecerse á vuestra costa. de su absoluto exterminio. El gobierno se ha llenado de la mas alta indignación, A vmd. me dirijo, señor D. Francisco Espoz , con la y se prepara ya para tomar medidas del mayor rigor. firme esperanza que tiene y ha tenido siempre la dipu­ Vosotros habéis visto que la diputación ha…</t>
  </si>
  <si>
    <t>1326</t>
  </si>
  <si>
    <t>rteza de las ofertas de la dipu­ tesa. =: Francisco Marichalar. =; Manuel Angel Vidar- tación. ¡Ño tendría yo razón ahora par» nó confiarás te. — Sr. D. Francisco Espoz. las palabras de vmd., como vmd. no confia de las miui NVmbro iti» Pero no quiero suponer á vmd. capaz dé una mala ac­ ción contra un sugeto que no tiene Otra…</t>
  </si>
  <si>
    <t>to­ porcionen los gratos goces de la civilización y del drd-.n. dos sus medias al señor gobernador , á fin de que se conforme con ios deseos ucl Sr. D. Francisco Espoz, guiados por el mas vivo deseo de que se concluya quan­ to antes esta cosa, y esperando nos veremos en breve PLAZA DE MADRID. BOLSA. «n esa después de obtenido…</t>
  </si>
  <si>
    <t>Esscn</t>
  </si>
  <si>
    <t>obre ellos, € inmediatamente en­ ciones, y entre otras la de haber sido nombrado traron á saquear el palacio. Este oficial será ca:tifdd-ma riscal el general Esscn ; que al general gado severamente. conde de Wrede se le ha cooferido ia dignidad de £u esto&gt; tr;s círculos se había esparcido la no­ señor del reino, y aun se añ.d…</t>
  </si>
  <si>
    <t>Essen</t>
  </si>
  <si>
    <t>ia una porción equiva­ pasado el Danubio para hacer incursiones en laVa- lente del territorio del ducado do Varsovia. Crée­ laquia y la Besarabia. El general Essen ha sa­ se que con este motivo podrá tal vez devolverse lido coa tropas en busca de los tarcos. al Austria el radio del territorio inmediato á Cra­ covia, en cuyo c…</t>
  </si>
  <si>
    <t>i los barcos guarda-costas de Yurmomh y E¡ general K'.tusuW inauda el centro del exér­ las lanchas de la Ferifane pudieron socorrer á U cito ruso; el general Essen la ala derecha, cuyo tripulación , y conseguir que no pereciese nadie. qu^rtcl general está en Crajowa, y el general Lan- La Potnona, qne era una de las mas hermos…</t>
  </si>
  <si>
    <t>Est, Andrés</t>
  </si>
  <si>
    <t>Andrés Est</t>
  </si>
  <si>
    <t>rriente; h%n sido elegidos para p residente el señar D. José Pablo Tállente, diputado propietario por A voy no de Sovida; para vice presidente el Rr. D. Andrés Est ban y Gómez, di­ putado propic-taHo por la junta do Guadalaxara ; y para secretario el Sr. O. R-t"-'cn F din . - *j nn^d^ cn 1 "■&gt;’&lt;?» 1 v* 'vy~* -Jo ck-i ferú. Ca…</t>
  </si>
  <si>
    <t>Establecer</t>
  </si>
  <si>
    <t>Gaceta de Madrid n.º 88</t>
  </si>
  <si>
    <t>e la Cruz el oratorio sacro de versos y música en do» sobre todo la de merinos, expone el modo de es­ actos tirulado el Saúl, composición del maestro D. Establecer rebaños de carneros de raza fina, y los téban Cristian!, adornado con todo el aparato y mag­ dórente* modos de sacar el m jnr partido de ellos. nificencia correspo…</t>
  </si>
  <si>
    <t>Estala, Pedro</t>
  </si>
  <si>
    <t>Pedro Estala</t>
  </si>
  <si>
    <t>Buffbn, clasificado según el sistema de Linneo por Renato Ricardo Castel, sión al wahabismo, ya porque hubiese abrazado de traducido é ilustrado por D. Pedro Estala, presbítero, corazón esta secta , ó ya porque creyese evitar por se hallarán en la librera de Castillo con las láminas este medio una irrupción de estos sectarios…</t>
  </si>
  <si>
    <t>Estalella, Gaspar</t>
  </si>
  <si>
    <t>Gaspar Estalella</t>
  </si>
  <si>
    <t>os se diri­ gían desde Valls á Monbianch, dispuso que la segunda compr ñía de tiradores de Barcelona y primera de Villafranca, al mando del ca­ pitán D. Gaspar Estalella, pasasen á ocupar el coll de Lilla para im­ pedirles el paso y comunicación entre Monbianch y campo de Tar­ ragona. Llegado Estalella, al coll de Lilla, obse…</t>
  </si>
  <si>
    <t>Este</t>
  </si>
  <si>
    <t>Fouschard ; deí edecán del gene­ derecha é izquierda, y se apoderaron de la torre ral Boussart Mr. Bourdenave, y de los capiranes deUlldecona; mas el coronel Este ve, al frente del Buirette y Saint- Hilaires , edecán del general Musbatallón del 14-°, los desalojó á bayoneta calada, y nier ; todos los quales han dado pruebas d…</t>
  </si>
  <si>
    <t>Este, Pascual</t>
  </si>
  <si>
    <t>Pascual Este</t>
  </si>
  <si>
    <t>s Gonza’ez , 40. D. Juan-Mayvnó y compañía , 150. D. Antonio Escardó , 70. D, Francisco Puche , 50. D. ¡Miguei l’orrens, 100. D. Feliciano Válls, 40. D. Pascual Este vez , 44. José Aliguel Andino, 502. D. Manuel González , 30 y 2. D. Juan Manuel Fe.ixoo , 60. D. Manuel Carambó , 76 y 2. D. Francisco Gómez , 80. D. Antonio Liz…</t>
  </si>
  <si>
    <t>Esteban</t>
  </si>
  <si>
    <t>e también entró en él, al de Ja misrfta clase D. Esreban Rodríguez, al teniente D. Pedro Ma­ ría Fernandez, y a los subtenientes D. Francisco Bouzas, D. Esteban $antos, D. Andrés Lema y D. José Ja Huerta : todos los quales se por­ taron bizarramente, y lo mismo el ayudante interino D. Antonio Rivas, que comunicó las órdenes c…</t>
  </si>
  <si>
    <t>Estéban</t>
  </si>
  <si>
    <t>teniente de la milicia cí­ Maells ( D. Mariano) t nuestro primer pintor de vica de la villa de Fuentes.' cámara. Gandía ( D. Juan Josef de). Manzoni (D. Estéban), subteniente del tercer re­ García ( D. Juan ), sargento segundo del batallón gimiento de cazadores á caballo. franco de Guadalquivir. Manzoni (D. Josef), subtenient…</t>
  </si>
  <si>
    <t>ber Martínez Remon (D. Francisco Xavier), juez de comparecido les parará el perjuicio que haya lugar. las juntas de Negocios contenciosos. Mcinadíer (D. Esteban), corregidor de Puerto Real. TEATROS. Moreno (D. Joaquín ), alférez de navio. Kn el del Príncipe , á las siete de la noche, se re­ Moreno (D. Josef Angel), comisario …</t>
  </si>
  <si>
    <t>: con este motivo salí á r^aoirer el campo con ruis caballas ; salieron, uri®:. kitasur?» en mi seguimiento f ma.tó á 3, coa pérdida de mi ayu­ danta D. Esteban €as&gt;íí¿ío, qu;¿ fué muerto d&lt;$ un pistoletazo per no rend i rge *mslobero. El 29 de setta-mbre, estando en Caseda con toda mi caballería, 500 infante» y 290 húsares e…</t>
  </si>
  <si>
    <t>Estéban, Antonio</t>
  </si>
  <si>
    <t>Antonio Estéban</t>
  </si>
  <si>
    <t>­ cos pequeños enemigos, dos bolas 6 globos encima D. Juan López Romero. del pabellón. D. Tomas Gómez. Para scñdar que están mui cerca de la costa de D. Antonio Estéban. Inglaterra una fragata ó muchos barcos enemigos, ' D. Rafael Barragan, mayor. tres hilas ó globos encima del pabellón. art. ?v. Nuestros ministros de lo Inte…</t>
  </si>
  <si>
    <t>Esteban, Fcrmin</t>
  </si>
  <si>
    <t>Fcrmin Esteban</t>
  </si>
  <si>
    <t>\ranjaez , resi­ racele, residente en su pueblo, pnr..................... 2200 dente en Toledo, por............................................. 2200 D. Fcrmin Esteban , natural de Noves, y residen­ D. S ¡mon Buil, lego, natutal de Camarena del Ca­ te allí , por.................................................................…</t>
  </si>
  <si>
    <t>Estefanía</t>
  </si>
  <si>
    <t>Gaceta de Madrid n.º 104</t>
  </si>
  <si>
    <t>aquellos países, y á Jas Indias para Paris , para notificar á la corte de Francia la occidentales. Pero no habiendo tenido estes carga­ preñez de la princesa Estefanía, gran duquesa he­ mentos un despacho tan pronto como el que ellos reditaria. se habían figurado , resultó que estos especulado­ El gran duque de Francfort se h…</t>
  </si>
  <si>
    <t>creíble la noticia del feliz nacimiento del Rei de Roma. El conde M.irmier, gentilhombre BAVIERA. de S. M. el Emperador, enviado cerca de S. A. I. la princesa Estefanía para anunciarle este feliz acon­ Auj’sburgo n de marzo. tecimiento, llegó el 24 por la tarde. Por la noche S. A. S. la princesa de H-ihenzoIlern-Echingen hubo…</t>
  </si>
  <si>
    <t>Esten</t>
  </si>
  <si>
    <t>s Di cese que S. A. R. la princesa regente h*t¿ baa acompañado en todos sus viages. un viage á Francia en el verano próximo. RUSTA. Del a 8. S. E. el conde Esten saldrá dentro de muí po­ OAessa 16 de febrero. cos días para G themburgo , á fin de t &gt;in.,r e. man­ La tama de la fortaleza de Sud hok Kafe por do de un cuerpo de e…</t>
  </si>
  <si>
    <t>Estér</t>
  </si>
  <si>
    <t>tido de mi autoridad y poder.’ ,,Servios, Virgen santa, os diré, como MardoDespués de sentados estos principios, ó por mejor queo en otro tiempo á la Reina Estér , de vuestro po­ decir estos preceptos cristianos, el orado^se contrae de deroso crédito para con el Rei en favor de vuestro pue­ nuevo á la época presente, y contin…</t>
  </si>
  <si>
    <t>Esterhazi</t>
  </si>
  <si>
    <t>NGO 3 DE FEBRERO DE 18Ü. RUSIA. SAXONIA. Petenburgo 10 de diciembre de 18 ró. Dresde ¡y de diciembre. Los prisioneros tarcos de mal considerado# , El príncipe Esterhazi, embalador de Austria, cogidos eo ia última campaña bao tenido ^ permiso ba regresado ya á ésta capital del viage que ha he­ de venir á esta capital, y pasar …</t>
  </si>
  <si>
    <t>Gaceta de Madrid n.º 179</t>
  </si>
  <si>
    <t>es llevabao el encargo de conducir á los la dieta húngara , que se reunirá en el mes de agos­ puertos de Inglaterra una embarcación sueca, que to. EL conde Esterhazi va á salir en calidad de co­ había sido apresada por una fragata inglesa. Los misario á varios condados para componer ciertas ingleses, deseosos de llegar quanto…</t>
  </si>
  <si>
    <t>Estevan, Agustín</t>
  </si>
  <si>
    <t>Agustín Estevan</t>
  </si>
  <si>
    <t>Gazeta de la Regencia de España e Indias n.º 28 (extraordinaria)</t>
  </si>
  <si>
    <t>entes que han sido muertos 6 pri­ sioneros , contándose entre los primeros los dig­ nísimos oficiales de guardias españolas el ca­ pitán de cazadores D. Agustín Estevan , sus su­ balternos el segundo teniente D. José Ximenez y el alférez D. José. Rivera, y entre los segun­ dos se sabe de algunos que han sido heridos y que se …</t>
  </si>
  <si>
    <t>Esteve</t>
  </si>
  <si>
    <t>ont, del gefe de esqua­ t Hldecooa, y maniobrara en aquel parage- En uno y otro tuvo este general el ¿sito mas feliz. El a6 dron Saint- Georges y del coronel Esteve. El señor general Musoier, que mandaba la acción, ha diri­ de noviembre , una hora antes de amanecer, el ge­ gido con el mayor tino todos los movimientos , y nera…</t>
  </si>
  <si>
    <t>Esther</t>
  </si>
  <si>
    <t>enovado con m yor rigor que antes la E¡ príncipe Clari ha sido nombrado para ir £ prohibición de extraer grmos de eda capital La P ¡ris, en lugar del conde Esther«z¡ , á felicitará prt hiíicion se &gt;x. e .de «hora á b s puertos del mar SS. MM, por et fe ¡z nacimiento del Rei de Ro­ Negro mas iamcü^tos á Conscautinopla. ma, y s…</t>
  </si>
  <si>
    <t>Estrada, Bárbara</t>
  </si>
  <si>
    <t>Bárbara Estrada</t>
  </si>
  <si>
    <t>ey de esta plaza, por el de 4 soldados en 6 meses, 240. El P. comendador del convente de Ntra. Sra. de la Merced , de acuerdo con su comunidad , 303, Doña Bárbara Estrada, á cuenta de su oferta de 250 pesos al año ,41 y 5 rs. D. Juan Luis Marqueti, mayordomo de propios de esta ciudad * por el prest de 100 soldados en 6 meses …</t>
  </si>
  <si>
    <t>Estrada, Félix</t>
  </si>
  <si>
    <t>Félix Estrada</t>
  </si>
  <si>
    <t>cisco Perez, 10. I). Antonio Vaca, 50. D. José Antonio Saucedo, 20. D. José Angel Navarro, 10. D. José María Zambrano, 10. D. Pedro L'ongueville, 30. D. Félix Estrada, 10. D. Fran­ cisco Col jantes , 40. D. Rafael Cortes , 10. D. Juan José Zambrano, 10. El barón de Bastrop, 100. D. Pedro Giral, 50. D. Manuel Delgado, 10. D. L…</t>
  </si>
  <si>
    <t>Estrada, Vicente</t>
  </si>
  <si>
    <t>Vicente Estrada</t>
  </si>
  <si>
    <t>14. José Ruíii, 20. Lorenzo Benitez , 10. Ira viuda de Salvador Coca, 13 y 2. Bernardo Candia, 7. Cayetano Casanova, 8. Juan' Sebastian González, 10. D. Vicente Estrada, 11 y 2. Bernardo Da­ vid , i6 y 7 rs. Luis Candía , 8. Marcos Roig, 20. Magín Basa, 10. Pedro Pa­ tín , 10. Manuel Dueño, 53 y 2. José Pavón , 20. Jaime Vila…</t>
  </si>
  <si>
    <t>Estraus, Juan</t>
  </si>
  <si>
    <t>Juan Estraus</t>
  </si>
  <si>
    <t>ldivar, í). Mdro Caballero, D. Bernabé Santibañ***,- D. Manuel de Vargas y ü. Joan Dow.de Brizo; y subtenencias á D. Diego Pacheco, Don Ramón Sancho, D. Juan Estraus, D. Máximo - Reynoso, D. Agus­ tín O e ti veros, D. Miguel de las Meras, y D. -Joaquín Robín. Tarnbien se ha dignado Goacedcr los eraplaofi ele ayudantes se­ gun…</t>
  </si>
  <si>
    <t>Esuauu, Carlos</t>
  </si>
  <si>
    <t>Carlos Esuauu</t>
  </si>
  <si>
    <t>1323</t>
  </si>
  <si>
    <t>do ser su principal objeto defender el Portugal por aquella parta, y cuando no .haya -riesgo, cancar ir 4 la defensa de Galicia. — Olee tara bien que D. Carlos Esuauu ss ha­ blaba en Lumbrales. armando y ritiendo su división, püra io que habla recibido de fard .Wellfogícm 3000 fusiles. Las' noticias .da Vall&amp;dolid y del inter…</t>
  </si>
  <si>
    <t>Eugeni</t>
  </si>
  <si>
    <t>s, y tan inferiores en fuerzas á él, debería haber usado de todos sus talentos militares para que nadie de nosotros hubiera vuelto á esta plaza. — El general Eugeni, paisano de Napoleón, ha sido herido en .la acción que sostuvo D. Pedro Sarsfield, habiéndose sabido que los pri­ sioneros que este hizo al enemigo son en bastant…</t>
  </si>
  <si>
    <t>Eugenio</t>
  </si>
  <si>
    <t>el nacimiento del Rei de Roma. gran duque de Wurtzburgo, tio de S. M. la Empera­ También fueron enviados otros pages al senado de triz, y S. A. I. el príncipe Eugenio, virei de Italia. Italia , y á los cuerpos municipales de Milán y de Ro­ Los cardenales se pusieron á la derecha del altar, y ma para anunciarles esta noticia. …</t>
  </si>
  <si>
    <t>Eussb</t>
  </si>
  <si>
    <t>io L«?on ; tenencia al subteniente D. Vicente Miranda; y subtenencias á D. Joaquín Ihur­ guen, cadete de la escuela militar del cuarto exérciío , y á D. Eussb o de Mmacho y Mendoza, cadete del batallón de Valencia y Alburqueíque. CADIZ : EN LA IMPRENTA REAL.</t>
  </si>
  <si>
    <t>Eustace</t>
  </si>
  <si>
    <t>igualmente debo mencionar al mayor M. Jntosh del regimiento núm. 85 , al teniente coronel Nixon del regimiento de cazadores portugueses núm. 2, y al teniente coronel Eustace de los cazadores británicos , así como al lord Blantyre. En el discurso de todas estas operaciones me han prestado los ma­ yores auxilios el teniente gen…</t>
  </si>
  <si>
    <t>Eustaquio</t>
  </si>
  <si>
    <t>órden = Negocios contenciosos. Firmado=Mariano Luís de Urquijo.” Gómez ( D. Juan Josef), comisario de guerra de segunda clase. AVISO. González Yebra (D. Eustaquio), coutador gene­ El Sr. D. Juan Bautista Guitart, del consejo de ral de la provincia de Zamora. S. M., juez de primera instancia, ha mandado, por Gregorio ( D. Fran…</t>
  </si>
  <si>
    <t>Everard</t>
  </si>
  <si>
    <t>a guerra con Inglaterra es ya cañón de una de las baterías francesas ha llevado -inevitable; mas sin embargo parece que no se to­ el brazo derecho al capitán Everard, comandante mará ninguna resolución importante hasta que se del buque la Esfera, que ha estado cruzando la xeuna el congreso. (The Courtier.) semana pasada delan…</t>
  </si>
  <si>
    <t>Ewertz</t>
  </si>
  <si>
    <t>ntos, á „A1 mismo tiempo que sabemos con gran satis­ saber, la Fortuna, capitán Boer; la Margarita, facción que mochos comerciantes y varios habitan­ capitán Ewertz, y el Peperbootn, capitán Soeder. tes acomodados de Copenhague se dan priesa á ar­ El navio sneco Waksamheten, capitán Takersreglar con la comisión nombrada para …</t>
  </si>
  <si>
    <t>Excmo</t>
  </si>
  <si>
    <t>440 Como recaudador dd donativo patriótico á favor de la división del bri­ gadier 1). Juan Martin el Empecinado, abierta en esta ciudad por d Excmo. Sr. duque del Infantado, y los Sres. IJ. Ildefonso Jluiz del liio y I). Tomas Isturiz , doy la presente cuenta al público para que tenga la satis facción de saber los beneméritos…</t>
  </si>
  <si>
    <t>Exento, MendizabaL</t>
  </si>
  <si>
    <t>MendizabaL Exento</t>
  </si>
  <si>
    <t>artas que me 03 es­ crito, iguales deseos , por sí y á nombre de la tropa que túne á sus órdenes.” Parte del general de ingenieros D. Manuel Pueyo al general MendizabaL «Exento. Sr. Con fecha de ayer en Badajoz , me dice el coronel D. Julián Alvo, teniente coronel del real cuerpo de ingenieros, que los trabajos del enemiga se…</t>
  </si>
  <si>
    <t>Expert</t>
  </si>
  <si>
    <t>I33° diere motivo p3-ra alguna dada , se interpretará eo El general Expert, gobernador de la provincia f*vor de ia guarnición, y los heridos y enfermos de Segovia, alcanzó al amanecer del dia 9 en ci quedan baxo la protección de la generosidad fran­ bosque de Cant</t>
  </si>
  <si>
    <t>Extracto</t>
  </si>
  <si>
    <t>80 Wíndsof 27 de enero. al ministro Putsch, en el Petit-Jena, que en t8c6 ,,S. M. sigue en el mismo estado.” sirvió de gula al mariscal Lannes: 20 al consejero Extracto de una carta particular. Stark ,?que ha hfeho los mayores servicios al hos­ pital francés de Jena: 3© á la viuda del escribano Lisboa 10 de enero. Bartolomé, …</t>
  </si>
  <si>
    <t>Extracto, Juan Crisóstomo del Bus</t>
  </si>
  <si>
    <t>Juan Crisóstomo del Bus Extracto</t>
  </si>
  <si>
    <t>etario no de D. M-irtin Antonio de Huid...... 10000 de Estadooz Firmado = Mariano Luis de Urquijo.” Los hospitales civiles de esta corte, por mano de D. Juan Crisóstomo del Bus- Extracto de las minutas de la secretaría de Esiado. tillo.................................................................... 372098..33Í En nuestro …</t>
  </si>
  <si>
    <t>Extremera, Luis</t>
  </si>
  <si>
    <t>Luis Extremera</t>
  </si>
  <si>
    <t>.............................. 9 3i D. Cristóbal Aranda. Cédulas hipotecarlas......................... 94Í Certificaciones del tesoro público. 78 s'í D. Luis Extremera. Oro español contra plata................ art. iv. Nuestro* ministro* de lo Interior y «Íá| de la Guerra quedan encargado* de la execucion de este decreto. =F¡…</t>
  </si>
  <si>
    <t>Eyre</t>
  </si>
  <si>
    <t>de Viden­ cia, acerca de la evacuación de la Torre dei.Rey el 12 de! mismo, expresa las diligencias, que practicó fo:*,xo las órdenes y dirección del capitán Eyre, del navio ingles. Magín-jicotanto para contri buir ála defensa de.la.expresada. Torre, como para poner en *&gt;iKo eu valerosa guarnición , en compañía de ios botes i…</t>
  </si>
  <si>
    <t>Ezequie</t>
  </si>
  <si>
    <t>s, y otros tantos los españoles, asegurando M ezcorti {D. Marian &gt;), teniente de fragata. nuevos triunfos ¿ las armas del Emperador, y con­ Revuelta (D. Ezequie.). presidente de la junta sagrando en favor del exército imperial la señalada criminal extraordinaria de Alava. victoria constguída en los campos de A.huera el Revuel…</t>
  </si>
  <si>
    <t>Ezpcieta, Jacinto</t>
  </si>
  <si>
    <t>Jacinto Ezpcieta</t>
  </si>
  <si>
    <t>, ignorancia ¿ ínteres personal son los quatro del dia quedan nombrados Jos individuos siguientes: hombre sensato de ciertos avechuchos del dia (5), D. Jacinto Ezpcieta, capitán, que lo era del regimiento de infantería de Sevilla, y.° de línea. Madrid 20 de diciembre. D. Miguel Barrego , teniente, que lo era del expresado reg…</t>
  </si>
  <si>
    <t>Ezqnerra, Joaquín</t>
  </si>
  <si>
    <t>Joaquín Ezqnerra</t>
  </si>
  <si>
    <t>ÑA. Esta mañana se ha executado, seguti costum­ .Córdpba rx de setiembre. bre, la abertura anual de ¡os estudios reales de esta corte. El catedrático D. Joaquín Ezqnerra ha El señor general Bauvier des Eclaz participa leído Ja oración inaugural , en la que ha manifes­ ál señor gobiernádor general de las provincias de tado la …</t>
  </si>
  <si>
    <t>F'rancia</t>
  </si>
  <si>
    <t>Padtro Sen-ano; y subtenencias á D.- Francisco Migue!, D. Joaquín Pu%moItó. Don Diego Villeslada, ©. Pedro Rico, D. Rafael Quero], D. José Ro­ chan©, D. F'rancia co Bermudez de Cañas, D. Vicenta SalameT#, D. Rafees González , D. Joaquín ds Bedoya, D. José Ribslles , Don Pedro Franco j D. Vicente Marín. En el batallón de volun…</t>
  </si>
  <si>
    <t>F, Carlos</t>
  </si>
  <si>
    <t>Carlos F</t>
  </si>
  <si>
    <t>859</t>
  </si>
  <si>
    <t>ulares para la fabricación del azúcar de cado á S. M. la noticia del fallecimiento de S. A R; remolacha. Acaba de establecerse una fábrica en el gran duque Carlos F.denco , y tenido d honor Nussduiff cerca de esta capital. de presentar á S. M. sus nmVas cartas credencia­ Del as; les de S. A. R. el gran duque ruñante. El día 1…</t>
  </si>
  <si>
    <t>F, Ensebio</t>
  </si>
  <si>
    <t>Ensebio F</t>
  </si>
  <si>
    <t>dro Patison; las ayudauitía3 primera y segunda á D. Francisco Trespalacios y Don Joaquín O'lviras; tenencias á D. Francisco Cano, D. Benjamín D woia, D. Ensebio F reyre, D. Gasnar Escapa, D. Benjamín Barríe, D. Pedro Sánchez, D. Joan Zaldivar, D. Manuel Zeldivar, í). Mdro Caballero, D. Bernabé Santibañ***,- D. Manuel de Varga…</t>
  </si>
  <si>
    <t>F, Francisco</t>
  </si>
  <si>
    <t>Francisco F</t>
  </si>
  <si>
    <t>de­ mas que han de seguirme, pasarán dos dias: no tardará Pamplona y setiembre 13 de 181 r. mucho mas; y antes se liawá si traen vmds., aunque no Sr. D. Francisco F.spoz y Mina: me he alegrado sean mas que por la apariencia, despachos de los grados infinito con otros amigos de vmd., que pasan á esa, de que le parezcan , firma…</t>
  </si>
  <si>
    <t>F, Jua-i</t>
  </si>
  <si>
    <t>Jua-i F</t>
  </si>
  <si>
    <t>Negreta, que coa el batallón real de marina que cubría las 2 piezas avanzadas y 3 ccmp-ñhs del primer batallón de Toluca á cargo de su spr^ nlo mayoi D. Jua-i F lip»; de Alva atacase la bate i ia y .'posición de la izquierda : chics salir un cuerpo de dragones al rea ado del teniente corcusí D. Francis o Rodríguez, y 3 compañ…</t>
  </si>
  <si>
    <t>Fa, A Manió</t>
  </si>
  <si>
    <t>A Manió Fa</t>
  </si>
  <si>
    <t>l ene­ primeros, á subtenientes; y eri el regimiento de migo de su pais, y á suplicarle que continúe derraman­ Castilla, l.° de infantería ligera., á D. A Manió Fa- do la sangre de sus conciudadanos, soplando el fuego veinc , sargento primero , á subteniente abanderado. de la discordia sin fruto y sin objeto. Pasará asi algu­…</t>
  </si>
  <si>
    <t>Fa, Juan</t>
  </si>
  <si>
    <t>Juan Fa</t>
  </si>
  <si>
    <t>sus vecinos y por varios pa­ triotas refugiados ^ especialmente de Madrid, para to división del brigadier Ú. Juan Mrlin, y recibidos por los señores D. Juan Fa­ cunda CabaVero, U. Bernardo ¡liega y Z&gt;. Juan de Madrid: con noticia ds la inversión, tanto de estos donativos como de los que han venido de Nueva-España con el mismo…</t>
  </si>
  <si>
    <t>Fa-drique</t>
  </si>
  <si>
    <t>Gazeta de la Regencia de España e Indias n.º 137</t>
  </si>
  <si>
    <t>1150</t>
  </si>
  <si>
    <t>Pviíift® de Lumbreras, donde apenas quedan-'enemigos. Por la el t;érd*ni* co/or.cl D. B^ni rdó Marqúez s^ha adelan­ tado h'sta cérea de U. Puebla de D. Fa-drique; y en Toparas ha cogido á los enemigos 24 cxrro* que llevaban para cargarlos de tri­ go , ahuyentando ¿i ia escolta que los custodiaba.—f Eí lastimoso el estado en q…</t>
  </si>
  <si>
    <t>Fabre, Juan</t>
  </si>
  <si>
    <t>Juan Fabre</t>
  </si>
  <si>
    <t>rno y ca­ pitanía general, por el de 4 soldados en 5 meses , 180. D. Andrés de Jauregui, teniente de regidor , por el de 6 soldados en 3 meses , 162. D. Juan Fabre , garzón de la plana mayor de Blancos , agregada al batallón de More­ nos , por 6 meses de su oferta, 36. El Dr. D. José María Zuazo, por el prest de 2 soldados en…</t>
  </si>
  <si>
    <t>Fabre, Mariano</t>
  </si>
  <si>
    <t>Mariano Fabre</t>
  </si>
  <si>
    <t>allón. enfrente del puente de Jena. D. Manuel de Toro, teniente, á capitán de la primera compañía, en reemplazo de D. Pedro María de Zubiaga. ESPAÑA. D. Mariano Fabre , subteniente, á teniente de la primera compañía, en la vacante de D. Fran­ Madrid 28 di octubre. cisco Barsanti. Extracto de las minutas de la secretaría de Es…</t>
  </si>
  <si>
    <t>Fábrega</t>
  </si>
  <si>
    <t>770</t>
  </si>
  <si>
    <t>del con i ente en una salida, enviando el sexto á Macdonald con la noti­ cia. Ei total de los prisioneros hechos en la salida , dices fué de 150. Ei comandante Fábrega, que desde primeros del mes sudaba re­ cogiendo quintos y dispersos, ha salido hoy de Olot con toda su gen­ te par a el Ampurdan. RuMelos de Mora, partido de T…</t>
  </si>
  <si>
    <t>Fábrega, Mauricio</t>
  </si>
  <si>
    <t>Mauricio Fábrega</t>
  </si>
  <si>
    <t>996</t>
  </si>
  <si>
    <t>pérdida ha sido de 4 hombres con algunos heridos; entre los primeros se dienta con dolor de todos los somatenes el ca­ pí (an de la primera compañía D. Mauricio Fábrega, verdaderamente digno de mejor suerte. La dé los enemigos es considerable, y sin du­ da mucho rRayor.” Beiga 13 de agostó. La justa superior de este principad…</t>
  </si>
  <si>
    <t>Fábscga, Jaan</t>
  </si>
  <si>
    <t>Jaan Fábscga</t>
  </si>
  <si>
    <t>1357</t>
  </si>
  <si>
    <t>omandante general del cantón de Aulot, al general en gefe9 con fecha de i7 de octubre.—“Esc® o. Sr. : T^-iaieado dadas las óxdems ai teniente coxenel D. Jaan Fábscga, apostado con el se­ gundo batallón del regimiento de S. Fernando, que tengo el houo* de mandar, «i la villa de Bsñotes, para que siempre que se le proporcione o…</t>
  </si>
  <si>
    <t>Fadel, Antonio López</t>
  </si>
  <si>
    <t>Antonio López Fadel</t>
  </si>
  <si>
    <t>az, en razón compuesta mualdo Carrera; para teniente á D. Fernando In­ i.0 del resultado de la mortalidad ordinaria; 2.a fante , y para subteniente á D. Antonio López Fadel número de las licencias que se concedan. xardo. El número de licencias seria en tal caso de una Para capitán de la tercera compañía á D. Fer­ quinta parte…</t>
  </si>
  <si>
    <t>Fadrique</t>
  </si>
  <si>
    <t>rubio , desde donde los trasladan á Biza y Gaadix, emplean­ do en esta operación todas las carreterías de Cuidar y unas 300 acémilas. Ei la Puebla de D. Fadrique tenían almacenadas 2000 fanegas de cebada y algún triga; pero un destacamento del regimiento de dragones de Pavía penetró hasta dicho pueblo, sg apoderó de los gra­ …</t>
  </si>
  <si>
    <t>1151</t>
  </si>
  <si>
    <t>continua incomodando sin ce­ sar al enemigo. El- 25 eirtró tu partida en Carayaca con 3 prisio­ neros v 2 muías, que cogió entre Orce y la Puebla de D. Fadrique. Al mismo pueblo de Carayaca había llegado el 22 ei conde del Montijo con el batallón de Cuenca. Ha tomado el mando de la pri­ mera división de este exército, y está …</t>
  </si>
  <si>
    <t>Fágnani</t>
  </si>
  <si>
    <t>118</t>
  </si>
  <si>
    <t>mayor cuidado, y qne se tomen las medidas mas eficaces, ái fui de mi­ Vetersburgo 8 de marzo. rar por la conservación de estas infejiceccriaturas. El conde Fágnani, gentilhombre del reino d« Muchos médicos de los mas afamados de .esta ca­ Italia , y encargado por aquel reino de viaj&lt;r por pital han ofrecido asistii graioitame…</t>
  </si>
  <si>
    <t>Falcon, Esteban</t>
  </si>
  <si>
    <t>Esteban Falcon</t>
  </si>
  <si>
    <t>to, D. Juan Veaegas, D. Raiuoa Dieguez, D. Antonio Mena y D. Juan Antonio Pardo; y en el del infante D. Carlos, en el segundo exército, subtenencia á D. Esteban Falcon. Igualmente ha concedido S. A. en el batallón de voluntarios de Valencia, empleo de capitán primero al capitán segundo D. Cristó­ bal de Castro Paicmii o; esta…</t>
  </si>
  <si>
    <t>Fane</t>
  </si>
  <si>
    <t>s y de aficionóos; y después se bres, les hirieron 30o y les hicieron prisioneros representó el Barbero de Sevilla. Los actores eran otros tantos. El capitán Fane es del número de es­ también aficionados. tos últimos. El sábado próximo serio recibidos en la orden Carta de Lisboa del 19 de enero. de Amaranto SS. AA. la Princes…</t>
  </si>
  <si>
    <t>Farias, Francisco Antonio</t>
  </si>
  <si>
    <t>Francisco Antonio Farias</t>
  </si>
  <si>
    <t>antiago Fernandez, 12. D. Juan Casimiro, 10. D. José María de la Garza, 10. D. José María Elizondo, 20. Varios indivi­ duos, 15.— Villa del Saltillo. D. Francisco Antonio Farias , 50. Don Cristóbal Rodríguez, 5. D. Juan Bautista Chacón, 25. D. Manuel Alcalá, 5..D. Miguel de -Rumayor , 20. D. Toribio Alcalá , 5. D. Nepomuceno …</t>
  </si>
  <si>
    <t>Farine</t>
  </si>
  <si>
    <t>s» y yo no tenia mas que *83; por lo lanceros del Vístula; al corooel Vinot del 2.® dé ■que juzgad que ya no debía yo seguir mi proyec­ húsares, y al coronel Farine del 4.0 de dragones. to» y mandé defender y conservar la posición que Debería también citar á otros muchos gefe* y ofi­ había sido tomada i los enemigos. Entre ta…</t>
  </si>
  <si>
    <t>Farquar</t>
  </si>
  <si>
    <t>canos, los quales no solo se prestaría est.. in­ cocq , ,delante, de Tlesinga; la Deseada, de 3;, digno tráfleo, sino que suministran á los corsarios capitán Farquar, delante del Texe!; la Quebec, de municiones de guerra y de boca, y aun hombres. 5 2, capitán Hawtaine , delante de Flesinga ; la Ho; Asegurar» que la mayor part…</t>
  </si>
  <si>
    <t>Farras, Matías</t>
  </si>
  <si>
    <t>Matías Farras</t>
  </si>
  <si>
    <t>a, D. Francisco de Paula Adames, B. Rafael del Rio y D. Pedro Aguila? A vala; y subtenencias i. D. José Mateo, D. Ramón Hernández, D. Mariano Chuliz, D. Matías Farras, D. Modesto de la Torre y D. Antonio Loma. Muques que ¡ion recogido correspondencia en la administración de correos de Cádiz, durante la semana finalizada en SO…</t>
  </si>
  <si>
    <t>Farrill, Gonzalo O</t>
  </si>
  <si>
    <t>Gonzalo O Farrill</t>
  </si>
  <si>
    <t>erior, titulada el Xraulor con­ El fixemo. Sr. duque de Santa Fe........ . 500 tra su sangre, y siete infantes de Lara , en la que des­ El Excmo. Sr. D. Gonzalo O Farrill......... 500 empeñará la parte de galan un joven de catorce años, El Excmo. Sr. D. Josef de Mazarredo........ 500 hijo del señor Antonio González, el que se…</t>
  </si>
  <si>
    <t>FarriU, Gonzalo O</t>
  </si>
  <si>
    <t>Gonzalo O FarriU</t>
  </si>
  <si>
    <t>ro de Estado en la se­ este consejo, el de la universidad. £ J&gt; concluirá. } gunda ; habiendo concurrido en el intermedio de ellas, con el Exemo. Sr. D. Gonzalo O- FarriU , ac­ tual ministro de la Guerra y capitán general délos ESPAÑA. reales excrcitos, á la importante comisión del re­ conocimiento y sistema de fortificación …</t>
  </si>
  <si>
    <t>Fatira, Pedro</t>
  </si>
  <si>
    <t>Pedro Fatira</t>
  </si>
  <si>
    <t>ortázar...... 13947 4 Juan Felipe Gui de Paroi....... 80000 D. M;nuel Francisco dé Goiri..... 130560 X D. Miguel Sancho Larrea........ ........ 1JCOO D. Pedro Fatira ...:........ ................ 3245 ai Los procuradores síndicos generaD. Josef de Carranza...................... 110151 x Íes y sexmeros de la ciudad de D. Santi…</t>
  </si>
  <si>
    <t>Fatrori</t>
  </si>
  <si>
    <t>Gaceta de Madrid n.º 126</t>
  </si>
  <si>
    <t>se habían reunido por convite anicular, los miembros de todas las autoridades. Ñapóles jo de marzo. En virtud de na decreto real de fecha de 10 £ [I profesor Fatrori pronunció un discurso, que ha excitado un entusiasmo general ya por la gracia y de este mes los colores nacionales del reino de lás elevación del estilo, ya tamb…</t>
  </si>
  <si>
    <t>Fausto</t>
  </si>
  <si>
    <t>tenencias de bandera a D. Diego y D. Gaspar Calderón. Támínén se há servido conceder en el regimiento de infantería de Africa/tenencia al subteniente D. Fausto .Lozano, y subtenencia al cadete graduado, de subteniente D. Benito Ximenez : en el de Can' tabria, compañía al ayudante D. Domingo Picha rdo, ayudantía.fd teniente/D.…</t>
  </si>
  <si>
    <t>Fausto, Josef</t>
  </si>
  <si>
    <t>Josef Fausto</t>
  </si>
  <si>
    <t>gimiento de Ma­ Glutz Ruchts, antiguo landamann de la Suiza. drid, 1° de infantería de línea. González S.aez {D. Julián), capitán de la milicia Mena (D. Josef Fausto de). cívica de Madrid. Mellets (D. Gabriel), capitán agregado al estada González de Villalaz (D. Martín), alcalde de mayor de la plaza de Madrid, y de la milicia…</t>
  </si>
  <si>
    <t>Fcli</t>
  </si>
  <si>
    <t>opias de los dos partes que acabo de recibir del sargento mayor de mi cuerpo D. José Martin, y. del co­ mandante de una de las partidas de mi mando , D. Fcli.iano Cuesta. Dios guarde á V. E. muchos años. — Lagunilla 4 dé febrero de 1811.— Julián Sánchez. — Excmo. Sr. D. Gabriel de Mendizabal.” Parte de D. José Martin A D. Jul…</t>
  </si>
  <si>
    <t>Fcsch</t>
  </si>
  <si>
    <t>FRANCIA. París 17 de junio. Ayer se ha dado principio á las sesiones del concibo nacían al •. convocado por el emperador , baxo la presiden­ cia del cardenal Fcsch, arzobispo de Lsony primado de la igl.sia galleara. Ayer también- pasó- el emperador al palacio del cuerpo legislati­ vo pora abrir la sesión, y pronunció el discu…</t>
  </si>
  <si>
    <t>Fcsrnandez, Juan Antonio Aívarez</t>
  </si>
  <si>
    <t>Juan Antonio Aívarez Fcsrnandez</t>
  </si>
  <si>
    <t>1402</t>
  </si>
  <si>
    <t>ido conferir compañía en el regí miento de infantería de voluntarios distinguidos de Oídii} 6 D. José'Hartíey , teniente del mismo cuerpo; tenencia a D. Juan Antonio Aívarez Fcsrnandez ; y el empleo de subteniente argado ai referido rí gimisuío sin opcioa ¿ reemplazo.al voluntario U. Ro que Fernandez.</t>
  </si>
  <si>
    <t>Fe, D</t>
  </si>
  <si>
    <t>D Fe</t>
  </si>
  <si>
    <t>D. Domingo Zalamea , de! teniente y comandante de la cjIu nna volan­ te del mis iíO reginremo D M gu IDiaz ViUabriUe , y de los ofic ales del mismo, capitán D Fe n n o Miranda , teniente D Fernando S. Mar­ tin y subí emente D Frar cisco Zapico. En el de S ero á su teniente co­ ronel D. ]acobo Melendreras, y aun no he r eibido…</t>
  </si>
  <si>
    <t>Fe, Juan Manuel</t>
  </si>
  <si>
    <t>Juan Manuel Fe</t>
  </si>
  <si>
    <t>ncisco Puche , 50. D. ¡Miguei l’orrens, 100. D. Feliciano Válls, 40. D. Pascual Este vez , 44. José Aliguel Andino, 502. D. Manuel González , 30 y 2. D. Juan Manuel Fe.ixoo , 60. D. Manuel Carambó , 76 y 2. D. Francisco Gómez , 80. D. Antonio Lizurra , *50. Varios vecinos del par­ tido de Toa-baxa, 193. Id. del partido de Toa…</t>
  </si>
  <si>
    <t>Feach</t>
  </si>
  <si>
    <t>a padecido algún quebranto desde mediados del corriente. Corren voces de que la archiduquesa María Luisa, mnger de Napoleónestá otra ves en cinta. El cardenal Feach, como presidente del llamado concilio nacional^ convocó ú los prelados para una congregación general que se cele­ bró el 10 de este mes. Ea Hs cosías de América h…</t>
  </si>
  <si>
    <t>Federici, Francisco</t>
  </si>
  <si>
    <t>Francisco Federici</t>
  </si>
  <si>
    <t>poesía en música por el céltbre maestro cutará la comedia en tres ai tos titulada la Conquista de Jerusalen por Federico, Emperador de Alemania, ó el D. Francisco Federici , en la qual los inteligentes Austria en Jerusalen, nuera en este teatro, adornada recon-'CÍer.in U dulzura y facilidad que caracteri­ con todo su aparato …</t>
  </si>
  <si>
    <t>Federico</t>
  </si>
  <si>
    <t>ombate duró dos horas, nífico banquete que se dió aquel dia se bebió en y el enemigo se retiró, habiendo perdido 40 hom­ una gran copa de oro, que el duque Federico 1 de bres y ct. xado cinco prisioneros. Han sido que­ Wurtemberg regaló en la edad media al cuerpo mados los molinos , y se han tomado 18 carros que de comerciant…</t>
  </si>
  <si>
    <t>echos de la confianza y de la bondad También se ha pasado Jipi revista al regimiento de con que S. M. ha oido la opioion y dictamen de infantería del príncipe Federico. S. M. ha marcha­ los miembros de la dieta sobre muchos objetos im­ do hoi con el Príncipe heredero, con el duque portantes de legislación y de policía general…</t>
  </si>
  <si>
    <t>li­ „La comisión bávara de amortización de las no al cabo de 13 años de.cautiverio. Por es'tá razón deudas del estado.=F;rmado = J. Utzschneider.” •l Emperador Federico n, con quien había ido á Los habitantes de los pueblos inmediatos á Iu». • la cruzada, le llamó toda su vida mi gran ruso. pruck en el Tirol dieron el i,° de …</t>
  </si>
  <si>
    <t>Federico, Carlos</t>
  </si>
  <si>
    <t>Carlos Federico</t>
  </si>
  <si>
    <t>tranquilizarnos diciendo refl' xión de que en el año de 174Ó, que fue el i.° que los riesgos á que se expondría semt j &lt;nre esquadel reinado del gran duque Carlos Federico , fue dra son demasiado grandes para que intente una también precisamente la ■ primera vez que se vió empresa de esta naturaleza : el objeto es por ú tan «…</t>
  </si>
  <si>
    <t>FeIicíupo</t>
  </si>
  <si>
    <t>a que perecen las dos terceras partes de los enfermos. ' ARTICULO DE OFICIO. . ' - ’ •* ; sA solicitud del capi-an del batallón de tiradores de Cádiz D. FeIicíupo,Mivd?^gro* recien venido de Caracas, adonde f«é eorafsionado'per S. M. para l?evar pliegos, é instruir á aquellos E.bítp.ntss la -Lja fi instalación do s Cjórtes y …</t>
  </si>
  <si>
    <t>Feireras, Antonio</t>
  </si>
  <si>
    <t>Antonio Feireras</t>
  </si>
  <si>
    <t>a. de D. Julián Estéban Secilia. D. Alexandro Moya, «argento primero, á subte­ art. vi. En la milicia cívica de Utrera. niente de la quinta compañía. D. Antonio Feireras á subteniente de la tercera D. Ignacio Dubá , sargento primero, á subtenien­ compañía en reemplazo de D. Santiago Givaja. te de la sexta compañía. D. Josef P…</t>
  </si>
  <si>
    <t>Feli</t>
  </si>
  <si>
    <t>José Martos, 1S6. D. Dionisio José Sanche# , 600. D. Juan Rodríguez Sánchez , 272. D. José Climen , 132. D. José Salinas, 224. D. Pedro Robles , 3G7. D. Feli­ pe Rafael de Robles, 938. D. Antonio M azuco y Chazari, 500. D. José Mon­ tano, 52. D. Manuel Portillo, 64. D. José Mergarejo , 132. D. Juan Ayllon, 32. Doña Ana Rabel …</t>
  </si>
  <si>
    <t>Felices, Josef</t>
  </si>
  <si>
    <t>Josef Felices</t>
  </si>
  <si>
    <t>, por su 3 D. Sebastian Sempere.......................... 541 17 apoderado D. Felipe Blanco....;...'. 3049 14 13 D. Santiago Arias, por medio de su 1 D. Josef Felices................................... apoderado D. Manuel Josef Anun­ 900 1 D. Antonio Castejon.......................... 292 17 ciarte............................…</t>
  </si>
  <si>
    <t>Felipe</t>
  </si>
  <si>
    <t>Antonio Morales, presbítero, ex-regular Para el curato mas antiguo de ia villa de Mon- de los clérigos menores. tellano, vacante por desistimiento de D. Felipe Y para el de H de Znfre, vacante por falleci­ García Gallardo, á D. Miguel Barrera, presbítero, miento de D. Sebastian Ramírez Prieto, á Don ex-agustino calzado. Diego…</t>
  </si>
  <si>
    <t>e , 100. D. Mateo Rodríguez Sánchez, 1215. i). Lorenzo Rodríguez, 4768. D. Sebastian Izquierdo , 500. D. Pascual Cebada , 704. D Juan Córd ido , 300. D. Felipe de....... 100. D. Juan Ferrari, 30 ). D. Nicolás María Carmena 1500. D. Angel González Viilauueva, 1000. Total , U,451. ' h'i plata y otros efectos. E! Sermo. Señor pr…</t>
  </si>
  <si>
    <t>ez (D. Pedro), sargento primero del regí- En nuestro palacio de Madrid á 22 de abril miento de Castilla, i.° de infantería ligera. de 1811. ■ Prado ( D. Felipe de), canónigo y gobernador del Don Josef Napoleón por la gracia de Dios y obispado de Calahorra. por la constitución del estado, REI de las EspaPnsle ( D. Juan Bautist…</t>
  </si>
  <si>
    <t>putado de Lugo: se con­ rá esta obra con una que está ya impresa , y que de ór­ firió traslado al fiscal, y eo este estado se pubiicó den del Sr. Rei D. Felipe v escribió el fiscal general del reino D. Melchor de Macanaz sobre los abusos de la esquela citada ; y habiéndosele dicho si era su­ ia Dataría y Curia romana, en la q…</t>
  </si>
  <si>
    <t>Felipe, Jaime</t>
  </si>
  <si>
    <t>Jaime Felipe</t>
  </si>
  <si>
    <t>......................... 16440 D. Juan Pablo.Imbrea........................... 154-50 El marques de Muzquiz............................... 44866..19 D. Jaime Felipe , D. Juan Lucas, D. Jo­ D. Gregorio Pereira y Pacheco................ 11000 sef María y D. Hipólito Durazo........... 52500 Doña Eugenia Pahvicini...............…</t>
  </si>
  <si>
    <t>Felipe-Alvarez</t>
  </si>
  <si>
    <t>su residencia enParis; la consagración y coronación de D. Livirno Stuick y Vandergoten. 46015 S. M. I.; las funciones piadosas del santo padre, y sus D. Felipe-Alvarez................ ........... 12003 28 conferencias con el clero; sus relaciones con los em­ D. Luis Elizdde por mano de su pleados públicos, tos sabios y los ar…</t>
  </si>
  <si>
    <t>Fénollet, Dkgo</t>
  </si>
  <si>
    <t>Dkgo Fénollet</t>
  </si>
  <si>
    <t>, D. Andrés Rodrigo y D. Francisco Gor-znlea ; y subtenencia» i D. Alexandro* Psrezj D, Mariano C'uluby, D. Aütaaio Sq2W¿o, D. Vicente Ji re­ velo , D. Dkgo Fénollet , B; J*sé Saezy D. José Romero , y Dm Jo-é Aguí lar; en el de Valencia, compañías á D. Manuel ÍL mi­ ras, D. Mnriano • Medran©, P.' Antonio Quitos : tenéE^íj» á …</t>
  </si>
  <si>
    <t>Fer</t>
  </si>
  <si>
    <t>Ximenez, 50. Capellán D. Andrés Ramos , 40. Sargentos, cabos y soldados, 764. — Empica­ dos 7/ particulares. Villa de Monclova. D. TV&gt;mas Florez,60. D. Fer­ nando Bustillo, 20. D. Juan Ignacio de A rispe, 15. D. José Antonio dé la Fuente, 20. D. Francisco Barrera, 13. D. 'José- Mari i Suntds, 12. D.. Pablo García, Jó. D. Juan…</t>
  </si>
  <si>
    <t>Fer, Antonio</t>
  </si>
  <si>
    <t>Antonio Fer</t>
  </si>
  <si>
    <t>erales y extraordinarias á la renovación de su presidente, vicepresidente y secretario en 21 del corriente, han sido elegidos, para presidente el Sr. D. Antonio Fer­ nandez Perez, diputado propietario por la Puebla de los Angeles; para vicepresidente el Sr. D. Francisco Gutiérrez de la Huerta, di­ putado suplente por la* prov…</t>
  </si>
  <si>
    <t>Fer, Francisco</t>
  </si>
  <si>
    <t>Francisco Fer</t>
  </si>
  <si>
    <t>.ligera primero de Cataluña; los em­ pleos de capitán primero á D. Antonio Ferrer, D. Francisco Montros y D. Vicente Sánchez; el de primer ayudante á D. Francisco Fer­ nandez, y el de segundo á D. J ay rae Carrera; los de capitán segundo á D. J osé Carriezo, D. Juan Piñeiro, D. Publo Ibero, D. Pascual de la Calle, D. Ignacio …</t>
  </si>
  <si>
    <t>Ferez, Antonio María</t>
  </si>
  <si>
    <t>Antonio María Ferez</t>
  </si>
  <si>
    <t>una tornni.it, dirá ante ei expresado señor juez, y escribanía de pro­ que cantará una señora aficionada , y se dará fin sur. un vincia que despacha D. Antonio María Ferez, en don­ divertido sainete. de »e admitirán las que se hagan. nota. Mañana sábado en e! refeiido teatro se re­ A virtud de providencia del mismo señor juez…</t>
  </si>
  <si>
    <t>Feriían-do</t>
  </si>
  <si>
    <t>erra. .-Y*-el. Consejo-de Regencia enterado de un rasgo tan genero­ so, ha; man dado S3 le den las mas expresivas graci^en nombre del rey nuestro Sr. D. Feriían-do vn, y que se pul¿lqüe ea la gaceta, para, su saiiíífliCCÉoii y aoticia del publico. JP</t>
  </si>
  <si>
    <t>Fern</t>
  </si>
  <si>
    <t>tos y la conveniente á los otros; ha tenido a bien mandar se den á aquellos dignos patriotas las mas expresivas gracias en nombre del rey nuestro Sr. D. Fern ando vii por un acto tan generoso, y esta prueba de su amor y fidelidad hacia la madre patria ; y que publicándose en la gaceta, llegue á noticia de iodos y sirva tle sa…</t>
  </si>
  <si>
    <t>y cutará la comedia en tres acros tituladaTriunfar solo p r io maravedís de vellón. Para todas estas reducciones Ja fe, ó la Conquista de Lara por el conde Fern:. sirve de dato que 17 maravedís de plata equivalen á González; se bailará el bolero, y se concluirá con ei 31 maravedís de veljon. sainete Ja segunda parte de la Lot…</t>
  </si>
  <si>
    <t>­ cutara lacomedia en Iresactrs titulada Triunfar solo por dad de que un suceso -im.s-te -e verifique un cierto la fe , ó la Conquista de Lara por el conde Fern.ttinúmero de vece- de seguí.la, es iguai á la proba­ Gonzilez: se b.ilará el bolero, y se concluirá con «I bilidad del suceso simple, elevado a una potencia sainete J…</t>
  </si>
  <si>
    <t>ariano Luis de ■Ufqúrjo.’,‘o' ' i 13 D. rom.s'';Vcazquez...................... Í7056 1 23 D. Benigno Bmiet...,.................. ........ 12649 3? 13 D. Fern.ndo Beíigaech»a......... ......... ' ,?6794 27 ---- TEATROS. 82 89046 En el del Paineipeá las dele :de la Ooqhc, se- repreíentsríl por la compañía española el drama en c…</t>
  </si>
  <si>
    <t>oducidos por la última invasión de nuestros feroces enemigos. ARTICULO DE OFICIO. El Cotes?jo de Regencia se ha servido expedir el decreto siguiente: D. Fern ando vil, por la gracia de Dio??, rey dc¡ España y de las Imlius, y-en &amp;u ausencia y cautividad el Consejo ¿e Regencia, auto? izada iutoriparaeiite, i todos los quo las …</t>
  </si>
  <si>
    <t>Fernán</t>
  </si>
  <si>
    <t>S°ldaílOS...................Í Josef Conesa............ ¿Josef Ximenez................ I. ... X.... Tambor mayor....... Ramón Díaz.................... D. Fernán ir Herei....... ... I. ÍRamón Tellé................. . I.. I.. X.... Francisco Salas..... ......... I.. i Juan Colocosqui............ I.. {josef Almellones........... …</t>
  </si>
  <si>
    <t>Fernan</t>
  </si>
  <si>
    <t>1250</t>
  </si>
  <si>
    <t>y rapidez á la cumbre. logrande á las 2 de la misma tarde apoderarse de la batería, y en ar­ bolar, en ella el pabellón de nuestro adorado rey el Sr. D. Fernan­ do vii. Fue preciso dar algún descarso á la tropa , y ai araanñcer del siguiente dia 6 marché contra el pueblo de la Soledad , donde había un cuerpo de rebeldes, que …</t>
  </si>
  <si>
    <t>Fernán, Ceaoa</t>
  </si>
  <si>
    <t>Ceaoa Fernán</t>
  </si>
  <si>
    <t>, puso en fuga á los restantes. Recogió asimismo otro estandarte nuestro•„ qué^ sin duda quedó en tierra por muerte del que lo llevaba. — El falte cz D. Ceaoa Fernán;!* z , llevando á su lado al soldado Ficto río tolano, fué embestido por 6 enemigos , á quienes rechazó con muerte de uno de ellos: Solano murió ea el encuentro.…</t>
  </si>
  <si>
    <t>Fernan, Domingo</t>
  </si>
  <si>
    <t>Domingo Fernan</t>
  </si>
  <si>
    <t>D. Francisco Xavier Toledano.......... Del 4j. 722 1 D.*Jacinto Silvestre de Arreguí, por Las voces que han corrido-acerca del casamien­ su apoderado D. Domingo Fernan­ to del duque de Clarence con la señorita Ttlney- dez del Campo................................ Long van adquiriendo cada dia mayor crédito. 1805 4 D. Pedro Ib…</t>
  </si>
  <si>
    <t>Fernan-Gonzalez</t>
  </si>
  <si>
    <t>que los marinos del Adriático rivali­ actos titulada Triunfar sedo por la fe, ó la Conquista zan ya con los mejores marinos franceses. de Lara por el conde Fernan-Gonzalez: se bailar.! el „La división saldrá mañana de Lesina para bolero, y se concluirá con el sainete la segunda par­ Ragusa, donde podrá repararse. te de la Lot…</t>
  </si>
  <si>
    <t>e la mañana, quan- •e executará la comedia en tres actos titulada la Con­ do no me hallaba mas que á 10 leguas de Ja Calzada de quista de Lara por el conde Fernan-Gonzalez , ó Triun­ los Santos, encontré un navio ingles, que me llevaba far solo por la fe; seguirá una buena Tonadilla, y se da­ la ventaja de haber visto tierra …</t>
  </si>
  <si>
    <t>Fernán-González</t>
  </si>
  <si>
    <t>lgunos el último suceso del cxecutará la comedia en tres actos titulada la G'Rtercer exército, debería colocarse entre los mas quista de I.ara por e! conde Fernán-González, ó Trianbrillantes de nuestras armas. ¿Hasta quándo ha de far solo por la fe; seguirá una buena tonadilla , y se Al­ reioar entre nosotros el fatal sistema…</t>
  </si>
  <si>
    <t>Fernand</t>
  </si>
  <si>
    <t>e febrero. El mes pasado se representaba en el coli­ seo de la Cruz la comedia El Triunfo del Ave María ¿ y al llegar al pasage donde se dice viva el rey Fernand fueron tales las aclamacio­ nes de los espectadores, singularmente en el patio y cazuela, que el gobierno dió orden de que se suprimiese el pasage en las s guientes …</t>
  </si>
  <si>
    <t>Fernandez, Alexandro</t>
  </si>
  <si>
    <t>Alexandro Fernandez</t>
  </si>
  <si>
    <t>o Abad Chalcea. “Exorno. Sf. : Ya dkxe á V. E. coa fecha de 13 del que rige, oe■9 por los partes convocatoria que habla dirigido á io?; corsead actos D. Alexandro Fernandez, D. Fiancisoo Laso de i» V ga, D. Juan Guatee y la partida de i presbítero D. Fernando C.a izares. ce me habían reunido , el primero ecn la fueiza de 50. …</t>
  </si>
  <si>
    <t>Fernandez, Antero Aquilino</t>
  </si>
  <si>
    <t>Antero Aquilino Fernandez</t>
  </si>
  <si>
    <t>................... 2200 de S, Juan, provincia de la Mancha , residente EX- CAKTUXO. en la Puebla de Moritalvan, por............................ 2200 D. Antero Aquilino Fernandez , natural de To­ D. Pedro López Aillon , natural de la villa de ledo, donde reside, por.......................................... 2200 Orgaz, provin…</t>
  </si>
  <si>
    <t>Fernandez, Antonio</t>
  </si>
  <si>
    <t>Antonio Fernandez</t>
  </si>
  <si>
    <t>blos por donde ha pas.do del consejo de S. M., juez de piimera instancia, y es­ S. M. se han esmerado en darle testimonio de la cribanía del cargo de D. Antonio Fernandez, por parte alegría mas pura, colmándole de aplausos y de vi* de su viuda Doña Tomasa Ujaravi una renuncia hecha vas: en todos ellos las autoridades, al fren…</t>
  </si>
  <si>
    <t>Pr-yricr y Moreno , graduado de teniente , D. José Seguido Iz­ quierdo, D. Pedro Colmenares, D. Pedro de la Castalia ,r D.'J&amp;cé Nicolás de Chimioni y D. Antonio Fernandez. :</t>
  </si>
  <si>
    <t>Fernandez, Domingo García</t>
  </si>
  <si>
    <t>Domingo García Fernandez</t>
  </si>
  <si>
    <t>Doña María Antonia Vela, por real de s&gt; por too. orden de 26 de abriltde 1804, por Libramientos. via de viudedad de 9 rs. diarios.... 864 ' ... ~t ■l D. Domingo García Fernandez, como 6' D. Santiago Arias » so apoderado Don apoderado de Doña María Eogenia Manuel Josef de Ámaadííro......... 11679 23 11 Perez, que por real orde…</t>
  </si>
  <si>
    <t>Fernandez, Feliciana</t>
  </si>
  <si>
    <t>Feliciana Fernandez</t>
  </si>
  <si>
    <t>certificaciones de réditos devengados de juros. 7 D. Mariano Sancho................. 1444 48 El marques de Peñañorida.............. 79781 Recibos. 1 Doña Feliciana Fernandez................. 2527 2 ©oña Francisca Xaviera de Gü?met, 2 D. Francisco Amoros............... 541 su apoderado D. Estéban Corones. 17099 29 j-,6 , 1.P39…</t>
  </si>
  <si>
    <t>Fernandez, Fernando</t>
  </si>
  <si>
    <t>Fernando Fernandez</t>
  </si>
  <si>
    <t>2 y 1. D. Gabriel C-.diar , alguacil mayor de la villa de Coamo , 160. D. José Grao , 140 y 2. D. Jaime Turró y Vivas* 117 y 4. D. Magia Torres, 242. D. Fernando Fernandez, i90. (Se continuará.) CADIZ : EN LA IMPRENTA REAL.</t>
  </si>
  <si>
    <t>Fernandez, Francisco</t>
  </si>
  <si>
    <t>Francisco Fernandez</t>
  </si>
  <si>
    <t>Felipe Argumedo , 100. D. Manuel Vciez de Villa, 100. Di José M uñoz , 100. D. Antonio Ruiz , 100. D. Nicolás Molleda , 100. D. José González 5 100. D. Francisco Fernandez, 100. D. Antonio Arrí, 100, D. Pedro Ganzalez , 100. D. Manuel Sánchez Cal­ derón, 100. D. Agustín del Piélago, 100. D. Francisco Rodríguez de los Ríos, 10…</t>
  </si>
  <si>
    <t>............. 930 33 D. Fernando Bernardo de Quiios. 12472 2 Doña María del Carmen Herran... 930 33 D. Jaime Caxanovas.......... ............* 3082 7 D. Francisco Fernandez.................. 7775 27 Doña Paulina Gil de Terreros....... 3904 D. Joaquín Josef de Ayanz y Doña María del Carmen Herran... 6300 Meneos................…</t>
  </si>
  <si>
    <t>Bautista Goi* Á varios museos', monumentos de artes, manufacturas tia............... 36131 3 y establecimientos de beneficencia, y. por último su sa­ D. Francisco Fernandez.................. 3124 2^ lida de aquella capital y su regreso ¡5 Roma. Precedida El real hospicio de Madrid por ma­ de una noticia histórica acerca de la…</t>
  </si>
  <si>
    <t>Fernandez, JoaquiQ María</t>
  </si>
  <si>
    <t>JoaquiQ María Fernandez</t>
  </si>
  <si>
    <t>sargento primero, á subteniente D. Julián Estéban Secilia, ayudante mayor, á co­ de la segunda compañía. mandante en la vacante de D. Manuel de Lara. D. JoaquiQ María Fernandez, sargento primero, á D. Bernardo Cavalleri á ayudante en reemplazo subteniente de la quarta compañía. de D. Julián Estéban Secilia. D. Alexandro Moya,…</t>
  </si>
  <si>
    <t>Fernandez, José</t>
  </si>
  <si>
    <t>José Fernandez</t>
  </si>
  <si>
    <t>132. Los de Mariquina , 61. Los de üalanga , 64. I .os do Nueva Ecija., 76. Los Je .Cavile , 273. El de Santa María , 15. D. IVIarliut "Flores , 500. D. José Fernandez , 200. D. Antonio Palacio, director de. la venta del tabaco , 100. D. José Luis Calderón , 300. D. Joaquín Aecverlo 309. K! real tribunal clel- consulado , del…</t>
  </si>
  <si>
    <t>Fernandez, Josef Manuel</t>
  </si>
  <si>
    <t>Josef Manuel Fernandez</t>
  </si>
  <si>
    <t>iduos siguientes: vamente falsas. Segundo batallón. Formado el proceso correspondiente , y visto por la junta criminal extraordinaria , condenó á es­ D. Josef Manuel Fernandez, sargento primero, ta moger á muerte de garrote, coya sentencia se á subteniente de la quarta compañía. executó el martes 27 del corriente, llevando al…</t>
  </si>
  <si>
    <t>ector general ante el referid* señor juez por la escribanía que despa­ de bienes nacionales, y al corregidor de esta villa. cha por real habilitación D. Josef Manuel Fernandez, en el término de 30 dias, contados desde el 30 de agosto próximo pasado. Extracto de las minutas de la secretaría de Estado. En nuestro palacio de Mad…</t>
  </si>
  <si>
    <t>Fernandez, Josef María</t>
  </si>
  <si>
    <t>Josef María Fernandez</t>
  </si>
  <si>
    <t>ompañía en la vacante de D. Fé­ agua dulce , que parece haber sido de algunos lagos lix Izaguirre. ó estanques. Hasta ahora se había creído que todoi D. Josef María Fernandez, sargento primero, los terrenos secundarios habian sido formados en el á subteniente de la séptima compañía en reempla­ seno de los mares, y que una par…</t>
  </si>
  <si>
    <t>Fernandez, Juan</t>
  </si>
  <si>
    <t>Juan Fernandez</t>
  </si>
  <si>
    <t>o Layseca, de Alava, 100. D. Juan José de Sangroniz , de Vizcaya, 34. D. Valentín y IX Basilio Martínez, de Medina de Pomar, 68. D. José Carrera, 50. D. Juan Fernandez , de Zamora , 17. D. An­ tonio Crespo, de Ídem , 8 y 4 rs. D. Gabriel Bombillo, de Castilla, 34. Don Francisco Polo, de id. 20. D. Manuel Gutiérrez, de id. 8 c…</t>
  </si>
  <si>
    <t>, que después de asesinado aquel gefe por los franceses, sigue al mando de sus tenientes. La de la Cruzada. La de Roda, escribano de Antequera. La de D. Juan Fernandez, alcalde de Ontivar. Y ¿a de D. Pedro Algarrobal. — Las 4 últimas pasan, de 300plazas, y la de Algarrobal de 500. — No se habla del apellido ó levantamiento en…</t>
  </si>
  <si>
    <t>nez Re­ D. Juan Antonio de Arechaga é mo» .............................................. M952 27! hijos....... .................. ............ ...... D. Juan Fernandez......................... D. Rabel Riesco............................ 35775 9 226 31 16800 D. Livinio Stuyek y Vandergoten.. 41697 16 Doña Angela Francisca Ramo…</t>
  </si>
  <si>
    <t>Fernandez, Manuel</t>
  </si>
  <si>
    <t>Manuel Fernandez</t>
  </si>
  <si>
    <t>............................................ 2200 dente en C almenarejo, por....................... 2200 Doña María Matea García Mayor, id., por 2200 D. Manuel Fernandez, id., residente en D &gt;ña Victoria Otero Castro, id., por.... 2200 Seseña, por................. 2200 D ña Rmereociana Martin, id., por......... 2200 D. Hilari…</t>
  </si>
  <si>
    <t>Fernandez, Mmuel</t>
  </si>
  <si>
    <t>Mmuel Fernandez</t>
  </si>
  <si>
    <t>ro ministro de Negocios eclesiás­ ticos , Extracto dq las minutas de la secretaría de Es­ ,, N -tnibr mos al pre'bitero ex-regníar obser­ tado. vante D. Mmuel Fernandez para el segundo cura­ En nnestro palacio de Madrid á 19 de diciem­ to de la igtesia p ¡ricquial de la villa de Buena, ea bre de i8t 1, el . hi pado de Córdoba…</t>
  </si>
  <si>
    <t>Fernandez, Pedro</t>
  </si>
  <si>
    <t>Pedro Fernandez</t>
  </si>
  <si>
    <t>dquiriendo cada dia mayor crédito. 1805 4 D. Pedro Ibañe?..................... ............ 2888 Muchos periódicos al dar parte de esta noticia han 1 D. Pedro Fernandez.......................... ..... 1805 añadido maliciosamente,, que el arte dramática iba 1 D. Juan Josef Garda................................ 1444 á ganar moc…</t>
  </si>
  <si>
    <t>Fernandez, Ramón</t>
  </si>
  <si>
    <t>Ramón Fernandez</t>
  </si>
  <si>
    <t>pediciones, fue ya juzgado pesa, diócesis de Avila, provisto por decreto de ea el año de 179Ó por la sala de alcaldes, y con­ aa de octubre último en D. Ramón Fernandez denado en 200 azotes y en 10 años de presidio, Cortero , ex—franciscano, con la obligación de con apercibimiento de la pena capital sí reincidía ayudar á este…</t>
  </si>
  <si>
    <t>Fernandez, Remigio</t>
  </si>
  <si>
    <t>Remigio Fernandez</t>
  </si>
  <si>
    <t>.......... 1100 de, por......................................................................... 2 209 D. Nicolás Martin Buentitmpo, natural de Tole­ D. Remigio Fernandez, na'ural de Brea, residen­ do, doffrie reside, por.................................. ......... 2200 te en el mismo, por.............. ......................…</t>
  </si>
  <si>
    <t>Fernandez, Santiago</t>
  </si>
  <si>
    <t>Santiago Fernandez</t>
  </si>
  <si>
    <t>r­ rego , 50. Varios individuos, 38 y 4 rs.—Hacienda del Alamo. D. Ig­ nacio Elizondo, 200. D. Nicolás Elizondo, 25. D. Vicente de los San­ tos , 25. D. Santiago Fernandez, 12. D. Juan Casimiro, 10. D. José María de la Garza, 10. D. José María Elizondo, 20. Varios indivi­ duos, 15.— Villa del Saltillo. D. Francisco Antonio Fa…</t>
  </si>
  <si>
    <t>Fernandez, Sebastian</t>
  </si>
  <si>
    <t>Sebastian Fernandez</t>
  </si>
  <si>
    <t>coles pasado (3 de julio) estaba Mina en Maestu con 2000 hombres, y ahí ha estado bata el 5 : anda rodando por todos les confines de Navarra y Alava. D. Sebastian Fernandez, alias Dos• pelos , con 250 hombres de caba­ llería es du- ño.absoluto de teda la R oja y del país desde Maestu á A raya &amp;c. Tiene guarnicionen la Guardia…</t>
  </si>
  <si>
    <t>Fernandez, Tomas</t>
  </si>
  <si>
    <t>Tomas Fernandez</t>
  </si>
  <si>
    <t>la Muela que mandaba á la sazón la partida de D. .Francisco Sunches, de í). Nieasio Ló­ pez Cierzo , teniente de D. Manuel Hernández (el Abuelo) y de D. Tomas Fernandez , ios cuales habiendo reunido 150 m&amp;uchegos de sus partidas el dia Q en Huerta de Yaldecarabanos trataban de atacar á Aranjuez; pero con la noticia dé que el …</t>
  </si>
  <si>
    <t>Fernandez, Vicente</t>
  </si>
  <si>
    <t>Vicente Fernandez</t>
  </si>
  <si>
    <t>jtural de Igca, en sidente en Toledo, por........................................ 2200 Soria, residente en Toledo, por.......................... 2200 D. Vicente Fernandez, natural de Toledo, en don­ Et-ACUSTINOS CALZADOS. de reside, por........................................................ 2 300 D. Lid ro Alcaide, natural d…</t>
  </si>
  <si>
    <t>Fernandez, Víctor</t>
  </si>
  <si>
    <t>Víctor Fernandez</t>
  </si>
  <si>
    <t>enido nna conferencia de mas de una hora, é in­ mediatamente después de esta conferencia se haa Subtenientes. puesto los dos en camioo para Lisboa.'* D. Víctor Fernandez. De algún tiempo á esta parte apenas había D. Juan Castañeda. habido variación en el precio de las acciones del D. Josef Hidalgo Avellaneda. banco ; pero aye…</t>
  </si>
  <si>
    <t>Fernando</t>
  </si>
  <si>
    <t>fidelidad hacia la madre patria ; y que publicándose en la gaceta, llegue á noticia de iodos y sirva tle satisfacción á los interesados. 'j CORTES. &gt; D. Fernando vii por la gracia de Dios, rey de España y dé­ las Indias, y en su ausencia y cautividad el Consejó de Regencia, autorizado interinamente , á todos los 'que las pres…</t>
  </si>
  <si>
    <t>este testimonio)def su gratitud. . Al autor del :diseño que merezca ser aprobado, se le recompensa­ rá con una medalla de oro con el retrato del Sr. Rey Fernando vii; y ai clel diseño que;merezca cí segundolúgar, sé le dará uúa medalla igual eñ plata. Todos los diseños deberán presentarse en el término de tres me­ ses al prim…</t>
  </si>
  <si>
    <t>Astorga. fíSeñor: He sabido con la mayor satisfacción, que habiendo lle­ gado á noticia de Y. M. la de que por disposición del tirano Bona­ parte, el rey Fernando vii contraía su matrimonio, ó ya se ha­ bía verificado con una hija del emperador Francisco, y que con 26000 españoles de nuestros valientes; prisioneros venia á Ma…</t>
  </si>
  <si>
    <t>heroicas determinaciones de V. M. , dirigidas á la ma­ yor honra y gloria de Dios , bien de nuestra generosa nación , y felicidad de nuestro deseado rey Fernando vi i.—Nuestro Señor guarde á V. M. para conseguir tan idtos fines. Isla de León 31 dé diciembre de 1S10. — Señor — M. El marques de Astorga.” Contestación. ífExcmo. …</t>
  </si>
  <si>
    <t>ar de su des­ gracia, porque dexan de hacer la guerra en España.' ARTICULO DE OFICIO. El Consejo de Regencia ha expedido el real decreto siguiente: u D. Fernando vii por la gracia de Dios , rey de España y de las Indias , y en su ausencia y cautividad el Consejo de Regencia, se ha servido nombrar á D. José Canga Arguelles par…</t>
  </si>
  <si>
    <t>115</t>
  </si>
  <si>
    <t>án eli asuntó de los números Siguientes.. ' í : i I ! ! ARTICULO DE OFICIO. El Consejó de Regencia se ha servida expedir él real decreto si­ guiente: D. Fernando yif por la. gracia cíe. Dios:, rey de Esprín a y de las Indias , y en su. ausencia y cautividadleí Consejó de Regen­ cia, accediendo á las repetidas instancias que e…</t>
  </si>
  <si>
    <t>sangrienta querella que se ha suscitado algún tiem­ ra se dice que este principe va á cederlos al archi­ po há entre dos agaes,nno de los quales fae duque Fernando su hermano, comandante general nombrado en el campo, y él otro en la capital por de la Moravia y de la Silesia austríaca, porque él el Rikab, y ninguno de los dos …</t>
  </si>
  <si>
    <t>osef) , subayu Jante del regimiento da Baldeon {D. Ignacio), soldado del regimiento de fusilero* de id. Toledo , 2.° de infantería de líoea. Delgado (D. Fernando), capitán de la compañía Beaud ( D. Juan Luis), capitán del Real Extrau- de ceibal ería de cazadores de montaña de Uoeda. gero. Delgado ( D. Juan), teniente de la de…</t>
  </si>
  <si>
    <t>primero de la compañía de caballería de cazadores de montaña milicia cívica de Madrid. de Ubeda. Uriarte y Landa (D. Joaquín de), prefecto de Rbodas (D. Fernando de), mayor de la milicia . Mérida. cívica de Málaga. .... Weber (D. Manuel), individuo de nuestra guar­ Ríos (D. Pedro), cabo primero del regimiento de dia de honor …</t>
  </si>
  <si>
    <t>ncisco Xavier Caí-,taños: y de les que ha contraído dé un modo tan sobresaliente en la memorable batalla de la Albuhera; ha venido ei rey nuestro Sr. D. Fernando vii , y en su real-nombre el Consejo de Regencia, en concederle la gracia de la Gran Cruz de la real y distinguida or­ den española de Carlos III; tendreislo entendi…</t>
  </si>
  <si>
    <t>611</t>
  </si>
  <si>
    <t>la cada dia mas, obedeciendo por carácter y amor á la justicia los reales preceptos que S. A. le comunique á nombre de su idola­ trado monarca el Sr. D. Fernando vii. — Incluimos á V. E. im­ presos del real decreto de 12 de marzo, para que se instruya S. A. del modo con que se ha hecho notorio á sus fieles vasallos los caste­…</t>
  </si>
  <si>
    <t>cs, y contra la hipocresía con que al mismo tiempo que afreta el mayor celo para conservar los derechos de nuestro cau­ tivo y adorado monarca el Sr. D. Fernando vii t trata realmente de despedazar su corona, separándose de los españoles que la de­ fienden heroicamente en Europa contra ei pérfido Bmiaparíe. Se to­ maron asimi…</t>
  </si>
  <si>
    <t>ropeos : es general el entusiasmo por la causa común de ia na­ ció» , y el propósito de conservar en su integridad los dominios de nuestro rey el Sr. D. Fernando vi i ; y á consecuencia se miraban con desprecio y horror los nombres de los que baxo frivolos y cap» ciosos pretextos intentan dividirloo. La gaceta de Lima de 19 d…</t>
  </si>
  <si>
    <t>con detrimento del dominio y soberanía que por mas de 300 años tiene el legítimo y digno sucesor del trouo de Es­ paña nuestro suspirado Rey el St*. D. Fernando vii.— El r úme­ ro de insurgentes muertos ss ignora hasta ahora, porque habiendo huido por las serranías y malezas mmediatas al campo de la acción, fueron muertos á m…</t>
  </si>
  <si>
    <t>nte, goberna­ dor y capitán general do este reyno, para qué le ha nombrado el su­ premo Consejo de Regencia en nombre de nuestro amado monarca el Sr. D. Fernando víi. Desdo «4 camino había insinuado que ins­ taladas las Coates generales y extraordinarias de ía nación durante su víage, no habla pedido jurarlas y reconocerlas c…</t>
  </si>
  <si>
    <t>onsejo de Regencia de tan generosos rasgos , lia dispuesto qu: s ' den i todo ■ los docentes tas mas expresivas gracias ea nombra ta i Rev nu^lro Sr. D. Fernando vii, y que se publi­ que en la gaceta dsi Gobierno para noticia de todos, y satisfacción de los mtau os en la g. afinad nacional. •— El teniente d' y a *• neníate mi…</t>
  </si>
  <si>
    <t>unido, de la Gr*aiBrcíañn. ARTICULO DE OFICIO, E* Consejo de Regencia se ha servido dirigir sil señor ministro de la guerra el cecreto siguiente: . „D. Fernando vii , por la gra:i&gt;, cíe Dios., rey de España y de las ludias, y en su .ausencia y cautividad el Consejo de Regencia, autorizado interinaoLente» ti ='odo3 ioá q?ie la…</t>
  </si>
  <si>
    <t>via interinamente, y tenkcdo én consideración el patriotismo y vastos conocimientos que se reúnen en D. Ignacio Pvzuela; ha venido el rey nuestro Sr. D. Fernando vii , y en su real nombre ei Consejo de Regencia de los rey no»- de España é In­ dias , en nombrarle por secretario interino de estado y del despacho de gracia y jus…</t>
  </si>
  <si>
    <t>ntre sus compatriotas, sin el apoyo de las tropas francesas,, ARTICULO DE OFICIO. El Consejo de Regencia se ha servid© expedir el decreto si­ guíente D. Fernando rrt, por la gracia de DI s , rey de E os fia y de las Indias, y en su ausencia y cauiiy'dfcH el Con* jo da R g sem, autorizado interinamente , á todos los que las pr…</t>
  </si>
  <si>
    <t>tanto con respecto á la fe^ha en los siguientes hasta su conclusión,- la que de órden con que dice ge le suspendieron las dietas, quanto del Sr. R«i D. Fernando vi escribió D. Miguel Anto. í que se halle preso, siendo asi qoe oó está mas nio de la Gandara, intitulada Apuntes sobre el bien y qoe arrestado, que es moi distinto:…</t>
  </si>
  <si>
    <t>Monarca, hubiéramos visto bien pronto dad-Real, Talayera y Toledo en Castilla. El Rci ca­ Tcprimida la impotente audacia de esas quadrillas de tólico D. Fernando v, dándolas aumento y mejor for­ andrajosa y vd canalla, que con especiosos títulos en­ ma, las extendió a toda la península, no sin superar Ja tra á saco y tú ego p…</t>
  </si>
  <si>
    <t>ón pase á Cáceres : su fuerza será de carca de 15000 hombxés. ARTICULO DE OFICIO. El. Consejo de Regencia se ha servido expedir el decreto que sigue: D. Fernando vii , por la gracia de Dios, rey de España y- de las Indias, y eu su ausencia y cautividad el Consajo de .Regencia, autorizado interinamente, á todos los que las pre…</t>
  </si>
  <si>
    <t>EGENCIA DE ESPAÑA É INDIAS DEL MARTES 17 DE SETIEMBRE DE 1311. ARTICULO DE OFICIO. El Consejo de Regencia se ka servido expedir ei decreto que sigues D. Fernando vii por la gracia de Dios, rey de España y délas Indias, y en su ausencia y cautividad el Consejo de ll -.-geneia, auto­ rizado interinamente, á todos los que las pr…</t>
  </si>
  <si>
    <t>993</t>
  </si>
  <si>
    <t>a Pauta.” (Correo de Inglaterra.) ESPAÑA. México 30 de mmjo. Hoy se han celebrado en esta capital ios felices días de nuestro católico monarca el Sr. D. Fernando vii, con toda la solemnidad que ha sido consiguiente á las villajes pú­ blicas de fidelidad y patriotismo con que se distingue» estoa honra­ dos habitantes. Al efect…</t>
  </si>
  <si>
    <t>ARTICULO DE OFICIO. El Consejo de Regencia se ha servido expedir el decreto que sigue: D. Fernando vii , por la grada de Dios, rey de E paña y de las Indias, y tn su ausencia y cautividad el Consejo de Regencia, autorizado interinamente, á todos lás que las presentes vieren y en­ tendieren, s</t>
  </si>
  <si>
    <t>tlan, que celebraban verse libres de los foragiüos, y aplaudían con CG¡’-tif¿u&lt;38 vivas y aclamaciones al retrato de nuestro augusto mo­ narca el Si. D. Fernando vii , que conducían en triunfo. Al día siguiente se celebró una solemne misa en acción de gracias al To­ dopoderoso , y en ella se leyó una proclama del comandante ,…</t>
  </si>
  <si>
    <t>nica verdadera, con exclusión de toda secta, su go­ bierno el monárquico, y proclamando con las ni ay oros solemnidades á nuestro deseado íiay el Sr. D. Fernando tii : principios toe?es qv?é ha querido Y. M. se ratÍHqu r m:ent6 día, fe&amp;oyácdose ios- jura­ mentos anteriores, no porque cea quó esto ac-ío aumenta vír.cutes á los…</t>
  </si>
  <si>
    <t>sta­ lación. Hoy hace un año que jas Córtes generales y extraordinarias* convocadas en cumplimiento de las últimas órdenes de nuestro ama­ do monarca D. Fernando vn, y tan deseadas de la nación españo­ la , trabajan utüÍ3Íraamente en mantener el entusiasmo nacional, ali­ viar en lo posible las cargas de los pueblos , y adopta…</t>
  </si>
  <si>
    <t>1045</t>
  </si>
  <si>
    <t>ad é integridad de todos sus dominios, la religión católica apostólica romana, el Gobierno monárquico del reyno, y restablecer en el trono á su amado rey Fernando vii de 3j¿bon; y no soltará las armas de la mauo hasta que haya asegurado estos grandes obje­ tos...... Leales isleños establecidos en Caracas, acabad de reconocer …</t>
  </si>
  <si>
    <t>da absoluta, redundando ¿ la unión con las damas partes de la monarquía ecpañola , y desconociendo los derechos de nuestro legí­ timo raonarca el Sr. D. Fernando yii , cuyo sagrado nombre ha­ bía sido respetado en apariencia ha; ta el presente. Tales excesos de. una anarquía loca y desenfrenada han acabado de abrir loa ojos á…</t>
  </si>
  <si>
    <t>AÑA. México 13 de julio. En la ciudad de Gnadalaxara, capital de la Nueva-Galicia , se celebraron el 30 de mayo loa dias de nuestro . amado rey elSr. D. Fernando vii con las mayores demostraciones de regocijo, Aquella noche y la anterior hubo iluminación general. Se celebró misa solemne en la catedral con asistencia de las au…</t>
  </si>
  <si>
    <t>1114</t>
  </si>
  <si>
    <t>heridos gravemente, entre ellos na oficial , y á mas un caballo muerto.” Cádk 14 de octubre. Coa motivo de ser hoy el cumpleaños dst rey nuestro Sr. D. Fernando víi , ha habido triplp salva de artille­ ría de mar y tierra ..y se ha vestido la corte de gala con uniformé. JS! Consejo de Regencia ha ¿pasado'jen céfémónía á las 1…</t>
  </si>
  <si>
    <t>1115</t>
  </si>
  <si>
    <t>sión al augusto congreso, que juró el cabildo de Lima en 22 de marzo de este año, habiendo antes proclamado con igual entusiasmo á nuestro rey el Sr. D. Fernando vii. El Consejo de Regencia, deseando permanezca con la opinión que merece la acrisolada leal­ tad de aquel ayuntamiento, y desmentir las expresiones menos li­ sonje…</t>
  </si>
  <si>
    <t>abía 7 enfermos de ¿I el dia 15 del pasado. ARTICULO DE OFICIO. Ei Consejo de Regencia se ha aorvido expedir y circular los de­ cretos «pe liguen : ,,D. Fernando vii , per la gracia de Dios, Tey de Espsña y de las Indias, y ea su ausencia.,y cautividad el Consejo de Regencia, autorizado interinamente, á todos los que Ia3 pres…</t>
  </si>
  <si>
    <t>Au­ sente D. Joaquín Blake coa permiso d« tas Cor*-:?. — Pedro de Agar.— En Cáaiz á 4 de setiembre de 1811.—A D. José Cansa A‘"i^usiies. •• n i» O £ D. Fernando vi i , por la gracia de Dios, rey de España jr de las Lidias, y en su ausencia y cauvividad el Consejo de Regencia, autorizado interinamente, i iodos los qu¿ las pres…</t>
  </si>
  <si>
    <t>ropas destinadas á las provincias españolas nlií'amarinas. ARTICULO DE OFICIO. El Ccíiisejo de Regencia se ha servido expedir el decreto que sigue: {'D. Fernando vii por la gracia de Dios, rey de España y de lsá l idias, y en su ausencia y cautividad el Consejo gL R gancia, nw¿ 71 &gt;. XA .-i. cC írv.i *** ;.-x i rtfi V%Wii i .…</t>
  </si>
  <si>
    <t>undo de Soria, ayudantía á D. Andrés Aguirre; tenencias á D. Vicente Olmos, Don Francisco Rica Tillaren!, D. Marcelino Morales, D. Nerbsrto Flo­ res, D. Fernando dei R:o, D. Ramón Pi aillos y D. Antonio Pala­ cios; y subtenencias á D. Cristóbal Julián, D. Tomas de Torres, D. Juan Garasa, D. Lorenzo Martínez, D. José Ortiz, D.…</t>
  </si>
  <si>
    <t>do de su mayor general de artillería y de otros oficiales. : « ARTICULO DE OFICIO. Ei Consejo de Regencia se ha servido expedir el decreto que sigue: D. Fernando vii, por la gracia de Dios, rey de España y de las Indias, y en su ausencia y cautividad el Consejo de Regencia, autorizado interinamente, á todos los que las presen…</t>
  </si>
  <si>
    <t>\2í6 En este día, eon «I plausible motivo del cumpleaños demuestro .■augurio monarca el Sí. D. Fernando vii, hubo corte en el aleja• mieE.ío no! comandanta' interino deí ezéreito, el Excrao. Sr. mar* qms da Pcrtago : hubo gran parada y tres salvas de artillería y fu­ silería. Día 15. Parece que M</t>
  </si>
  <si>
    <t>genesosa amistad de la nación y gobierno británico. ARTICULO DE OFLCIO. EL Consejo de Regencia se ha servido expedir el destelo que sigue s ' .' . ' D. Fernando víi , por Iá gracia de Dios, rey de España y de las Lidia», y en su ausencia y cautividad d Conssj-.s do Rvgenoia, autorizado interinamente, á todos' íóstqne las pre-…</t>
  </si>
  <si>
    <t>en f uerza de 2 i 3000 hombres, según las mejores noticias. ARTICULO DE OFICIO. El Consejo de Regencia se ha servido expedir el decreto que sigue: . D Fernando vii, por la gracia de Dios rey de España y de las Inuas, y en su ausencia v cautividad ei Consejo dt Regencia, automad o iiiteritameríte, á todos l®a qus las presentes…</t>
  </si>
  <si>
    <t>primeras noticias que se recibieron aquí de la «levos» invasión do la península por los franceses y de la cautividad de nuestro amad® monarca el Si. D. Fernando vii, excitares la mas viva indígaacio» en los ánimos de los Heles habi­ tantes de estas isla» : y ya que 3a distaucia no les permitía concur­ rir personalmente » la d…</t>
  </si>
  <si>
    <t>Fernando, Augusto</t>
  </si>
  <si>
    <t>Augusto Fernando</t>
  </si>
  <si>
    <t>familias quedan enteramente tacamentos suecos que defienden aquella isla se arruinadas. Kan opuesto al desembarco de los ingleses, quie­ S. A. R. el príncipe Augusto Fernando, que nes después de haber sufrido un fuego bien soste­ volvía de recorrer Ja Silesia, se hallaba aquí por nido de fusilería, hau tomado el partido de re…</t>
  </si>
  <si>
    <t>FernaxVdo</t>
  </si>
  <si>
    <t>1015</t>
  </si>
  <si>
    <t>rrur D. José María Calaírava » diputado propie ario por la provincia de Extremadura. Mi Consejo de Regencia se hasercido expedir el decreto que sigua D. FernaxVdo vii , por la gracia de Dios, rey de España y do las Indias, y en su ausencia y cautividad el Consejo de Regencia, autorizado interinamente , á todos las que las pre…</t>
  </si>
  <si>
    <t>Feroaudo</t>
  </si>
  <si>
    <t>cial de la compañía de mos decretado y decretamos lo siguiente : cazadores de montaña de Badajoz. articulo 1. ,,Queda confirmado en su titulo Roxas { D. Feroaudo de ), intendente de Valla- de conde de Teva , que gozaba D. Cipiiano PaLfí &lt;x dolid. antes dei 18 de agosto de 1809 por concesión de Saiz de Villegas (D. Nicolás), c…</t>
  </si>
  <si>
    <t>Feroz, Gregorio</t>
  </si>
  <si>
    <t>Gregorio Feroz</t>
  </si>
  <si>
    <t>osé Manuel Porez , 1. Piloteo Vargas, 1. Florentino Sánchez , 2. Antonio'Car­ ril lo , l. Manuel Camilo, 1. Juan de Dios Martínez,!. Rafael Pavía, 1. D. Gregorio Feroz, vecino de Kalkini , 100." D. Juan Ignacio Cosgaya, 50. D. Gregorio Marcad al, líX). D. Hipólito Olivera, vecino de Bacalar, 50. D. José Nicolás Guerra , 25. D…</t>
  </si>
  <si>
    <t>Ferrari, Juan</t>
  </si>
  <si>
    <t>Juan Ferrari</t>
  </si>
  <si>
    <t>ez Sánchez, 1215. i). Lorenzo Rodríguez, 4768. D. Sebastian Izquierdo , 500. D. Pascual Cebada , 704. D Juan Córd ido , 300. D. Felipe de....... 100. D. Juan Ferrari, 30 ). D. Nicolás María Carmena 1500. D. Angel González Viilauueva, 1000. Total , U,451. ' h'i plata y otros efectos. E! Sermo. Señor presidente D. Pedro de Agar…</t>
  </si>
  <si>
    <t>Ferrer, Agustín</t>
  </si>
  <si>
    <t>Agustín Ferrer</t>
  </si>
  <si>
    <t>Moreno , 50. D. Juan Diaz , 40. D. Jorge Montero , 25. Don Domingo'Mosqueira, 25. D. Aiidres Pumar , 25. Jóse Antonio Perez, 15. Santiago Forco , 6. D. Agustín Ferrer , 10. D. Juan Antonio Colero , 6. Mar­ celo Perez , 6. Juan de Dios Perez, 6. Andrés González , 6. José Más , 6. Nicolás Mas, 5. Anastasio Noriega , 5. Juan Alv…</t>
  </si>
  <si>
    <t>Ferrer, Joaquín</t>
  </si>
  <si>
    <t>Joaquín Ferrer</t>
  </si>
  <si>
    <t>1.” la séptima compañía. Del 2 8. D. Manuel Albelo,'sargento primero, i subtenien­ te de la tercera compañía. S. E. el duque de Vicence, embaxador da D. Joaquín Ferrer, sargento primero, i subtenien­ Francia en Petersburgo, dió el 31 de diciembre te de la quinta compañía. una función mui brillaote, á la que' asistieron ios Oc…</t>
  </si>
  <si>
    <t>apitán sogundo á D. Fulgencio Sala y D. Toma? Ruiz; los de subteniente á O. Eztquiel Rodríguez Voto y D. Juan March; y el de subteniente de bandera á D. Joaquín Ferrer. En el regimiento de infantería de la Ua on; compañías á Don José María Freyre, D. Jóse García y D. Juan Astorga; ayudantía á D. Estanislao Gautier; tenencias …</t>
  </si>
  <si>
    <t>Ferrer, José</t>
  </si>
  <si>
    <t>José Ferrer</t>
  </si>
  <si>
    <t>ymc Kernati, 25. D Antonio Moreno,- 100. D. Antonio Comadira, 2.0. D. Andrés Moreno , 330. D Gerardo Bas.,‘300. D. Juan .Mar­ ti y Robus , 62 v 6 rs. D. José Ferrer, 75. IX Matias Rere/., 50. D. Gaspar Bavi , 50. D- Jaymc Pont, 50. I). Juan Plá , 35 y 5 rs. D. Santiago Parodi, 30. D. Domingo Esiaracbe , 60. D. Domingo íJarcia…</t>
  </si>
  <si>
    <t>Ferrer, Pedro</t>
  </si>
  <si>
    <t>Pedro Ferrer</t>
  </si>
  <si>
    <t>, 6. Pedro Saboila, 4. X&gt; Ramón Totosans, 4. D. Juan Perez, 4. D. Valerio Grau , á D. Juan de Dios \randa, 8. D. Esteban Borom, 3. D. José García, 2. D Pedro Ferrer , 2. D. Domingo Marera , 1. D. José María Suarez , 2. Antonio Balao, 8. D. Francisco Armario, 4 D. Manuel Malavear , 2. D. José Badia,2.— Hacendadas. Doña María M…</t>
  </si>
  <si>
    <t>s sitios pontanosos. Anteayer se Quarto batallón. triplicó el número de los trabajadores. La mitad continuará las excavaciones del coliseo, y la otra D. Pedro Ferrer, ayudante primero, á coman­ mitad está empleada en una operación mu¡ impor­ dante. tante, qual es la del desmonte de las termas de Tito, D. Julián Gortari, sarge…</t>
  </si>
  <si>
    <t>aría Cambró- Quirós..... ,....................... 34811..17 nero....... ............................ 13125 Doña Angela Clara de Pineda. 2 3 207.. 2 2 D. Pedro Ferrer................ . 2 2.2872.21 El conde de Casa^ Valencia.. 3 3 311.. 17 D. Vicente Anduaga.......... 10547..32 El patronato de D, Pedro D. Santiago Gavirati.....…</t>
  </si>
  <si>
    <t>Ferrer, Raymundo</t>
  </si>
  <si>
    <t>Raymundo Ferrer</t>
  </si>
  <si>
    <t>l grito heroico de vencer , Ó morir , y llegando á la sa2on la reserva , el tercer batallón de reales guar* dias Españolas , mandado por el brigadier.D. Raymundo Ferrer , pedia atacar 4 la bayoneta. Los mismos deseos manifestaba :el regimiento de Africa man­ dado por su coronel D. Tomás. Retortillo. Estos esfuerzos reunidos á…</t>
  </si>
  <si>
    <t>Ferrer, Sebastian</t>
  </si>
  <si>
    <t>Sebastian Ferrer</t>
  </si>
  <si>
    <t>che, prescinda de Yucatán. I). José González Abreu , 25 pesos fuertes. D. Cárlos Aubrv , 25. Do^ José María Fiores , 25. D. José Puig y Escardó , 25. D. Sebastian Ferrer, 25. D. Francisco Maristani , 25. D. Miguel Roig , 25. D. Joaquín Sánchez, 25. D. Miguel Vargas , 25. D. Juan Huise, 25. D. Manuel Antonio Barbachano , cada …</t>
  </si>
  <si>
    <t>Ferseo</t>
  </si>
  <si>
    <t>a Tschernosubow, el de dragones de Orptsch, y escrita por el Reí á la condesa de Piper , hermana con dos piezas de artillería. La acción se - em­ del mariscal Ferseo, asesinado por el populacho de peñó á corta distancia de Fiorentiao; y aunque esta capital. S. M. le dice en ella que habiendo re­ el enemigo tenia dobles fuerza…</t>
  </si>
  <si>
    <t>Ferstanjdo</t>
  </si>
  <si>
    <t>las el 29. ARTICULO" DE OFICIO. Eí Gbnsejo de R agencia «e ha servido dirigir al encargado del ministerio de gracia y justicia el decreto que sigue: „D. Ferstanjdo vii, por ia gracia de Dios, rey' de España y de ias Ipdias, y .en su' ausencia y cautividad el Consejo de Rígeacía, autorizado interí ni mónte, á todos los que Te»…</t>
  </si>
  <si>
    <t>Fescb</t>
  </si>
  <si>
    <t>Gaceta de Madrid n.º 195</t>
  </si>
  <si>
    <t>mas respetuoso y propio-del amor y ma para la ceremonia religiosa, eu la qual ofició *»sumisión que profesa á su Soberano, como á fe— S. A. Em.ma el cardenal Fescb. ** licitar su regreso al seno de sus fieles vasallos,. El jueves celebró el concilio so primera con­ »&gt; tan fielmente cumplido , como soberanamente progregación g…</t>
  </si>
  <si>
    <t>Fesch</t>
  </si>
  <si>
    <t>657</t>
  </si>
  <si>
    <t>a de una mala tela. lustral. ,, Las demas figuras son emblemas de este om­ París 18 de mayo. nipotente en las diferentes metamorfosis qae ha S. A. el cardenal Fesch; el conde Segur, gran tenido. Aid se le ve con cabeza de mono, de maestro da ceremonias; el presbítero Sambuci, javalí, de elefante Scc., y la serpiente Caligan, …</t>
  </si>
  <si>
    <t>primera con­ »&gt; tan fielmente cumplido , como soberanamente progregación general. ai metido ai paso por esta ciudad á París: la chan— S. A. tm.®* el cardenal Fesch, presidente; »&gt;cilleiía, Señor, fiel executora de los preceptos d*&lt; SS. EE. el ministro de los Cultos del imperio, y »»V. M., se ha empleado, y no cesará de ¡nterp…</t>
  </si>
  <si>
    <t>al. coronel Hutchinsoq razones mui poderosas para El presídeme del concilio es el Eminentísimo convencer á qnalqniera de la inutilidad de nues­ señor cardenal Fesch, arzobispo de León, primado tros esfuerzos para continuar la guerra en el con­ de las Galas. tinente.” Los p..dres se colocaron en el coro en las fi las SUIZA. qu…</t>
  </si>
  <si>
    <t>neros, que les hizo la vanguardia del general Conronx en ia jor­ Parts 10 de julio. nada del 2 en Calañas, 6 que la guarnición de S. A. Ema. Morí. el cardenal Fesch ha dirigi­ Niebla les cogió quando salió en su seguimiento. do , como presidente del concilio nacional, una Los señores gederales elogian á las tropas , y tes­ ca…</t>
  </si>
  <si>
    <t>ez, Ies mató 3 hombres, hirió á muchos, hi­ tración de Ja sociedad de maternidad. S. A. Erna, zo 3 prisioneros (entre los quales se halla un el señor cardenal Fesch hizo de secretario, y el franco, que en la noche del 21 de mayo desertó señor obispo de Versalles de vice secretario. • estando de servicio en la puerta del puent…</t>
  </si>
  <si>
    <t>ia ñas y de las Indias. de nuestra Señora por el alma del difunto obispo de „Oido nuestro ministro de Negocios eclesiás­ Feltre. Presidia S. Erna, ti cardenal Fesch, sentado ticos , nombramos en silla pontifical; Mr. Nava, obispo de Brescia, Para el beneficio entero de la iglesia parroquial dixo la misa, y los clérigos del se…</t>
  </si>
  <si>
    <t>Ffánqi</t>
  </si>
  <si>
    <t>. El cadete D. Simón Herrera , 100. — Pri. mera compañía del Nnevo León. Capitán D. Gerónimo Herrera,, '200. Te­ niente ,I). José María Muñoz , 5fy. .Alférez Ffánqi^corjÉsca.millat¿.5^0.. La , tropa de esta compañía, 485.■ ¡Segunda id.papitaiiP. Matías Cantu ,'200. Teniente D. Felipe dé la Garza,, 10Ó. Alférez ÍD. Isidro, de …</t>
  </si>
  <si>
    <t>Ffrnando</t>
  </si>
  <si>
    <t>261</t>
  </si>
  <si>
    <t>o, mí itáres y políticos baxó un • plan , que ni en lo mas mí­ nimo des ixe¿e de la acendrada lealtad de aquella pr viritla há ia su amado rey el Sr. D. Ffrnando vii 3 y al real y supremo Cons jo de Regencia*, que á nombre de S. M gobernaba España é Indias, cu­ yo juramento inviolable prestó el ilustre ayuntamiento, con gener…</t>
  </si>
  <si>
    <t>dia, no solo la gloriosa instalación de las Cor­ tes , sino la completa derrota del enemigo, y la redamación al tro­ no dí nuestro deseado r y el Sr. D. Ffrnando vii.” Salió el Consejo de Regencia, y entrando los grfes de palacio, á sab r, el que hacia veces de mayordomo mayor, caballerizo ma­ yor, suísiller de corps y capitá…</t>
  </si>
  <si>
    <t>Fi, Eueebio</t>
  </si>
  <si>
    <t>Eueebio Fi</t>
  </si>
  <si>
    <t>icente * Coronado.; en el segundo, i Jos alumnos de la acade­ mia militar de éste cuarto exércitó ©. Moliion García Iglesias , Don Celestino Palomo y D. Eueebio Fi gueras, y'al cadete D. Manuel Sán­ chez: en el de Irlanda al cadete D. Cayetano de Hayo: en el de Na­ varra al subtentar-de agregado ©.•. Antonio Villa : en el de …</t>
  </si>
  <si>
    <t>Fialio, Antonio</t>
  </si>
  <si>
    <t>Antonio Fialio</t>
  </si>
  <si>
    <t>co González, id., 1. D. Domingo Sán­ chez , sobrestante del molino , 4. D. Julián de Magallanes , id, segundo , 2, IX Esteban de Urbieta, mayoral, 1, D. Antonio Fialio , contramayoral, 1, D. Santiago de Tagie, sobrestante dé la cigarrería, 2, D. Juan Francisco Godoy ,.sobrestante del encajonado , 1. D. Rafael Pacheco, portero…</t>
  </si>
  <si>
    <t>Fian</t>
  </si>
  <si>
    <t>, aprovechando la ocarnn év hv!;vr quedado muy reducida la guarnición de Burgo? , coa rneíivc de haber salido paite de ella ¿ perseguir ai partidario D. Fian-</t>
  </si>
  <si>
    <t>Ficto</t>
  </si>
  <si>
    <t>smo otro estandarte nuestro•„ qué^ sin duda quedó en tierra por muerte del que lo llevaba. — El falte cz D. Ceaoa Fernán;!* z , llevando á su lado al soldado Ficto río tolano, fué embestido por 6 enemigos , á quienes rechazó con muerte de uno de ellos: Solano murió ea el encuentro. — Ei soldado P onda? o de Arcos, el mismo qu…</t>
  </si>
  <si>
    <t>FIDKL</t>
  </si>
  <si>
    <t>tteint, ser, Au plus beau des pariraits, ai* luí me me stst Ah monde qui Lt quiete elte vrut renoncer, pdnt. Et du vale p mptux ii'un&lt;- haule sagesse D. FIDKL. He ses atraits tués d&lt;gui¿cr 'a faiaU sse. No, señora; los alectos Ce soné JA les retours des coqtt /tes ,iu tems; Mas fei virosos y píos 11 leur est d»r de voif deser…</t>
  </si>
  <si>
    <t>Fíeteher</t>
  </si>
  <si>
    <t>lington á Don Miguel Pereijra Forjaz de 13 de junio en el cuartel general de la quinta de la Gramicka, “En consecuencia del parte que dio el tejiente coronel Fíeteher, comandante de ingenieros, s®bre que el fuerte de S. Cristóbal podría ocasionar la pérdida de muchas vidas en las operaciones de la iz­ quierda del Guadiana, y …</t>
  </si>
  <si>
    <t>Fíeteker</t>
  </si>
  <si>
    <t>operaciones en la izquierda del Guadiana, y del mayor general-Houston que las dirigía á la derecha clel mismo rio ; del mayor general Hamiíton ,. del teniente coronel Fíeteker, del cuerpo de ingenieros reales que dirigía las-; operaciones en la izquierda del Guadiana, y del espitan Squire que dirigía las de la derecha ; del t…</t>
  </si>
  <si>
    <t>Figueiro</t>
  </si>
  <si>
    <t>ace-ira, fue acometido y dispersado por ura partida, menor en número , dd regimiento de-caballería portuguesa número ii. El coronel Wilson, que ocupa d Figueiro, sabiendo que d enemigo con 500 in­ fantes y d regimiento de cáhuilaia Sí) pasaba el Momjego en el vado de Ferraría , cayó sobre él en Figueiro , y le hizo repasar el…</t>
  </si>
  <si>
    <t>Figueroa, Francisco</t>
  </si>
  <si>
    <t>Francisco Figueroa</t>
  </si>
  <si>
    <t>mayor brevedad posible. Continúan los donativos de la provincia de Coaguila. S. Cáríos de la Candela. Don Matías de Hoyos, 14. Don José Guevara, 10. D. Francisco Figueroa, 6. D. José María Neira; 8. D. Ramón Baez , 5. garios individuos, 46 y 1 rs. — S. Fernando. D. Fé­ lix Cevallos , 25. D. José Antonio Me riel mea, 12. V ari…</t>
  </si>
  <si>
    <t>Figueroa, Lázaro</t>
  </si>
  <si>
    <t>Lázaro Figueroa</t>
  </si>
  <si>
    <t>brct, tanto en Extremadura cómo en Andalucía; teniente de !a octava compañía, en reemplazo &lt;kademas han ocasionado pérdidas incalculable* á ior D. Lázaro Figueroa. desgraciados K'abirantes' de las1 do» provincias , sea Décimo batallón. por el mero hecho de la guerra , &lt;5 sea forzándolos por las seducciones y amenazas í seguir…</t>
  </si>
  <si>
    <t>Filippon</t>
  </si>
  <si>
    <t>las paralelas , habían sido tomadas go. Los regimientos 34.0 y 83.Vque formaban la. con rauta inteligencia i y las baterías que habia es­ brigada del general Filippon, estaban eu primera tablecido el se ñor g'eneral ’Bourgeat- estaban tan lútea', y tenían un batallón desplegado, y dos en bien acomodadas ~á fes 'idealidades y …</t>
  </si>
  <si>
    <t>Filit</t>
  </si>
  <si>
    <t>or^andaníe ¿?e guerrilla Garrido,» quien llevaban esposado ; que murieron en el choque 300 enemigos, y que quedaron prisioneros: 200 , entre ellos el coronel Filit, barón del imperio, con otros T oficiales* ARTICULO DE OFICIO. El capitán general D. Francisco Xavier Castaños , con fecha de 26 de junio próximo pasado, remite al…</t>
  </si>
  <si>
    <t>Finat, Juan Francisco</t>
  </si>
  <si>
    <t>Juan Francisco Finat</t>
  </si>
  <si>
    <t>6 Silva............................................ . 6623 24 D. Pedro Vidarte..................... .,... 3790 r7 La abadesa y religiosas del conven­ D. Juan Francisco Finat.,............. 9205 J 7 to de Sta. Clara de CiempozueD. Francisco Irusta............. ........... 10108 los.../..........................................…</t>
  </si>
  <si>
    <t>Finch</t>
  </si>
  <si>
    <t>día 14 de febrero. hai por ahora novedad. El general Hill continúa El señor general Lahoussaye ha encontrado su­ enfermo. El gene ral Campbell, y el general Finch, misos á todos ios moradores de lot pueblos, y tus-</t>
  </si>
  <si>
    <t>Fine</t>
  </si>
  <si>
    <t>ri­ turalmente posible la retirada de Masiena; pero lla izquierda la división del general HUI. Lá del puede haber ademas otras muchas qoe nosotros no general Fine, qne se hallaba también en la orí- conozcamos ni penetremos. Nuestra ignorancia so­ lb izquierda del Tajo, dicen que ha pasado á bre la verdadera situación y estado…</t>
  </si>
  <si>
    <t>Finncan, Diego</t>
  </si>
  <si>
    <t>Diego Finncan</t>
  </si>
  <si>
    <t>D. Matías Gatrate, teniente de infantería de de un crimen que ha menester ser tan auténtico, Lena. y tener tantos testigos oculares como tiene , para D. Diego Finncan, teniente de infantería de ser creído, y es el siguiente. Cangas de Tineo. Nicolás López , sargento de los cazadores de D. Miguel Begoerit, snbtenienti de ídem.…</t>
  </si>
  <si>
    <t>Fiores, Juan Manuel García</t>
  </si>
  <si>
    <t>Juan Manuel García Fiores</t>
  </si>
  <si>
    <t>laxara , vacan­ D. Manuel Zavala Especulo, teniente, á capi­ te por ascenso de D. Ignacio Ramón Velasco ai tán de la segunda compañía. ' de Arroba, á D. Juan Manuel García Fiores, cu­ D. Lorenzo Campillo, sargento primero, á ra de Sto. Tomas de la mi mi ciudad. subteniente de la segunda compañía. Nuestro ministro de Negocios …</t>
  </si>
  <si>
    <t>Firmas-P</t>
  </si>
  <si>
    <t>reros dé redera). Todas las demas festividades sin excep­ xoo hombres. ción ninguna serán trasladadas á los domingos. Augsbur^o 13 de mayo. SUIZA. El conde Firmas-P ríes, gentilhombre de S. M. el Reí de Wuriv&gt;»&gt;Si-'g, .caV. de publicar una Soleure 3 de mayo. obra íntíruiada la P asitélegrafía ; está escrita en El bndatnann de…</t>
  </si>
  <si>
    <t>Firpo, Alexandro</t>
  </si>
  <si>
    <t>Alexandro Firpo</t>
  </si>
  <si>
    <t>ndo , 500. Don E. B. 300. D. Victor Soret, 500. D. Francisco de Berrio, 500. D. Luis Fran­ cisco de Gardea/abal, 200. D. Juan Soler y G-arceran, 400. D. Alexandro Firpo , 300. D. Pablo Roura, 400. D, Gaspar Remisa, 1000. D. Francisco Díaz, 500. D. Agustín Ciotet, 200. D. Jacinto Alvarez de Pazos , 1000. D. Domin­ go José Cier…</t>
  </si>
  <si>
    <t>Firrao</t>
  </si>
  <si>
    <t>les con los mijares anteojos ingleses. los extranjeros que han sido presentados en la cor­ La publicación de los medios y métodos con te. S. Era.* el cardenal Firrao, limosnero mayor, que un artesano francés, fabricante de cristales, celebró los divinos oficios y entonó el Te Deunt, ha conseguido hacer los celebrados y decant…</t>
  </si>
  <si>
    <t>Fitzpala</t>
  </si>
  <si>
    <t>Gaceta de Madrid n.º 253</t>
  </si>
  <si>
    <t>datario del lord Caher, y sobrino del cura de la par­ fecto en una proclama dei gobierno las resoluciones de roquia de Caher y Clogheon. Dicen que A. D. Fitzpala última asamblea general de la junta de los católicos trick, escudero, recaudador é inspector de las contri­ de Irlav-da, éa ¡unta ha creído conveniente publicarlas b…</t>
  </si>
  <si>
    <t>Flan, Manuel</t>
  </si>
  <si>
    <t>Manuel Flan</t>
  </si>
  <si>
    <t>noche, que ya era entrada. Entre 6 y 7 de la mañana del 17 se movió la izquierda de nuestro exército á las órdenes del comandante general en segundo, D. Manuel Flan&gt; conde de la Cadena, compuesta de los cuerpo) de la Co­ rona , dragones de Puebla y México con 4 cañones, y atravesando un riachuelo pedregoso, subió conja mayor …</t>
  </si>
  <si>
    <t>Flbrega, Juan</t>
  </si>
  <si>
    <t>Juan Flbrega</t>
  </si>
  <si>
    <t>gotes de contribución en Bssajú y 3000 en Bañólas. Junto á «sfce último pueblo tuvo un encuentro c?ui el segundo batallón é? S. Fernando, mandado por D. Juan Flbrega, de ou» resultaron algunas herido®. Pai te del comandante del batallón de Tarragona D. José Muro al general 73. Luis Dría/. u Exciso. Sr.: Él 23 d«l comente (oct…</t>
  </si>
  <si>
    <t>Fleming</t>
  </si>
  <si>
    <t>Gaceta de Madrid n.º 161</t>
  </si>
  <si>
    <t>161</t>
  </si>
  <si>
    <t>principiado los caballeros de la órden del Ser ..fin al ministro la obra han descubierto una urna- sepulcr 1 con esta de Estado conde Gíllembnrg ; al barón Fleming, inscripción: Postumio Veiento (á Postumio de Ver eons.j ro de Estado, y al presidente barón deuLa- yos). Este feliz prendió los ha animado sobre­ gerheim. Esperam…</t>
  </si>
  <si>
    <t>Fleming, Toma</t>
  </si>
  <si>
    <t>Toma Fleming</t>
  </si>
  <si>
    <t>alazn? 100. D. Tomas Urrntia , 2000. D. .Sebastian Martínez Torrecilla , 600. Sres. Yugla, CcHiellet y compañía. , 1G00. D. Sebastian Peñasco , 1000. D. Toma* Fleming, 300. 1&gt;. Domingo Pont y Closas . 300. X). Miguel do Mendizabal, 500. D. Francisco Lerda de Tejada, 1000. ÍX Juan Bautista Cheirasoo y Vico, ÍÜOÍL D. Santiago J…</t>
  </si>
  <si>
    <t>Flemming</t>
  </si>
  <si>
    <t>rahe, el barón Kiinkowstrom , los con­ quiera.” des Ruth, Posse, Wietggles y Wachtmcistcr, el CAMARA BAXA. barón Rossembiad, consejero de Estado , el barón Flemming, presidente, el barón Lagerheim , el ma­ Sesión del t¡ de junio. yor general barón de Bennet , el obispo Win- Habiendo propuesto el canciller del echiquier gard &amp;…</t>
  </si>
  <si>
    <t>Flestcher</t>
  </si>
  <si>
    <t>a cruz de comendador de que he detenido al enemigo, debo hacer presentes la orden militar de Maximiliano Josef al señor ge­ á V. S. los servicios del coronel Flestcher, y de neral francés Coehorn ; el oiial ha servido en otro ios demas oficiales de ingenieros, que con sn ta­ tiempo en el regimiento de Aisacia, de que el Reí l…</t>
  </si>
  <si>
    <t>Flioders</t>
  </si>
  <si>
    <t>idos. el Cabo la müerte del almirante Druri, se embar­ có inmediatamente para la India. GRAN DUCADO DE BADEN. La relación de los viages hechos por el capitán Flioders i tos mares del Sud se publicará i la ma­ Carlsruhe &lt;¡&gt; de agosto. yor brevedad de órden de los lores del almiran­ Ayer por la tarde varias jóvenes de esta ciu­…</t>
  </si>
  <si>
    <t>Flncliles, Juan</t>
  </si>
  <si>
    <t>Juan Flncliles</t>
  </si>
  <si>
    <t>madas con toda solem- apresado se llama el Friend'skip, de porte de 350 okli i - s mefc.ntíiS de fabrica inglesa que se han toneladas, mandado por el capitán Juan Flncliles, hállalo en esta ciudad. Asistieron á esta ceremonia y venia del Mississipi, con destino á Londres, y ]a guardia urbana , los comisarios de policía , «1 c…</t>
  </si>
  <si>
    <t>Flo, Nerbsrto</t>
  </si>
  <si>
    <t>Nerbsrto Flo</t>
  </si>
  <si>
    <t>aríin; y cu el dei segundo de Soria, ayudantía á D. Andrés Aguirre; tenencias á D. Vicente Olmos, Don Francisco Rica Tillaren!, D. Marcelino Morales, D. Nerbsrto Flo­ res, D. Fernando dei R:o, D. Ramón Pi aillos y D. Antonio Pala­ cios; y subtenencias á D. Cristóbal Julián, D. Tomas de Torres, D. Juan Garasa, D. Lorenzo Martí…</t>
  </si>
  <si>
    <t>Flore, José</t>
  </si>
  <si>
    <t>José Flore</t>
  </si>
  <si>
    <t>a cocción, y ana cuando asi no sucediese, la calidad antiséptica del s.-]¿ool, lejos dfc dañar, £iver¿cs mucho Ja economía auia&amp;a?. Astea ¿e publicar D. José Flore» su memoria, la presentó al Co srj* de Regencia, y S. A., enterado por lea ensayes hechos ¿« su arde® ñor loa profesor**.» D. M-gínio Antonio Llórente , D. Juan Ma…</t>
  </si>
  <si>
    <t>Flores, IVIarliut</t>
  </si>
  <si>
    <t>IVIarliut Flores</t>
  </si>
  <si>
    <t>guna , 21 6. Los de Binan ,.132. Los de Mariquina , 61. Los de üalanga , 64. I .os do Nueva Ecija., 76. Los Je .Cavile , 273. El de Santa María , 15. D. IVIarliut "Flores , 500. D. José Fernandez , 200. D. Antonio Palacio, director de. la venta del tabaco , 100. D. José Luis Calderón , 300. D. Joaquín Aecverlo 309. K! real tr…</t>
  </si>
  <si>
    <t>Flores, Juan</t>
  </si>
  <si>
    <t>Juan Flores</t>
  </si>
  <si>
    <t>................ 24ü3I3-1^ D. Josef Clemente , id., por........................ 2200 D. Josef López de Arcos................................ 8942..!, D. Juan Flores, ex agusritfo recoleto, re­ D. Raimundo y D., Gregorio Necoechea» sidente en el Molar, por.......................... 2200 por mano de D. Juan Bautista Iribarren. …</t>
  </si>
  <si>
    <t>Flores, Tomas</t>
  </si>
  <si>
    <t>Tomas Flores</t>
  </si>
  <si>
    <t>sina clase D Jo?.é Moría González, á !os alíe cees D. Nicolás E’izodo, D. José María Xiaieuez y I). D o­ go Montem&amp;yor, y por gtfes de Ies paisanos á D. Tomas Flores, adn inisírador ce rentns u^ides de esta provincia , y al justicia de San Buenaventura D. Antonio Rivas; y disponiendo la forma­ ción de estas tropas en d mejor …</t>
  </si>
  <si>
    <t>Florez, Vicente</t>
  </si>
  <si>
    <t>Vicente Florez</t>
  </si>
  <si>
    <t>co Barrera, 13. D. 'José- Mari i Suntds, 12. D.. Pablo García, Jó. D. Juan Antonio de Cárdenas , 13. D. José Camacho, 13. D. José Miguel Sánchez, 10. D. Vicente Florez, 10. D. Juan Francisco Roxas, 6. D. José Antonio Villareál, 7. D. Berdírno Vela , 5. D. Manuel de la Garza, 6. Varios individuos, 15. — Parras. Don Juan Tágíe,…</t>
  </si>
  <si>
    <t>Flota, Juan</t>
  </si>
  <si>
    <t>Juan Flota</t>
  </si>
  <si>
    <t>hano , cada año , 20. D. Antonio Gual , 20 D Antonio Martin , 20. D. José Mauricio Rodríguez, 12. D. Alexmidro del Campo, 12. D. Antonio Montero, 12. D. Juan Flota y compañía, 12 D. Antonio Guerra, 10. D. Rafael Castilla, 10. D. Gerónimo García, 10. D. Jacinto Perora, 10. D. José Pallan, 10. D. Juan Cabrera, 10. D. Juan Iriar…</t>
  </si>
  <si>
    <t>Fnit</t>
  </si>
  <si>
    <t>neral francés TliiebofítU. ‘‘JEx; mo. Si ., H ¿hiendo sido nombrado por ti g b* r n ; ’o* Bfc? y iegíiimo, ci ma daote general de la* t ©pus de S. M. D Fnit* kando vil, nuest'o ama-o soberano, en la provincia de C.*stilU la v eje , y encarga .o !el gobierno polític o y mili ar de su? pueblo», bpxo las crines inmediatas dsl Ex…</t>
  </si>
  <si>
    <t>Fo, Ignacio José</t>
  </si>
  <si>
    <t>Ignacio José Fo</t>
  </si>
  <si>
    <t>O. Mariano Caballé**, D. Pedro Alcántara GaÍindo, O. Juan Kamen González&gt; D. Miguel Marín, D. Francisco Castillo, Don Manuel Romeio, D. Pedro Fülol, D. Ignacio José Fo?n&amp;t, Don José María Laroza , D. Francisco Serrano, y D. Padtro Sen-ano; y subtenencias á D.- Francisco Migue!, D. Joaquín Pu%moItó. Don Diego Villeslada, ©. Pe…</t>
  </si>
  <si>
    <t>Foi</t>
  </si>
  <si>
    <t>iguitntes dispo.-¡.iones , las qnales deberán obser­ Y DE PORTUGAL. varse con todo rigor y e:crupulosidad en la venta de los bieier eclesiásticos. El general Foi llegó anteayer á París con car­ 1. ° D ?de este dia en adelante loí bienes ecle­ tas del príncipe de Essling. Dicho general salió el siásticos pertenecientes á los c…</t>
  </si>
  <si>
    <t>ladolid y Burees; y los conveyes que coa vestuarios y municiones se dirigían á su línea, retrocedieron á Valíadolid. — El 8 llegó aquí desde París ci general Foi coa priegos para Masseisa : mandará una de las divisiones del sexto cuerpo , y la otra la mandará G'ausel, en logar de Marchaud y Mermet que son llamados a Francia. …</t>
  </si>
  <si>
    <t>Foix</t>
  </si>
  <si>
    <t>tió dei Cécerc en 22 de enero j hizo algunos prisioneros , y tomó mucha parte del bagigí que pertenecia á la misma escolta. A su, yuelia atacó la dsl general Foix con un nuc/o destacamento der ordenanzas enEnxabarda á la entrada del camino nuevo. Incluyó á V. E.; una copia del parte que dio con este motivo el 2 de este mes, é…</t>
  </si>
  <si>
    <t>2500 de guarnición deben acuaite rse en esta p! za , enviando destacamentos á los pueblos V2c:ncj —S¿ s&gt;.be con cortez.' qie el f muso Linga atacó al general Foix que iba c'n pliegos deM ss^ ri i p ira F aneh, le mató toda la escolta, le tomó 800Ó0 reaIv? y todo el b g gi; pero el generalessapó por una de ¿quilas casua­ lidad…</t>
  </si>
  <si>
    <t>Fokh</t>
  </si>
  <si>
    <t>357</t>
  </si>
  <si>
    <t>la audiencia del príncipe heredero El coronel Kemper, que está al frente de los Oscar, nombrado duque de Sudermania, el presi­ independientes , y el gobernador Fokh, que man­ dente de la diputación el señor Oifsparre h.bló í da ios españoles, han tenido unaacciou, en la qual S. A. en los términos siguientes: Ketnpcr ha sido d…</t>
  </si>
  <si>
    <t>Folch</t>
  </si>
  <si>
    <t>ief servicio de España barón de Geramb. Quarrp, el teniente gefieral dé marina O. Juafvde Apodaca, D. F. Ruiz Lorenzo, secreta­ rio de legación, y el teniente coronel Folch, ayudante del duque, di­ funto. Quinto, D. J. A. Ortiz, cónsul general de España, el caballe­ jo La Torre, agregado á la legación, el Dr. La Carrera y Mr.…</t>
  </si>
  <si>
    <t>marina americana. ¡Orala que sea en buques en virtud de las órdenes de su consejo. breve proporcionada á nuestras necesidades , y en­ Se dice que el gobernador Folch ha sido nom­ tonces disipara pronto todos nuestros temores 1 brado brigadier general, y que ha recibido orden A las lanchas cañoneras. ¡ Plántense en nues­ de ir…</t>
  </si>
  <si>
    <t>Fombellida, Juan Gabriel</t>
  </si>
  <si>
    <t>Juan Gabriel Fombellida</t>
  </si>
  <si>
    <t>e, á teniente en línea recta. De este medio se usa para taladrar les de la primera compañía. cuerpos duros, para juntarlos ó reunirlos entre sí, para D. Juan Gabriel Fombellida, sargento prime­ levantar pesos mui grandes, y en algunas herramientas ro , á subteniente de la quinta compañía. de rcloxería, como lis fresas. El aut…</t>
  </si>
  <si>
    <t>Fomel, Gerónimo</t>
  </si>
  <si>
    <t>Gerónimo Fomel</t>
  </si>
  <si>
    <t>stencia de la división de D. Cárlos España. . /,l . / A principios de noviembre discurrían por Castilla la Vieja las par­ tidas de D. Tomas Príncipe, D. Gerónimo Fomel, los curas Meri­ no, Tupia y Violado , D. Lorenzo Aguilar, D. Agustín Cerezo, Don Vicente Olivera , Afórales, D. Julián Sánchez , y otras menos cono­ cidas.^ L…</t>
  </si>
  <si>
    <t>Foníanilla, Domiñgo</t>
  </si>
  <si>
    <t>Domiñgo Foníanilla</t>
  </si>
  <si>
    <t>Doña Ma­ nuela Teresa Caballero, por sí y á nombre de su hijo el cadete D. Francisco de Paula de la Luz, por el prest de 2 soldados en 4 meses , 72. D. Domiñgo Foníanilla, capitán del partido de Managua, por el de un soldado en 3 me­ ses , 27. D. Ignacio Alvarez de la Cruz, director de labores de la real fábrica de tabacos , …</t>
  </si>
  <si>
    <t>Fonsbella</t>
  </si>
  <si>
    <t>j con cuyo motivo después de haber contenido por algún tiem­ po á los franceses el destacamento de caballería compuesto de 30 pla­ zas que mandaba el sargento Fonsbella, se rompió un fuego general y bastante vivo, que forzó á la primera columna enemiga á retirar­ se hasta la Gran Iota, e.i donde estaba la segunda , y hasta cu…</t>
  </si>
  <si>
    <t>Fonseca, Iñigo</t>
  </si>
  <si>
    <t>Iñigo Fonseca</t>
  </si>
  <si>
    <t>dad no ha pa­ D Cristóbal Lorenzo.' decido nnnc3 grandes pérdidas de resaltas de los D. Pedro Muradas. terremotos, y tenemos ia prueba de esto en las D. Iñigo Fonseca. adunas antiguas yen los obeliscos, que todavía se D. Fernando Díaz. conservan en pie después de tantos siglos. D. Migue! C^b.'zas. París 6 de marzo. D. Jo^et R…</t>
  </si>
  <si>
    <t>Font</t>
  </si>
  <si>
    <t>1315</t>
  </si>
  <si>
    <t>e las armas pon­ ga en manos de las tropas que Y. E. manda; que ss castigue rigu­ rosamente el atentado cometido en el comandante Mcmtardit; y que el coronel Font y comandante Ssgrera sean puestos inmediatamen­ te en libertad y tratados con el decoro que corresponde á su clase. Pero si V. E. no lo estímase así, y prefiriese á…</t>
  </si>
  <si>
    <t>Font, Antonio</t>
  </si>
  <si>
    <t>Antonio Font</t>
  </si>
  <si>
    <t>ao, 67. E! licenciado D. Juan Antonio Mexia , auditor interino de marina , 100. Su escribano J&gt; a Manuel Acosta, 190. D. Jayme Garrí ga, 165 y 7 r.s. D. Antonio Font, 100. Dos alguaciles y 4 cabos de matrícula á U&gt; ps. cada uno, 96. Bernardo Garriga, 20. José Ven lrdl , 30. Pedro Marsillas, 60. Fulgencio Duran, 20. José Pons,…</t>
  </si>
  <si>
    <t>Font, Tadeq</t>
  </si>
  <si>
    <t>Tadeq Font</t>
  </si>
  <si>
    <t>acion Moreno. 1080 D. Antonio de Yarritu................... 20000 D. Josef García Ximenez...... ........ 122 J D. Antonio Chasscrot y Castro.... 80OO D. Tadeq Font............................... , ¿ÓOO D. Juan Murfi................................ 1ocooo D. Joaquín María de Uria y la El monte-pio militar.................. 2.0…</t>
  </si>
  <si>
    <t>Fonta, Domingo</t>
  </si>
  <si>
    <t>Domingo Fonta</t>
  </si>
  <si>
    <t>Gerónimo Quintero, capellán de coro de e^ta santa iglesia catedral, por sí, y á nombre del deán y cabildo de dicha iglesia y demás subalternos, 1080. D. Domingo Fonta­ nela, capellán del partido de Mamiaga , por el prest de un soldado en un mes durante la guerra, 9. D. Santiago Malagamba , capitán de la compañía de voluntario…</t>
  </si>
  <si>
    <t>Fontellas, Custodia</t>
  </si>
  <si>
    <t>Custodia Fontellas</t>
  </si>
  <si>
    <t>130</t>
  </si>
  <si>
    <t>hubo de apartarse de Eraso después de la acción de Tarazona , y dirigirse de nuevo á Navarra.— Hallándose allí, dio el dia 24 orden desde Arbonies á D. Custodia Fontellas que se hallaba en Lumbier, para que á las 9 de la mañana del dia si­ guiente saliese con una partida para Monreal, distante 3 leguas de Pamplona: pero habie…</t>
  </si>
  <si>
    <t>Fontellas, Custodio</t>
  </si>
  <si>
    <t>Custodio Fontellas</t>
  </si>
  <si>
    <t>denaba, y permanecer sobre esta ciudad en el pue­ blo de Abarzuza. Se efectuó asi con algún peligro, según el parte del comandante de ella, entonces, D. Custodio Fontellas , que es como sigue : “Señor coronel : Con todo el sigilo posible emprendí la marcha para Abarzuza, como V. S. meio.foabia ordenado,, á fin de aproximar­ m…</t>
  </si>
  <si>
    <t>Fonturycl, Miguel</t>
  </si>
  <si>
    <t>Miguel Fonturycl</t>
  </si>
  <si>
    <t>í re cuerpo , tan recomendable por sus lu­ ces^' pericia y valor acreditado en todas ocasiones. “ E! tejiente de artillería de la brigada de Canarias D. Miguel Fonturycl, que gloriosamente murió en'la' defensa de la plaza de Badajoz, habiendo solicitado cuatro dias antes el pues­ to de mas riesgo á pesar de su avanzada edad ,…</t>
  </si>
  <si>
    <t>Forcada, Plácido</t>
  </si>
  <si>
    <t>Plácido Forcada</t>
  </si>
  <si>
    <t>tario de Estado = Firmados:Mariano tura Santa María , ex-agustino. ‘Luis de Ürquijo.” , Para el de Qnintaniila de Tres-Barrios, vacante por muerte de D. Plácido Forcada, al ex-francit— cano D. Agustín Martínez. Nota. En la gazeta de ayer -29, pág, 1377, Para el de Ucero y su anexo Valdeavellano, va- donde dice; al ex- benedic…</t>
  </si>
  <si>
    <t>Foreno, Marrad de Castilla</t>
  </si>
  <si>
    <t>Marrad de Castilla Foreno</t>
  </si>
  <si>
    <t>á D. Marrad de Castilla Foreno, cara beneficiado Para el segando curato de la villa :le R.-*n, va­ de la villa de Moron. cante por muerte de D. f rancisco López García , i Para ti curato de la villa de Almonte, vacante D</t>
  </si>
  <si>
    <t>Forestíer</t>
  </si>
  <si>
    <t>22® hombres, de Jos quales lyfoo han sido «También va propuesto para igual recompen­ hechos prisioneros de guerra, y enviados á Fran­ sa el ayudante comandante Forestíer. cia: ei resto ha sido muerto ó dispersado. También «El señor mariscal duque de Treviso pide el hai muchos heridos en los hospitales de Campo- grado ríe gefe…</t>
  </si>
  <si>
    <t>Forjas, Miguel Pereyra</t>
  </si>
  <si>
    <t>Miguel Pereyra Forjas</t>
  </si>
  <si>
    <t>605</t>
  </si>
  <si>
    <t>n con la mayor diligencia los preparativos para el sUio de Badajoz. Habían llegado nuevos refuerzos al exército combinado. Parte de lord Wellington á D. Miguel Pereyra Forjas. Cuartel general de Villarfermoso 15 de mayo de 1811. “Exorno. Sr&lt;: No quedaba á la izquierda del rio Águeda, en la tarde del 10 del corriente, roas par…</t>
  </si>
  <si>
    <t>Forjaz, Miguel Fereyra</t>
  </si>
  <si>
    <t>Miguel Fereyra Forjaz</t>
  </si>
  <si>
    <t>del 14 se dirigió por el camino de B.isaco» á la Beyra-Aka para unirse con otros cuerpos de milicias. (Gaceta de Lisboa h Parte de lord JFellington á D. Miguel Fereyra Forjaz. “ El enemigo padeció én la acción del 15 del corriente mucha mas de lo que yo pensaba, cuando dirigí á V. E. mi oficio del 16. El fuego' duró hasta des…</t>
  </si>
  <si>
    <t>Forjaz, Miguel Percyra</t>
  </si>
  <si>
    <t>Miguel Percyra Forjaz</t>
  </si>
  <si>
    <t>igo; que Almeyda tenia pocos víveres, y que estaba cercada por 10000 hombres nuestros , inclusos bastantes de milicias. — Parte de lord ÍVellington á D. Miguel Percyra Forjaz. — Cuartel general de Villar-Fermoso 9 de abril de 1811. “Quando dirigía V. E. mi anterior pliego , ocupaba el enemigo el Coa, teniendo su derecha en Ro…</t>
  </si>
  <si>
    <t>Forjaz, Miguel Pereyra</t>
  </si>
  <si>
    <t>Miguel Pereyra Forjaz</t>
  </si>
  <si>
    <t>de diciembre. Hace pocos días que se ha publicado en. nuestra gacela ministerial un tratado ..hecho el 29 de setiembre últi­ mo entre el Excino. Sr. D. Miguel Pereyra Forjaz, autorizado por lo*; gobernadores de este reyno, y D. Juan del Castillo y Carroz, au­ torizado asimismo por el Consejo de Regencia de España é Indias; po…</t>
  </si>
  <si>
    <t>* electo:.— P.rin cipal Smtsa. — Carlos Slmrl. — Marques Montero, mayor.— Conde del Redondo.— Ricardo Ray mundo Nogueira.” Parles de lord WcUington á D. Miguel Pereyra Forjaz. L “Cuartel general de Gouvea 27 de marzo de 18 i G Luego que. sope que el enemigo se había retirado con tanta precipitación de la Moita, continué en pe…</t>
  </si>
  <si>
    <t>641</t>
  </si>
  <si>
    <t>,i # GACETA DE LA REGENCIA DE ESPAÑA É INDIAS DEL JUEYES 20 DE JUNIO DE 1811. PORTUGAL. Lisboa 10 de junio. Extracto de un parte de lord Wdlington á D. Miguel Pereyra Forjaz. Cuartel general de la quinta de Gramicha 6 de junio de 1811. “He­ mos continuado con la mayor actividad las operaciones dei sitio de Badajoz. Ea la maña…</t>
  </si>
  <si>
    <t>adrones de ios regimientos 9 y 12 de losdragones ligeros, y diferentes destacamentos parar los cuerpos res­ pectivos &amp;c. Oficio de lord Tfellington á D. Miguel Pereyra Forjaz desde su" cuartel general en la quinta de S. Juan á 20 de junio de 1811. í4La vacguardia del enemigo, compuesta de 10000 hombres, se adelantó hácra los …</t>
  </si>
  <si>
    <t>Forjaz, MiguelfPcreym</t>
  </si>
  <si>
    <t>MiguelfPcreym Forjaz</t>
  </si>
  <si>
    <t>Núm. 10. 77 GACETA DE LA REGENCIA •DE ESPAÑA É INDIAS DEL MARTES .22 DE ENERO DE 1811. PORTUGAL. Lisboa 9 de enero.*— Oficio de lord Wellinglon á D. MiguelfPcreym Forjaz. 6i Qujartel general de Cartaxo 5 de enero de 1811. Los refuerzos del enemigo destinados para su exército en este país , que según in­ formé á Y. E. en mi an…</t>
  </si>
  <si>
    <t>Forrar, Aídolu</t>
  </si>
  <si>
    <t>Aídolu Forrar</t>
  </si>
  <si>
    <t>y D. Fabián Mantilla; y subtenr notes á D. Juan'Psu*»!», D. J«&amp;é A ios'Ós , D. Pedro Lí/ó, D. Akonio Bereitgtier, D. «José- Cueva?, D. Jasé S&amp;rnpér, D. Aídolu» Forrar, D. Bjrnabó Vda, D. y ícen­ te N¿ñaz Cortes, O. Alfonso • C Jbach* * D. José QaFós López, D. JáL&amp;íi Pardo i D. Francisco López, D. Carlos Ls.iréu, D. José Palom…</t>
  </si>
  <si>
    <t>Fort, Juan</t>
  </si>
  <si>
    <t>Juan Fort</t>
  </si>
  <si>
    <t>778</t>
  </si>
  <si>
    <t>agozanos D. Mariano Villas pesa, los capitanes D. Cayetano Ma­ ta, D. Pedro Simó, D. Pablo Víbct, D. Antonio Figiieroíay D Juan Graell; los teníanles D. Juan Fort, D. Jnaa Pablo Part y D. Juan Moneas!; I03 subtenientes D. Simón Vda3CO y D. Manuel.......... los sargentos Antonio Arnuocio. Juan B troles y José Pascual; el o;- b…</t>
  </si>
  <si>
    <t>Fortseca, Joaquín</t>
  </si>
  <si>
    <t>Joaquín Fortseca</t>
  </si>
  <si>
    <t>lio y neros en es;os diferentes choques. valor, Ma gencio y Constantino, adornada con todas sus decoraciones nuevas-, se bailará el bolero; v se dará D. Joaquín Fortseca, capitán del regimiento de fin con el sainete el Hambriento de noche buena. Se caballería de Ubrique. cobrará de subidaEN LA IMPRENTA REAL.</t>
  </si>
  <si>
    <t>Foucaud</t>
  </si>
  <si>
    <t>936 ESPAÑA. satisfacción í los moldados y oficiales de estos va­ lientes regimientos, y á la compañía de zapadores EXERCITO HE ARAGON. del capitán Foucaud, que iba con ellos. El vigor y Quartel general de Monserrate *£ de julio disposiciones del general Abbé han decidido este Im­ de 1811. portante acaecimiento, que cobre de h…</t>
  </si>
  <si>
    <t>Foucault</t>
  </si>
  <si>
    <t>y allí mismo, donde dice A dos compañías de artilleros de la guarnición. la derecha c izquierda del dosel, debe decir del „Dcbo igualmente elogiar al capitán Foucault». palio. comandante de la compañía de granaderos del re­ gimiento 82.0, yá Mr.Berthier, comandante de la PLAZA. DE MADRID. BOLSA. compañía de volteadores del mi…</t>
  </si>
  <si>
    <t>Fouloo</t>
  </si>
  <si>
    <t>mento en que estaba reunien­ do todas sus fuerzas para atacar á 600 franceses cantidad de municiones y un parque de artillería. mandados por el señor coronel Fouloo, el qnal le Todos Jos soldados qne había en esta ciudad se hábia causado una pérdida mui considerable, en una han ido al exército. En Santaren y en Cartaxó no acc…</t>
  </si>
  <si>
    <t>Fourdinier, Eugenio</t>
  </si>
  <si>
    <t>Eugenio Fourdinier</t>
  </si>
  <si>
    <t>nde de Cau- clase de ciencias matemáticas y fíticas del ins­ celada. tituto de Francia durante el afio 18 ío. Sexto batallón. MINERALOGIA V GEOLOGIA. D. Eugenio Fourdinier, subteniente, á tenien­ te de la primera compañía en reemplazo de Don Mr*. Brougniart y Cuvier habian descubierto Manuel Zavala. en tos terrenos inmediatos…</t>
  </si>
  <si>
    <t>Fourni</t>
  </si>
  <si>
    <t>voz de que se siendo inútiles quantos socorros y esfuerzos se hi­ iba a poner un nuevo impuesto sobre el oro y p!a cieron para salvarle. El valiente capitán Fourni y ta que se hallase en el pais, la gazeta ministerial los marineros que habían qnedudo con él á bordo de hoi ha publicado on aviso, de órden de la po­ del corsario…</t>
  </si>
  <si>
    <t>Fournier</t>
  </si>
  <si>
    <t>167</t>
  </si>
  <si>
    <t>o de Drouet: su dirección es hacia Aimeyda en donde se hallan reunidas algunas fuerzas. Los regimientes de á caballo de los mineros 7, 13 y 20'con su general Fournier han pasado á Toro y Zamora, porque aquí no se halla la paja y cebada suficiente para tamos caballos, y ya anda escasísima para los trenes y de mas caba ­ llería…</t>
  </si>
  <si>
    <t>Fourníer</t>
  </si>
  <si>
    <t>359 bsÜería , mandados por el general Fourníer, que solo se ocupaban en robar aquel pueblo mfeliz. En Tero había 500 de la misma arma ocu­ pados en igual objeto , y unos y otros remitían á Salamanca el fruto de sus rapiñas. En Valiadodd</t>
  </si>
  <si>
    <t>esmontados, casi todos enferm as. No .vienen tropas nuevas de Francia, y según las noticias de Bayona los conscritos huyen á los montes. * Del 11. El general Fournier, que mandaba los regimientos 7, 13 y 20 de cazadores de caballería del cuerpo de Dmuet, llegó aquí ayer noche con 60 cazadores de escolta muy estropeados ; dice…</t>
  </si>
  <si>
    <t>Fox</t>
  </si>
  <si>
    <t>Gaceta de Madrid n.º 294</t>
  </si>
  <si>
    <t>considerarse las do la de pagador general de las pensiones de viu­ obligaciones y contratos entre particulares con res­ das , vacante por muerte del general Fox, y pecto al tiempo en que han sido contraidos , porque es una de las que la cámara de los comunes pro­ seria injusto satisfacer del mismo modo las obliga­ puso que se…</t>
  </si>
  <si>
    <t>Foxa, Juan Domingo</t>
  </si>
  <si>
    <t>Juan Domingo Foxa</t>
  </si>
  <si>
    <t>enceslao conde de Petting: segundas tenencias de fusileros á los alféreces D. Juan de Dios Landáburu , de granaderos, D. Carlos Gon­ zález de Llanos, D. Juan Domingo Foxa, D. Mamerto Landáburu yr D. Carlos Orreyile barón de Clonkee, y al capitán segundo del ba­ tallón de voluntarios, segundo de Barcelona, D. Pedro Morell: emp…</t>
  </si>
  <si>
    <t>Foy</t>
  </si>
  <si>
    <t>, Parece que Massena no lia tenido hasta ahora ninguna corres­ pondencia con Francia ni tampoco con la frontera de España, ex­ cepto la que llevó el general Foy, y que ignoraba hasta la marcha que hizo por la Beyra inferior la división del general Gardanne en. el mes de noviembre, — TVdlington.” ESPAÑA. - Diario de Tortosa. D…</t>
  </si>
  <si>
    <t>coéAimcabibn ia de Ciuíadíljidrigrt.;ífay dentro 1500 hombres i^é 'gn^rdlcioft cOh pobos ;yíVérejs.5'; Mannbnt parece há evacuado á Piáséncia, y1 el general Foy va Truxilló: lo cierto es qué él 19 shlió de C Aceres pára este último pueblo el brigadier Morillo , precediéndole la caballería del conde dé Ferme. Siendo estó así ,…</t>
  </si>
  <si>
    <t>a echado á los frinceses de Gfceres, haciéndoles algunos prisioneros á mas de los'muertos y heiridos; entre los cuales lo fueron 17 de la escolta del general Foy,</t>
  </si>
  <si>
    <t>&amp;no y dinero. Eíte exército en agosto tenia mucho» enfermos; sé le han aumen­ tado en el mes actual, y le faltan las medicinas mas indispensables. El general Foy evacuó á T/úxilío el 16, dexíndoto enteramente aniquilado y sin ningún medio de subsistir hombres ni caballos.— Del 24. El general Girará tiene su cuartel general en…</t>
  </si>
  <si>
    <t>Fragoso, Dirgo</t>
  </si>
  <si>
    <t>Dirgo Fragoso</t>
  </si>
  <si>
    <t>D. Pablo del B J ; subtenencias á D. F ¿ruando Yara, D. Antonio Barbeira, D. Lorenzo Lema, D. Juan Duran, D. Luis Antonio Freise, D, Julián Alvarez, D. Dirgo Fragoso, Don Vicente María López, D. Víctor Urquiza, D. José Cameiro., Doa Manuel Cid, D. Anselmo Quíroga y D. José Tefi; subtenencia de bandera á D. Miguel Mana Nuñez. …</t>
  </si>
  <si>
    <t>Fragoso, Juan Matos</t>
  </si>
  <si>
    <t>Juan Matos Fragoso</t>
  </si>
  <si>
    <t>s de! reinado de Fe­ presentará por la compañía española la comedí.’, anti­ lipe v serán admitirlos á la liquidación por el va­ gua en tres actos, de D. Juan Matos Fragoso, titulada lor que les corresponda según su naturaleza , su Juan Labrador, y el sainete el Trueque de las criadas. origen y la clase de acreedores, conforme…</t>
  </si>
  <si>
    <t>Fraile, Angel</t>
  </si>
  <si>
    <t>Angel Fraile</t>
  </si>
  <si>
    <t>enc as á D. Sebastian Salado, D: Felipe Treus,D Santos San­ martín, D. José Mosco30, D. José Ruiz Rodríguez , D. Fidel GaÍoso, D. Francisco Bnrmudez, D. Angel Fraile, D. Juan AlJaraira, í. Fa-no' Varela, D. Toma?/ Rea!, D. Pedro Benito Gárrulo, Don Faínian Blanco, D. Filioe Uíloa, D. Leandro García, D. Antonio G.:.t. ? Herrar…</t>
  </si>
  <si>
    <t>Framingham</t>
  </si>
  <si>
    <t>del cuerpo de ingenieros reales que dirigía las-; operaciones en la izquierda del Guadiana, y del espitan Squire que dirigía las de la derecha ; del teniente coronel Framingham , comandante dé arti­ llería ; del mayor Dlckson. oficial adicto al seiyicio de la artillería portuguesa; clel capitán Cievcs, de la artillería hanncv…</t>
  </si>
  <si>
    <t>Fran</t>
  </si>
  <si>
    <t>0. D. Ignacio Noriega , 8. D. Manuel Bailo , tesorero interino de la real caxa de Cósala, 120. D. Martin Vázquez Franco, 80. D. Bernabé Escobosa, 20. D. Fran­ cisco Lascuraiiv, 12. El subdelegado D. Manuel Sebeas, 30. D. Juan Ven­ tura Vatiz, 25, El presbítero D. Manuel de la Flor, 12. Diario de las discusiones y acias de las…</t>
  </si>
  <si>
    <t>ntonio Vaca, 50. D. José Antonio Saucedo, 20. D. José Angel Navarro, 10. D. José María Zambrano, 10. D. Pedro L'ongueville, 30. D. Félix Estrada, 10. D. Fran­ cisco Col jantes , 40. D. Rafael Cortes , 10. D. Juan José Zambrano, 10. El barón de Bastrop, 100. D. Pedro Giral, 50. D. Manuel Delgado, 10. D. Luis Galan, 10. D. Féli…</t>
  </si>
  <si>
    <t>ádiz que de punta Candor bácia Rota navegaban 4 barcos enemigos : inmediatamente se puso en movimiento la fuerza sutil que manda el c-apitan de navio D. Fran­ cisco Mourelle, y una división inglesa á las órdenes del capitán Hall. Muy luego llegaron baxo el tiro de metralla del castillo de Rota, y atacaron los cañoneros á este…</t>
  </si>
  <si>
    <t>oña , 2. D. José: Reyes , cura de Ocú , ÍO. D. José Dámaso Franco, cura de Santa Bárbara, 4. Fr. Baitasai Cabezudo , cura interino de Macaracas , 25. D. Fran­ cisco Mateo , cura de Pesé , 10 —Partido de Nata. D. Manuel Higinio Borbua , cura vicario , 50. I). Juan González , teniente cura , 25. D„ Vicente Solanilla, sacristán …</t>
  </si>
  <si>
    <t>cisco Muñoz, capitán , 20. D. José 'Fray-re, id., 25 l&gt;. Alejandro Marcin , id., 200. D. Francisco ele la Pena, id. , 5. D. Pedro Gil., teniente, 10. D. Fran­ cisco Argaez, id., 10. D. Roque Gil, id., 6. D. José .Bello , id. 10. D. Ga­ briel Santos, id., 10. D. Juan Truxillo , subteniente, 50. MT. José María Ibarra, id, ¿ ó.^…</t>
  </si>
  <si>
    <t>351</t>
  </si>
  <si>
    <t>igo permaneció sitiado en él hasta el dia 4 , en que pudo escapar socorrido por un grueso de caballería. En esta acción ebró con la mayor bizarría eí sargento Fran, cisco Narro. El gobernador de Málaga descoso de reparar el deshonor con que habían quedado las armas francesas en la acción de Alora , y adver­ tido de que había …</t>
  </si>
  <si>
    <t>lenar mis deberes proporcionando algún alivio á los pueblos de su invasión , formé el plan ( con la conformidad del señor vocal de esa junta superior D. Fran­ cisco Toribio Hernández &gt;y el auxilio del escuadren de Cas­ tilla la vieja , que comanda el teniente coronel D. Geróni­ mo Saornil) de hacer un movimiento con las cuatr…</t>
  </si>
  <si>
    <t>acado á ia enemiga por la re:aguardia, pa­ ra lo que . se ie paso aviso. ARTÍCULO DE OFICIO. Habiéndose dirigido el teniente del escuadrón de Ubrique D. Fran­ cisco Beivza con ya caballos á hacer un reconocimiento sobre lose ¡ni­ pos de Xerez el dia 8 del ccorkane, encontró en ía vega de Layna, frente de ía Cartuja, 12 soldad…</t>
  </si>
  <si>
    <t>as acaba de recibir la noticia dei reencuentro que en las inmediación-, s de Vito­ ria ha tr nido estos días con l^s franceses el intrépido caudillo» D. Fran­ cisco Espoz y Misa, con quien ha estada después de e'la urt comi­ sionado de ia junta, que le participa las paiticulari kdes siguientes. . ‘‘Había salido de Vitoria el …</t>
  </si>
  <si>
    <t>sé María Sán­ chez , 100. XX Domingo Duch, hermanos y compañía, 300. D. Juan José Offerrall, 30Í). D. Manuel Ranees, 3000. Sres. Hoig yoFerrer, 2000. D. Fran*. cisco Puíg, 320. D. Francisco Fustegueras, 100. D. Juan Pedro Irigoyen, 500. D. Tomas de la Cuesta ,500. D. Antonio Coma y Fortet, 2000. Sres. Su­ birá y Forncs , 1000…</t>
  </si>
  <si>
    <t>, otras muchas partidas de patriotas, mas ó menos numerosas: entre las cuales ron las mas nom­ bradas las de D- Gerónimo Saornil, D. Torras P.-íici , D. Fran­ cisco Castilla, D. Juan Abril, Marlgucla, Morales , S dechero, Or­ tega, Fuente, Campillo, el Mé lico, el Cocinero &amp;c. Si á esto se agregan la división navarra del coro…</t>
  </si>
  <si>
    <t>regimiento de Logroño, al Toando del capitán D. Pedro Celestino Fabro; las compañías de gra­ naderos de Orense y Toro, á las órdenes de sus capitanes D. Fran­ cisco Miranda y D. Benito' Rodríguez de Císiisros; la partida de B. Nicolás de Mora ? compuesta de 32 hombres de infantería, y la de D. Francfooo Napaii de 18 caballos,…</t>
  </si>
  <si>
    <t>uiza para abolir S. M. el Emperador de los franceses ha nom­ recíprocamente los derechos de entradas y salidas brado miembros de la legión de Honor á D Fran­ de ios géneros y producciones respectivas, cuyo cisco Teran, comisario real en Extremadura; á Doa proyecto ha sido remitido por el ministro de S. M. Cesar González, coro…</t>
  </si>
  <si>
    <t>ras en aquel arsenal. Al noti­ ciar Pardo esta ocurrencia tan desagradable, recomienda muy muticutamente á I03 oficiales dotación ©. Rodrigo Tavira y D. Fran­ cisco de Pauta Cuadrado, y ádos que traía de transporte ©. Vicente ■Bausa y D. Tomás Sostoa, quienes luego que se libertaron á duras penas de la muerte, se mantuvieron …</t>
  </si>
  <si>
    <t>mera compañía, en reemplazo de D. Pedro María de Zubiaga. ESPAÑA. D. Mariano Fabre , subteniente, á teniente de la primera compañía, en la vacante de D. Fran­ Madrid 28 di octubre. cisco Barsanti. Extracto de las minutas de la secretaría de Es­ art. 11. En el batallón de milicia cívica de la tado. villa de Coria del Rio queda…</t>
  </si>
  <si>
    <t>45. El Dr. Don Marcos Sánchez Rubio, de los fondos de la real universidad y-á nombre de algunos de sus individuos, 342 y 4- rs. El mismo á nombre de D. Fran­ cisco Barderan , maestro de escuela , 86. El teniente coronel D. Juan Montalvo., por el prest de G soldados en 3 meses, 103. D. José Miguel Soler, por el prest de un sol…</t>
  </si>
  <si>
    <t>ligaron á los in­ Para el de Quintana del Pidió, vacante por gleses del -bote, que ya se habían apoderado del tnuerre de D. Joaquín Alonso de Isla, á D. Fran­ barco frunces, á soltar su presa y á largarse. cisco ia S ¡i* , (. ur-i de Pinillos. La batería de la costa h\zo fuego con mucho Para el de L Coeva de Roa , vacante por…</t>
  </si>
  <si>
    <t>a Ordenes Militares se ha ¿servido el Consejo de Regencia conferir compañías á D. Jfsé María Celaya y TL Nicolás Guiñaría; tésecciar á D. Peéío Píkz, D. Fran­ cisco Macias y D. * Jaáqúin- Ató';GW«íl«*; ¿úbtenéndas á !&gt;¿*Mannel Quinte, ^.Valentín de 3á Infanta y :Di .José- de la 'Iñfakfei. Eh eí dé infantería de 'Africa tarili…</t>
  </si>
  <si>
    <t>Fran, Juan</t>
  </si>
  <si>
    <t>Juan Fran</t>
  </si>
  <si>
    <t>ente \alor en otras ocasiones. El 16 del misino los húsares de Calatraca^ mandados por el capi­ tán X). Vicente Giralda, en compañía de la partida de D. Juan Fran­ co , tomaron al enemigo entre el Visillo y la venta de Cárdenas un nú­ mero considerable de piezas de paño, y oíros efectos de valor. D. Juan Antonio Orobio, coman…</t>
  </si>
  <si>
    <t>diarios sobré los fon­ das públicos del reyno de Galicia á ©oña Josefa Migueles y sus hijos, en justo* premio del mérito y .patriotismo de su marido D. Juan Fran­ cisco Feieyra, alcalde que luc de la V;íh vieja de Redondela, el cual murió gtoriowtmemé en el ataque del puente de S. Payo. En «el regimiento de reales guardias es…</t>
  </si>
  <si>
    <t>Fran, Luis</t>
  </si>
  <si>
    <t>Luis Fran</t>
  </si>
  <si>
    <t>ique Linch, 900. Ei Etnuio. cardenal de Borbon , 3000. D. Agustín de Sorondo , 500. Don E. B. 300. D. Victor Soret, 500. D. Francisco de Berrio, 500. D. Luis Fran­ cisco de Gardea/abal, 200. D. Juan Soler y G-arceran, 400. D. Alexandro Firpo , 300. D. Pablo Roura, 400. D, Gaspar Remisa, 1000. D. Francisco Díaz, 500. D. Agustí…</t>
  </si>
  <si>
    <t>Franc</t>
  </si>
  <si>
    <t>lino de Arco Agüero;. á capitanea, á I03 tenientes D. Juan X i menea Donor©, D. Pedro Medina y Don Valentín Ampliáis: á tenientes, á los subtenientes D. Franc s :o Pr-yricr y Moreno , graduado de teniente , D. José Seguido Iz­ quierdo, D. Pedro Colmenares, D. Pedro de la Castalia ,r D.'J&amp;cé Nicolás de Chimioni y D. Antonio Fe…</t>
  </si>
  <si>
    <t>Francaco</t>
  </si>
  <si>
    <t>bieron lo&lt;= nuestros en ha empresa de Tarazona, f e de 7 muertos y 30 heridos en el cuerpo de volunt'Ho« patriotas cL Navarra, cuyo primer comandaiA- D. Francaco E*&gt; oz y Mina filé herido de una bala de fusil eu el brazo, y su teniente D. Gre.go-</t>
  </si>
  <si>
    <t>Francés, Padre</t>
  </si>
  <si>
    <t>Padre Francés</t>
  </si>
  <si>
    <t>i resultado de usa acción tan brillante, S¿n embargo hay algnuos que partiruYr¡n* r$te $?• kan distinguido , evíre &lt;rt-: A sal y,ei-désiíc de cabalLm D. Padre Francés , que solo dr-golió á 7 enemi­ gos ; el soldado Joaqahr Arwzarena , que igoairnfu.ue hizo p-.-r sí 13 prisioneros , y el cr*pitan- del segundo batallón I), Joaq…</t>
  </si>
  <si>
    <t>FRANCES, QodiIMPERIO</t>
  </si>
  <si>
    <t>QodiIMPERIO FRANCES</t>
  </si>
  <si>
    <t>1135</t>
  </si>
  <si>
    <t>erto de Pattt Orden del dia. «on dirección á la isla de Cerdeña. ,,Después de la destrucción y derrota! del exér­ cito insurgente de Murcia, el señor general QodiIMPERIO FRANCES. not se dirigió con una parte de la división-de re­ serva que mandaba por los distritos de Vera y Al­ Roma 7 de agosto. mería, en las Alpujarras, en …</t>
  </si>
  <si>
    <t>Francfort</t>
  </si>
  <si>
    <t>1801</t>
  </si>
  <si>
    <t>8 de diciembre, ha entrado el viernes GRAN DUCADO DE FRANCFORT. último en Portsmouth, y ha traído pliegos del contra-almirante sir Ricardo Keats, del general Francfort 18 de enero. Graham y de Mr. ITenrique Wclleslei. Al tiempo El gTan duque de Francfort ha dirigido una de ia partida de este buque los enemigos reunían dec’aro…</t>
  </si>
  <si>
    <t>Francis</t>
  </si>
  <si>
    <t>ués de herido quedó prisionero , y á quien recomienda particularmente , así como al teniente D. Juan Pover, á ios subtenientes D. José de la Fuente , D. Francis­ co Zapico,D. Fernanda S. Martin¿ D; Ricardo Canal, D. Francisca Riesgo, D. Jo é Boldrini y D. Alonso Pabon$ ai citado Fonsbdía, comandante de la caballería, ai sarge…</t>
  </si>
  <si>
    <t>as Montes de Oca, 10. D. José Sierra, 2. D. Francisco Romero, 5. D. Salvador Arabich, 10. D. José Francisco Alfaro, 5. D. Buenaventura Vefazqtiez , 2 D. Francis­ co Sierra, 2. José Sixto Caravajal, 5. José Eusebio Cetina , 3. Juan de la Luz Gómez , 5. Felipe Díaz , 6. José Guiñones, 4. Francisco Quixada , 4. Poloni* Gon,trera…</t>
  </si>
  <si>
    <t>D. José Mauri­ cio Rodríguez , 25. Doña Petrona de Escurdia , 20. D. Miguel Duque de Estrada , 100. D, Carlos Escoíiet, 25. D. Claudio Martínez , 20. D. Francis­ co iVIfina, 10. D. Juan Barón, 10. D. Salvador Rodríguez, 10. José Misiano, 2. Joaquín Bravo, 1. Pedro Rodríguez, 1. Clemente Lugo, 1. José Manuel Porez , 1. Piloteo…</t>
  </si>
  <si>
    <t>mayoi D. Jua-i F lip»; de Alva atacase la bate i ia y .'posición de la izquierda : chics salir un cuerpo de dragones al rea ado del teniente corcusí D. Francis o Rodríguez, y 3 compañías dpi provincial de Pu~bta al d i t&amp;aiepte de navio D. Bernardo de Sala? , para, que alai: asen las baterías y cu/rpo insur­ gente de !a derec…</t>
  </si>
  <si>
    <t>Sanz, ex-franciscano. Para el de Morales, vacante por promoción de Para el de Villanueva y Zainajon su anejo, va­ í). Lucas Tercero al de Modamio, á D. Francis­ cante por muerte de D. Juan Alcoceba , i D. Ma­ co Lainez , cura de Fuentearmegi!. teo Roí, ex-capochino. Para el de Huerta de Reí, vacante por pro­ Para el de Almara…</t>
  </si>
  <si>
    <t>. Ventura Ssgura, D. Vicente Santist-'ban, D. Santiago Moreda, D. Jasé Capilla, D. Joaquín Covisa, D. Ramón Lodares y D. Salvador d® Les; ayudantía á D. Francis­ co de la Torre; tenencias á D. Manuel Medina, D. Francisco de Paula Adames, B. Rafael del Rio y D. Pedro Aguila? A vala; y subtenencias i. D. José Mateo, D. Ramón He…</t>
  </si>
  <si>
    <t>Francis, D</t>
  </si>
  <si>
    <t>D Francis</t>
  </si>
  <si>
    <t>p?aet&gt;ar©n en ella, poniendo en-,giands aprieto y retirando todas las tropas que guarnecían aquellos puntos; pero la columna de B-ugos mandada por su comandante D Francis­ co B ere; la a a ó á ios 'cuenf g &gt;s, y viendo casr á este digno coman­ dante atravesado de un ba az &gt;, ansiosos de Tingar su heroica sangre, m arrojaron c…</t>
  </si>
  <si>
    <t>Francisca</t>
  </si>
  <si>
    <t>n conseguir Stuttgardt i.° ewero de i8ir. audiencia. Iban con intención de hacerle presente que en vista de las severas providencias tomadas S. A. la duquesa Francisca , viada del difanto por el gobierno americano, se veian precisados á duque Cirios, ha muerto esta mañana en Kirch- suspender los encargos que tenían hechos en …</t>
  </si>
  <si>
    <t>dio Boutelou, como marido de foriano de la Torre , y á nombre del Doña Bernarda Soldevilla................... 7560 hospital dé la Resurrección de Va- Doña Francisca, Doña Justa y Doña lladolid..................................................... 90.. Si Josefa de Urrutia, herederas de Do­ D- Santiago Gutiérrez de Ariutero....…</t>
  </si>
  <si>
    <t>Francisco</t>
  </si>
  <si>
    <t>ia de Y. M. la de que por disposición del tirano Bona­ parte, el rey Fernando vii contraía su matrimonio, ó ya se ha­ bía verificado con una hija del emperador Francisco, y que con 26000 españoles de nuestros valientes; prisioneros venia á Madrid , en cu­ yas inmediaciones baxo otro pretexto se juntaba mayor número de tropas,…</t>
  </si>
  <si>
    <t>e- molinos de viento: encuentra que la ala debe de for­ rónimo. mar con e! exe, en li parte inmediata á él, un ángulo Pira ia de Adra y la Alquería á D. Francisco de 54 grados 44 minutos , y á su extremo un ángulo Antonio Velazquez , ex- fr.-nchcano. de 80 grados-, y que la velocidad del extremo de la Para la de Albondon á D.…</t>
  </si>
  <si>
    <t>), oficial de la secre­ Clavijo ( D. Eduardo) , admidistrador de correos taría del ministerio de Negocios eclesiásticos. de Medina del Campo. Almera (D. Francisco), individuo de nuestra guar­ Colomina ( D. Ignacio) , fusilero de nuestra guar­ dia de honor de Granada. dia real. Alooso (D. Josef), sargento de húsares de nuestra…</t>
  </si>
  <si>
    <t>guardia real. Vizcaya. Martin (D. Nicolás), subteniente del regimiento Garrido (D. Zacarías Josef). de Toledo, 2.0 de infantería de línea. Gayarre ( D. Francisco), cabo de artillería. Martínez Tornamira (D. Antonio), comisario de Gimbernat (D. Antonio), miembro del consejo guerra de primera clase. supremo de sanidad pública. …</t>
  </si>
  <si>
    <t>Ingaldo (D. Amadeo), teniente del tercer regi­ pilla. miento de cazadores á caballo. Rodríguez (D. Angel), alabardero de nuestra Irabien de Urquljo (D. Francisco), corregidor de guardia real. Burgos. Rodríguez (D. Bonifacio), alcalde mayor de San­ Itnrribarria (D. Francisco), alcalde de nuestra tander. real casa y corte. Rome…</t>
  </si>
  <si>
    <t>sé Ruiz Trianoy 30. El tambor mayor Nicolás Guilis / 10. D. Francisco Muñoz, capitán , 20. D. José 'Fray-re, id., 25 l&gt;. Alejandro Marcin , id., 200. D. Francisco ele la Pena, id. , 5. D. Pedro Gil., teniente, 10. D. Fran­ cisco Argaez, id., 10. D. Roque Gil, id., 6. D. José .Bello , id. 10. D. Ga­ briel Santos, id., 10. D. J…</t>
  </si>
  <si>
    <t>sileros de nado recibirlas, aunque no nos hallamos en el mis­ nuestr, miar t i -i real. mo caso que dichas dos iglesias, teniendo la nuerBc.&lt;ngeari ( D. Francisco), furrier del regimiento tra á su frente al mui piadoso y mui zeloso carde­ Real Kxt angero. nal nuestro arzobispo, cuya vida conserve el Señor BLp.i ( D. M-rtín). …</t>
  </si>
  <si>
    <t>unio de 1809, terminaron gloriosamente sus dias en defensa de la patria los marineros Ramón Seoane, Diego Conde,Urbano Fernandez y José Castellano, y D. Francisco de les Reyes, escribano de número de aquella jurisdicción; y queriendo dar un testimonio de la atención del Gobierno á recompen­ sar tales servicios , ha tenido á b…</t>
  </si>
  <si>
    <t>o* regimiento do Balen, la, de. caza lores al í?maio di tenievte D. Fs ancuco de P.-nla , y la orica??-a y scirnoda cha fu-iU-ros ai de sus capitanes D. Francisco ele Zavala y I). June de , con una gucnüla de 40 zapadores ai mando del subteniente D. Luis Gabar4</t>
  </si>
  <si>
    <t>comisario genera! quo se nombrase. S. A., guiad© por tales principios, y previa la noticia de las Ofer­ tes y extraordinarias-' d A rcyi-o, nombró a D. Francisco Y;,ñ z ÜLkamoade, capellán de licuor de -S. M. y clmónig-o áe la santa iglesia de Sevilla , ú quien ad&amp;n&amp;s ka concedido el nuncio d&lt;?</t>
  </si>
  <si>
    <t>undo Ra­ rindos , cuyo dueño se ignora por falta de guia. mos, con quadernos de cuentas, Núm. isi. Un caxoncito, forrado en en­ Uno dicho, rotulado á D. Francisco de cerado, venido sin guia ni documento alguno, Nogués y Acevedo, conteniendo libros. rotulado á D. Leandro Sánchez, que contiene Un paquetito, rotulado al Sr. Prou…</t>
  </si>
  <si>
    <t>e*G.^á , Ídem. 1). Juc.-ato M? runda , i-danteDa d- Lo bera, ierre. U. José VareY, Ufen* , idem. D. J.fev O bregón , fe-rgo11 es de $agtiifí#, idc;c. D. Francisco .C!i?wa , tirso5 rres tic ídem. D-J-vt Rodriy ues bdurkute-na de Lcbeia , Cv-pebaz.'— Dios guarde á V. E. mugir s aiVs. Csnspo dtl ho&amp;or de Navarra 31 de mayo de IS…</t>
  </si>
  <si>
    <t>Ur fíales. plaza an estado de prolongir su resistencia. En el Valdes ( D. A' tonio Díaz). dia es bien constante que co ■ la batalla de Al­ Uriarte ( D. Francisco) , presidente del tribunal de buera se han ganado al menos 20 dias, y que da­ Apeia ion s de las tres provincial. tante este tiempo se han podido tomar disposicio­ a…</t>
  </si>
  <si>
    <t>erna­ de electos mi,¡tares. Et capitán del xabeque mer­ dor de la sala del crimen de Granada. cante la Ciudad de Porto-Moriztj , «oficioso de Biedma (D. Francisco), comandante de batallón estas presas, biz a presente al comisario de marina - de artillería. su intención de salir en busca del enemigo para Bocme (D. Alexandro), …</t>
  </si>
  <si>
    <t>Tellez (D. Juan), soldado inválido de la compa­ ña* y de las Indias. . ñía de S. Ildefonso. Vistas las solicitudes que han hecho varias per­ •Teran ( D. Francisco), comisario real en Extre­ sonas pidiendo la confirmación de sus títulos y madura. dignidades ¿ y oído nuestro consejo de Estado , he­ Torres ( D. Cayetano de), pre…</t>
  </si>
  <si>
    <t>............. 270.-251 D. Santiago Sedaño.................................... 247*-. 7 D. Hipólito Pedros».................................. 812.. 8j D. Francisco lien sal.................................. 1460.. 2 D. Gabriel de Alcaraz.............................. Ó3Í..25Í D. Máximo Pardo...... ........ 151~“i4 D. Marcos Ló…</t>
  </si>
  <si>
    <t>1040 Continúan los donativos de la isla de Cuba. D. Fermín Montano, coronel y comandante del real cuerpo de ingenie­ ros , y su hijo D. Francisco , cadete de dragones , por el prest de 3 soldados en 6 meses , 162 pesos fuertes. El capitán D. Domingo Bontoux de la Blanehe, por ei de un soldado en 5 meses . 45. D. Manuel Artazo…</t>
  </si>
  <si>
    <t>gobierno, no solo con con una juiciosa y firme resolución puede salvar á su palabras, sino también con obras. patria del borde de su última ruina es D. Francisco La crítica situación en que se halla Navarra por las Espoz, maldades de Espoz, exige de vosotros este ,rtcrificio: el Si vmd. examina con reflexión los progresos de …</t>
  </si>
  <si>
    <t>olás Hernández, 60. X). Agustín Maestre, 40; D. Ignacio Salazar , i60. D. Aivrel José Soveron, 50). D 'Carlos Gira1 Jo, 60. D. Nlcoas de Castro , 40. D. Francisco de los .Santos, 20. D. Ramón Carbalteda, 80. D. Juan Miguel de Carlos v D. N. F x rdo, priores; del consulado de Cádiz, 50 pares de zapados. El'muestro p- rt ;g ;cs…</t>
  </si>
  <si>
    <t>o general Sande ( D. Diego ) , capitán de infantería de línea. de la prefectura de Granada. San Vicente ( O. Ignacio), capitán de escopete­ Alvatez ( D. Francisco), sargento segundo del re­ ros , caballero que fue de Alcántara. gimiento de Toledo , a.* de infantería de línea. Saravia (D. Manuel de), juez de las juntas de Ne* …</t>
  </si>
  <si>
    <t>....... 6951 8 de viudedad de j rs. diarios.......... 610 3 Doña Constanza Lita, como madre, D- Ignacio» Agudo y Andrade, corno tiutora y curadora de D. Francisco ‘, apoderado de Doña Nicolasa Rcn- - ■ Opizotji, su apoderado D. Vicen­ queret,, por real-orden'de 2 s de te González Arnao..............................‘ 3041 1 ct…</t>
  </si>
  <si>
    <t>tfs bcllicis laudibus pa- Doq Miguel Valcayo Pastor á ayudante del cení amar.{1^,vosotrqs, españoles ilusos y necios, tercer batallón en reemplazo de D. Francisco de dexad va esos geles efímeros y precarios , y venid Paula Chaves, á la dulce senda, de Lríabiduríg, la seguridad y el Don Tomas García, teniente , i capitán del t…</t>
  </si>
  <si>
    <t>ste Aguilar, sargentos primeros , á subtenientes. En el año, y verá allí estos hechos. Su patria no está en pe­ regimiento 4.* de cazadores á caballo D. Francisco ligro, como dice ; él no la tiene: por su parte la ha sa­ Muñoz y D. Juan Arias Saavedra, tenientes, á ca­ crificado : nada le queda ya que perder; y su seguridad p…</t>
  </si>
  <si>
    <t>Francisco, Cándido</t>
  </si>
  <si>
    <t>Cándido Francisco</t>
  </si>
  <si>
    <t>el regimiento Menescal (D. Santiago), sargento de caballería li­ Real Irlandés. gera de nuestra guardia real. Goya ( D. Francisco), pintor. Mendivil (D. Cándido Francisco de), canónigo da Guenot (D. Hugo), primer teniente de artillería Toledo." de nuestra guardia real. Meruendano (D. Pedro), comandante de batallón Guerrero (D…</t>
  </si>
  <si>
    <t>Francisco, Manuel</t>
  </si>
  <si>
    <t>Manuel Francisco</t>
  </si>
  <si>
    <t>320 itones ; aun'baxo'de la losa fúnebre ,contra la^ael prefectura de Méride , é? D. Manuel Francisco se estrellan al fin todos los odios. Pero apártense Abarrátegui.' " •; de allí los calumniadores, y respeten el sueña de Subprefecto de la subprefectura de Llerena, en so víctima. ¿M¿» qué digo ?; &lt;Qué U importan ya la hüsma</t>
  </si>
  <si>
    <t>Franciscoddam</t>
  </si>
  <si>
    <t>Cordero , 500. El ayudante inspector D. José López , 130. — Compañías presidíales.—Monclova. Teniente primero D. José María Guadiana, 60. Id. segundo D. Franciscoddam, 60. Alférez primero D. Juan José JSlguczabal, 50. Id. segundo D. José Andrés Cadena, 40. Capellán D. Juan Ñepomuccno Peña, 50. Los sargentos , cabos y soldados…</t>
  </si>
  <si>
    <t>FranciscoGabaidon</t>
  </si>
  <si>
    <t>200 zo, residente en Almagro, por................ 2200 D. Vicente Cuenca, id., por..................... 2200 D. Juan Bautista Varea Arcayos, id., re­ D. FranciscoGabaidon , id., residente en sidente en Ciudad R-éal, por..................... 2200 Madrid, por................................................... 2290 ID • Estéban …</t>
  </si>
  <si>
    <t>Francizco</t>
  </si>
  <si>
    <t>efe del estado mayor general por el general en gefe del séptima exéfrito, D. Gabriel ‘de Mmdizalal. ■ “ Éí oora anda ule de las partidas de su nombre D. Francizco 4o Longa participa ai expresado general en gefe, «leí le Moneo en Cattilla ia Vieja, que el 14 y 17 de sriieisfere últlsi* sostuvo con ven­ tajas dos ataques sobre …</t>
  </si>
  <si>
    <t>Franco, José</t>
  </si>
  <si>
    <t>José Franco</t>
  </si>
  <si>
    <t>ra que iba en la vanguardia; el comandante de tira­ dores de Asturias D Fernando Miranda ; los oficiales heridas D. Mi­ guel Prieto, D. Blas Bermejo, D. José Franco, D. Diego Tu ñon, D. José Montoto, que no obstante su herida continuó mandando su com­ pañía hasta que los gefes le obligaron á retirarse , y D. Cayetano Suarez d…</t>
  </si>
  <si>
    <t>Franco, José Dámaso</t>
  </si>
  <si>
    <t>José Dámaso Franco</t>
  </si>
  <si>
    <t>a Trinidad, cura interino , 25. I). Jo­ sé Sixto Márquez , 5. D. José Magdalena Veiasco , 5. D Juan de Arjoña , 2. D. José: Reyes , cura de Ocú , ÍO. D. José Dámaso Franco, cura de Santa Bárbara, 4. Fr. Baitasai Cabezudo , cura interino de Macaracas , 25. D. Fran­ cisco Mateo , cura de Pesé , 10 —Partido de Nata. D. Manuel Hi…</t>
  </si>
  <si>
    <t>Franco, Martin Vázquez</t>
  </si>
  <si>
    <t>Martin Vázquez Franco</t>
  </si>
  <si>
    <t>io Serrano, 10. D. Tomas Valencia, 10. D. José López, 20. D. Ignacio Noriega , 8. D. Manuel Bailo , tesorero interino de la real caxa de Cósala, 120. D. Martin Vázquez Franco, 80. D. Bernabé Escobosa, 20. D. Fran­ cisco Lascuraiiv, 12. El subdelegado D. Manuel Sebeas, 30. D. Juan Ven­ tura Vatiz, 25, El presbítero D. Manuel d…</t>
  </si>
  <si>
    <t>Francoul</t>
  </si>
  <si>
    <t>es , de cueros, de azúcar, y de otros géne­ colana de que hacia parte, y ha sido'reemplazado ros ingleses encerrados ó almacenados en la parte por el capitán Francoul, del 1 xó.° El capiran de ar­ baxa de la ciudad, eran presa de las llamas ó del tillería Crouzet fue herido durante ei fuego qu* pillage. A vista de esto ana ra…</t>
  </si>
  <si>
    <t>Frar</t>
  </si>
  <si>
    <t>l mis iíO reginremo D M gu IDiaz ViUabriUe , y de los ofic ales del mismo, capitán D Fe n n o Miranda , teniente D Fernando S. Mar­ tin y subí emente D Frar cisco Zapico. En el de S ero á su teniente co­ ronel D. ]acobo Melendreras, y aun no he r eibido el parte de los que deesre regimiento sean acreedo.es á particular recome…</t>
  </si>
  <si>
    <t>Frasno, Claudio</t>
  </si>
  <si>
    <t>Claudio Frasno</t>
  </si>
  <si>
    <t>la división ó perseguirla hasta alejarnos de Aragón según ex­ presa orden que traía. Nuestra pérdida, ha sido la del benemérito ea* pitan de Cariñena D. Claudio Frasno y 21 soldados de los demás cuerpos, muertos; el valiente y esforzado sargento mayor de dicho regimiento D. Juan Frasno, el subteniente de la Princesa D. Simón …</t>
  </si>
  <si>
    <t>Fraxao, Miguel</t>
  </si>
  <si>
    <t>Miguel Fraxao</t>
  </si>
  <si>
    <t>r par la izquierda; y al teniente corenel D Ram ya de L" y i, coman­ dante del regimiento infantería segundo de la Princesa, y &lt; l teniente co­ ronel D. Miguel Fraxao , comándente cei de CEriñeria , por el centro y den cha En eo^ceauncia Soria c &gt;r» 5 50 hembess qus tenia disponibles, y P meesacon 380 , formaron en columna , …</t>
  </si>
  <si>
    <t>Fray, Manuel</t>
  </si>
  <si>
    <t>Manuel Fray</t>
  </si>
  <si>
    <t>nque leve , de suceso..— Din? guarde á Y. S. muchos años. Cuevas ds Zújar S de agosto cíe 1811. — A .las 9 y media de la noche.— Jóse Q-DonnclL — Sr. D. Manuel Fray re.—Es copia.— Frej/re. Nú ir . 2.a Oficio dd general en gefe al general O Donnell. Mediante lo que mi tpídante úa campo D. José Cacho me ha d.olio de palabra de …</t>
  </si>
  <si>
    <t>Fray-re, José</t>
  </si>
  <si>
    <t>José Fray-re</t>
  </si>
  <si>
    <t>udante mayor D. Baltasar González y .5. El cirujano D. Jo­ sé Ruiz Trianoy 30. El tambor mayor Nicolás Guilis / 10. D. Francisco Muñoz, capitán , 20. D. José 'Fray-re, id., 25 l&gt;. Alejandro Marcin , id., 200. D. Francisco ele la Pena, id. , 5. D. Pedro Gil., teniente, 10. D. Fran­ cisco Argaez, id., 10. D. Roque Gil, id., 6. …</t>
  </si>
  <si>
    <t>Frazer</t>
  </si>
  <si>
    <t>s-be que haya perecido ninguna persona. las embarcaciones. Por el buque de S. M. el Avon, Cádiz 14 de agosto de 1811. Un parte oficial mandado por el capitán Frazer, hemos sabido Lisdel ó de este mes , que ha recibido el general co­ particularidades siguientes: mandante del campo de Gibraltar, dice que el co­ ,i Hace 17, dias…</t>
  </si>
  <si>
    <t>Frege</t>
  </si>
  <si>
    <t>itiníii vaineute nuestra guar­ dado motivo á inLCtios ensayos tn granee, que prueban las ventajas de este descubrimiento para el dia cívica. El señor consejero Frege, banquero de la cor­ gran ducado. En vista de esto ha mandado S. A.R. te en Leipsick , tiene el encargo de recoger y es­ que se planten arces en los bosques v pl…</t>
  </si>
  <si>
    <t>Freire</t>
  </si>
  <si>
    <t>cuerpos de infantería y de caballería PLAZA DE MADRID. BOLSA. desordenados y dispersos huian por todas partes, DIA 26 DE ACOSTO OE I 8 1 I. y que el general Freire hab¡3 recibido una herida en la cargt de caballería dada por el general Soult torre Cull.tr y Chirivel. Parece que el general Efectos públicos. Odonell ha procurad…</t>
  </si>
  <si>
    <t>1170</t>
  </si>
  <si>
    <t>nn quando asi suceda, siempre resultará nn fuerzos á Granada y al Puerto de Santa María. nuevo fomento del comercio de Nueva Escocia y Tememos que el general Freire tenga que retirar­ del Canadá. Las medidas impolíticas que el gobier­ se luego que lleguen los refuerzos destinados para no americano ha tomado contra nos&lt; tros n…</t>
  </si>
  <si>
    <t>Freiré</t>
  </si>
  <si>
    <t>Gaceta de Madrid n.º 300</t>
  </si>
  <si>
    <t>1243</t>
  </si>
  <si>
    <t>FRANCES. han exagerado la derrota dei exército del general Fr aire. 11-nos visto varios extractos de los partes Coni 20 de setiembre. enviados por el general Freiré al general Blake , lo En la noche del 13 al 14 del presente mes, á que prueba con evidencia qae este último no te cosa de las 3 de la mañana, se prendió fuego en …</t>
  </si>
  <si>
    <t>ches, en donde se admitirán las que hicie­ Gaceta de la regencia del 17. Contiene el ren siendo arregladas, y dará las notas convenientes. parte dfcl general Freiré, relativo á los últimos su­ cesos del tercer exército , á que acompañan como dreumentos otros varios, entre eilos los del general PLAZA DE MADRID. BOLSA. O- Donel…</t>
  </si>
  <si>
    <t>Freise, Luis Antonio</t>
  </si>
  <si>
    <t>Luis Antonio Freise</t>
  </si>
  <si>
    <t>Aguado, D. Manuel Diz &gt; Don Benito Yarela y D. Pablo del B J ; subtenencias á D. F ¿ruando Yara, D. Antonio Barbeira, D. Lorenzo Lema, D. Juan Duran, D. Luis Antonio Freise, D, Julián Alvarez, D. Dirgo Fragoso, Don Vicente María López, D. Víctor Urquiza, D. José Cameiro., Doa Manuel Cid, D. Anselmo Quíroga y D. José Tefi; sub…</t>
  </si>
  <si>
    <t>Frejre</t>
  </si>
  <si>
    <t>3 de la mañana el general en gefe. (Carta de un oficial dd estado mayor del tercer exérrito). Cartagena 10 de mayo. Nuestro excrcito, mandado por el general Frejre, entró ántes de ayer en Baza, despus de haber conseguido algunas ventajas contra la división frr*no* sa que cc-jpaha aqu llí ciu­ dad , y constaba, según se cree ,…</t>
  </si>
  <si>
    <t>Fremont</t>
  </si>
  <si>
    <t>posada de S. S. el domingo 6 de octubre próximo, tambor del regimiento polaco número 9.a; el señor á las 8 y medía de la mañana, á la que podrán con­ capitán Fremont,del I2.°de dragones, y el señor currir todos los que sean legítimos por sí ó por medio Froissand, cirujano- ayudante mayor del }8.° de de sus apoderados, para en…</t>
  </si>
  <si>
    <t>Freneh</t>
  </si>
  <si>
    <t>a brigada portuguesa del co­ ronel Ashworths , mandadas por el coronel Pynne , y finalmente por los piquetes de la tercera división á las órdenes del coronel Freneh. El coronel Caiaeron fué herido gravemente por la tarde, y por esto recayó el mando en el coronel Cadcgan. Estas tropas estaban ademas apoyadas por* los regimient…</t>
  </si>
  <si>
    <t>Frensh</t>
  </si>
  <si>
    <t>rgarlos, y contentándose con seguir sus movimientos y hacerles fuego con su artillería.—El teniente coronel Williams con su infan­ tería ligera, y el teniente coronel Frensh dal regimiento 74 , se re­ tiraron de Pastores atravesando el Agueda, marcharon por Robleda, donde hicieron algunos prisioneros, y volviendo á repasar aq…</t>
  </si>
  <si>
    <t>Frentes</t>
  </si>
  <si>
    <t>397</t>
  </si>
  <si>
    <t>habitantes; la de Helmstaedt 50ÍI0; ge le conde de Kutusow para ponerse en movi­ la de Hiblesheim 10948, y la de Crolar 6C76. miento , y dirigirse a d. Frentes puntos. Parece que Se regula en 50o© escudos lo que anualmente estos cuerpos se van concentrando, circunstancia producen las abejas en el que era país de Hauque , unid…</t>
  </si>
  <si>
    <t>Frey</t>
  </si>
  <si>
    <t>—- Mañana se entrega un millón de reales,por Ja conmbucL-ñ adelantada 4e los des meses. , , -f 1 -Cádiz t3 de mayo, El tercer exército del mando del general Frey-</t>
  </si>
  <si>
    <t>,'&gt;S8 por el brigadier D. Ambrosio de la Qúadra , obtuvo ventajas de con­ sideración contra* un cuerpo francés que la atacó en Ubsda. Eí IT tenia el general Frey re su cuartel general en Bisa: posteriormente se Va adelantado, y el 22 ha batido á los franceses en la cuesta de Diezma, á i leguas de Granada. ARTICULO DE OFICIO. …</t>
  </si>
  <si>
    <t>Freyie</t>
  </si>
  <si>
    <t>1103</t>
  </si>
  <si>
    <t>ecibieron anoche, dicen que un edecán de S ult habla dado allí la noticia de habar sido destrozado el tercer cxércúo, que­ dando prisionero el. mismo general Freyie. Día 24. BiUiard, que tn los di¿,s anteriores había ido despojan­ do de muebles , la casa del conde de Oil%te , donde estaba alojado, acabó de hacer - esta operac…</t>
  </si>
  <si>
    <t>Freyr, Manuel</t>
  </si>
  <si>
    <t>Manuel Freyr</t>
  </si>
  <si>
    <t>ensar premios á los qu-í los hayan merecido. —I) % gua'^e á V. S. muchos años.— Campo de T orea SO de setiem* b: *!- 1811. — José Antonio Sanz. — S«\ D. Manuel Freyr . P. O—S i comieron l .s ranchos que tenia puesto* el enemigo, y reíjaLti'Uon ke ollas ; nos traxiraos 35 reses lanares v:vw : se dieron á la tropa 2000 raciones…</t>
  </si>
  <si>
    <t>Freyre</t>
  </si>
  <si>
    <t>s de An­ dalucía, interrogados por Belliard, kan declarado que ea el camino oyeron hablar de la derrota de Soult. y de los progresos del exército del general Freyre en el rey no de Granad a. El dia 25 por la tarde entraron sobre 3000 hombres de Llantería de ías divisiones de Drene i y Cíaparede, que juntos á los que llegaron …</t>
  </si>
  <si>
    <t>añol. (1) Escritas á fines de julio, como se ve por el contexto. (9) Al mismo tiempo que esto se escribía, el tercer exército español, mandado por el general Freyre, ocupaba la parte oriental de Andalu­ cía desde Almería hasta Ubeda y Jaén , y tenia su centro en Guadix. El conde del Montijo era dueño de las Alpujarras, y amen…</t>
  </si>
  <si>
    <t>r— cito con 4® infantes, 600 caballos y 6 piezas de artillería á caballo, dexando el resto del exér­ cito en aquella misma posición á las órdenes del general Freyre. El estado mayor se dividió tam­ bién; yo tuve el honor de seguir al general en</t>
  </si>
  <si>
    <t>Freyre, Francisco</t>
  </si>
  <si>
    <t>Francisco Freyre</t>
  </si>
  <si>
    <t>958 qud o! tosente coronal da Barbón D. Francisco Freyre, que nna&lt;r1í.ba la columna da caballería da La deroch t, marchase i tonar el camino de Cáceres ,0 álo menos amenazare por aquel lado, mien­ tras que el brigadier D. Pablo Morillo avanzaba .</t>
  </si>
  <si>
    <t>Freyre, Manuel</t>
  </si>
  <si>
    <t>Manuel Freyre</t>
  </si>
  <si>
    <t>as las avenida*. — Dios guarde á V. S muchos años. Spbfe la barca! del Zújar 9 de agosto de 1811 £ ' las, 9 de la mañana. r—, J.osé O-Donnell. —- Sr. D. Manuel Freyre. —■ . P. D. Incluyo,una carta que me escriba Cuadra, pero es anterior á la hora en qu*pudo recibir mi primera proposición de reunión. —Es copia.—Freyre. Núm. 4.…</t>
  </si>
  <si>
    <t>de los que noa sacrificamos Dor la patria. Dios guarde á V. S. muchos aíí3s. Palmar de D. Juan á 16 de agosto de 1 Sil. —«/asé Antonia de Sanz.— Sí. D. Manuel Freyre. Parte justificativo de las operaciones del general D. Ambrosio de la Cuadra. ~ Oficio de remisión del general en gefe 7). MaJiiiel Freyre. ~ Excíuo. Sr.: con fe…</t>
  </si>
  <si>
    <t>e­ ral riel campamento de Puente-alto , el 2 del corriente , dice al Exorno. Sr. ge/e del estado mayor general lo que sigue: í( El mariscal de. campo D. Manuel Freyre, desde Lorca, me dirige el parte que le ha dado él 30 de setiembre el brigadier Don J aan Antonio Sanz, comandante general de la tercera división, que á la letr…</t>
  </si>
  <si>
    <t>Friant</t>
  </si>
  <si>
    <t>as todas las mercancías inglesas que Lle­ ‘ GRAN DUCADO DE FRANCFORT. vaban á bordo. « *- Francfort $ de diciembre. REINO DE ÑAPOLES. La división del general Friant comenzó ayer á Ñapóles 24 de noviembre. .«tenderse mas en sus acantonamientos. Un genera!, que fue hecho prisionero por loi G R A N BRETAÑA. ingleses quando estos…</t>
  </si>
  <si>
    <t>Frias, Josef</t>
  </si>
  <si>
    <t>Josef Frias</t>
  </si>
  <si>
    <t>la gazeta de ayer -29, pág, 1377, Para el de Ucero y su anexo Valdeavellano, va- donde dice; al ex- benedictino D. Bernardo Lo­ :cante por muerte? de D. Josef Frias, á D. Josef ca , debe decir Leca ; y;tn la pág. 1378 , donde Ahumada i cura de S. Martin de Rejas. dice*, al ex-carmelita descalzo D. DL'go Garúa Para el de Zarav…</t>
  </si>
  <si>
    <t>Fridz</t>
  </si>
  <si>
    <t>Gaceta de Madrid n.º 132</t>
  </si>
  <si>
    <t>minó pasado el Danubio por CUdowa, y han llegado •os dias honoríficamente al fr§nte de sus tropas. ya á Rama. Este cuerpo habí? sufrido macha pér­ El capitán Fridz tomó entonces, el mando, reunió dida en el sitio de Rudschuck , donde quedó re­ toda nuestra gente en medio de nn fuego el mas ducido á 700 hombres. El coronel Teo…</t>
  </si>
  <si>
    <t>Friedeborgo</t>
  </si>
  <si>
    <t>481</t>
  </si>
  <si>
    <t>auto 00 se trata de certificaciones que han escrito los mismos enfer­ enviar los refuerzos necesarios y con la prontitud mos, y por el testimonio del doctor Friedeborgo, que exige el caso. Se asegara que Seiim-baxá, ex- médico de aquel pueblo. Los que quieran hacer gobernador de Akalsike, se ha pasado á los rusos, oso de esta…</t>
  </si>
  <si>
    <t>Frígola, Salvador</t>
  </si>
  <si>
    <t>Salvador Frígola</t>
  </si>
  <si>
    <t>ndo del mismo Llovera y D. Cosme Oli­ veras con .350 de los suyos. Las .descubiertas de estos, mandadas por el capitán D. Lorenzo Martí y él teniente D. Salvador Frígola, en­ contraron al enemigo dueño de una de las posiciones que iban á ocu­ par , y travaron un cómbate que duró media hora con mucha viveza por una y otra part…</t>
  </si>
  <si>
    <t>Frijó, José</t>
  </si>
  <si>
    <t>José Frijó</t>
  </si>
  <si>
    <t>n el de Santiago , la tenencia coro­ nela í D. Agapiío de la M&amp;ta y la sargentía mayor á B. José Muñoz de Toro : en el de Monterey , ia comandancia á D. José Frijó y ia sargentía mayor á D. Francisco Xavier Martínez : en ia legión ex­ tranjera dei sexto ejército , la comandancia ú D. Domingo Laodábum y la sargentía mayor á D.…</t>
  </si>
  <si>
    <t>Frm</t>
  </si>
  <si>
    <t>ue un herido por nuestra parte. Ln superioridad del enemigo nos obligó á retirarnos. — El ?.tentado cometido contra la persona del benemérito patroís D Frm cisco Montardit, comandante del bal alien de B&amp;icgiu?, ha exntedo y debido excitarla indignación mas profunda contra sus autores. Af recomendación de la junta superior del…</t>
  </si>
  <si>
    <t>Frochot</t>
  </si>
  <si>
    <t>a persona de S. M. , ni que teuga una parte ac­ pos á que pertenecía este hombre respetable asis­ tiva en la curación tieron á su funeral; y el señor conde Frochot, con­ Escriben de Calcuta qoe el príncipe Mohee sejero de Estado, prefecto dél departamento del Codhccn , hijo segundo del sultán Tipoo- Saib, se Sena , y como tal…</t>
  </si>
  <si>
    <t>Fron</t>
  </si>
  <si>
    <t>det Vístula, han quedado muertos, y. 130' heridos. Se ban distinguido muchos oficiales por su. Zaragoza 8 de diciembre. conducía, particularmente el comandante Fron­ des k i y el coronel Millet, quien Habiendo llega­ Qoartel general de Mura 28 de noviembre dé 1810. do hace pocos dias á tomar ei mando dei 121.%, ORDEN DEL EXER…</t>
  </si>
  <si>
    <t>Fronté</t>
  </si>
  <si>
    <t>eciéndose en Chinchilla con alguna artillería. El 17 y 18 de noviembre entró en Belmente una, columna france­ sa de 700 á 800 hombres mandados por el general Fronté, y el 19 salió para la Alberca y Santa María, quedándose en Belinonte con 200 hombres el general, quien aquel misma dia por la mañana exi­ gió á la fuerza una con…</t>
  </si>
  <si>
    <t>Frontis, José Toribio</t>
  </si>
  <si>
    <t>José Toribio Frontis</t>
  </si>
  <si>
    <t>sirva este empleo , 200. D. Nicolás Remon 500. El ayudante mayor D.Baftasar Avala, 40. Tenientes. D. José María Chiavi, 100. D. Felq e Fábrega , 40. D. José Toribio Frontis a , 25.|D. Francisco Ximenez en diñe, o y alhajas, 92, G y medio rs.D. Pedro Chiari, 36. D. Félix Paredes, 36. D. Ma* too Matos , 3G. Subtenientes. D. Jos…</t>
  </si>
  <si>
    <t>Frryre, Don JManiidl</t>
  </si>
  <si>
    <t>Don JManiidl Frryre</t>
  </si>
  <si>
    <t>ds Afeantariha 18 de agosto da íbl i.—Exorno. Sr.— IS'Jahzud Fre^re. — Esotro. 9i. D Joauuín Buk-\ Nú¿a. l.° Oficio dti general &amp;. José O-IJonnell al general en gefe Don JManiidl Frryre. Luego qu ? recibí la óídea de V. S. por su ayu/lante ds cam­ pe, dirigí por mocho de im oficial el pliego incluso para el gene­ ral Cuadra, …</t>
  </si>
  <si>
    <t>Fs, Juan</t>
  </si>
  <si>
    <t>Juan Fs</t>
  </si>
  <si>
    <t>Bsñotes, para que siempre que se le proporcione ocasión ‘oportuna , va va á incomodar el convoy •que pasa de Fígueras i Gerona ; dispuro el nombrado D. Juan -Fs brega, que .usa partida de dicho batallen al mando dei sar­ gento José Armengol (mientras el resto del batallón * Isa órdenes ¿el -expresado su comandaste pasaba á la…</t>
  </si>
  <si>
    <t>Fssch</t>
  </si>
  <si>
    <t>ión; ía respuesta ha sido siempre. »Non licet, no se puede.” Cuando la congregación se ha puesto de acuerdo sobre los he dhos, se ha convocado por el cardenal Fssch una congregación general, á la que han asistido Í03 padres dfd concilio, los teólogas de ia junta, el ministro de los cultos y Mr. Daiu, y allí se ha dado cuenta …</t>
  </si>
  <si>
    <t>Ftayle, Francisco Gómez</t>
  </si>
  <si>
    <t>Francisco Gómez Ftayle</t>
  </si>
  <si>
    <t>769</t>
  </si>
  <si>
    <t>Isidro Divi a y José Bsrnal se­ ducido á los vecinos de Xocotitlan , que cometieron entre otros aten­ tados el de asesinar al subdelegado del partido D. Francisco Gómez Ftayle y herir al cura , teniendo el Santísimo Sacramento en sus ruanos, fué enviada por el Sr. virey desde el pueblo de Toluca para castigarlos , la división…</t>
  </si>
  <si>
    <t>Fue, Casimiro</t>
  </si>
  <si>
    <t>Casimiro Fue</t>
  </si>
  <si>
    <t>errosoD. Manuel Hernández, I). Dionisio Sií?c,h:s, D. Fe lio. Mariis Carnea, D. Rimon Vázquez y D. Ber­ nabé Fae-zsubtenencias i D. Juan-Castellanos, D. Casimiro Fue­ llo , D. Miguel -DuranD. José Morales, D. Luis Valderas, Don Juan Extrémela , D. José Romas»nta , D. Diego Malfeito, D. Alon­ so Perez, D. Pedro Santiso, D. Man…</t>
  </si>
  <si>
    <t>Fuentes, D Juan Antonio</t>
  </si>
  <si>
    <t>D Juan Antonio Fuentes</t>
  </si>
  <si>
    <t>918</t>
  </si>
  <si>
    <t>i los que lo pi­ dieren,, como para el castigo de los obstinados ó reineídentss. S.; na a recibdo noticias favorables de -a costa del mar del Sur. El teniente coronel D Juan Antonio Fuentes, encargido del mando de la división destinada á perseguir tas gab lilas de sediciosos, 013 i las órdenes del cuta Múrelos infestan las ce…</t>
  </si>
  <si>
    <t>Fuentes, José</t>
  </si>
  <si>
    <t>José Fuentes</t>
  </si>
  <si>
    <t>soldado una al? gría. y voluntad digna de ios mayores elogias*, que acompañó con extra ño valor. Fueron heridos el teniente de voluntarios de Burgo?; D. José Fuentes, el espitan D. M’gU'J dsl Caño, el teniente D. Manuel Serrano, y el subteniente I). Juan González , de voluntarios da Burgos, de consideración. 'El mariscal de c…</t>
  </si>
  <si>
    <t>Fuentes, Juan Antonio</t>
  </si>
  <si>
    <t>Juan Antonio Fuentes</t>
  </si>
  <si>
    <t>y un subteniente , y 34 heridos.— Casi al rais^mo tiempo que esto sucedía, el comandante de la tercera división de las milicias de. la costa del Sar D. Juan Antonio Fuentes, arrojó á los rebeldes de los puntes de les Caxones y de las Cruces que ocupaban , causándoles mucha mor* taridad, y tomándoles 3 cañones con sus municion…</t>
  </si>
  <si>
    <t>risioneros, P i nuestra parte tuvimos 5 muertos, 19 heridos y 3 contusos.— ;Malc-gvesta arcan ; no desistió-po* tilo el coman¡.darte de la di­ vido-; D. Juan Antonio Fuentes , del proyecto de dcsFkjar gl ene­ migo de la fuerte .posición de las lomas qué conducen, al Vela­ dero; y poniéndose en movimiento con parte sqs¿&lt;|luaiz…</t>
  </si>
  <si>
    <t>Fueotes, Antonio</t>
  </si>
  <si>
    <t>Antonio Fueotes</t>
  </si>
  <si>
    <t>azo de D. Pascual Carsi. Curso de ios cambios. D. J ¡ime Rostan, subteniente, i teniente de 30 ds. 6 0 ds. 90 ds. la sexta compañía, en la vacante de D. Antonio Fueotes; París......................efectivo. &gt;5 Tercer batallón. Sobre las provincias del reino. D. Antonio Molina, sargento primero, i sub­ teniente de la sexta com…</t>
  </si>
  <si>
    <t>Fuertes, José</t>
  </si>
  <si>
    <t>José Fuertes</t>
  </si>
  <si>
    <t>tivos dé la isla de Cu^u. Doña Francisca Serrano, por fcí -y á nombré dé sás' Hijos'D1.'Gabriel. I). Luís,;,' B Manuel y B. José Rafael , 170 ps. fs. D. José Fuertes, comisario ordenador y administrador principal ele correos , por oferta de los empleados en dicha adrríinistracion,’;&amp;50. El'regidor B. Joaquín de Herrera , por …</t>
  </si>
  <si>
    <t>Ful, Juan</t>
  </si>
  <si>
    <t>Juan Ful</t>
  </si>
  <si>
    <t>barcos grandes, cargados tam­ Para el del Castañar de Ibor, vacante por muer­ bién de provisiones y de mercancías. te de D. Manuel .Benito Laguna, á D. Juan Ful­ gencio Colchero, cura de S. Clemente de Talavera. REINO DE ÑAPOLES. Para el de Móstóles, vacante por muerte dé ; ' . I * -, C, \ . # /' . Eh Juan Ximenez Madueñó, á …</t>
  </si>
  <si>
    <t>Fuld</t>
  </si>
  <si>
    <t>es mudaba de casa muchas veces siones en que se puede hacer uso de este arte con con el mayor secreto. Jamas se le vió hacer nin­ muclus ventajas. El capitán Fuld es el director de gún gasto, y no se sabe en qué ha podido invertir la escuela de nadadura que se ha establecido aquí» el mucho dinero que ganaba. y son rápidos los…</t>
  </si>
  <si>
    <t>e coj 1 y f.'brique en BaEn Praga se dan las lecciones en el rio de Moldap., viera pagará de derechos la mitad de su valor. Los baxo la dirección del capitán Fuld. A la voa deij tabacos extrangeros (exceptuando el que venga tu comandante se precipitan á un tiempo en el agna-; hojas) pagarán tanto como hayan costado. las filas…</t>
  </si>
  <si>
    <t>Fuleran</t>
  </si>
  <si>
    <t>de Málaga......... ....... efectivo. 8 la órden de Calatrava. Bilbao.......... ....... efectivo. 1 Tellez (D. Luis), regidor de Velez-Málaga. Thorel (D. Fuleran), capitán de granaderos de Efectos públicos. nuestra guardia real. Vales reales...................................... pi pl. Thibaud (D. Juan Pedro), sargento de tira…</t>
  </si>
  <si>
    <t>Fülol, Pedro</t>
  </si>
  <si>
    <t>Pedro Fülol</t>
  </si>
  <si>
    <t>D. Juan B *yona O. Mariano Caballé**, D. Pedro Alcántara GaÍindo, O. Juan Kamen González&gt; D. Miguel Marín, D. Francisco Castillo, Don Manuel Romeio, D. Pedro Fülol, D. Ignacio José Fo?n&amp;t, Don José María Laroza , D. Francisco Serrano, y D. Padtro Sen-ano; y subtenencias á D.- Francisco Migue!, D. Joaquín Pu%moItó. Don Diego V…</t>
  </si>
  <si>
    <t>Funes, Calixto Ruiz</t>
  </si>
  <si>
    <t>Calixto Ruiz Funes</t>
  </si>
  <si>
    <t>s J‘ *ndei. sarpecro primero, á sub­ D. Francisco Navarro López. teniente de la ottav* comp: nía. Tenientes. Noveno batallón. D. Juau de Coca Torres. D. Calixto Ruiz Funes, sargento primero, á D. Joaquín de Córdoba. íubreniente de ía octava comp nía. art. xiv. Nuestros miuistros de lo Interior y Subtenientes; de la Guerra que…</t>
  </si>
  <si>
    <t>Fustegueras, Francisco</t>
  </si>
  <si>
    <t>Francisco Fustegueras</t>
  </si>
  <si>
    <t>X Domingo Duch, hermanos y compañía, 300. D. Juan José Offerrall, 30Í). D. Manuel Ranees, 3000. Sres. Hoig yoFerrer, 2000. D. Fran*. cisco Puíg, 320. D. Francisco Fustegueras, 100. D. Juan Pedro Irigoyen, 500. D. Tomas de la Cuesta ,500. D. Antonio Coma y Fortet, 2000. Sres. Su­ birá y Forncs , 1000. D. Manuel Mícheo, 500. D.…</t>
  </si>
  <si>
    <t>Fxitzherz</t>
  </si>
  <si>
    <t>sobre lo* movimientos ban ; tomó al mismo tiempo sus disposiciones para que hubo ayer, os suplico recibáis los testimonios de dar el asalto: el señor coronel Fxitzherz, del ba­ mi reconocimiento por la elección que habéis hecho tallón suizo al servicio de S. M. católica, respon­ de los coroneles Packenkam y Delamei, confiándo…</t>
  </si>
  <si>
    <t>G'rard</t>
  </si>
  <si>
    <t>de sin objeto, y como las noticias, según es de costumbre, variaban tanto con respecto á la fuerza enemiga, íué- n&amp;;gmno que viese yo su exéveito. W% general G'rard hkbia reunido en Mérida un pequeño cuerpo de tropns , piro issitgmo que distribuirá otra vez este cuerpo, luego qii í llegue á s-'.ber que el general Húl se haíla…</t>
  </si>
  <si>
    <t>G, Antonio</t>
  </si>
  <si>
    <t>Antonio G</t>
  </si>
  <si>
    <t>idos ataques con el enemigo , en particular la tarde del 29 , en que dicho comandan e Soto y su tropa se d stinguieron como siempre, y en especial el soldado Antonio G*. cía. El vecindario de esta ciudad se muestra muy animado, franqueando al mismo tiempo quantos auxilios puede para la tropa; todo lo que se servirá V. E. elev…</t>
  </si>
  <si>
    <t>. Angel Fraile, D. Juan AlJaraira, í. Fa-no' Varela, D. Toma?/ Rea!, D. Pedro Benito Gárrulo, Don Faínian Blanco, D. Filioe Uíloa, D. Leandro García, D. Antonio G.:.t. ? Herraros y D. Francisco Lasa; subtenencia de bandera k i). P tal Mido®. Ea el regimiento de infantería de Toledo ; compañías á D. José Cta.5, O. Cirios S-Jdo…</t>
  </si>
  <si>
    <t>G, Josef Sánchez</t>
  </si>
  <si>
    <t>Josef Sánchez G</t>
  </si>
  <si>
    <t>D. Francisco de Paula Valvero. re a ivo a sus negocios personales, y no puede in­ D. Mariano Salgado. fluir en uada en las transacciones de comercio. D Josef Sánchez G ilan. D. N icoias Acar. ESPAÑA. D. J sef Cobos. Madrid^o de marzo. art. iii. Eu a ciudad de Montilla se formará un batalion y ur.a compañía de caballería. Ertr…</t>
  </si>
  <si>
    <t>G, Mannel</t>
  </si>
  <si>
    <t>Mannel G</t>
  </si>
  <si>
    <t>er y D Francisco Re nirez : y á te• rijéntés' á ¡os stob’téiíiéhtés D.; Rafael Figüera, D/iJéíé?cDiaz, íD. Pablo &lt;Ru}z de íj.^Pa tída "José Gord l’o, D. Mannel G sn’ia , D. .-Ma­ riano Miguel Polo ,D Franchco Barreycua, D. Domingo Luis del Valle, D Mariano deGoic echea ,’D Carlos CapetidoD. JA'éGñativia y D. V cenie de la Enc…</t>
  </si>
  <si>
    <t>G, Pedro Agustín</t>
  </si>
  <si>
    <t>Pedro Agustín G</t>
  </si>
  <si>
    <t>'prisioneros por haber apurado sus municiones. — Dios guarde á V. S. muchas año?. Zarza de Moutanchas 28 di octubre de 1811. — Pa­ blo Morillo. — Sr. D. Pedro Agustín G*ron. ' P. B'.— H) sabido por el principe Aremberg y algunos elida* les prisioneros que las fuerza de los eneoríg :3 ascendían á 2600 infantes con 400 caballo:…</t>
  </si>
  <si>
    <t>G, Sir</t>
  </si>
  <si>
    <t>Sir G</t>
  </si>
  <si>
    <t>del camino nuevo. Incluyó á V. E.; una copia del parte que dio con este motivo el 2 de este mes, é igualmentí otra copia del cfíoio que pasó el 4 al mariscal Sir G. Bercs~ ford, y la copia de la carta que me ha escrito el mismo mariscal.— No ha habido movimiento alguno de importancia en el exército ene­ migo, .d.-s le que dir…</t>
  </si>
  <si>
    <t>G, Tomas</t>
  </si>
  <si>
    <t>Tomas G</t>
  </si>
  <si>
    <t>.. 3C0 de la carrera estaban adornadas con guirnaldas, El Sr. D.................. Semiliier......................... 50 festones y banderas. ¡ El Sr. D. Tomas G rcí.. Suelto..................... 50 A la una se presentaron ;» Emperador las au­ El Sr. D. A eustin De pres.............................. 2,0 toridades civiles y mil…</t>
  </si>
  <si>
    <t>Ga, Josef María</t>
  </si>
  <si>
    <t>Josef María Ga</t>
  </si>
  <si>
    <t>na facción, la de los servido nombrar jueces de *a juma criminal extra­ orangistas. Ellos son les que causan los alborotos, ordinaria de Manzanares á D. Josef María Ga^ate, 6 impiden que se restablezca el orden. Todos los juez de la junta criminal de León ; y á D. Josef demas son súbditos leales y pacíficos ; los orangis­ Tor…</t>
  </si>
  <si>
    <t>Ga, Juan Domingo</t>
  </si>
  <si>
    <t>Juan Domingo Ga</t>
  </si>
  <si>
    <t>an soPprche^derlo ensu situación de la hacienda de #an M ír­ eos $ derrotero de Aeapulco , envió cor tra ellos ai capitán O. J né Campi y al terieate D. Juan Domingo Ga íerrez con na iníi.ts y 40; cabillos al mando del inhguido jD Aautáo Begueyra : ect jf ¿ Jlar- n ai enemigo a a leguas de distancia en él arroyo Moledor* y i …</t>
  </si>
  <si>
    <t>Gaan, Juan</t>
  </si>
  <si>
    <t>Juan Gaan</t>
  </si>
  <si>
    <t>iro, los atacó y desa ojó sucesivamente de las-ventajosas .aburas deles cerros del Ss*r birria, déla C «s y 3 gnlques al mismo tiempo’que el teniente D. Juan Gaan dem.-tó un*::., '•©‘uovna de ello*? que se dirigís por-la'falda del.mor-te. D A rouio de y?oto,' diftmádb con 168 hombres y 2 cañones á 1\ defensa de la ciudad de C…</t>
  </si>
  <si>
    <t>Gab-aldon, Luis</t>
  </si>
  <si>
    <t>Luis Gab-aldon</t>
  </si>
  <si>
    <t>stro palacio de Madrid á ó de setiembre J k de 1811. El monte pió del colegio de Abogados, Don Josef Napoleón por la gracia de Dios y por por mano de D. Luis Gab-aldon y la constitución del estado, REI de las Espadas y de López.......................................................... 8032-8f las Indias. D. Manuel de Ramos Z*…</t>
  </si>
  <si>
    <t>Gabar, Luis</t>
  </si>
  <si>
    <t>Luis Gabar</t>
  </si>
  <si>
    <t>ica??-a y scirnoda cha fu-iU-ros ai de sus capitanes D. Francisco ele Zavala y I). June de , con una gucnüla de 40 zapadores ai mando del subteniente D. Luis Gabar4</t>
  </si>
  <si>
    <t>Gabcrt, Gaspar</t>
  </si>
  <si>
    <t>Gaspar Gabcrt</t>
  </si>
  <si>
    <t>136:3 nela á D. J*iaa Xt.zya.tz Cabrera : en el de Aragón, el sihmo emp-ea á D. Gaspar Gabcrt, la coffiandíiBcia del tercer batallón í Dan Juan P¿aznan y la sargentía mayor i D. José Odilio: en el de vo­ luntar ¿os de i a C jroiv,a, sgrcgicion de sargento mayor ú D. Domin­ go Brand-</t>
  </si>
  <si>
    <t>Gabmrn, Francisca</t>
  </si>
  <si>
    <t>Francisca Gabmrn</t>
  </si>
  <si>
    <t>o: mató á 3 so¿didcs, hizo prisioneros &amp; ios otros 3 , y los condeso con loa 20 cnx llo-s, cue y&gt; re­ sudó a! comandante de bu división ei brigadier: D. Francisca Gabmrn. — En "préñalo de estos y otros servicios el general Sarfiocucks le ha. í'oi:fcridí.s el grado de subteniente. Eí comandante general interino del sexto ex&amp;ci…</t>
  </si>
  <si>
    <t>Gabriel</t>
  </si>
  <si>
    <t>frontera D. Gabriel .parragá# y D.'• Cirios Gutiérrez, ,y el cadete:.de -las.tropas veteranas del Nuevo Santander D. Manuel Rosales. El cuartel maestre general de este exército. teniente coronel D Ra­ món Diaz</t>
  </si>
  <si>
    <t>de la Suiza. drid, 1° de infantería de línea. González S.aez {D. Julián), capitán de la milicia Mena (D. Josef Fausto de). cívica de Madrid. Mellets (D. Gabriel), capitán agregado al estada González de Villalaz (D. Martín), alcalde de mayor de la plaza de Madrid, y de la milicianuestra real casa y corte. cívica de esta capita…</t>
  </si>
  <si>
    <t>isión de hacer los gadineros que sus cenizas al lado dé las del célebre D. Ventura alli teni.u SS. AA. el príncipe de Astúrias é infan­ Rodríguez. te D. Gabriel, y después la de disponer y cons­ truir la casa de familia de SS. AA. En todas estas obras manifestó suma facilidad y gusto arquitectó­ AVISO. nico, en lo subl&lt;me, en…</t>
  </si>
  <si>
    <t>Gabriel'Martí</t>
  </si>
  <si>
    <t>teras de Rio Verde, agregada al mis­ mo cuerno, al del teniente D. Manuel Ortiz de Zarate, y 2 escua­ dro íes de E-'pí.ñay México con sus comandantes D. Gabriel'Martí­ nez y D. Benito Asíudillo, dando timhi3?¿ tiempo para que se sitúa-, se y temase posición el exército al abrigo de una pequeña colina,</t>
  </si>
  <si>
    <t>Gacapaz, Diego</t>
  </si>
  <si>
    <t>Diego Gacapaz</t>
  </si>
  <si>
    <t>sus opiniones en Mérida; á D. Ramón de Salas, r.ctual prefecto de quanto.aí tiempo en que el Rei badexado de estar Guadalaxara, de la de Toledo, y á D. Diego Gacapaz para gobernar el timón del estado; pero, co­ llard, intendente de Toledo , de la de Gnadalaxamo quiera, el eximen de todos estos pormenores ra. Con la misma fech…</t>
  </si>
  <si>
    <t>Gacta</t>
  </si>
  <si>
    <t>ios enemigos, regimiento ha sido destruido enteramente. Los ge­ ha vuelto á cruzar coa su esquadrilia delante d« nerales Houghton y sir W. Miers y el coronel Gacta. Duckworth han sido muertos, y heridos los ge­ nerales Colé y Stuari; el coronel Collins ha per­ IMPERIO FRANCES. dido una pierna. Otros muchos oficiales han sido …</t>
  </si>
  <si>
    <t>Gadea, Victoria</t>
  </si>
  <si>
    <t>Victoria Gadea</t>
  </si>
  <si>
    <t>.............. 10200 Doña Rafaela Ortiz de Rosas, mar­ D. Domingo de Arangoiti............. 8505 quesa del Socorro......................... 10849 32§ Doña Victoria Gadea.................... 15075 21 Doña Dorotea Macdonell............. 773 2f D. Juan de Montoya..................... 121 JO D. Francisco Xavier Martínez Re­ D. Ju…</t>
  </si>
  <si>
    <t>Gagarin, Sergejesvera</t>
  </si>
  <si>
    <t>Sergejesvera Gagarin</t>
  </si>
  <si>
    <t>ro días y una hora ca­ bales después de verificado. La nnicia vino por Pctersbnrgo 8 de marzo. un parte telegráfico que rraxo el gefe de esquadron La princesa Sergejesvera Gagarin, que ha sido RobeIJeuu, primer edecán del general Desbureaux, educada en el instituto de la orden de Sta. Catali­ comandante de la quiita división …</t>
  </si>
  <si>
    <t>Gaiiano</t>
  </si>
  <si>
    <t>os han impedido la rapidez de esta operación como deseaba ; pero en vista del oficio de V. E., su fecha ap del pasado., que acabo de reci­ bir por el teniente coronel Gaiiano , redoblo mis esfuerzos, y arrostro das dificultades para pasar con mas prontitud. Incluyo á V. E. las adjuntas copias de los dos partes que acabo de re…</t>
  </si>
  <si>
    <t>GaÍindo, Pedro Alcántara</t>
  </si>
  <si>
    <t>Pedro Alcántara GaÍindo</t>
  </si>
  <si>
    <t>nes segundes á D. José Abifezm, D. Manuel Navarro, I), Vicente jdferde? j I?. Rodrigo Flores Picón: (esencias á D. Juan B *yona O. Mariano Caballé**, D. Pedro Alcántara GaÍindo, O. Juan Kamen González&gt; D. Miguel Marín, D. Francisco Castillo, Don Manuel Romeio, D. Pedro Fülol, D. Ignacio José Fo?n&amp;t, Don José María Laroza , D.…</t>
  </si>
  <si>
    <t>Gail</t>
  </si>
  <si>
    <t>servicio de Austria, tito......................... ....................................... 19000 y el capitán Pechari, que iban de Víena á París: el príncipe Gail.tzin; el conde Sawurski y el con­ Mr. Forsterpropone otros dosimpnestos, aun­ de Schunwaloíf, que veniati de Petersburgo, 6 iban que no esperasacar de ellosgrandes …</t>
  </si>
  <si>
    <t>GaÍoso, Fidel</t>
  </si>
  <si>
    <t>Fidel GaÍoso</t>
  </si>
  <si>
    <t>D. José D:az y D P^dro Peynador; subtenenc as á D. Sebastian Salado, D: Felipe Treus,D Santos San­ martín, D. José Mosco30, D. José Ruiz Rodríguez , D. Fidel GaÍoso, D. Francisco Bnrmudez, D. Angel Fraile, D. Juan AlJaraira, í. Fa-no' Varela, D. Toma?/ Rea!, D. Pedro Benito Gárrulo, Don Faínian Blanco, D. Filioe Uíloa, D. Lea…</t>
  </si>
  <si>
    <t>GaíR, Nicasio</t>
  </si>
  <si>
    <t>Nicasio GaíR</t>
  </si>
  <si>
    <t>Gaceta de Madrid n.º 217</t>
  </si>
  <si>
    <t>nistro de Negocios ecle­ afios que no he visto fabricarlos. siásticos , nombramos P. ( Pues quiado vjstois fabricarlos ? Para el curato de Valfana* i D. Nicasio GaíR, Hace core* de 30 años que yo Jos fabricaba, jr «áa, presbítero. entonces hrb.ia un pr«c¡p uniforme, Para el de Saotíllana i p. Jalean Martínez AtcO« P, * 1 Quin…</t>
  </si>
  <si>
    <t>Gajate, Silvestre</t>
  </si>
  <si>
    <t>Silvestre Gajate</t>
  </si>
  <si>
    <t>para esta coadjutoría á D. Miguel de IñnrPara la vicaría de Barba de Puerco, vacante ralegui * con ia asignación de 3333 rs. y n mrs. por ascenso de D. Silvestre Gajate á ración de la impuesta sobre los feutos de dicha rectoría. misma catedral, al ex-regular D. Marcelino Alonso. Nuestro ministro de Negocios eclesiásticos que­…</t>
  </si>
  <si>
    <t>Galan, Luis</t>
  </si>
  <si>
    <t>Luis Galan</t>
  </si>
  <si>
    <t>. Fran­ cisco Col jantes , 40. D. Rafael Cortes , 10. D. Juan José Zambrano, 10. El barón de Bastrop, 100. D. Pedro Giral, 50. D. Manuel Delgado, 10. D. Luis Galan, 10. D. Félix Mencliaca, 50. D. Manuel Nunez, 10. Varios individuos 144 y 6 rs. Los vecinos de la misión de la Espada, 24. El cura D. José Clemente Ároclia , 50. S…</t>
  </si>
  <si>
    <t>Galarraga, Tomas</t>
  </si>
  <si>
    <t>Tomas Galarraga</t>
  </si>
  <si>
    <t>e S. Pedro, io fas feria de T.obera , í-Enn. D. Pedro A!varez , ir.fanfnín. drl Príncipe, ídem. T). 3 aan Vare*a , primóse ¡fe Sevilla, subí v'iefee. D. Tomas Galarraga, de Caofabría, i fue. Don José Aguib? , bifai'tcríc-, de "Libara , ideroc D. SiuaDa S-ibiiack, primero de ñu&gt;'ce*G.^á , Ídem. 1). Juc.-ato M? runda , i-danteD…</t>
  </si>
  <si>
    <t>Galarza, Tomas</t>
  </si>
  <si>
    <t>Tomas Galarza</t>
  </si>
  <si>
    <t>de Barrameda se aumentará una quinta com­ guran nuestras comunicaciones con el continente. pañía. Para capitán de esta compañía está nombrado ESPAÑA. D. Tomas Galarza ; para teniente D. Cristóbal Muñoz, y para subteniente D. Josef Ontoria. Madrid 13 de marzo. art. vi. Eo la villa de Chipiona se formarán dos compañías: Extract…</t>
  </si>
  <si>
    <t>Galbatt, Jorge</t>
  </si>
  <si>
    <t>Jorge Galbatt</t>
  </si>
  <si>
    <t>63 17 tado y decretamos lo siguiente: 1 D. Francisco Codoni..................... ..... 54i 27 articulo i. „Se declara acreedores del estado por ré­ 2 D. Jorge Galbatt, por su apoderado daos de vales reales á D. Es'éban Corones Alverols........ 3249 Recibos. Re.' Mrs. 2 D. Alonso Contreras............................ 24187 5 D…</t>
  </si>
  <si>
    <t>Galdido, José Marquina</t>
  </si>
  <si>
    <t>José Marquina Galdido</t>
  </si>
  <si>
    <t>de todas las armas de fuego que tengan en sus talleres : y aun añaden que exige también que le den parte de los que manden fa­ bricarlas. lí i muerto D. José Marquina Galdido. Sigue el rigor en la exacción de toda clase de contribuciones á</t>
  </si>
  <si>
    <t>Galeazo, Pedro María</t>
  </si>
  <si>
    <t>Pedro María Galeazo</t>
  </si>
  <si>
    <t>ompañía. Urquiio.” art. ii. En la milicia cívica de Alcalá de Guadaira queda igualmente promovido Extracto de las minutas de la secretaría de Estado. D. Pedro María Galeazo á teniente de la pri­ Eu nuestro palacio de Madrid ¿ xx de setiem­ mera compañía en la vacante de D. Francisco Sán­ bre de i8ir. chez. Don Josef Napoleón …</t>
  </si>
  <si>
    <t>Galiano, Antonio Andrés</t>
  </si>
  <si>
    <t>Antonio Andrés Galiano</t>
  </si>
  <si>
    <t>edan promovidos los iudividaos que siguen : siguientes: Capitanes. Tercer batallón. D. Antonio de Várgas._ D. Francisco Lefebvre, ayudante segundo, á D. Antonio Andrés Galiano. «apitan de la segunda compañía. D. Manuel Notario. D. Francisco Sinz Ruiz, teniente, á capitán D. Pedro Miguel de tuque. de la tercera compañía. Tenie…</t>
  </si>
  <si>
    <t>Galindo, Josef</t>
  </si>
  <si>
    <t>Josef Galindo</t>
  </si>
  <si>
    <t>en do D. Andrés del Corral. este puerto tienen que ir con cuidado para no D. Josef Rodríguez. tropezar con el enemigo. Subtenientes. IMPERIO FRANCES. D. Josef Galindo. D. Antonio María Escalera. Corfú. 24 de enero. D. Pablo del Corral. Las fragatas Paulina y la Témis han llegado i art. iv. En la villa de Castilleja de la Cues…</t>
  </si>
  <si>
    <t>Galindo, Manuel</t>
  </si>
  <si>
    <t>Manuel Galindo</t>
  </si>
  <si>
    <t>iüa inglesa com­ D. Joaquín Peñaranda. puesta de tres fragatas y algunos boques pequeños Tenientes. de guerra. No por esto se ha interrumpido nuestra D. Manuel Galindo. navegación; pero las embarcaciones que salen do D. Andrés del Corral. este puerto tienen que ir con cuidado para no D. Josef Rodríguez. tropezar con el enemig…</t>
  </si>
  <si>
    <t>Galitain, Miguel Andrecvitsch</t>
  </si>
  <si>
    <t>Miguel Andrecvitsch Galitain</t>
  </si>
  <si>
    <t>lamentos , y AUSTRIA. decidió que se enviase al gefe del gobierno copia de ellos, y de la acra constitucional, legalizada por Vierta 8 de octubre. el príncipe Miguel Andrecvitsch Galitain, acom­ Se han descubierto los reos que han cometido pañada de una carta. el robo de las alhajas y dinero depositados en la po­ En la misma …</t>
  </si>
  <si>
    <t>Gall</t>
  </si>
  <si>
    <t>mbro corresponsal de la quar- po de la vista y fallo del asunto. ta clase del instituto de Francia. art. xv. La tercera parte de la multa se apli­ El doctor Gall abrirá el miércoles 20 de este cará á la parte contraría del que introduxo el re­ mes un curso de fisiología del celebro, en el que curso, pagando este ademas todas …</t>
  </si>
  <si>
    <t>Galláno, Gefónimo</t>
  </si>
  <si>
    <t>Gefónimo Galláno</t>
  </si>
  <si>
    <t>errillas, mandadas por el teniente coronel D. Francisco Teó­ filo de Herck, sargento mayor dél batallón de ¿ranáderos de Cmarías, y el de igual clase D. Gefónimo Galláno, cantan del batallón de voluntarios de Valencia, fue Herido este último, uno y otro sé portaren con la mayor bizarría, como eh otras ocasiones; y el Consejo …</t>
  </si>
  <si>
    <t>Gallardo, Josef</t>
  </si>
  <si>
    <t>Josef Gallardo</t>
  </si>
  <si>
    <t>da por S. M. Subtenientes, cu esta capital eu virtud del decreto de 28 de agüi­ D. Joief Saavedra. to último. Presidió este acto el gefe superior Don D. Josef Gallardo. Juan María de Retz, mayor coronel, cabañero de D. Gabriel Priego. la Orden Real de España, acompañado del coman­ art. ni. fcn ia villa de Espíe!, de la misma …</t>
  </si>
  <si>
    <t>Gallarte, Pedegrin</t>
  </si>
  <si>
    <t>Pedegrin Gallarte</t>
  </si>
  <si>
    <t>1147</t>
  </si>
  <si>
    <t>encuentro, le van siguiendo el alcance. Cuartel general de Calateyuá 30 de se­ tiembre tú 1811. —José Duran. Extracto de los partes dirigidos por el capitán Pedegrin Gallarte del falucho corsario el Sí». Cristo del Grao , al capitán de fragata D. José Julián , mayor general de marina. — l.° Ei rim 4 á las 0 de la m¿ ñaña .Uej…</t>
  </si>
  <si>
    <t>Gallego, Francisco Antonio</t>
  </si>
  <si>
    <t>Francisco Antonio Gallego</t>
  </si>
  <si>
    <t>........ 2100 por........................................... ................................... 2200 D. Josef Rodríguez Valeázar, natural de Toledo, D. Francisco Antonio Gallego, natural de Urda, donde reside , por..................................................... 2 loo en la .Mancha, residente en Toledo, por.......... . …</t>
  </si>
  <si>
    <t>Gallego, Juan</t>
  </si>
  <si>
    <t>Juan Gallego</t>
  </si>
  <si>
    <t>D. Pedro de las Monjas, lego, natural de Valda- cia de Orense, residente en su pueblo, por........ 22CQ raeete, provincia de Toledo,- residente en su D. Juan Gallego, natural de Madrid, donde resi­ pueblo, por................................................................ 1100 de, por.........................................…</t>
  </si>
  <si>
    <t>Gallego, Morales</t>
  </si>
  <si>
    <t>Morales Gallego</t>
  </si>
  <si>
    <t>impute á V. M. una coodescenden»eiouarios públicos, que después de haber salido «cia criminal.” »i del país ocupado por el enemigo, han sido reía— El diputado Morales Gallego , hablando de lo «legrados en sus ecnpieos, o ascendido á otros ma- mismo, y particularmente de los consejeros de (1) Aludirá al segundo secretario 4c l…</t>
  </si>
  <si>
    <t>Gallego, Roque</t>
  </si>
  <si>
    <t>Roque Gallego</t>
  </si>
  <si>
    <t>hombres y 2 cabedlos muertos, y im maletón con. el correo que conducían ¿í Málaga para ei mariscal Souit, cue ha puesto en mi peder. * El subteniente D. Roque Gallego, comandante de la de Cortés, ha presentado en este cuartel general 12 prisioneros, que con tu par­ tida de 40 hombres montados hizo el o del corriente en la bat…</t>
  </si>
  <si>
    <t>Galo, Francisco</t>
  </si>
  <si>
    <t>Francisco Galo</t>
  </si>
  <si>
    <t>............................. 347 5C..3I D. Francisco Gómez Xara......................... 637 10..30 Que á una suma importan ciento veinte y seis mil D. Francisco Galo ('arrasen........................ 23032..21 novecientos reates de vellón. D. Rodrigo Zorrilla...................................... 53714.. 9 art. íi. Se entre…</t>
  </si>
  <si>
    <t>Galvez, Manuel</t>
  </si>
  <si>
    <t>Manuel Galvez</t>
  </si>
  <si>
    <t>D. Josef Moraleda Almaiua , id., residen­ D. Juan de Pablo Puerta , ex-mínimo, por 2209 te en Almagro, por..................................... 2200 D. Manuel Galvez, ex-hospitalario de E&gt;. Eusebio Martin Albacete , id., residen­ S. Juan de Dios , residente en Madrid, te en Consuegra , por................................... 2…</t>
  </si>
  <si>
    <t>Gamaira, Juan Bíanuel</t>
  </si>
  <si>
    <t>Juan Bíanuel Gamaira</t>
  </si>
  <si>
    <t>855</t>
  </si>
  <si>
    <t>niente coronel del mismo regimiento D. Marra ei Aianaño Cubañas , y la tercera en la falda del cerro A-ruai, al ca go del coman­ dante- de- escuadrón D. Juan Bíanuel Gamaira. Ei dia 11 tuve aviso do’‘que los’enemigos dirigían su rumbo por el' camino- de Ibieni á caer sobre ia división de Cabañas. En aquella misma noche hizo m…</t>
  </si>
  <si>
    <t>Gamarra, Antonio</t>
  </si>
  <si>
    <t>Antonio Gamarra</t>
  </si>
  <si>
    <t>das, cargada de 689 barriles de aceite ; y el Segundo batallón. tercero la bombardera el Adriático, de 80 tonela­ das , cargada de vinos y de madera. D. Antonio Gamarra, subteniente, á teniente de la quinta compañía. Roma 21 de junio. D. Francisco Echarri, Sargento primero , á subte­ Se continúan cada dia con mayor actividad …</t>
  </si>
  <si>
    <t>Gámbaro, E-teban</t>
  </si>
  <si>
    <t>E-teban Gámbaro</t>
  </si>
  <si>
    <t>plaza,oficiales y demás individuos' agregados á‘ odia, 1 427; y 7 rs. I). Salomen Can ion , 50. !). Francisco Santa na, 20. D.vlüan de Irizarri, lOR. D. E-teban Gámbaro , I d?. Juan Gregorio Cespedes, 32 y 4 rs. Leonor Bul ron , 50. Los ge íes , oficiales v tropa del regimiento de caballería Ue mi­ licias disciplinadas , 747 …</t>
  </si>
  <si>
    <t>Gamber</t>
  </si>
  <si>
    <t>Gaceta de Madrid n.º 362</t>
  </si>
  <si>
    <t>473</t>
  </si>
  <si>
    <t>ndante de la plaza y í y granadas. EL electo principal de este movimiento otros machos oficiales. repentino y sabiamente combinado fue quedar se­ „E1 general Gamber pasó el rio por otro paraparado enteramente el cuerpo de las tropas otoma­ ge; se apodetó de Silistria por asalto; cogió toda nas, atrincherado en la orilla izqui…</t>
  </si>
  <si>
    <t>Gamboa, Juan Josef</t>
  </si>
  <si>
    <t>Juan Josef Gamboa</t>
  </si>
  <si>
    <t>j 1 Doña Alfonsa Chavarría.................... 185 17 I D. Josef Jesús García, por su apo­ 2 D. Andrés Tarancon........................... 361 derado D. Juan Josef Gamboa..... 361 6 „ Deña Plácida de "Urquijo................... 2°7f 2J 6 D. Ramón Delgado, por su apode­ 2 D. Francisco Calleja...................... 180; rado D.…</t>
  </si>
  <si>
    <t>Gameto, Antonio</t>
  </si>
  <si>
    <t>Antonio Gameto</t>
  </si>
  <si>
    <t>to de la villa :le R.-*n, va­ de la villa de Moron. cante por muerte de D. f rancisco López García , i Para ti curato de la villa de Almonte, vacante D. Antonio Gameto, presbítero, ex-regular del óror moerte de D. Joan Millati, á D. Pedro Josef den de S. Francisco. E opez, presbítero, ex-regular del orden de San Para el de la…</t>
  </si>
  <si>
    <t>Gamones, Josef Diaz</t>
  </si>
  <si>
    <t>Josef Diaz Gamones</t>
  </si>
  <si>
    <t>ra nes , y en tiempos diversos. Yo tengo para mí que ayudante á D. Josef Quirós, y para abanderado hasta en esto influye el clima como en otras mu­ á D. Josef Diaz Gamones. chas cosas, y me parece que seria una cuestión dig­ art. ni. Asimismo nombramos para capitanes na de ser tratada con el pulso que merece, averi­ y oficial…</t>
  </si>
  <si>
    <t>GánapbirH</t>
  </si>
  <si>
    <t>o y mientras tanto la división ligrra y la brigada del brigadier general Pack á las órdenes del general Ersisine volvían sobre su derecha, y el mayor general GánapbirH con la s. je­ ta división apoyaba- las tropas ligeras que atacaban de frente al ene­ migo : estas tropas estaban apoyadas por la caballería , y la puniera y qu…</t>
  </si>
  <si>
    <t>Gancedo, Julián</t>
  </si>
  <si>
    <t>Julián Gancedo</t>
  </si>
  <si>
    <t>mero, á sub­ co de orden del ^celestísimo señor prefecto d? teniente de la sexta compañía en reemplazo de esta provincia. Madrid 11 de marzo de 1811. D. Julián Gancedo. 'Tercer batallón. D. Fulgencio de la Riva Agüero, capitán, i Continuación de la análisis de las memorias de Idayudante primero en la vacante del conde de Cau-…</t>
  </si>
  <si>
    <t>Gándara, Bernardo</t>
  </si>
  <si>
    <t>Bernardo Gándara</t>
  </si>
  <si>
    <t>e Urquijo.” or muerte de D. Agustín Borrego * al presbítero Í &gt;. Sebastian Gonzalo. Para el beneficio de S. Cristóbal * vacante por TBATXOS. mnertede D. Bernardo Gándara , al ex-premostra- En el del Príncipe, á las siete de la noche, se re­ tense D. Francisco Sánchez. presentará por la compañía española la ópera en dos Para e…</t>
  </si>
  <si>
    <t>Ganuza, José Nicolás López</t>
  </si>
  <si>
    <t>José Nicolás López Ganuza</t>
  </si>
  <si>
    <t>icular de varios individuos de su compañía, 253. Doña Rosalía Peñalver, por el prest de 5 soldados en 4 meses, 180. Don Francisco José Granado , 103. D. José Nicolás López Ganuza , por 10 meses de su oferta de 8 pesos en cada uno, 80. El teniente coronel D. Igna­ cio Acosté, por el prest de un soldado en 2 nieses , 18.. Los h…</t>
  </si>
  <si>
    <t>Ganzalez, Pedro</t>
  </si>
  <si>
    <t>Pedro Ganzalez</t>
  </si>
  <si>
    <t>00. Di José M uñoz , 100. D. Antonio Ruiz , 100. D. Nicolás Molleda , 100. D. José González 5 100. D. Francisco Fernandez, 100. D. Antonio Arrí, 100, D. Pedro Ganzalez , 100. D. Manuel Sánchez Cal­ derón, 100. D. Agustín del Piélago, 100. D. Francisco Rodríguez de los Ríos, 100. I). José Gutiérrez y D. Pedro Hidalgo, 100. D. …</t>
  </si>
  <si>
    <t>Gaona, Ventura</t>
  </si>
  <si>
    <t>Ventura Gaona</t>
  </si>
  <si>
    <t>ino Andrés á teúiénte de la tercera para la defensa y conservación de las libertades de compañía. aquella ilustre iglesia galicana, laqaai, sin apar­ D Ventura Gaona á subteniente de la misma. tarse jamas de la buena y sana dóctrina, y soste­ art. vi. En el batallón del Puerto de Sunta niendo siempre con constancia y energía …</t>
  </si>
  <si>
    <t>Gar</t>
  </si>
  <si>
    <t>an la vuelta de Drouet : Ciaparede está aúnen Guarda.En el dia hay en estos hospitales i$oq en­ fermas y heridos: en el mes pasado murieron 500. — El general Gar ianne saldrá de aquí para Bayona dentro de tres dias j debe pre­ sentarse al gobernador de aquel departamento, quien tiene la comi­ sión de noticiarle su destino, qu…</t>
  </si>
  <si>
    <t>Gar, Calixto</t>
  </si>
  <si>
    <t>Calixto Gar</t>
  </si>
  <si>
    <t>a ligera de voluntarios de Mérida; los empleos de ayudante á D. José Florez Galan y D. Juan Sánchez del Pezo; los de capitán segundo á D. Juan Vivas, D. Calixto Gar­ cía Buj.anda, D. Liocente^Argüello, y D. Juan Antonio Tostado; los deteniente á D. Ignacio Perez, D. Vicente Descalz,D. Juan Hi­ dalgo Chacón, D. José Carrasco, …</t>
  </si>
  <si>
    <t>Gar, José</t>
  </si>
  <si>
    <t>José Gar</t>
  </si>
  <si>
    <t>D. Francisco Gramari, D. Felipe Caballero,D. Vicente Mosquera , D. Anselmo UUoa y á D. M .miel Parta; subtenencias á D. José Gonzauz, D. Temas Adran, D. José Gar­ cía, D. Silvestre Ibarra, I). Cayetano Várela, D. José -Cernadas, y á D. Manuel Sánchez Mayoral; sugbtenencia- de ~~ a Don Ignacio Parada.</t>
  </si>
  <si>
    <t>Garasa, Juan</t>
  </si>
  <si>
    <t>Juan Garasa</t>
  </si>
  <si>
    <t>les, D. Nerbsrto Flo­ res, D. Fernando dei R:o, D. Ramón Pi aillos y D. Antonio Pala­ cios; y subtenencias á D. Cristóbal Julián, D. Tomas de Torres, D. Juan Garasa, D. Lorenzo Martínez, D. José Ortiz, D. Juan B-AIido, y D. Calixto de Rozas. En el batallón de infantería ligera de voluntarios de Mérida; los empleos de ayudante…</t>
  </si>
  <si>
    <t>Garbo, Pedro</t>
  </si>
  <si>
    <t>Pedro Garbo</t>
  </si>
  <si>
    <t>to segundo José (Cordoni, y al soldado José Sisteras. F.i de Almugavares al teniente D. Eubaldo Serra, al sargento pri­ mero Salvador Masramon , y al soldado Pedro Garbo. 7 yo recomiendo á V. E. á los capitanes de las compañías de ti*</t>
  </si>
  <si>
    <t>Garbo, Salvio</t>
  </si>
  <si>
    <t>Salvio Garbo</t>
  </si>
  <si>
    <t>cente Ta­ layera, 100. D. Buenaventura Oliver y Barquez , 100. D. Manuel Ansel­ mo López Carta, 100. D. Cristóbal Rieart, 100. D. Andrés Sauri , 100. D. Salvio Garbo y compañía, 100. D. José de la Rosa Manzanilla, 100. D. Francisco de Estrada, 100. D. Juan Brioso , 50. D. Cenon Sastre, 50. Alexo Fncalada , 50. D. Juan Gonzále…</t>
  </si>
  <si>
    <t>Garcerán, Francisco</t>
  </si>
  <si>
    <t>Francisco Garcerán</t>
  </si>
  <si>
    <t>igiene militar, capaz de ponerse desde luego en ejecu­ ción en nuestros exéroitos. — Las disertaciones se remitirán ai secre­ tario déla academia Dr. D. Francisco Garcerán. La academia militar de cadetes de caballería, establecida en ¡a dudad de Viilena, y dirigida por el teniente coronel D. Cristóbal Butrón , celebró exámene…</t>
  </si>
  <si>
    <t>Garces, Raraon</t>
  </si>
  <si>
    <t>Raraon Garces</t>
  </si>
  <si>
    <t>s , teniente. D. Mariano Hidalgo. D. Valentín H í man­ de z , alférez. D Ignacio Chaves, capitán honorario. D. J osó A ¡íorío Na vaca , alférez. Lio. D. Raraon Garces. II. D. Mamirl Car­ ees. O. ■ Antonio Nieva. D. Gerónimo BaÜeza. D Joaquín Xiinanez. D. Teodoro C3iab;U. D. Francisco Pastor. D. José Mari* Canal. D. Vicente. F…</t>
  </si>
  <si>
    <t>García</t>
  </si>
  <si>
    <t>batalla no ha sido msia m.yor de Mend'2'ibal. Hai quien asfeura haber qne de 140 hombres entre muertos y heridos; los reconocido enere los muertos al general García y á primeros no pas«n de 30 , y la mayor parte de loa dos brigadieres, y á mu h« ohci-tes de sup rior últimos volverán pronto á sus cuerpos. graduación. Las repet…</t>
  </si>
  <si>
    <t>no Macqueri, y para el ca­ ahora muchas veces, aun oficiales y generales. En pitán agregado Lamotte, del quinto cuerpo, oficial este caso se halla el general García , que fue co­ que lleva 35 años de servicio. gido en el Ferrol, donde ptestó juramento de fi­ ,, Las solicitudes pertenecientes á la división delidad. del gen-ral…</t>
  </si>
  <si>
    <t>650</t>
  </si>
  <si>
    <t>adores de ios bienes llamados nacionales acaban de recibir orden oara que administren todas ír¿s piezas eclesiásticas vacantes, Lnguidar. _ . , , y¡i general García, heeho prísióneío en Badajoz, pasó por Mi#.</t>
  </si>
  <si>
    <t>s dos pa­ dríguez del Castillo para formar el consejo de pre­ recen reprehensibles por su tenacidad en nombrar fectura de la prefectura de Toledo : á D. García diontadoi. A v oor ' a1 t emoeñarst ■ en oue * se- han de re- Gómez Xara, D« Manuel García de la Piada y unir eD crecido número, á pesar de la proclama D. Pedro María …</t>
  </si>
  <si>
    <t>1102</t>
  </si>
  <si>
    <t>1102 por la caballería , al icando del capitán García, del alfar* z D. Ma­ riano Barrera y del ayudante de-Anárade D José M tría P^ez, que Iob batió y precipitó por los bambeas , íom ¿niales algunas porcio­ nes de ganado y otros efectos. Ei mi</t>
  </si>
  <si>
    <t>García, Andrés</t>
  </si>
  <si>
    <t>Andrés García</t>
  </si>
  <si>
    <t>ncisco del Campo Isla , 34. IX José de San Juan , 200. D. Miguel Gómez de las Barcenas, 102. D. To­ mas de lá Higuera, 17. D Bartolomé Martínez , 17. D. Andrés García, 25. IX Francisco Villegas, 17. IX Juan Sánchez, 17. IX Antonio Cosío, 20.1). Ma­ nuel de Celis , 20. D. Joaquín Muza, 34. D. Valentín González, 6. D. Enri­ que…</t>
  </si>
  <si>
    <t>García, Antonia</t>
  </si>
  <si>
    <t>Antonia García</t>
  </si>
  <si>
    <t>. El Sr. D. Nicolás María de Sierra, 320. Una patriota de Madrid , 40. Varios sacerdotes pobres , 800. D. Angel Gutiérrez Leal , 1000. D. A. P., 100. D. Antonia García , 100. Doña J. C. P., 500. D. .Domingo</t>
  </si>
  <si>
    <t>García, Antonio</t>
  </si>
  <si>
    <t>Antonio García</t>
  </si>
  <si>
    <t>ago Bautista por donativo de varios vecinos de Remedios y S. Loren­ zo de Chiriqui , 513. y 7 medio rs. El teniente D. Luis Paredes 50. El tenien­ te D. Antonio García , 10. D. Juan de Dios Perez, cura intetino de Pacora ,8 D. Manuel Lira , cura de Yáviza,10. (Se continuaran.) CADIZ : EN LA IMPRENTA REAL.</t>
  </si>
  <si>
    <t>Miguel Me­ ra; los de capitán segundo á D. Mariano Ó diana, D. Juan Csvallos, D. Juan Vergas, D. Manuel Melgares y D. José Morera; les de teniente i D. Antonio García , D-' Mateo Peñaranda, D. Pedro Vizcaíno. D. Tomas Rodríguez, D Pedro García, D. Frutos Bo­ ros, D. Manuel Pias ncia y D. Fado Mera; los de subteniente á D. Mar…</t>
  </si>
  <si>
    <t>García, Antonio Marcelino</t>
  </si>
  <si>
    <t>Antonio Marcelino García</t>
  </si>
  <si>
    <t>ficial segundo, 3. D, Domingo de la Fierran , oficial terc.ero, 3. D, Gaspar Alvarez , oficial quinto , 1. D. Pablo de la Guardia, oficial sexto , 3. D. Antonio Marcelino García , oficial séptimo, 1 y 4 rs. D. Juan Bautista Ríos , oficial octavo, 1. D. José Alvarez , escri­ biente primero , 1. D. Juan Manuel de Oroe , id. ¡se…</t>
  </si>
  <si>
    <t>García, Cárlos</t>
  </si>
  <si>
    <t>Cárlos García</t>
  </si>
  <si>
    <t>Para e! de Borox, vacante por muerte de Don Séptimo batallón. Antonio Montes Amarillo, á D. Félix Aragón.- D. Cárlos García, sargento primero, á subte­ Para el de Recas, vacante por mueite de Don niente de ia tercera compañía. Jo?ef Toribio CalUja, á D. Juan Josef Estéoan Yañez. Octavo batallón. Para el de S. Ju</t>
  </si>
  <si>
    <t>García, Cristo Josef</t>
  </si>
  <si>
    <t>Cristo Josef García</t>
  </si>
  <si>
    <t>ión de Melchor de Cnerda al de Cogollos, á D. Vicente I&gt;.. Nicolás Antonio Martínez al beneficio del del Castillo, cura de Daifontes. mismo pueblo, á D. Cristo1^-Josef García, cura Para el de Itravo, vacante por promoción de de Cacin. D. Josef Tomas Ruiz Morales á canongía de Mo­ Y para el de Velez de Benandalla, vacante tril…</t>
  </si>
  <si>
    <t>García, Esteban</t>
  </si>
  <si>
    <t>Esteban García</t>
  </si>
  <si>
    <t>0. En la Isla de León. — D. Manuel de Cabiedes, 10000. D. Manuel Martí­ nez Conde , 3000. D. Domingo del Rio, 2500. D. Manuel García Rodríguez, 2000. D. Esteban García é hijo , 2000. D. Francisco del Corral, 2000. I). Jo­ sé de Teran , 2000. D. Pedro de Mier y Teran , 2000, D. Manuel de la Torre, 1500. D. Antonio y D. Manuel …</t>
  </si>
  <si>
    <t>García, Félix</t>
  </si>
  <si>
    <t>Félix García</t>
  </si>
  <si>
    <t>0. D. Ramón Martínez , 100. Ron Liego de Hontoria: 100. D. Juan Asturiza , 100. D. Diego del Solar. !()0= L. Manuel Gutiérrez y D. Manuel Riaño, 100. D. Félix García , IO0. D. Pe­ dro García dejos Ríos, 100. D. Manuel Mancina, 100. D. José Perez, 100. L. Manuel Rodríguez, 100. D. José Alonso, 100. D. Marcos de los Ríos, 100. …</t>
  </si>
  <si>
    <t>García, Francisco</t>
  </si>
  <si>
    <t>Francisco García</t>
  </si>
  <si>
    <t>Senderos : ayudantía á D Jo -é Otero ; tenencias á D. Joan Rodríguez, D. Alfonso. Tercero, D. Tomas Manzanar-?, D. Jocó Yszquez Rdova, D. Juan Amar, D. Francisco García, Dan Mu» tía Arrute ? D Juan García, D. Antonio Salgado. D. Pascual Be caria, v ÍJ. José Y^zquez Yarela; subtenencias á D. Manuel de los Ríos, D. Pío Tona, D.…</t>
  </si>
  <si>
    <t>de subteniente á D. Bernardo Cohniro, D J mn La*o Policarpo, D. Juan Corvera, D. Manuel T-boada, D. Nicolás Pardo, D. Juan Mosquera. D. Manuel Varo, D. Francisco García, D. Ojmingo de Torres y D. Andrés Lapido; el de subteniente de bandera á O. Santiago Esteban. En el batallón de isnfantería ligera de volúntanos de Navarras l…</t>
  </si>
  <si>
    <t>e por promo­ * de D. Antonio Poza al de Miño, al ex-premos- ción de D. Pedro Agnado a! de Alconabar, al ex­ tratense D. Raimundo Míreles. franciscano D. Francisco García. Para el de la Losilla , vacante por promoción Para el de Aldea el Pozo y Valdegeña su ane­ de D. Manuel Bahun, al ex-dominico D. Agustín xo, vacante por mue…</t>
  </si>
  <si>
    <t>García, Gaspar</t>
  </si>
  <si>
    <t>Gaspar García</t>
  </si>
  <si>
    <t>i. uSe declaran acreedores del es­ Doña Rosa Simón Pontero............. tado á 69 5 23 D. F rancisco Amorós.................... . 12003 28 Rs. de vn. D. Gaspar García........................... 3500 D. Luis Gabaldon y López por 270 a5f D. Domingo Antonio García........ 400 D. Felipe Alvarez.......................... 541 17 D.…</t>
  </si>
  <si>
    <t>García, Gerónimo</t>
  </si>
  <si>
    <t>Gerónimo García</t>
  </si>
  <si>
    <t>uricio Rodríguez, 12. D. Alexmidro del Campo, 12. D. Antonio Montero, 12. D. Juan Flota y compañía, 12 D. Antonio Guerra, 10. D. Rafael Castilla, 10. D. Gerónimo García, 10. D. Jacinto Perora, 10. D. José Pallan, 10. D. Juan Cabrera, 10. D. Juan Iriarte , 10. D. Agustín Costa, 10. D. Agustín Riera, 10. D Rafael Tomas, 10. D. …</t>
  </si>
  <si>
    <t>García, Gerónimo Martines</t>
  </si>
  <si>
    <t>Gerónimo Martines García</t>
  </si>
  <si>
    <t>a. viuda Boom , 200» P. Juan ; Carrocín, 000. D. Isidoro de; Bayo, ,500. D. Fulgencio Manchón, 400. L&gt;. Mi­ guel Pelegi i, 200. Viuda de-Nnndjn, 500. D. Gerónimo Martines García., 200. ♦IX llamón. Larrue , 50Q. IX José Gaona, 500.1). Manuel de-Jes?»* Fernandez# 30-'). 1). Gregorio Sania Cruz , 090. D. Manuel Martínez Sta. Col…</t>
  </si>
  <si>
    <t>García, Gregorio</t>
  </si>
  <si>
    <t>Gregorio García</t>
  </si>
  <si>
    <t>lico su delito. Quarto batallón. D. Julián Saenz, subteniente, á teniente de la PLAZA DE MADRID. BOLSA. sexta compañía. DIA '30 DI ACOSTO DB l 81 I . D. Gregorio García, subteniente, á teniente de la tercera compañía. Efectos públicos. Vales reales.......................................... , 94 n. Quinto batallón. Cédulas-hip…</t>
  </si>
  <si>
    <t>García, Hilarlo</t>
  </si>
  <si>
    <t>Hilarlo García</t>
  </si>
  <si>
    <t>de Álava y al «x-mercenario D. Hilarlo García cial, deslumbrando de este modo £ los incautes Verdugo. . , - habitantes de los pueblofc, y auxiliado de sus jus­ Para «1 beneficio de la iglesia de Mondejar, ticias dirigía 2 numerosas quadrill</t>
  </si>
  <si>
    <t>García, José</t>
  </si>
  <si>
    <t>José García</t>
  </si>
  <si>
    <t>Francisca Peralta , 6. Pedro Saboila, 4. X&gt; Ramón Totosans, 4. D. Juan Perez, 4. D. Valerio Grau , á D. Juan de Dios \randa, 8. D. Esteban Borom, 3. D. José García, 2. D Pedro Ferrer , 2. D. Domingo Marera , 1. D. José María Suarez , 2. Antonio Balao, 8. D. Francisco Armario, 4 D. Manuel Malavear , 2. D. José Badia,2.— Hacend…</t>
  </si>
  <si>
    <t>D. Jo?é Carrasco, D. Nmroírío Cor­ vino, D. Biitoiomé Wüitt, D. José Wüitt, D. Manuel Vago, Don Simón d&amp; la Greta, D. Ramón Lanctoy, D. José Andalo, D. José García, D. Francisco Gómez, B. Antonio Díaz, D. Juan Sánchez y D. Gregorio Vázquez; y subtenencias á D. Francisco Rafael, D. Manuel Taquinet©, D. íhdegria Msliana , D. Po…</t>
  </si>
  <si>
    <t>ompañías al córale de X i ni era, D. Francisco Xavier González y D. Carlos Malagamba ; ayudantía á D. Diego Rodrigues; tenencias ú D. Juan Bsojkmcda, D. José García de! jl rdo, L). u*.sé ivieicuor García y D. Luis Escasi; y subtenencias á D. Rafael R osead e 5 Don Manuel Vazpiez, D. Juan Márquez y D. Marcos B¿v¿.</t>
  </si>
  <si>
    <t>o de Regencia se ha servido conferir en e! regimiento de infantería primero de Sahoya, compañías á D. Esteban Sayró, y D. Vicente Sancho: ayudantía á D. José García: tenencias á D. Ji'sé Lopes y Angulo , D. Jacobo López, B. Miguel Salazar, D. Temas Moreno, D. Juan Julián da Tomás, D. Isidro Rebollo,. D. Saturnino García, D. A…</t>
  </si>
  <si>
    <t>García, José Antonio</t>
  </si>
  <si>
    <t>José Antonio García</t>
  </si>
  <si>
    <t>tán D. Juan Bautista Casas, 360. Teniente D. Miguel Angel de la Garza, 100. La tropa , 573.:—Tercera id. Capitán D. Pedro López Prieto, 100. Teniente D. José Antonio García, 35. Alférez D. José Antonio Cuellar, 3o. La tropa, 465.— Quarta id. Capitán D. Cayetano Quintero, 1500. Alférez D. Andrés Saldaua , 50. La tropa, 495. — …</t>
  </si>
  <si>
    <t>García, José Leonardo</t>
  </si>
  <si>
    <t>José Leonardo García</t>
  </si>
  <si>
    <t>4 3$ mandante general de las armas del rey por D. Francisco Valdes, co­ mandante de la compañía íixa de S. Blas y de las armas de Tepic, y de D. José Leonardo García, comisionado ael pueblo , en los cuales con fecha del 2 de febrero le daban parte de que el vecindario del aposta­ dero de S. Blas, que había sido entregado ante…</t>
  </si>
  <si>
    <t>García, José Moreno</t>
  </si>
  <si>
    <t>José Moreno García</t>
  </si>
  <si>
    <t>. José Morales, D. Luis Valderas, Don Juan Extrémela , D. José Romas»nta , D. Diego Malfeito, D. Alon­ so Perez, D. Pedro Santiso, D. Manuel Morgade, D. José Moreno García, D. José Gil Malfeito y D. José Muñiz; subtenencia de bandera á D. Francisco Zívihí-ano.- En el regimiento ds iafa*vAria da Zamora ; compañías é D. Vicante…</t>
  </si>
  <si>
    <t>García, Josef Jesús</t>
  </si>
  <si>
    <t>Josef Jesús García</t>
  </si>
  <si>
    <t>uan Bautista Condestable........... 545 17 1 Doña Angela Imperial........................ 18c j 1 Doña Alfonsa Chavarría.................... 185 17 I D. Josef Jesús García, por su apo­ 2 D. Andrés Tarancon........................... 361 derado D. Juan Josef Gamboa..... 361 6 „ Deña Plácida de "Urquijo................... 2°7f …</t>
  </si>
  <si>
    <t>García, Jpan Antonio</t>
  </si>
  <si>
    <t>Jpan Antonio García</t>
  </si>
  <si>
    <t>es v*:lion por las cantidades que respectivamente se les designan. general de carmelitas calzados , residen­ te en Echarni de Navarr.., por seis mil D. Jpan Antonio García, ex-franciscano, s‘vp'anua reales vellón, señalados por real decre­ por.......................... 2200 to de 11 de octubre de 1809................... 6oco …</t>
  </si>
  <si>
    <t>García, Juan</t>
  </si>
  <si>
    <t>Juan García</t>
  </si>
  <si>
    <t>Plancho , 500. D. José Gó­ mez Soldado, 300. D. Antonio Tagle , 300. D. José del Rivero, 200. D. Ma3uu-[ Salceda, 200. D. José Candido Sánchez , 300. D. Juan García , 200. Don Dionisio de Hoyos, ‘’OO. D. Pantaleoa y D. Severo Merino , 240. D. Antonio Diez riel Olmo, 200. D. Antonio Diaz Tagle, 160. D. Antonio González de Colu…</t>
  </si>
  <si>
    <t>nencias á D. Joan Rodríguez, D. Alfonso. Tercero, D. Tomas Manzanar-?, D. Jocó Yszquez Rdova, D. Juan Amar, D. Francisco García, Dan Mu» tía Arrute ? D Juan García, D. Antonio Salgado. D. Pascual Be caria, v ÍJ. José Y^zquez Yarela; subtenencias á D. Manuel de los Ríos, D. Pío Tona, D. Juan Medrana, D. Cristóbal Sánchez, D. P…</t>
  </si>
  <si>
    <t>mado = YO EL REI — por S, M., el ministro secretario de Estados EirmaTenientes. do = Mariauo Luis de Urquijo.” D. Joan Sarroll 1. D. Francisco Gómez. D. Juan García. El dia 4 del corriente se celebró la apertura de la real academia de Ingenieros, creada por S. M. Subtenientes, cu esta capital eu virtud del decreto de 28 de ag…</t>
  </si>
  <si>
    <t>García, Juan Francisco</t>
  </si>
  <si>
    <t>Juan Francisco García</t>
  </si>
  <si>
    <t>Rives y Noriega , capellán de la factoría, 8 y 2 y me­ dio rs. D. Vicente Cremata, sobrestante «el embotado, 2. D. José Rodrí­ guez Amate, agente, 3. D. Juan Francisco García, escribano, 1 y 4 rs. 13. Francisco Alonso Pelaez, encargado de venta, parala manutención de un soldado, 9. D. Gaspar Cfeapie , id., 2. D. Antonio José …</t>
  </si>
  <si>
    <t>García, Juan José</t>
  </si>
  <si>
    <t>Juan José García</t>
  </si>
  <si>
    <t>335</t>
  </si>
  <si>
    <t>ara sostener el asalto, soy de parecer que á fueiza de valor y constancia se defienda la plaza hasta perder la vida. --- José de Imaz. Del Excmo. Sr. D. Juan José García &gt; teniente general de los reales exércitos. A pesar de no téner formada nuestra segunda línea de defensa, cotí muy pocos fuegos .en las baterías de Santiago,…</t>
  </si>
  <si>
    <t>García, Leandro</t>
  </si>
  <si>
    <t>Leandro García</t>
  </si>
  <si>
    <t>ancisco Bnrmudez, D. Angel Fraile, D. Juan AlJaraira, í. Fa-no' Varela, D. Toma?/ Rea!, D. Pedro Benito Gárrulo, Don Faínian Blanco, D. Filioe Uíloa, D. Leandro García, D. Antonio G.:.t. ? Herraros y D. Francisco Lasa; subtenencia de bandera k i). P tal Mido®. Ea el regimiento de infantería de Toledo ; compañías á D. José Cta…</t>
  </si>
  <si>
    <t>García, Lorenzo</t>
  </si>
  <si>
    <t>Lorenzo García</t>
  </si>
  <si>
    <t>del partido de Managua, por el de un soldado en 3 me­ ses , 27. D. Ignacio Alvarez de la Cruz, director de labores de la real fábrica de tabacos , y D. Lorenzo García, 500. El intendente de exército y real ha­ cienda D. Juan de Aguiiar , los gefes de las oficinas y sus dependientes, jubi­ lados , emigrados de Sto. Domingo y l…</t>
  </si>
  <si>
    <t>García, Luis</t>
  </si>
  <si>
    <t>Luis García</t>
  </si>
  <si>
    <t>1156</t>
  </si>
  <si>
    <t>1156 mi ayudante de campo D. Luis García, se mantuvieron constante­ mente á mi lado, y llevaron varias veces mis órdenes á ¿as guerri­ llas mas avanzadas, y Jo mismo excciiíó el secretario de la capita­ nía general de Aragón D. Ra</t>
  </si>
  <si>
    <t>Garcia, Manuel</t>
  </si>
  <si>
    <t>Manuel Garcia</t>
  </si>
  <si>
    <t>RMELITAS CALZADOS. sueldo equivalente. DCBcrnardo Cano, residente en Toledo, por......... 2209 art. m. Nuestros ministros de Negocios eclesiásticos y D. Manuel Garcia, lego, demente en la casa del de Hacienda quedan encargados del cumplimiento de este Nuncio de Toledo , natural del Jugar de S. Juan decreto, rz Firmado —YO EL …</t>
  </si>
  <si>
    <t>García, Mariano</t>
  </si>
  <si>
    <t>Mariano García</t>
  </si>
  <si>
    <t>á los bosques inmediatos las cuadrillas de sediciosos que había en aquellas inmediaciones. Pero habiendo vuelto á presentarse á las 12 del día, salió D. Mariano García á esperarlos coa 30 hombres y el al­ férez D. José Iraía , dexando en el pueblo á su segundo D. Agustín Iíúrbide : los rebeldes entonces acometieron con 2000 c…</t>
  </si>
  <si>
    <t>García, Martin</t>
  </si>
  <si>
    <t>Martin García</t>
  </si>
  <si>
    <t>' Mateo Peñaranda, D. Pedro Vizcaíno. D. Tomas Rodríguez, D Pedro García, D. Frutos Bo­ ros, D. Manuel Pias ncia y D. Fado Mera; los de subteniente á D. Martin García, D. Manuel Plaza , D Juan, Domínguez, Don Manuel Paez, D.'Rafael Pato, D. Juan Sánchez Bandito, D. Joré Birrientos, D. Joaquín Cárdeno, O. Calixto Ximenez B cer…</t>
  </si>
  <si>
    <t>García, Pedro</t>
  </si>
  <si>
    <t>Pedro García</t>
  </si>
  <si>
    <t>Abril. D. Antonio Josef Caracuel. E'tas dos acciones, hacen mucho honor á los D. Miguel Serrano. oficiales y soldados que han tenido parte en ellas. D. Pedro García. Tenientes. D. Josrf Pareja, PLAZA DI MADRID. BOLSA. D Francisco de Ltiba. DIA 17 DS AGOSTO DB l8ll. D. Francisco Santaella. Subtenientes. Efectos públicos. D. Fr…</t>
  </si>
  <si>
    <t>nto primero. Alexand.ro La- Vega,-.-. ■ te l«in« :Go?ar4 el de 13 f con el grado de subteniente ane­ xo 4 41» asándolo como un mero distintivo, y sin D. Pedro García,^ opciop á la antigüedad si )- ............ é« » • M*l • X •••* j verifica el ascenso á. esta Soldados. i «lase &gt; cor) arreglo á nues­ tro decreto de 21 de ju- .…</t>
  </si>
  <si>
    <t>. Juan Vergas, D. Manuel Melgares y D. José Morera; les de teniente i D. Antonio García , D-' Mateo Peñaranda, D. Pedro Vizcaíno. D. Tomas Rodríguez, D Pedro García, D. Frutos Bo­ ros, D. Manuel Pias ncia y D. Fado Mera; los de subteniente á D. Martin García, D. Manuel Plaza , D Juan, Domínguez, Don Manuel Paez, D.'Rafael Pat…</t>
  </si>
  <si>
    <t>esi lias. 3317 17 Josef,................................................ 18 D. Juan Rubio..................................... 124454 25! 43562 28 18 D. Pedro García y pinillos............... 31500 ; D. Antonio de los Ancos.................... 7942 12 Dona María Nicolasa Perez Díaz, da­ 10 D. Alexandro Silva..................…</t>
  </si>
  <si>
    <t>García, Pedro Jasé</t>
  </si>
  <si>
    <t>Pedro Jasé García</t>
  </si>
  <si>
    <t>, cuando supo que estos en número de 3000 hom­ bres se disponían á acometerle: destacó, pues, inmediatamente una porción de caballería con el eapilan D. Pedro Jasé García, el al­ férez D. Pedro del Talle y el aventurero n. José Blanco, á que los contuviese mientra* él llegaba con su trepa, lo que verificó inme­ diatamente per…</t>
  </si>
  <si>
    <t>García, Santiago</t>
  </si>
  <si>
    <t>Santiago García</t>
  </si>
  <si>
    <t>Rasilla, 60. D. Eugenio Gutiérrez, 100. D. Antonio Ortegon, 100. D. Manuel Sánchez , 100. D. Francisco de la Ve­ ga, 100. D. Manuel Velez Campa, 100. D. Santiago García, 100. D. José García del Barrio , 100, D. Alexaudro Marina , lOÍ). D. Juan García del Barno , 100. D. Juan de Cebados Argumeda , 100. D. Antonio Sobaron, 100.…</t>
  </si>
  <si>
    <t>García, Santiago Diego</t>
  </si>
  <si>
    <t>Santiago Diego García</t>
  </si>
  <si>
    <t>Cosío, 20.1). Ma­ nuel de Celis , 20. D. Joaquín Muza, 34. D. Valentín González, 6. D. Enri­ que Perez Lastra , 20. D. Andrés Cacho de Herrera , 100. D. Santiago Diego García, 102. Doña Rita Tixero, 51. D. Patricio José Gómez , 17. D. Vicente Samper, 20. D. Pedro Macho del Barrio yvsu hermano , 17. D. Juan Barangot, 10 y 4 rs…</t>
  </si>
  <si>
    <t>García, Saturnino</t>
  </si>
  <si>
    <t>Saturnino García</t>
  </si>
  <si>
    <t>José García: tenencias á D. Ji'sé Lopes y Angulo , D. Jacobo López, B. Miguel Salazar, D. Temas Moreno, D. Juan Julián da Tomás, D. Isidro Rebollo,. D. Saturnino García, D. Abdon Ruis y Camón, D. Ventura Mol­ ió.; D. Francisco de F ula Lopes, D, Tomas Ríos , D. Andrés Rodrigo y D. Francisco Gor-znlea ; y subtenencia» i D. Ale…</t>
  </si>
  <si>
    <t>García, Silvestre</t>
  </si>
  <si>
    <t>Silvestre García</t>
  </si>
  <si>
    <t>soldados en un mes durante la guerra, 45. E! regidor D. Joaquín de Herrera, á cuenta de su oferta de mantener G soldados durante la guerra , 27. Lie. D. Silvestre García, 300. D. Matías García Beltran , vecino del partido de Al quizar, 125. D. José Suarez Masías , 17. El capitán de dragones D. Andrés de Alvear , 30. La com­ p…</t>
  </si>
  <si>
    <t>García, Tomas</t>
  </si>
  <si>
    <t>Tomas García</t>
  </si>
  <si>
    <t>el de comandante á D. Juan dte Pulgar y Pulgar: en el segundo de Saboya, el de co«laúdente á D. Antonio : en ei de Gerona, el de teniente co­ ronel a D. Tomas García, y el de .sargento mayor á D. Félix Molió» Igualmente ha.-conferido S. A. la sargentía mayor del segundo batallón de voluntarios de Aragón al teniente coronel D.…</t>
  </si>
  <si>
    <t>úblico.. 8 2-| D. Luis Tomó de la Infanta. Oro español contra plata...................... Tenientes. Napoleones de oro............................... D. Tomas García. D. Tidoro Gómez. THATTtOS. . D. Francisco Morttalvo. En el del Príncipe, á ¡a. siete de la noche, «• rrD. Angel Arroyo Dotnlngueí. presentará por la compañía es…</t>
  </si>
  <si>
    <t>. Francisco Duran. arrepentirá.¡{Gazeta de Sevilla de i¡ de noviem­ Don Antonio Quevedo y Muelasubteniente, bre.) i • ,,t á tenieote en reemplazo, de D. Tomas García. Madrid 19 de diciembre. Don Cayetano Melendez y Peña losa á subte­ niente en la vacante.de D. Antonio Quevedo. S. M. ha celebrado hoi consejo de ministros, al D…</t>
  </si>
  <si>
    <t>García, Vicente</t>
  </si>
  <si>
    <t>Vicente García</t>
  </si>
  <si>
    <t>ta superior de GualaGxira en la forma prescrita por el reglamento aprobado por las Cortes generales del reyno. Se compone hasta el día de ios señores D. Vicente García, nombrado viré-presidente, D. José López Juana Pitilla, intendente de la pro'vinera., D José E adio Garces, D. Lucas García Gutiérrez, D. Da­ mián A cocer, D. …</t>
  </si>
  <si>
    <t>Garda, Cristóbal</t>
  </si>
  <si>
    <t>Cristóbal Garda</t>
  </si>
  <si>
    <t>ro­ quial. Juan Otte, hijo, tabernero, natural de Ams­ Para el de Ctcin , vacante por promoción de terdan, vive en Sainte-Catharinastreet, al lado de D. Cristóbal Garda al de Valor, al presbítero ex­ la torre de Londres. regular franci-c-itio D. Antonio Martin de Luque. Antón Eistein, mesonero en Mameltreet, in­ Para el de Da…</t>
  </si>
  <si>
    <t>Garda, Juan Josef</t>
  </si>
  <si>
    <t>Juan Josef Garda</t>
  </si>
  <si>
    <t>dicos al dar parte de esta noticia han 1 D. Pedro Fernandez.......................... ..... 1805 añadido maliciosamente,, que el arte dramática iba 1 D. Juan Josef Garda................................ 1444 á ganar mocho con este acontecimiento, por quin­ 1 . D. Manuel de Blanquer.................... to la señorita-Jordán , c…</t>
  </si>
  <si>
    <t>Gardanne</t>
  </si>
  <si>
    <t>segurar que en el dia 15 de cipe de li-sling lis tres divi,iones del ¡teñera! Drouet, nbvietnbre no habían aun pisad ) el Guadiana las tro­ ni ti del general Gardanne. A.i que, el sitio de Abran­ pas de! duque de Trcvijo yara dirigirse liada el. Alenles, y Jas maniobra, que se executan en las dos orillas tejo. ( Monittr.)</t>
  </si>
  <si>
    <t>mpoco con la frontera de España, ex­ cepto la que llevó el general Foy, y que ignoraba hasta la marcha que hizo por la Beyra inferior la división del general Gardanne en. el mes de noviembre, — TVdlington.” ESPAÑA. - Diario de Tortosa. Día 7 de noviembre. Las baterías han hecho fuego contra los ene­ migos de los huertos de Gi…</t>
  </si>
  <si>
    <t>la segunda del noveno, cuerpo, ó la división de tro­ pas que marchó hasta Cardigos , y volvió otra vez en el mes de no­ viembre baxo las órdenes del general Gardanne. — No lia habido alteración de importancia en la posición que ocupa el exército ene­ migo después que escribí últimamente á V. E.— El destacamen­ to ^ue marfiliÓ…</t>
  </si>
  <si>
    <t>turcos han dado varios ataques vigorosos; cameuto , e! quai pertenecía sin duda á la división y aunque se Íes rechazaba, no por eso desistían de del general Gardanne, había alcanzado ventajas im­ su empresa. Petrowitsch no cesaba de animará sus portantes sobre un cuerpo de tropas aliados. tropas, representándoles que combatía…</t>
  </si>
  <si>
    <t>Gaceta de Madrid n.º 36</t>
  </si>
  <si>
    <t>142</t>
  </si>
  <si>
    <t>e diciembre. timiento por varias quejas que se me han dado, ,,MiIord:la división enemiga mandada por el que no se ha cumplido con uniformidad en todo general Gardanne , que había vuelto i Sobreira— el reino la voluntad de S. M. en orden á la inde— Formosa, ha continuado marchando hacia la fron­ endencia respectiva de cada rel…</t>
  </si>
  <si>
    <t>Gardillo, Pedro</t>
  </si>
  <si>
    <t>Pedro Gardillo</t>
  </si>
  <si>
    <t>io4a Continúan los donativos de la isla de Cuba. I). José María Pedroso , por el prest de 5 soldados en 5 meses , 225 p?. fy D. Pedro Gardillo, sindico del monasterio de Sta. Teresa, á cuenta de 1000 ps, que han ofrecido, 400. D. Salvador de la Cruz, á cuenta de 115 ps. que traxo de menos el donativo remitido de Mérida, y can…</t>
  </si>
  <si>
    <t>Garmendia, Francisco</t>
  </si>
  <si>
    <t>Francisco Garmendia</t>
  </si>
  <si>
    <t>.. . 200 D. Josef Ariza, ex mercenario calzado, D. Francisco Fernandez de Santos.......... 261920. .t¡&gt; residente en Camarina de Esteruelas, por 2200 D. Francisco Garmendia , por mano de D. Tomas Díaz , id., residente en Cienpo- D. Juan Bantista de Iribarren.................... j682i,.3¡ zuelos , por..........................…</t>
  </si>
  <si>
    <t>Garmendia, Juan Bautista</t>
  </si>
  <si>
    <t>Juan Bautista Garmendia</t>
  </si>
  <si>
    <t>atense, residente en Ajalvir , por....... 2200 D. Fermín de Üria Nafarrondo.................... 1.222198..16 D- Antonio Josef Serrano , ex trinitario D. Juan Bautista Garmendia , por mano de descalzo, residente en esta corte, por 2200 D. Juan Bautista Iribarren....................... 106653.. 4 D. Josef Aguirre, ex-franciscan…</t>
  </si>
  <si>
    <t>Garmon, Juan</t>
  </si>
  <si>
    <t>Juan Garmon</t>
  </si>
  <si>
    <t>R.?strebada y D. Francesco Doñas; subtenencias á Do» Miguel Villar, D. Sautiaíro Nryra, D. Ignacio Barros, D. José 1^ í~lo T-oloiTW^ - Antonio Sonto, D. Juan Garmon , D. Juan García y F ~ o*uk***£ v/wj Xiraenez ; subtenencia de bandera á D. Anselmo Tuna. CADIZ : EN LA IMPRENTA REAL</t>
  </si>
  <si>
    <t>Garniel, Antonio</t>
  </si>
  <si>
    <t>Antonio Garniel</t>
  </si>
  <si>
    <t>­ mandante agregado D. Juan Diego Marín; los capitanes D. Francisco Maíknt, D, Francisco Catarla y D. Diego Roca, les tenientes D. Pas­ cual la Rosa, D. Antonio Garniel, D Francisco Bemabeu y D. Ni­ colás Dodero; el segundo ayudante D. Antonio Torró; el subteniente D. Pedro Perales ; los cadetes D. Antonio Aus?j.&gt; y D. Juan A…</t>
  </si>
  <si>
    <t>Garnier</t>
  </si>
  <si>
    <t>n maestro , y presentado á&gt; ‘ " 11 i .... S. M.. por S. - A.-S. el príncipe vice-gran elector. Extracto de las minutas de la.secretaría dé ¿ El señor conde Garnier, presidente, ha pre­ Estado. . sentado á S. M. el siguiente mensage, para-darle En nuestro palacio de Madrid ¿ 31 de diciem­ gracias en nomore del senado por la no…</t>
  </si>
  <si>
    <t>o, gran cruz de dichas dos órdenes. y S. A. S. ei príncipe vice-grande-elector lo presentó. Durante esta ceremonia ha habido primorosos fue­ S. E. el conde Garnier, presidente del senado, habló gos artificiales é iluminaciones mui vistosas y brillan­ á S. Al. en estos términos : tes en toda la capital en demostración de la al…</t>
  </si>
  <si>
    <t>Garralda, Miguel</t>
  </si>
  <si>
    <t>Miguel Garralda</t>
  </si>
  <si>
    <t>tlalba, abanderado , á teniente llenará una parte del Campo-Vaccino con los es­ de la quinta compañía. combros y desmonte de otra parte. La tierra se D. Miguel Garralda, sargento primero, í subte­ transportará á parages retirados, ó á las rodadas de niente de la novena compañía. Jos caminos, ó á los sitios pontanosos. Anteaye…</t>
  </si>
  <si>
    <t>Garri, Fernando</t>
  </si>
  <si>
    <t>Fernando Garri</t>
  </si>
  <si>
    <t>n de guardias Esp? ñolas, co­ ronel. D. Alonso Rivera, comandante de caballería del latente, ídem. D. Juan de Molina, teniente coronel de-Artillería. D. Fernando Garri­ do, ce-mar. dan te del reveno escuadrón de Gayada, ge fe de panda, teniente coronel. D. Boiáingo Pavía, del regimiento ce León, infan­ tería de lí.iea, idem. …</t>
  </si>
  <si>
    <t>Garrí, Jayme</t>
  </si>
  <si>
    <t>Jayme Garrí</t>
  </si>
  <si>
    <t>d del partido de Ndguabo y Humacao, 67. E! licenciado D. Juan Antonio Mexia , auditor interino de marina , 100. Su escribano J&gt; a Manuel Acosta, 190. D. Jayme Garrí ga, 165 y 7 r.s. D. Antonio Font, 100. Dos alguaciles y 4 cabos de matrícula á U&gt; ps. cada uno, 96. Bernardo Garriga, 20. José Ven lrdl , 30. Pedro Marsillas, 60.…</t>
  </si>
  <si>
    <t>Garrido, Josef María</t>
  </si>
  <si>
    <t>Josef María Garrido</t>
  </si>
  <si>
    <t>realizarse las es­ D. Antonio Tejada. peranzas que ha concebido de sus primeros ensa­ Subtenientes. yos , el descubrimiento es de tal importancia en D. Josef María Garrido. Jas circunstancias actuales , que no se necesitarian D. Juan Josef Iturriaga. mas que otros dos ó tres de su especie para arrui­ D. Bartolomé de los Santo…</t>
  </si>
  <si>
    <t>Garrido, Juan</t>
  </si>
  <si>
    <t>Juan Garrido</t>
  </si>
  <si>
    <t>r parte de estas hordas cieoeri poco su derecho ante dicho señor juez, y escribanía de pro­ asco y limpieza; pero sus gvfes son un poco mas vincia do D. Juan Garrido; con apercibimiento qué aseados. Acostumbran bailar" antes y despucs de de lo contrario Ies parará todo perjuicio^ comer e;i honor del grande espíritu; la danza …</t>
  </si>
  <si>
    <t>sus mayores, re­ bienes, para que acudan á deducirle ante dicho señor presentadas por unos huesos que tienen en las ma­ y escribanía de provincia de D. Juan Garrido en el perentorio término de 30 dias; con apercibimiento que nos. El trage de estos Reyes es bastante singular; pasado sin haberlo, se procederá á lo que correspon…</t>
  </si>
  <si>
    <t>Garro, Manuel</t>
  </si>
  <si>
    <t>Manuel Garro</t>
  </si>
  <si>
    <t>sargento primero, á sub­ teniente de la sexta compañía. Efectos públicos. Quarto batallón. Vales reales................... ................... 94$ «. D. Manuel Garro, sargento primero, á subte­ Cédulas hipotecarias........................ 951 n« niente de la sexta compañía. Certificaciones del tesoro público. 80$ D. JosefGrum…</t>
  </si>
  <si>
    <t>Garrote, Matías</t>
  </si>
  <si>
    <t>Matías Garrote</t>
  </si>
  <si>
    <t>"* ■ El Consejo de Regencia se ha&lt; servido conceder tenencias es el regtaiianto de infanleií* de Lena.á D. Francisco Antonio D az, Don José Ibailez y D. Matías Garrote, y en el de Ciudad Real á D. Eu­ genio Rosales , subtenientes de los propias cuerpos, y subtenencias ea el pr imero ¿ al subteniente agregado ©. Cristóbal-Cant…</t>
  </si>
  <si>
    <t>Gárrulo, Pedro Benito</t>
  </si>
  <si>
    <t>Pedro Benito Gárrulo</t>
  </si>
  <si>
    <t>José Mosco30, D. José Ruiz Rodríguez , D. Fidel GaÍoso, D. Francisco Bnrmudez, D. Angel Fraile, D. Juan AlJaraira, í. Fa-no' Varela, D. Toma?/ Rea!, D. Pedro Benito Gárrulo, Don Faínian Blanco, D. Filioe Uíloa, D. Leandro García, D. Antonio G.:.t. ? Herraros y D. Francisco Lasa; subtenencia de bandera k i). P tal Mido®. Ea el…</t>
  </si>
  <si>
    <t>Garuargo, Ignacio</t>
  </si>
  <si>
    <t>Ignacio Garuargo</t>
  </si>
  <si>
    <t>de 'in­ genieros; D. Ouofré Póitugal, brigadier. D. Juan B iribú Carrasco, 'brigadier. D. José Salios Villa, coíenel. D. Pedro Leen, m^yor de plaza. D. Ignacio Garuargo, mariscal. U. Mariano Hidalgo. D. Agus­ tín Marroquin. D. Mariano Abáselo, mariscal. I&gt;. Luis Merelts, csroncl • :</t>
  </si>
  <si>
    <t>Garué, Manuel</t>
  </si>
  <si>
    <t>Manuel Garué</t>
  </si>
  <si>
    <t>a M«ríi Gar&lt;.és y 2 D. Juan de Llagona........................... 1173 8§ Doña Crispina Guches , herederos 6 D. Francisco de Paula Des-essart, por de D. Manuel Garué:..............-....... mano de su apoderado D. Juan. M34 8|l 3 D. Juan de Iriarte..-............................ 16335 üí Josef Gamboa.............. 6859 1 D. Gr…</t>
  </si>
  <si>
    <t>Garza, José María</t>
  </si>
  <si>
    <t>José María Garza</t>
  </si>
  <si>
    <t>teniente á D. Ramón Herveila, D. José de las Hera?, D. AN’xandro Rab’ej, D. Celestino' Cuella , D. Andre» Abollo, Don José Cubilar, D. Anselmo Muiré, D. José María Garza, í). «Fosé Navajas y D. Verdura Mosquera; los de subteniente á D José González Amigo, D. José Montes, D. Miguel Revor^do, D. An­ gel CAbalo, B. Juan Genaro V…</t>
  </si>
  <si>
    <t>Gas</t>
  </si>
  <si>
    <t>iago, pur .7 rae-es de su cierta mensual, 6S. El capitán, ayudante mayor de esta pla­ ya, &gt;? y '2 :í. Deña María ígnaeja y-Doña,María Carmen Rio, 17. D. Gas­ par de los Reyes, por el prest de'un soldado» en 2 meses durante la guerra, 3S. I). 'Felipe de Li.ua por si y su hijo D.'José María , por el prest,de 2 sol­ dados en 6 m…</t>
  </si>
  <si>
    <t>Gas'taca, Esteban</t>
  </si>
  <si>
    <t>Esteban Gas'taca</t>
  </si>
  <si>
    <t>0. I). Miguel Mateu, 2000 D. José Balboa, 40. D. José Puyade , 100. D. Tomas SoW y Molins , 100. D. Santiago Castañete», 500. D. Pedro Raynaud , 400. D. Esteban Gas'taca y sobrino Vadillo , 300. I). Jorge Montañés. 500. D. Antonio Suris, 200. í&gt;..Domingo Gual, 500. DrAntonio Pizano , 200. D. Benito Picnrdo, 1000. IX- Francisc…</t>
  </si>
  <si>
    <t>Gasea</t>
  </si>
  <si>
    <t>raba sobre el camino: le causo gran pérdida Emulándole mas de 40 hombres, mayor número de heridos , y haciéndole algunos prisioneros. Reco­ mienda el brigadier Gasea á este bravo oficial, á sus valientes fiancoleadores , como también al referido comándente. — También se dis ­ tinguió la compañía de tiradores de húsares reales…</t>
  </si>
  <si>
    <t>Gaspar</t>
  </si>
  <si>
    <t>esma (D. Gaudioso), administrador de bienes na­ Araiz ( D. Mariano), capitán de infantería. cionales de Tudela , caballero q»e fue de la or­ Arno:d ( D Gaspar), teniente del regimiento suizo. den de Cárlos nr. Bango ( D. Ramón), gcfe de división del ministe­ Torres ( £&gt;. Santiago ) , secretario general de la pre­ rio de Hacie…</t>
  </si>
  <si>
    <t>Gasquo, Joaquín</t>
  </si>
  <si>
    <t>Joaquín Gasquo</t>
  </si>
  <si>
    <t>ee!roso, por el de 3 soldados en tres meses durante la guerra, SI. El capotan D. Domingo Bontoux de la Planche , por el de un soldado- en un mes , g. D. Joaquín Gasquo, ayudante mayor de las brigadas del real cuerpo de 'artillería, por oferta de las compañías de Pardos y Morenos de la misma ar­ tillería, 225 y 4 rs. D. Antoni…</t>
  </si>
  <si>
    <t>Gast</t>
  </si>
  <si>
    <t>uedó en esta parte de la frontera de Pjííugal, y se baila en Víilavioiosa, vandrá a proteger los movimientos, cíe nuestra vanguardia. A solicitud del general Gast uio-; h %. dado lord Wellington la orden de que aquella división pase á Cáceres : su fuerza será de carca de 15000 hombxés. ARTICULO DE OFICIO. El. Consejo de Regen…</t>
  </si>
  <si>
    <t>Gástenos</t>
  </si>
  <si>
    <t>oldados españoles durante la accioa , así como en las operaciones anteriores á ella. En mi carta de 19 del corriente envié copia de la que escribí al general Gástenos y el memorándum del plan de operaciones , y omi­ to ahora el incluir otra copia, pero remito á V. S. la de la respuesta que me ha dado, así como de la carta que…</t>
  </si>
  <si>
    <t>Gato</t>
  </si>
  <si>
    <t>Viveras, de 5 Para el dei Presidio y Benecid, vacante por fan., 5 cel. y 17 est. á 500 rs. Y otra en la vereda del muerte de D. Leonardo Morales, al presbítero Gato.; de una Fan. , u cel. y 10 est.'á 450. rs. Quietx quisiere hacer postura á dichas tierras acuda ante el se­ D. Josef Guillen del Castillo. ñor D/Josef Piqueras, …</t>
  </si>
  <si>
    <t>Gato, Luis Hidalgo</t>
  </si>
  <si>
    <t>Luis Hidalgo Gato</t>
  </si>
  <si>
    <t>ado en un mes durante la guerra, 9. D. Juan Rafael de Aljovin , cura de Qaivican, por entrega de varias perso­ nas de su feligresía , 77 y + rs. Lio. D. Luis Hidalgo Gato , 103. El ca­ pitán D. Manuel Palacios , 300. El coronel D. Agustín de Ibarra y Do­ ña Rita de la Guardia su consorte , 510. Doña Anastasia de Castillo, ve­…</t>
  </si>
  <si>
    <t>Gatrate, Matías</t>
  </si>
  <si>
    <t>Matías Gatrate</t>
  </si>
  <si>
    <t>1464 bles, icio lo han inutilizado. Esto* son los defen­ D. Mariano Maclas, subteniente de ídem. sores de la religión y de Id patria , capaces solos D. Matías Gatrate, teniente de infantería de de un crimen que ha menester ser tan auténtico, Lena. y tener tantos testigos oculares como tiene , para D. Diego Finncan, teniente d…</t>
  </si>
  <si>
    <t>Gaudia</t>
  </si>
  <si>
    <t>753</t>
  </si>
  <si>
    <t>los prisioneros indicados, no pesa de un muerto y 8 heridos. El voluntario Matuiel V: tenci?. c.oosintió ser muerio li­ tes que quedar prisionero. Ei coronel Gaudia hia' entrado en Tufe lia asombrado de nuestra resistencia. Daba recomendar á V. S. el acierto, serenidad y firmeza de los comandantes del tercero y .cuarto batall…</t>
  </si>
  <si>
    <t>Gaudin</t>
  </si>
  <si>
    <t>r una dispersión igual á aquella. Por algu os dias me permitió el enemigo esta obra .‘pero sabidas mis disposiciones trató de atacarme, destacando al coronel Gaudin desde Pamplona , mandando e) número do 1 500 infantas con 200 cabillos, y ordena ido al paso ai teniente coronel Brescat , que con otros tantos do la guarnición d…</t>
  </si>
  <si>
    <t>nte coronel Brescat hsbian sido destacados de la guar­ nición de Tudeia, Caparrosa y Tafalla, de acuerdo con el ántes ata­ cado , vsacido y derrotado coronel Gaudin, como en el anterior he manifestado á V» E. Efectuada pues la retirada, recorridos todos los puntos, y des­ cubiertas todas las supuestas insidias por mi caballer…</t>
  </si>
  <si>
    <t>Gaudioso</t>
  </si>
  <si>
    <t>Saravia (D. Manuel de), juez de las juntas de Ne* Andeiro y Aldao ( D. Antonio), oidor de la cban- godos contenciosos. «illería de Valladolid. Sesma (D. Gaudioso), administrador de bienes na­ Araiz ( D. Mariano), capitán de infantería. cionales de Tudela , caballero q»e fue de la or­ Arno:d ( D Gaspar), teniente del regimient…</t>
  </si>
  <si>
    <t>Gautier, Estanislao</t>
  </si>
  <si>
    <t>Estanislao Gautier</t>
  </si>
  <si>
    <t>era á D. Joaquín Ferrer. En el regimiento de infantería de la Ua on; compañías á Don José María Freyre, D. Jóse García y D. Juan Astorga; ayudantía á D. Estanislao Gautier; tenencias á D. Manuel A!arcon, D Pablo la Cuesta, D. José Mariño, D. Juan Aguado, D. Manuel Diz &gt; Don Benito Yarela y D. Pablo del B J ; subtenencias á D.…</t>
  </si>
  <si>
    <t>Gavier, María</t>
  </si>
  <si>
    <t>María Gavier</t>
  </si>
  <si>
    <t>ínez Negrece............ 7129-25! D. Josef Corral......................................... 8844..17 D. Francisco Xavier Duran............... 3690..14 Doña María Gavier............... .................. 722 D. F,stéban de Agreda............................ 1 lco D. Vicente Toriño........... ...................... 4512..17 El m…</t>
  </si>
  <si>
    <t>Gavirare, Santiago</t>
  </si>
  <si>
    <t>Santiago Gavirare</t>
  </si>
  <si>
    <t>es Albert é hijos.... 400 to por nuestro ministro de Hacienda, y oido D. Francisco del Barrio........ *200 nuestro consejo de Estado, hemos decretado D. Santiago Gavirare........... gaoo y decretamos lo siguiente: D. Felipe de Bies y Santeli- articulo x. „Se declaran acreedores del ........................................... …</t>
  </si>
  <si>
    <t>Gavirati, Santiago</t>
  </si>
  <si>
    <t>Santiago Gavirati</t>
  </si>
  <si>
    <t>Pedro Ferrer................ . 2 2.2872.21 El conde de Casa^ Valencia.. 3 3 311.. 17 D. Vicente Anduaga.......... 10547..32 El patronato de D, Pedro D. Santiago Gavirati........... 3867..17 Sttarez de ToleJojr y Do­ D. Josef de Le- 7680 } ña Leonor de Estrado.... 34811..17 33655- 5 zameta....... 2,5975**53 D.Miguel Antonio de…</t>
  </si>
  <si>
    <t>Gay</t>
  </si>
  <si>
    <t>eledo 600 con 6 cañones, y 500 á Valdemoro. El mismo dia salió otro destaca­ mento fuerte para Guadalaxara con 4 cañones.—£119 vinieron plie­ gos del general Gay y del prefecto de Guadalaxara D. Dimaso de la Torre. Tino también un edecán de Darmagnae, y se recibieron pliegos d«l prefecto de Toledo y del general Foy, que entró…</t>
  </si>
  <si>
    <t>que el general Dirmagnac, desunes de haber recibido refuerzos, ha avanzado hácla Cuenca con 3000 hombres, y es regular que también haga movimiento el general Gay desde Guadalaxara, así que lleguen los jurados del núm. l.°, regimiento de 500 plrz s, que se había mantenido aquí siempre. Han ido. á socorrer á Sachet desde Navarr…</t>
  </si>
  <si>
    <t>Gay, José</t>
  </si>
  <si>
    <t>José Gay</t>
  </si>
  <si>
    <t>lgunas compañí ts del ba­ tallón de Almogávares , y dirigí por et centro las restantes de este cuerpo con algunos cazadores del Ainpurdan al mando de D. José Gay , para reforzar á las compañías de Eloráy varias guerrillas de la división. El enemigo trata de desbaratar este plan , atacando por el centro, que reforcé oportuname…</t>
  </si>
  <si>
    <t>Gayan</t>
  </si>
  <si>
    <t>263</t>
  </si>
  <si>
    <t>&lt;263 corporarse con el general París, dispuso que el coronel Gayan fuete á perseguirlos para impedir la destrucción de las lab-ricas de armas del señorío de Molina. Llegaron con efecto los franceses á esta villa el 28, pero retrocediendo rápidamente sobre la marcha del general Villacampa , se retiré esté á Óhééa , em donde fu…</t>
  </si>
  <si>
    <t>Gayos, Ramón</t>
  </si>
  <si>
    <t>Ramón Gayos</t>
  </si>
  <si>
    <t>3.ora, ,el empleo de sargento mayor al capitán graduado do ten i sute coronel-D. Pascual de Olioqui ;-s en-el de voluntarios de la Corola, tenencia á D. Ramón Gayos©; y en el nuevo batallen de tiradores de Badajoz les empleos de comandante y sargento mayor .*&gt;: D. José Díaz Buscones y i). Rodrigo Bernaudez; compañías á í)Frii…</t>
  </si>
  <si>
    <t>Gayoso, Bruno</t>
  </si>
  <si>
    <t>Bruno Gayoso</t>
  </si>
  <si>
    <t>999</t>
  </si>
  <si>
    <t>al, remite al general tn gefe interino del cuarto exércíto, el parte que con la de 3 leí miaño le da el gabsrnado? interino del cantillo de Paymogo , D. Bruno Gayoso, espitan del regimiento de infantería de Lena , cuyo tenor es el siguiente: “Los enem’gí)3 en numero de 800 infantes y 300 caballos se pre­ sentaron i vista de e…</t>
  </si>
  <si>
    <t>GaZ</t>
  </si>
  <si>
    <t>s que en ella tenían les enemigos. — Por cartas de Sevilla de fecha del 20, recibidas aquí hoy , se sabe la salida de Souii de aquella capitel con el conde GaZ3n, y un nurúeréso ¿compañaraiento’: y según Ios-datos mas verosí­ miles subirá su exérclto á 16000 hombres con di rece: o-i, el parecer, para Granada. Da Córdoba avisa…</t>
  </si>
  <si>
    <t>Gazan</t>
  </si>
  <si>
    <t>ncés que atacó, tuvo muchos muertos, heridos y prisioneros. Nuestra pérdida fué muy inferior, aunque de alguna consideración. Frexenal 9 de enero. El conde Gazan que salió hace dos dias de Fuente de Cantos con 9000 infantes y como 300 caballos con di-i reccion á la Calera, pidió ayer tarde al pueblo dé Fuentes de León 6000 ra…</t>
  </si>
  <si>
    <t>mediaciones hay 12000 hombres , inclusos 4 escuadro íes de caballería. Fregenal 11 de enero. En la madrugada de ayer recibió esta justicia oficio del general Gazan desde Fuentes, mandando que en el mismo dia se le tuviesen prevenidas 6000 raciones de pan , y otras tantas de carné viva, y que se le informase sobre la situación…</t>
  </si>
  <si>
    <t>bacian venir á marchas forzadas las dos divi­ distinción. El gefe de batallón d’ Afiund edecán, siones que habian ido á Lisboa á juntarse con el del general Gazan, y el subteniente Jugtldo, al «¿reino ingles. En la noche del $ al ó llegaron 4 servicio de S. M, C., fueran heridos. T.mbien se las altaras ae S. Cristóbal» y abri…</t>
  </si>
  <si>
    <t>580</t>
  </si>
  <si>
    <t>creída , y no baxá de .9000 á 10000 hombres, entre ellos 1000 prisioneros. A lemas del ge­ neral Verlé quedó también muerto en el campo de balada el conde Gazan, gefe del estado mayor: los generales Pepin y Girard murie­ ron después de resudas de sus heridas. ~ Por avisos recibidos del centro de la península se sabe que á lin…</t>
  </si>
  <si>
    <t>691 La carta siguiente del general Gazan al mariscal Seult, inter­ ceptada por nuestras avanzadas en Extremadura, remitida wr el mariscal Bjresford á lord Welliegton , y por este á nuestro Gobier­ no , manifiesta el considerable número de heridos q</t>
  </si>
  <si>
    <t>rió una diputación de la general de división, gefe del estado mayor general municipalidad, compuesta de los señores corregi­ del exército,r=Firmado = Conde Gazan. = Por am­ dor y procurador mayor; y fue autorizado por el pliación = EL gobernador general dé las provincias mencionado escribano mayor de la prefectura. de Córdoba…</t>
  </si>
  <si>
    <t>Gazrnan, Matías</t>
  </si>
  <si>
    <t>Matías Gazrnan</t>
  </si>
  <si>
    <t>. El coronel de exército D. Mateo Pumneahua, 20. I). Andrés dé. Lira , 12. O. Patricio Sisa raso ,12. D. Pedro de Ediave , 25, O, Bruno Célicos , 25. D. Matías Gazrnan , 25. D. Francisco Sierra , 25. I). Francisco Ochoa , 12. Doña Eulalia Girón , 12 — Guaracorido. La co­ munidad de indios , 280. El alcalde mayor D. Angel Reye…</t>
  </si>
  <si>
    <t>Ge, D</t>
  </si>
  <si>
    <t>D Ge</t>
  </si>
  <si>
    <t>ado en el Guadiana , padeció también considerablemente al tiempo de retirarse hácbi Yelves. ■ L i brigada de caballería británica del mando del mayor general D Ge \vs, y la brigada de caballería portuguesa á lis ó *de¡j ? del general M-dden, contuvieron ai enemigo en Jas cercanías d* C-.ñi­ po mayor, y de consiguiente se reti…</t>
  </si>
  <si>
    <t>Geargel</t>
  </si>
  <si>
    <t>eran tam­ bién, de emprender su retirada, logrando el enemiga rescatar algu­ nos de sus prisioneros, y quedando en su poder víctima de su ar­ rojo el brigadier Geargel. La caballería toda llenó completamente sus deberes, y el regí-</t>
  </si>
  <si>
    <t>Geipi, José</t>
  </si>
  <si>
    <t>José Geipi</t>
  </si>
  <si>
    <t>2 D. Pedro "Rumen , 183 y 3. D. Ignacio Tubores , 30. D. Juan. Rosoli, 40. D. Francisco Carreras, 256 y 4. D, José Xavier de Aranzarnendi , 203 y 6. D. José Geipi , 38. D. Juan Soler, 30. Francisco Aguerra,# 80. D. Andrés Gonza’ez , 40. D. Juan-Mayvnó y compañía , 150. D. Antonio Escardó , 70. D, Francisco Puche , 50. D. ¡Mig…</t>
  </si>
  <si>
    <t>Genies, Saint</t>
  </si>
  <si>
    <t>Saint Genies</t>
  </si>
  <si>
    <t>e las heridas que dó su fanatismo religioso. Su zelo ardiente, sus habia recibido en él. peregrinaciones, sus predicaciones, y sus cohtinuas El señor coronel Saint Genies y el señor gefe y penosas fatigas para propagar la nueva creencia, de escuadrón Soubeiran , comandantes de las co­ han sido causa para que muchos le fgppten…</t>
  </si>
  <si>
    <t>Gentes, Saint</t>
  </si>
  <si>
    <t>Saint Gentes</t>
  </si>
  <si>
    <t>eo de independencia, quizá pudieran salvar so fueron desbaratadas por la caballería que manda­ país; pero miran con indiferencia todo lo que es ba el coronel Saint Gentes , é inmediatamente lle­ capaz de sacarlos de su pereza y desidia natural; garon á la vista de Cuenca codas las tropas del y yo estol bien persuadido de que …</t>
  </si>
  <si>
    <t>Gentil</t>
  </si>
  <si>
    <t>tn¿ fcRÁN DUCADO DE WURTZBURGO. GRAN DUCADO DE BERG. Wurtzburgo 8 de febrero. Dusseldorf y di febrero. S. A. 1., ha confirmado el cabildo de dama* El coronel Gentil , ayudante dfe S. A. el Prín­ ■obles que S. M, el Rei de Baviera había funda­ cipe Real dé Suecia , p.isó á^er por esta ciudad; do en esta caporal. Tendrá como án…</t>
  </si>
  <si>
    <t>Georget</t>
  </si>
  <si>
    <t>tar el esplendor y brillo de las fiestas públi­ El cazador Daotzne fue el que echó al SOcI# cas, ¿no será acreedor sino á nuestro desdea y y cogió al general Georget. menosprecio ? Seguramente no se nos tendrá por parciales ni JEXEROITO DE ARAGON. t; exagerados aunque aseguremos t fe Que la invención de Montgolfier es la mas …</t>
  </si>
  <si>
    <t>Gerardo</t>
  </si>
  <si>
    <t>(D. Cenen ), intendente Pala fox pidiendo ia confirmación dei título de conde - de Falencia. de Teva; y oido nuestro consejo da Estado , he­ Romero ( D. Gerardo), oficial de la compañía de mos decretado y decretamos lo siguiente : cazadores de montaña de Badajoz. articulo 1. ,,Queda confirmado en su titulo Roxas { D. Feroaudo…</t>
  </si>
  <si>
    <t>Gerbi</t>
  </si>
  <si>
    <t>as. podia emplear, que es la prohibición de todo co­ En la asamblea legislativa del Massachussets mercio. ¿ Y qué puede hacer la Gran Bretaña para el gobernador Gerbi' pronunció un disenrso Heno impedir los efectos de esta poderosa reacción? Mr. de fuego y de indignación contra la conducta de Coke observó con mucha razón ayer…</t>
  </si>
  <si>
    <t>Gerón</t>
  </si>
  <si>
    <t>s , 300. Don José Sentestillana , 00, D. Bernardo Martin , U)b. D. Pascual Gulez y T i n, 820. D. Ciríaco Carvajal, 1000. D. José María de Roxas, 120 D Gerón mo Diego Sánchez , 20. D. Julián Sandalio Aguado , 20 D. Baltasar Martin?., de Ari/a, 60. D. Segundo García Cid, 100. Los oficiales de la secretaría del con­ sejo y cáma…</t>
  </si>
  <si>
    <t>Geróni</t>
  </si>
  <si>
    <t>D. Félix ¡Sánchez, id, 1.1). Manuel Francisco de Aranguren , guarda almacén , para la manutención de un soldado., 9. D. José Joaquín Rivero , id., 3. D. Geróni­ mo José de Aguiar, oficial de libros, 1. D. Tomas Ruiz Solana , sobrestante segundo, 3. D. Rafael Rensoli, id, tercero , 1. D. Marcos Fernandez Castañe­ da, id. cuart…</t>
  </si>
  <si>
    <t>Gerónimo</t>
  </si>
  <si>
    <t>fu­ Cuenca (D. Andrés), fusilero de nuestra gnardia sileros de nuestra guardia real. real. Angalo ( D. Manuel), director de nuestra real ca­ Cuesta (D. Gerónimo de la ), canónigo de Avila. sa de la moneda. ’ D’Angennet (D. Josef), capittn del regimiento da Armero (D. Antonio), comandante de la milicia Córdoba , 7 0 de infante…</t>
  </si>
  <si>
    <t>Gerónimo, Napoleón</t>
  </si>
  <si>
    <t>Napoleón Gerónimo</t>
  </si>
  <si>
    <t>643</t>
  </si>
  <si>
    <t>a a hacer á Liorna y á Lúea. La causa de esto se atribuye á las noticias que ha recibido Carta de S. M. d los obispos. dé hallarse enfermo su hijo el príncipe Napoleón Gerónimo. Saiot-Clond 25 de abril de i8rx. ,,Señor obispo de.... Las iglesiás mas ilustres y Hambufgo i.° de rrtayo. las mas populosas del imperio están vacant…</t>
  </si>
  <si>
    <t>Ghabrol</t>
  </si>
  <si>
    <t>or está formando de los bienes que haya boi, y se vayan ya en París de vuelta de su viage á Cassel. aumeotando en adelante un fondo para pagar las El conde Ghabrol, intendente general de las pensiones de la nueva orden militar nacional de provincias Ilíricas, llegó el *3 de setiembre á S. Fernando, y aplicando el resto, que d…</t>
  </si>
  <si>
    <t>Gi, Francisco</t>
  </si>
  <si>
    <t>Francisco Gi</t>
  </si>
  <si>
    <t>ya, cadete del segundo de Madrid; los cuatro alumnos de la academia militar de ia Ida de León, D. Juan Monzoi, sargento primer® del citado batallen,: D. Francisco Gi­ nesta!, D. Engodo Moya y D. Dsmiugo Bdlerino, cadetes de Ies regimientos de Cananas, y segundo de Sjvilla, D. Angel Par­ rilla, subtentente de infantería y cade…</t>
  </si>
  <si>
    <t>Giahatn</t>
  </si>
  <si>
    <t>reo de Cidiz psrrato siguiente : • con cartas que alcanzan hasta el i del cúrreme, ■en las qualcs nada se habla de las operaciones del Lei imparcial. general Giahatn. El gobierno lia recibido pliegos „ Ert virtud de Ja leLde la no-importación se de esta ciudad, también con fecha del a ; pero no sentenciarán el 25 de este mes …</t>
  </si>
  <si>
    <t>Gibelin</t>
  </si>
  <si>
    <t>istro pleni­ „ Entre tanto corren los años» y cada dia Ta­ potenciario de la confederación suiza: can nuevos obispados; y si no se aplicase á esto El coronel Gibelin, miembro del consejo me­ un pronto remedio, llegaría á extinguirse el epis­ nor del cantón de Soleare. copado en Francia y en Italia, ,como ha sucedido Por el Ex…</t>
  </si>
  <si>
    <t>Giebow</t>
  </si>
  <si>
    <t>Gaceta de Madrid n.º 3</t>
  </si>
  <si>
    <t>idiéndose en dos alas á detecha é tos, seis heridos, y 2 5 caballos muertos. Ei desta­ izquierda para dar lugar al fuego de nuestra arti­ camento del coronel Giebow ocupó la plaza de llería. Apena» observaron los turcos que los ser­ Bregowo, y todo el día 7 lo empleó en enterrar vios habian salido de los atrincheramientos , l…</t>
  </si>
  <si>
    <t>Giiau-de, José</t>
  </si>
  <si>
    <t>José Giiau-de</t>
  </si>
  <si>
    <t>ncisco B otobs* D. Busardo Vida?, Don Juan de Dios Lasa!», D. F«iip5 Ma varíete, D. Jo&amp;quin Gomez, D. F:ranr?ísco Lop:.z Salazar, D. Manuel BjUmonts, D. José Giiau-de., D. Gaspar Surianor, D. Pablo Lozano, D. Ciato.Eguimbái, y D. Fabián Mantilla; y subtenr notes á D. Juan'Psu*»!», D. J«&amp;é A ios'Ós , D. Pedro Lí/ó, D. Akonio B…</t>
  </si>
  <si>
    <t>Giiemez, Mariano</t>
  </si>
  <si>
    <t>Mariano Giiemez</t>
  </si>
  <si>
    <t>738</t>
  </si>
  <si>
    <t>regimiento de Puebla. El dragón José Domínguez mató 5 insur ceníes para recobrar un estandarte que se llevaban del cuerpo de Frontera. — El cirujano D. Mariano Giiemez , viendo que á ua dragón del regimiento de México le habían muerto el caballose apeó del suyo, y se lo dió , diciendo que en su poder seria mas útil. En el reg…</t>
  </si>
  <si>
    <t>Giiercña, Juan José</t>
  </si>
  <si>
    <t>Juan José Giiercña</t>
  </si>
  <si>
    <t>s ulapa ). — Provincias internas. — De Señora : el Sr. Lie. Don Manuel-María. Moreno , racionero de la santa iglesia de Puebla. De Durango : eí S Dr. D. Juan José Giiercña , doctoral de la santa iglesia de Puebla, y provisor de aquel obispado. De Coagüi'a : el Sr. Dr. D. Miguel Ramos de Arizpe , cura del Real de Borboxi. Diar…</t>
  </si>
  <si>
    <t>Giimoens, Nicolás</t>
  </si>
  <si>
    <t>Nicolás Giimoens</t>
  </si>
  <si>
    <t>un­ deo del mismo nombre, ya extinguido, graduado de coronel D. Ju­ lián Anaya ; el empleo de capitán de infantería agregado en el quinto exército, á D. Nicolás Giimoens ; y subtenencias en el regi­ miento de infantería de Zamora, á D. Jasé Vicario, es dete del pro­ pio cuerpo: y en el de Valencia, á D. Fernando Pén&amp;rrubia, a…</t>
  </si>
  <si>
    <t>Gil</t>
  </si>
  <si>
    <t>Bautista), ayudante mayor da Real Fxtrangero. Caballé,ía ligera de nuestra guardia real. Blancas (D. Mariano) , oficial de la secretaría del Duvaud (D. Gil), gastador del regimiento de ti­ ministerio de Indias. radores de la misma. Bon (D. Juan), cabo del regimiento Real Ex- Echazarreta ( D. Manuel), prefecto de Jaén. tranger…</t>
  </si>
  <si>
    <t>Gil, Gregorio Vkente</t>
  </si>
  <si>
    <t>Gregorio Vkente Gil</t>
  </si>
  <si>
    <t>DIA II DI NOVIEMBRE dB I 8l I. jerarquías, é igualmente había recogido 5 00 exemplares, que encajonados existían en poder del autor, que aparece ser D. Gregorio Vkente Gil , oficial de la Efectos públicos. secretaría del consejo real de Castilla , de cuyo indivi­ duo se leyó una representación , solicitando se le de­ Vales re…</t>
  </si>
  <si>
    <t>Gil, José López</t>
  </si>
  <si>
    <t>José López Gil</t>
  </si>
  <si>
    <t>tes del propio regimiento de guardias Walonas D. José Ma­ ría de Craywinchel y D. Francisco de Arco. Siguen los donativos de la provincia de Tucatan. D. José López Gil, 4 pesos. Juan Andrés Rodríguez , 4. Tiburcio Alcayada, 1. Juan Rus, 1. Lázaro García, 1. José Perez, 1. Juan Duarte, 2. José Ignacio Matos, 1. Fernando Pina, …</t>
  </si>
  <si>
    <t>Gil, Josef San</t>
  </si>
  <si>
    <t>Josef San Gil</t>
  </si>
  <si>
    <t>.................. - icol 8008 cente, núm. 00.................... 1620 12960 Una bodega calle de Trini- . Otra junto á la parroquia de dad, que ocupa D. Josef San Gil, núm. 2............... 600 4800 Laazuda.............................. 836 - 6688 Otra en la calle de los Pasos, Una casa, calle Rodalarota, núm. 4..............…</t>
  </si>
  <si>
    <t>Gil, Juan</t>
  </si>
  <si>
    <t>Juan Gil</t>
  </si>
  <si>
    <t>dando lo* enemigos muestras de desamparar el edi­ ficio, determinó que la compañía efe tiradores del citado primer ba­ tallón al mando del subíenúrtc D. Juan Gil, sostenida de otra de caballería, y dos co um as que apoyasen oot derecha é izquierda á las mencionadas, avanzasen al pueblo. Este recomendable oficial y sus valient…</t>
  </si>
  <si>
    <t>Gil, Mariano</t>
  </si>
  <si>
    <t>Mariano Gil</t>
  </si>
  <si>
    <t>haber sido necerarip con este motivo pre­ cipitar la operación ántes de que las partidas llegasan á los puntos se­ ñalado?. El teniente d« granaderos D. Mariano Gil, llevando de se­ gundo al de su misma clase y compañía D. José Ciiment, entró á to­ do correr en dicha villa , y encontrando en la plaza á unos coraceros, les dis…</t>
  </si>
  <si>
    <t>Gil, Pedro</t>
  </si>
  <si>
    <t>Pedro Gil</t>
  </si>
  <si>
    <t>Nicolás Guilis / 10. D. Francisco Muñoz, capitán , 20. D. José 'Fray-re, id., 25 l&gt;. Alejandro Marcin , id., 200. D. Francisco ele la Pena, id. , 5. D. Pedro Gil., teniente, 10. D. Fran­ cisco Argaez, id., 10. D. Roque Gil, id., 6. D. José .Bello , id. 10. D. Ga­ briel Santos, id., 10. D. Juan Truxillo , subteniente, 50. MT. …</t>
  </si>
  <si>
    <t>Gil, Roque</t>
  </si>
  <si>
    <t>Roque Gil</t>
  </si>
  <si>
    <t>sé 'Fray-re, id., 25 l&gt;. Alejandro Marcin , id., 200. D. Francisco ele la Pena, id. , 5. D. Pedro Gil., teniente, 10. D. Fran­ cisco Argaez, id., 10. D. Roque Gil, id., 6. D. José .Bello , id. 10. D. Ga­ briel Santos, id., 10. D. Juan Truxillo , subteniente, 50. MT. José María Ibarra, id, ¿ ó.^D.v^hiyiteo Ortega , id: 10. * D…</t>
  </si>
  <si>
    <t>Gillet</t>
  </si>
  <si>
    <t>n la trinchera, re­ cesarios para pasar eLrír». El capitán de ingenieros cibieron orden de salir , de dirigirse á la garganta hidráulicos Royon, y el capitán Gillet, coman­ del fuerte, d- romper la empalizada, y de entrar dante de pontoneros, trabajaron en esto con tal ac­ en las obras. Esré'rhovimienro fue executado coa tivi…</t>
  </si>
  <si>
    <t>Giménez, Pedro</t>
  </si>
  <si>
    <t>Pedro Giménez</t>
  </si>
  <si>
    <t>zada, O. Manuel Rodríguez, D. Fernando López, D Faustino Navarro* D. Santiago Pereyra , D. Pedro González , D J í^n Ssnovilla , D Ig­ nacio Carrasco, D. Pedro Giménez, D. J?.yme Qjirós, D. Sabas Ma­ rín , D. J isé Ortega , D. Juan Vázquez, D Manuel Sánchez, D. An­ tonio Bermejo, D. Luis Puente, D. Aotolin Sigiienza, D Matías …</t>
  </si>
  <si>
    <t>Giorgt</t>
  </si>
  <si>
    <t>hecho, L* - S. M. ha h^cho varias premociones, y han si­ asociado á sos ideas y proyectos ai señor Andrés do nombrados feid-mariscalcs los generales conde Giorgt, dueño del terreno que cubre estas rui at Etsen y conde Stediogk. antiguas&gt; y de común acuerdo han conseguido de El lunes próximo se celebrará un capítnlo de la auto…</t>
  </si>
  <si>
    <t>Giraido</t>
  </si>
  <si>
    <t>i quien ha recibido regalos de Napoleón en ESPAÑA. «Bayona (i), y está aquí desempeñando comisioCádiz 2j? de julio. «nes de la mayor importancia.” El diputado Giraido, apoyando con vehemen­ DIARIO DE LAS CORTES. cia la adopción de la medida , dixo, entre otras co­ sas ; ,,Yo me acuerdo , Señor , que se hizo aquí uná Eo la ses…</t>
  </si>
  <si>
    <t>Giral, Pedro</t>
  </si>
  <si>
    <t>Pedro Giral</t>
  </si>
  <si>
    <t>o L'ongueville, 30. D. Félix Estrada, 10. D. Fran­ cisco Col jantes , 40. D. Rafael Cortes , 10. D. Juan José Zambrano, 10. El barón de Bastrop, 100. D. Pedro Giral, 50. D. Manuel Delgado, 10. D. Luis Galan, 10. D. Félix Mencliaca, 50. D. Manuel Nunez, 10. Varios individuos 144 y 6 rs. Los vecinos de la misión de la Espada, 2…</t>
  </si>
  <si>
    <t>Giraldo, Diego</t>
  </si>
  <si>
    <t>Diego Giraldo</t>
  </si>
  <si>
    <t>.......... 26178 22 D- Josef Gonzalo y D, Miguel D. Simón Viegas............................. 22486 6 Ruiz de Celada......................... » 34000 D. Diego Giraldo............................. 3348 25 D. J o«ef Ignacio de McoÜia........... 9538 21 D. Luis Antonio Treviño*............... 8340 8 La duques, de M hon....*.....…</t>
  </si>
  <si>
    <t>Giraldo, Ramón</t>
  </si>
  <si>
    <t>Ramón Giraldo</t>
  </si>
  <si>
    <t>extraordinarias á ía renovación de su presidente, v*ce presidenta y secretario en la se­ sión de 24 último, salieron electos - para presidente el Sr. D. Ramón Giraldo, diputado propietario por la provincia de la Mancha; para ▼ice-presidente el Sr. D. Francisco de la Sima, diputado suplente por Avila, y para secretario el Sr. …</t>
  </si>
  <si>
    <t>Girar, Jcaqmn</t>
  </si>
  <si>
    <t>Jcaqmn Girar</t>
  </si>
  <si>
    <t>ncias « D. Manuel do Haces, D. Roque Tesantes y D. J.**n M ateo, tenientes del mismo «gcnarlton; 'y empleos de a&amp;rez á ios du la propia dase y cuerpo D. Jcaqmn Girar, D'.Jtafael Marín Cés­ pedes , D. Mateo Cerezo y D. Lina G tu ierras; y en los escuadrones de húsares provinciales da A? agen , ia comandancia del srguud.o á D. …</t>
  </si>
  <si>
    <t>Girará</t>
  </si>
  <si>
    <t>spensables. El general Foy evacuó á T/úxilío el 16, dexíndoto enteramente aniquilado y sin ningún medio de subsistir hombres ni caballos.— Del 24. El general Girará tiene su cuartel general en Zafra, y ocupa á Mérida con el objeto de sacar de los pueblos de su partido los víveres y efectos que necesita Badajoz para un año, y …</t>
  </si>
  <si>
    <t>obernador francés de Ciudad-Rodrigo, Mecho prisionero per los csj afiolr-s a las mismas puertas de la piara. Ha mosteado extrañar mucho la'donata del general Girará ea Extremadura, diciendo que las tropas de aquella división oran la flor éc todas las francesas que militan «o España. PORTUGAL. Lisboa 10 de diciembre.— Oficio d…</t>
  </si>
  <si>
    <t>Girard</t>
  </si>
  <si>
    <t>onsiderable de arti­ llería, dirigiéndose á Extremadura. La columna francesa movible de Córdoba, ha avanzado hasta Azuaga, y se ha reunido con la del general Girard. Parte de su infantería que estaba en Guadalcanat fué atacada el l.° de éste mes por dos cuerpos de Ballesteros, quedando el campo sembrado1 de cadáveres francese…</t>
  </si>
  <si>
    <t>l Vfgent, del regimiento 64.°,1fue herido', como también el capitán Mesclop, y Chau- herido. Los regimientos 34. 40/V64.0 y B8-% y ▼el , edecanes del general Girard, y los capitanes un bat’allon del 28;0 de ■ infantería ligera, mandado Lapoterie y Fresat» del estado mayor general. f por el gefe de batallón Camus, se. distingu…</t>
  </si>
  <si>
    <t>or sa entre é. y él fuerte dé S. Cristóbal. Luego que es­ d, nuedp en esta acción atrevida. Él diario del sitio tuviese forzada 1a derecha , debía el general Girard hará la enumeración dé ellos. Nuestra pérdida eo mudar" de dirección , y caer por fe derecha sobre e*ta ocasión no es mas que de siete á ocho hom­ «A grueso de la…</t>
  </si>
  <si>
    <t>Gírard</t>
  </si>
  <si>
    <t>junto &amp; Utrera un convoy que iba i Ronda con 15000 pesos en dinero, baxo la es­ colta de üO dragones, que fueron pasados á cuchillo. ha. división del general Gírard se ha acuartelado en Llerena, y va menoscabándose considerablemente por razón de las enfermedades. Los franceses mismos han divulgado que de orden de Napoleón mar…</t>
  </si>
  <si>
    <t>es tuvieron el honor de comer la patria y el aumento de la prosperidad nacio­ con SS. A A. nal. En consecuencia de esto ha señalado S. M. el S. E, el general Girard, enviado extraordina­ día 2f de agosto para la abertura de la dieta, que rio y ministro plenipotenciario de S. M. el Reí de hará S. M. personalmente , dando con e…</t>
  </si>
  <si>
    <t>1194</t>
  </si>
  <si>
    <t>1194 Si el general Girard no tiene con tiempo no­ ticias de este movimiento del exército ingles, y aprovecha el dia de hoy para tomar el camino de Mérida , deberá verse jnuy embarazado ¿ no que­ dándole otro recurso que el de dirigirse á Truxillo: y si en este caso los ingleses, en un</t>
  </si>
  <si>
    <t>1195 el general Montbrun y el coronel duque de Aremberg han sido el fruto de esta victoria. El general Girard huye herido por la montaña, y se sigue a los enemigos en todas direcciones. El teniente coronel D. Nicolás de Santiago; primer ayudante de V. E., que se ha hallado con­ migo en esta acción, informará á V. E. de sus d</t>
  </si>
  <si>
    <t>1214</t>
  </si>
  <si>
    <t>cia de Alcántara 25 de octubre. La Tetivada qu? hizo de O^ccres «4 13 de este mes la vanguardia del qu;nío fxée-to á Vista de la ¿‘visión enemiga del general Girard, es una de ¿;?s operaciones que mas honor hacen á asue las bizarras trepas y á su-digco co­ mandante conde de Penne,ccmo fe verá por el trapa rente extracto del p…</t>
  </si>
  <si>
    <t>ballería, y todas las tropas se reunieron al anochecer en el pueblo de Alcuescar. Al llegar á él , supimo3 con no poca admiración que la división del general Girard.se hallaba,en Arroye-Molinos, lugar situado á una Tegua corta de Alcuescar, de lo que cerciorado el señor general Hili, dió sus disposiciones para atacarlo al ama…</t>
  </si>
  <si>
    <t>1227</t>
  </si>
  <si>
    <t>totalmente sorprehendido, formad y en marcha, no tuvo lugar de tomar ninguna disposición, ni ;|i.»d.O' hacer otra cesa que huir, rendirse ó morir. El general Girard con alguna parte de ice infantería logró tomar Una sierra muy inmediata al camino, pero¡)f0irstcgnido en ella con el mayor ardimiento por toda mi infantería jperi…</t>
  </si>
  <si>
    <t>a ea esta e.upr^a, yzen acreedores í una justa remuneración. Ei enemigo lleva la dirección en su ¡retirada hdeia el .pueblo do Ib ¿¿ornando , con fcl general Girard á la cabeza , y el o.rigao.il: r</t>
  </si>
  <si>
    <t>ó 3 escuadrones ingleses para ocupar y observar la llanura al pie de las montañas, por donde se retiraba el grueso de la infan­ tería enemiga con su general en gefe Girard, y demás de aquella ar­ ma. En esta posición recibí orden de perseguir y observar á les ene­ migos, que se retiraban con dirección á Medellin, llevándome u…</t>
  </si>
  <si>
    <t>de este exército Don Pídro Ag ustín Girón , en demostración de su aprecio y recuerdo de lo que contribuyó con su valor y pericia i la victoria. — El general Girard estaba el 13 da este ras* eu Villa franca, curándose desús heridas. Escriben de A?tíf bou con facha de 30 del pasado que la partida del Médico mató el 19 e - Sonsa…</t>
  </si>
  <si>
    <t>Girard, Alfonso</t>
  </si>
  <si>
    <t>Alfonso Girard</t>
  </si>
  <si>
    <t>las Carretas; Minunio Connesa , D. Pedro Celestino de los Arcos , Don tria , calle de Toledo, y Villa , plazuela de Santo Do­ Antonio María Cortés y D. Alfonso Girard co­ mingo, suelta á real; puesta en música con acompa­ misarios de guerra de segunda clase. ñamiento de piano á q rs.; id. de guitarra í 3. se hizo una feliz al…</t>
  </si>
  <si>
    <t>Girard, Josef Antonio</t>
  </si>
  <si>
    <t>Josef Antonio Girard</t>
  </si>
  <si>
    <t>uijo.” Doña Josefa de Aguirre por su apoderado D. Lo­ Extracto de las minutas de la secretaría de renzo de Iruegas............... 23 5806..27 Estado. D. Josef Antonio Girard...... 980 En nuestro palacio de Madrid^ 17 de agos­ D. Pedro Pablo Pastor.......... 4929..1 a to de 181 x. D. Francisco López Nuñez. 525o Don Josef Napol…</t>
  </si>
  <si>
    <t>Girard, María Micaela</t>
  </si>
  <si>
    <t>María Micaela Girard</t>
  </si>
  <si>
    <t>..................i: 397 1 9 10125 4 D. Mateo Gil de Sola......................... 44 IQ 1 D. Josef Catnacho............................... • 90 8| 4 Doña María Micaela Girard..............- l8l8 16 D. Sebastian Loche............................. - 15342 17 2 D. Josef Miguel de Vázquez...... 2 D. Joaquín Martínez.............…</t>
  </si>
  <si>
    <t>Gírela, Alfonso</t>
  </si>
  <si>
    <t>Alfonso Gírela</t>
  </si>
  <si>
    <t>, D. An­ tonio Bermejo, D. Luis Puente, D. Aotolin Sigiienza, D Matías Te­ resa, D. Juan González , D Manuel Calvantes, D. Jé Mora, Don Juan Morgaez, D Alfonso Gírela, D. JranGamez , D. L *&gt;n Acnña, D. Esmeraido Acuña, D. José Correa Ioañez,D. Ramón Salas y Don Julián Retana. Buques que han recogido correspondencia en la admi…</t>
  </si>
  <si>
    <t>Girocda</t>
  </si>
  <si>
    <t>= El Finisterre. Sena Inferior. ministro de la Guerra = Firmado = duque de Gard. Somme. Feltre. Genova. Var. Concluida la lectura de este informe, el conde Girocda. • Vendee. Regnaud de St. Jean d’Angeli tomó la palabra, y art. ni. Diez mil conscripto* de cada una de habló en estos términos: las clases de 1813, 1814, 1815 y 1…</t>
  </si>
  <si>
    <t>Girón, Eulalia</t>
  </si>
  <si>
    <t>Eulalia Girón</t>
  </si>
  <si>
    <t>. Patricio Sisa raso ,12. D. Pedro de Ediave , 25, O, Bruno Célicos , 25. D. Matías Gazrnan , 25. D. Francisco Sierra , 25. I). Francisco Ochoa , 12. Doña Eulalia Girón , 12 — Guaracorido. La co­ munidad de indios , 280. El alcalde mayor D. Angel Reyes, 25. El re­ caudador de reales tributos. D. Mariano Pimentel por sí y por …</t>
  </si>
  <si>
    <t>Girón, Pedro Agustín</t>
  </si>
  <si>
    <t>Pedro Agustín Girón</t>
  </si>
  <si>
    <t>ército con /Igneos cuerpos y los desmontados pasaron á Villaviciosa, quedando a! man ió del segundo general en gefe del mismo el ma­ riscal d:; Tempo D. Pedro Agustín Girón las tropas que de este úl­ timo exérciío se unieron al cuerpo expedicionario.</t>
  </si>
  <si>
    <t>Girurd</t>
  </si>
  <si>
    <t>tropas toda la ar­ tillería, equlpages y bagages , prisioneros eí general Moatbrua y el príncipe de Areraberg-, y la mayor parte de Ioj oficiales. El general Girurd, malamente herido, ha. escapado coa un batallón; pero es natusre? oüe sufra igual suerte. El Excmo. Sr. general en gífa ha dispuesto que con motivo de tan feliz a…</t>
  </si>
  <si>
    <t>Gistsños</t>
  </si>
  <si>
    <t>acen por Santander ó por León. JE?. liris mo día 23 estuvo aquí un oficial de *&lt;tj guerrillas patrióti­ cas .de 1&amp; Rioji, qu-s venia con ór-lenes del general Gistsños para 4£tio se lo sumúmir&amp;csn municionesy.nos dio la noticia de que. el general Menc!Izaba! «s otaba tn camino para, tomar el mando del sépti­ mo exército y prov…</t>
  </si>
  <si>
    <t>Givaja, Santiago</t>
  </si>
  <si>
    <t>Santiago Givaja</t>
  </si>
  <si>
    <t>ente de la quinta compañía. D. Antonio Feireras á subteniente de la tercera D. Ignacio Dubá , sargento primero, á subtenien­ compañía en reemplazo de D. Santiago Givaja. te de la sexta compañía. D. Josef Pérez Nestares á subteniente de la quinta compiñía en la vacante de D. Antonio Ferreras» Séptimo batallón. art. vil. En la …</t>
  </si>
  <si>
    <t>Gjfflenoa, Villeneuve Alexandro</t>
  </si>
  <si>
    <t>Villeneuve Alexandro Gjfflenoa</t>
  </si>
  <si>
    <t>i humilde y obediente ser­ ron también, por lo qnal recayó el mando en mí vidor el coronel ayudante de campo = Firmados según el uso de la guerra; el alférez Villeneuve Alexandro Gjfflenoa.” mandaba las maniobras. A cosa de las diez y me­ dia, habiendo perdido la Favorita sus masteleros, ESPAÑA. me dixo el alférez que ya no p…</t>
  </si>
  <si>
    <t>Glass, Diego Guilitdmo</t>
  </si>
  <si>
    <t>Diego Guilitdmo Glass</t>
  </si>
  <si>
    <t>arozo , &lt;&gt;00.IX Juan Antonio’ Llórente , 1000. Sres. Olasaguilia é Inara, 1000. J&gt;. Pedro Antonio de Aguinre , Diputado en Cóvlcs por Cádiz . 10()(). D. Diego Guilitdmo Glass, 2000. D. José Joaquín de : Manchólas, 50ü. Id conde’ de Motcjjvima, en una letra sobre Lorea , 3000 El •provisor t&gt;. Mariano Martin Esperanza , 3000. 1…</t>
  </si>
  <si>
    <t>Glcles</t>
  </si>
  <si>
    <t>retirado á las prisioneros. Nuestra pérdida fue dequatro cosacos montañas inmediatas al canal de Josef, y el baxá heridos y ocho caballos muertos. Et coronel Glcles h 1 ido persiguiendo en su retirada. bow se apoderó el dia 4 del arrabal , y en la no­ Otros dos baxaes han marchado con grandes che del 5 el mayor de artillería …</t>
  </si>
  <si>
    <t>GmiíU</t>
  </si>
  <si>
    <t>isn hasta mas allá de Ctarnellana, donde se había posicionado para itfeade* el piso d:d N^rc^a. JE* coronel GmiíU;r, ¿ quien me reusi cw Gado, no bebiendo encontrado ni ua habitante, ss li dió ca el ú tíai# a[;«?e para sub­ sistir: y no habiendo-Urgido la galleta que yo esperaba de Leo*, * 1 ’ : * part</t>
  </si>
  <si>
    <t>Gnidia</t>
  </si>
  <si>
    <t>go, logrando con esto cor»te-series y hacerles retroceder con 3 heridos. V&amp;se ía carta que interceptamos del covian­ dante de la división enemiga, el coronel Gnidia, en que participa á su general los sucesos de-aquella jornada. ,5Mi general: £1 u he ido á Lutnbicr, en donde he srbido que Espoz había pasado en el misos© día co…</t>
  </si>
  <si>
    <t>Gó, José</t>
  </si>
  <si>
    <t>José Gó</t>
  </si>
  <si>
    <t>a, 600. D. José San Juan, 600. D. Manuel Gutiérrez de Caballos, 600. D. Manuel de Olea, 500. Mozos de tas tiendas. — D Manuel González Plancho , 500. D. José Gó­ mez Soldado, 300. D. Antonio Tagle , 300. D. José del Rivero, 200. D. Ma3uu-[ Salceda, 200. D. José Candido Sánchez , 300. D. Juan García , 200. Don Dionisio de Hoyo…</t>
  </si>
  <si>
    <t>Goámot</t>
  </si>
  <si>
    <t>la gloriosa acción del 25, de que por mi» ocupaciones no he podido todavía dar parte á V. E., han estado es­ tas tropas con las amias en la mano. El general Goámot con 5000 hombres se dirigió desde el Prado del Rey el 27, y campó en las alturas inmediatas á 'a venta de la Montera , distante d«s leguas y media de Ximena. Este …</t>
  </si>
  <si>
    <t>Godi</t>
  </si>
  <si>
    <t>re , en el dis­ nes co.orextes hacen crear que una división ale sus trito de Coni. En menos de hora y medii queda­ tropas re encontró empeñada con el general Godi- ron reducidas á ceniza* 36 casas de las 40 de que not, el qnal habiendo baxado de Jaén y de Ube- se componía la aldea. Cosecha, ganado, muebles, d3, logró rodear J…</t>
  </si>
  <si>
    <t>Godinot</t>
  </si>
  <si>
    <t>pri­ águila , cuya pérdida no puede imputarse á este mer cuerpo, envió una división hácia Cádiz. El regimiento, por haber sido destacados sus solda­ general Godinot envió también noeve batallonc:; dos en clase de tiradores y tropas sueltas. pero estos refuerzos, que hubieran sido mui útiles, El general Ruftio se halla también…</t>
  </si>
  <si>
    <t>gobernador de la provincia, en que *6 decia haber sido desbaratado eí tercer «xército y la división que ti general BLke desembarcó en Ahnería; que eb general Godinot destrezó el 0 entre Pozo-halcón y Zajar á los Guardias walonasq que</t>
  </si>
  <si>
    <t>o el Genil; se dirigió in­ ,, Esta» acciones y los movimientos que han pre­ mediatamente á Casariche y Badolatosa con 40 cedido hacen, mucho honor al general Godinot , al dragones y 40 hombres de infantería que tenia con­ señor corooel Dulong, del 12.® de infantería lige­ sigo ; encontró la partida del Bolsero cerca de estos …</t>
  </si>
  <si>
    <t>Godizos</t>
  </si>
  <si>
    <t>cot man­ sn corazón, y que los transmitirán en h-renda á daban cada nno otra brigada. tos hijos, y por medio de estos á todos sus des­ ,, Encargué al general Godizos que con su bri­ cendientes." gada y con cinco esquadronet que se le juntaron, Los refirmado* han respondido á esta carta en mandados por el general 4c brigada Br…</t>
  </si>
  <si>
    <t>Godoi, Juan</t>
  </si>
  <si>
    <t>Juan Godoi</t>
  </si>
  <si>
    <t>tero. Homes, dueño del barco la Sirena, en Blak- Para el de Domingo Perez, vacante por pro­ wall, inmediato á Londres, orillas del Támesis. moción de D. Juan Godoi al de Picana, al ex-car­ Cochea, jadío, propietario del navio Alexati- melita calzado D. Domingo Gómez.</t>
  </si>
  <si>
    <t>ncia de D. Juan moción de D. Basilio Maldohado á beneficio de Gai/ido, en el término de 30 (lias, pontados desde el Picena, al ex-regular franciscano D. Juan Godoi, 23 de diciembre, que se-admitirán las que se hicieren cura de Domingo Perez. siendo arregladas. Para el de Pinos Pnente, vacante por muerte de D. Joaquín Marrinez…</t>
  </si>
  <si>
    <t>Godoy, Juan Francisco</t>
  </si>
  <si>
    <t>Juan Francisco Godoy</t>
  </si>
  <si>
    <t>es , id, segundo , 2, IX Esteban de Urbieta, mayoral, 1, D. Antonio Fialio , contramayoral, 1, D. Santiago de Tagie, sobrestante dé la cigarrería, 2, D. Juan Francisco Godoy ,.sobrestante del encajonado , 1. D. Rafael Pacheco, portero , 1. Don José Felipe García , sobrestante del rapé, 1 y un real. D. Nicolás Nuñez de Acosta,…</t>
  </si>
  <si>
    <t>Godrington</t>
  </si>
  <si>
    <t>Gaceta de Madrid n.º 252</t>
  </si>
  <si>
    <t>1029</t>
  </si>
  <si>
    <t>ir el poco alimento que toma, y si lo traga drán ser mayores. Tal es el tributo que la buena es á fuerza de medios medicinales. S. M. no cono­ fe del capitán Godrington paga á ios talentos mi­ ce absolutamente á ninguna de las personas que le litares de los que han dirigido el sitio de aquella asisten , ni las distingue por e…</t>
  </si>
  <si>
    <t>Goef</t>
  </si>
  <si>
    <t>e artillería. Los españoles y portu­ unido otro de infantería del regimiento 43.0, al gueses convienen en que han perdido mas de 3®. m .ndo dei señor capitán Goef¿, por ci mucho ro­ Nosotros tenemos también que sentir la pérdida deo que tovn que dar, no titubeó un instante en de un gran número de valientes: con todo, la nues­…</t>
  </si>
  <si>
    <t>Goereta, Severo</t>
  </si>
  <si>
    <t>Severo Goereta</t>
  </si>
  <si>
    <t>cisco Barsanti, teniente, á ayudante segundo. potecarias y certificaciones del servicio corriente, que contiene el suplemento á la gazeta de ayer, se D. Severo Goereta, abanderado, á subtenien­ ha omitido en la línea 15 la expresión siguiente: te de la novena compañía. hasta fin de febrero de este año. Segundo batallón. Lo qu…</t>
  </si>
  <si>
    <t>Goicolea, Manuel</t>
  </si>
  <si>
    <t>Manuel Goicolea</t>
  </si>
  <si>
    <t>ido, Don Juan Francisco de Llano y Sangines,'D. Bernardo Pérez, D. Joa­ quín Casalduero, D. Pedro Juan de Zulueía, marques de Villareal de Purullesa, D. Manuel Goicolea, D. Gaspar Aguado y D. Fran­ cisco Noguer; tenencias á D. Mauricio de L -rgacha, D. Jo é Per­ noto , D. José deGaiilenea, D. Esteban S. Miguel, D. José Anto­ …</t>
  </si>
  <si>
    <t>Goitia, Santiago</t>
  </si>
  <si>
    <t>Santiago Goitia</t>
  </si>
  <si>
    <t>0. D, José María Valenzuela, 200. El P, Fr. Vicente de la Peña ft nombre del convento de religiosas de Sta. Catalina dé Sena de aquella capital, 500. D. Santiago Goitia, 100. D. Cosme Dimian, gobernador de la parcialidad de S. Pabb» Tepemaxalco , D. Bernardiuo de la Cruz , los de­ mas gobernadores que han sido , los alcaldes …</t>
  </si>
  <si>
    <t>Golboi</t>
  </si>
  <si>
    <t>y el Marengo. A bordo de una de ¡as Cliueh; el Raven, de 16, capitán Lennock; el embarcaciones apresadas por este último se li dia­ PrSspero, de 14 , capitán Golboi; el Kite, de 16, ban el mayor general Layard, que fue últimamen­ capitán Crispin; el Parthian, de i6, capitán Tom- te gobernador de Curazao: ,Mr. Vanderspiegel, k…</t>
  </si>
  <si>
    <t>Goldsmit</t>
  </si>
  <si>
    <t>ro suelo. competido en zeio y en valor la guardia nacional y los marinos. Nosotros no hemos tenido ai siquie­ Amsterdan gi de enero. ra un herido. El doctor Goldsmit, encargado de la opera*</t>
  </si>
  <si>
    <t>Gom, Joaquín</t>
  </si>
  <si>
    <t>Joaquín Gom</t>
  </si>
  <si>
    <t>............................. 2700 Sor Alfórisa de S. Nicolás............... 2587 17 Vales reales.................................. ........ 9S$ ¿Í ] D. Joaquín Gom z....... ............................... 270 Cédulas hipotecarias.......................... . 97 j Certificaciones del tesoro público.... 84 D. Santiago de Abarra…</t>
  </si>
  <si>
    <t>Goma, José</t>
  </si>
  <si>
    <t>José Goma</t>
  </si>
  <si>
    <t>dina, 500. D. Hemeterio Dalias, 500. D. Juan Agustín de Ibarra , 300. D. Domingo Sainz Pardo, 200. D. Pedro Rosell, 200. D. Buenaventura Gualba, 200. D. José Goma, 100. D. Andrés Ibarra, 100. D. -Juan de la Fuente y Valle , 100. D, An­ tonio de Estrada , 100. D. José Buenaventura Batllé , 100. D. Vicente Ta­ layera, 100. D. B…</t>
  </si>
  <si>
    <t>Gome, Bernardo</t>
  </si>
  <si>
    <t>Bernardo Gome</t>
  </si>
  <si>
    <t>s de la secretaría del con­ sejo y cámara de Castilla ,513. D.. Manuel Chasco , 60. La condesa viuda de Lcrena , o30. D. Antonio Lope/. Quintana, 20. D. Bernardo Gome , 20. D. Antonio Muño/. , 20. El señor marques viudo de las Hormazas , 2000. D. Francisco Demande Mputañs, 40 D. Tomas Casado , 20. D. José .María I’aniagua, 20…</t>
  </si>
  <si>
    <t>Gomer, Miguel</t>
  </si>
  <si>
    <t>Miguel Gomer</t>
  </si>
  <si>
    <t>Jacobo Enrique Mistíer , 400. IX Andrés del Fresno, 120. D. Francisco Miguel Barón , 500. Don Ramón Soler, 504. D. Juan Francisco de Vergara , ItíOO. D. Miguel Gomer, 400. D. José JLaíihre, llKX D. Juan García de Falencia, 150. D. Valentín. Tar* ris, 2000. (Sé continuará.) CADIZ t EN LA IMPRENTA REAL.</t>
  </si>
  <si>
    <t>Gómez, Bruno</t>
  </si>
  <si>
    <t>Bruno Gómez</t>
  </si>
  <si>
    <t>espesa, capitán del z° dé Saboya: á D. Vicente Hernán­ dez , capitán del de Iliberia: al teniente coronel D. Antonio Roten, capitán del de Almería: á D. Bruno Gómez, capitán del de Améri­ ca : al coronel D. Pió Falces, capitán del de Iliberia: al teniente co­ ronel D. Manuel Llauder, capitán del extinguido batallón de volunta…</t>
  </si>
  <si>
    <t>Gómez, Casimiro Antonio</t>
  </si>
  <si>
    <t>Casimiro Antonio Gómez</t>
  </si>
  <si>
    <t>r la gracia de Dios y por la cons­ s D. Alfonso de Mena...... ..................... 180 17 titución del estado, RUI de las Españas y de las Indias. 2 D. Casimiro Antonio Gómez............ 6859 Vistas las consultas de la comisión de liquidación de la 6 D. Santiago Gsvirati......... ..................... 8032 8’ deuda del estad…</t>
  </si>
  <si>
    <t>Gómez, Domingo</t>
  </si>
  <si>
    <t>Domingo Gómez</t>
  </si>
  <si>
    <t>mediato á Londres, orillas del Támesis. moción de D. Juan Godoi al de Picana, al ex-car­ Cochea, jadío, propietario del navio Alexati- melita calzado D. Domingo Gómez.</t>
  </si>
  <si>
    <t>Gómez, Felipe</t>
  </si>
  <si>
    <t>Felipe Gómez</t>
  </si>
  <si>
    <t>cotral «O art. 11. En la villa de Cónstantina se forma­ Francia. rán tres compañías: Para comandante de éstas compañías queda GRAN BRETAÑA. nombrado D. Felipe Gómez; para ayudante Don Rafael Campana, y para abanderado D. Antonio Londres 6 de febrero. Villaroel. Tenemos la satisfacción de comunicar á nues­ Asimismo quedan nomb…</t>
  </si>
  <si>
    <t>Gómez, Francisco</t>
  </si>
  <si>
    <t>Francisco Gómez</t>
  </si>
  <si>
    <t>este decreto. = Firmado = YO EL REI — por S, M., el ministro secretario de Estados EirmaTenientes. do = Mariauo Luis de Urquijo.” D. Joan Sarroll 1. D. Francisco Gómez. D. Juan García. El dia 4 del corriente se celebró la apertura de la real academia de Ingenieros, creada por S. M. Subtenientes, cu esta capital eu virtud del …</t>
  </si>
  <si>
    <t>o, D. Nmroírío Cor­ vino, D. Biitoiomé Wüitt, D. José Wüitt, D. Manuel Vago, Don Simón d&amp; la Greta, D. Ramón Lanctoy, D. José Andalo, D. José García, D. Francisco Gómez, B. Antonio Díaz, D. Juan Sánchez y D. Gregorio Vázquez; y subtenencias á D. Francisco Rafael, D. Manuel Taquinet©, D. íhdegria Msliana , D. Podro Pascual del…</t>
  </si>
  <si>
    <t>Válls, 40. D. Pascual Este vez , 44. José Aliguel Andino, 502. D. Manuel González , 30 y 2. D. Juan Manuel Fe.ixoo , 60. D. Manuel Carambó , 76 y 2. D. Francisco Gómez , 80. D. Antonio Lizurra , *50. Varios vecinos del par­ tido de Toa-baxa, 193. Id. del partido de Toa-alta, 800 y 4. Id. del partido de Guainabo ,210. Id de la…</t>
  </si>
  <si>
    <t>Gómez, Gregorio</t>
  </si>
  <si>
    <t>Gregorio Gómez</t>
  </si>
  <si>
    <t>erse escapado so*© 5 gendarmes, todos heridos, quedando 6 prisioneros con ei escribano y compañeros, y los demas muertos. Eí mismo Palárea, unido coa D. Gregorio Gómez, comandante de los húsares de Avila , trataron de interceptar con sus-pailitas los convoyes del enemigo sobré el camino de Madrid á Extrema­ dura; y con fecha …</t>
  </si>
  <si>
    <t>Gómez, Jnsef de la Cruz</t>
  </si>
  <si>
    <t>Jnsef de la Cruz Gómez</t>
  </si>
  <si>
    <t>Gaceta de Madrid n.º 224</t>
  </si>
  <si>
    <t>dez, á vuestra vista este quadro analítico de art. ti. Nombramos por capitán de esta com­ los elementos de que se componen los ingresos , pa­ pañía a D. Jnsef de la Cruz Gómez, teniente que ra que veáis quan bien asegurados están, y la enu­ fue del regimiento de infantería de Malaga, y por meración de las causas que han contr…</t>
  </si>
  <si>
    <t>Gómez, Joaquin</t>
  </si>
  <si>
    <t>Joaquin Gómez</t>
  </si>
  <si>
    <t>ier en las -montañas de Santander * remitidos por -D. Francisco Ma­ ría de la Cuesta, en el navio Miño, á D. Manuel de Quevedo, re­ sidente en Cádiz. D. Joaquin Gómez , 500 pesos fuertes. D. Francisco del Campo Isla , 34. IX José de San Juan , 200. D. Miguel Gómez de las Barcenas, 102. D. To­ mas de lá Higuera, 17. D Bartolom…</t>
  </si>
  <si>
    <t>Gómez, Joaquín</t>
  </si>
  <si>
    <t>Joaquín Gómez</t>
  </si>
  <si>
    <t>........ . 677 I2307 17 2 D. Fausto Ibañez................................. 722 *3f 22I485 25 1 D. Agustín Josef Mendez................... 370 25! 24 D. Joaquín Gómez............................... 28744 25! Recibos y certificaciones de réditos devengados de juros. 7 D. Mariano Sancho................. 1444 48 El marques de Pe…</t>
  </si>
  <si>
    <t>Gómez, Josef</t>
  </si>
  <si>
    <t>Josef Gómez</t>
  </si>
  <si>
    <t>Cruz, á las quatro déla tarde, se ext­ D. Agnst’in Xcrez al de Huerqr Cajar, al presbí­ ernará la comedia en tre- actos titulada Si una vez lle­ tero D. Josef Gómez, cura ecónomo de aquella ga á querer la mas firme es Ja Muger, con tonadilla y parroquial. sainete. EN LA IMjPRENTA REAL.</t>
  </si>
  <si>
    <t>Gómez, Juan</t>
  </si>
  <si>
    <t>Juan Gómez</t>
  </si>
  <si>
    <t>a comedia en tres actos titulada el mayor cante por promoción de D. Manuel Lorenzo Del­ Monstruo los zelos y Tctrarca de Jerusalen; y se dará gado, á D. Juan Gómez, presbítero, ex regular de fin con el mismo baile cómic* que se ha executado ios mínimos. en la función antecedente. EN LA IMPRENTA REAL.</t>
  </si>
  <si>
    <t>Gómez, Manuel</t>
  </si>
  <si>
    <t>Manuel Gómez</t>
  </si>
  <si>
    <t>e di'tincion, repitiéndose los brindis con Y para la vicaría de Guijas a'bas, vacante por alegría y cor Calidad por el Emperador, por el promoción de D. Manuel Gómez á la de Escobar Reí, por toda la real familia, por la paz &amp;c.; y al y Pinillos, á D. Juan Sanz, presbítero. misino tiempo los sargentos, cabos y soldados del Nue…</t>
  </si>
  <si>
    <t>Efectos públicos. Vales reales.......................................... , 94 n. Quinto batallón. Cédulas-hipotecarías....................... . 95 n* D. Manuel Gómez, subteniente, á teniente de Certificaciones del tesoro público.... 84 la s.guada cómpañía. Oro español contra plata..................., Séptimo batallón. TBATROS…</t>
  </si>
  <si>
    <t>Gómez, Melchor</t>
  </si>
  <si>
    <t>Melchor Gómez</t>
  </si>
  <si>
    <t>. Miguel Ruiz , 100. D. Felipe de Herrera, 100. D. Miguel Villegas, 100. D. Manuel Herrero, 100. D. Juan Antonio Gutiérrez, 100. I). José Fernandez y D. Melchor Gómez , 70. D. Ramón Martínez , 100. Ron Liego de Hontoria: 100. D. Juan Asturiza , 100. D. Diego del Solar. !()0= L. Manuel Gutiérrez y D. Manuel Riaño, 100. D. Féli…</t>
  </si>
  <si>
    <t>Gómez, Miguel</t>
  </si>
  <si>
    <t>Miguel Gómez</t>
  </si>
  <si>
    <t>to primero, á abande­ de D. Mariano Sánchez Panadero. rado. D. Juan de Antuñano á teniente en la vacante de D. Juan Bautista de Orbe. Sexto batallón. D. Miguel Gómez á subteniente en reemplazo de D. Ahtonio Fuentes, teniente, á espitan de la sép­ D. Manuel Bernardo Roldan. tima compañía. D. Benito Aguilera á subteniente en la…</t>
  </si>
  <si>
    <t>Gómez, Patricio José</t>
  </si>
  <si>
    <t>Patricio José Gómez</t>
  </si>
  <si>
    <t>, 34. D. Valentín González, 6. D. Enri­ que Perez Lastra , 20. D. Andrés Cacho de Herrera , 100. D. Santiago Diego García, 102. Doña Rita Tixero, 51. D. Patricio José Gómez , 17. D. Vicente Samper, 20. D. Pedro Macho del Barrio yvsu hermano , 17. D. Juan Barangot, 10 y 4 rs. D. Fernando Busí amante , 34. D. Joaquin Zorrilla, …</t>
  </si>
  <si>
    <t>Gómez, Pedro</t>
  </si>
  <si>
    <t>Pedro Gómez</t>
  </si>
  <si>
    <t>1 29 3 1 41 7 6 200 Total. . . 4 2 149 13 8 247 15 24 1125 — ——— — J Oficiales muertos, heridos y prisioneros. — Muertos. El segundo ayudante ma­ yor D. Pedro Gómez , segundo teniente del segundo batalloYi de guardias españo­ las : los tenientes D. Félix Aznar y D. José Goiti, del regimiento de voluntarios de la Patria ; y el…</t>
  </si>
  <si>
    <t>Gómez, Tidoro</t>
  </si>
  <si>
    <t>Tidoro Gómez</t>
  </si>
  <si>
    <t>Luis Tomó de la Infanta. Oro español contra plata...................... Tenientes. Napoleones de oro............................... D. Tomas García. D. Tidoro Gómez. THATTtOS. . D. Francisco Morttalvo. En el del Príncipe, á ¡a. siete de la noche, «• rrD. Angel Arroyo Dotnlngueí. presentará por la compañía española 1* gi«n ‘ f…</t>
  </si>
  <si>
    <t>Gómez, Tomas</t>
  </si>
  <si>
    <t>Tomas Gómez</t>
  </si>
  <si>
    <t>. Subtenientes. Para señalar que andan cruzando corsarios ó bar­ cos pequeños enemigos, dos bolas 6 globos encima D. Juan López Romero. del pabellón. D. Tomas Gómez. Para scñdar que están mui cerca de la costa de D. Antonio Estéban. Inglaterra una fragata ó muchos barcos enemigos, ' D. Rafael Barragan, mayor. tres hilas ó glo…</t>
  </si>
  <si>
    <t>Gómez, Vicenta</t>
  </si>
  <si>
    <t>Vicenta Gómez</t>
  </si>
  <si>
    <t>a de los maestros consultores del mismo, di­ sertando D Jasé María López sobre "el galbáí.ismo y la electricidad, como-caui.as de la excitabilidad$ y D. Vicenta Gómez sobre los pre­ ceptos de-la higiene, aplicados-i ia educación física dé los n:ñ &gt;3.—? En I¿i tarde del misino dia el catodr tico de química, D Jann Rodrí­ guez …</t>
  </si>
  <si>
    <t>Gomtz, Vicente</t>
  </si>
  <si>
    <t>Vicente Gomtz</t>
  </si>
  <si>
    <t>jas y D. Verdura Mosquera; los de subteniente á D José González Amigo, D. José Montes, D. Miguel Revor^do, D. An­ gel CAbalo, B. Juan Genaro Viñuela, D. Vicente Gomtz, Doq Bírnardino López, D. Santiago Ncvoa, D. Felipe López, D. Ni­ colás Rodríguez de Mejorada, y D. Benito Labrada; el de subte­ niente de bandera á 1). Juan Ma…</t>
  </si>
  <si>
    <t>Gon</t>
  </si>
  <si>
    <t>o de la.plaza, y el qual habiendo caido enfermo durante el sitio, dos.en el fuerte S. Cristóbal: la primera a! fren­ fue ayudado completamente por el coronel Gon­ te del castillo, entre el baluarte de la Trinidad y zález, al servicio de S. M. católica, y por el gefe el Guadiana, á la izquierda de la luneta $. Roque, de batall…</t>
  </si>
  <si>
    <t>Gon, Carlos</t>
  </si>
  <si>
    <t>Carlos Gon</t>
  </si>
  <si>
    <t>fusileros D. José Broaini y D. Wenceslao conde de Petting: segundas tenencias de fusileros á los alféreces D. Juan de Dios Landáburu , de granaderos, D. Carlos Gon­ zález de Llanos, D. Juan Domingo Foxa, D. Mamerto Landáburu yr D. Carlos Orreyile barón de Clonkee, y al capitán segundo del ba­ tallón de voluntarios, segundo de…</t>
  </si>
  <si>
    <t>Gon, José</t>
  </si>
  <si>
    <t>José Gon</t>
  </si>
  <si>
    <t>ergeant; segundas tenencias de fu ñeros á las agregados D. Enrique y D. Pedro Zuloaga , y á los al­ féreces D Pedro Gómez y las Casas, de granaderos, D. José Gon­ zález de Rivera, de cazadores, D. Juan Snaith-y D. Pedro Magarófa; empleo de alférez de granaderos al de, fusileros D. Jo -quin Monínfar; empleo de aiferez de cazad…</t>
  </si>
  <si>
    <t>isco Atonso, D. Antonio VaUscillo, D. José Velas-"ío y, J&gt;. José Armada; subtenencias á D. Santiago de Armas , D. F¡tapisco P.ieto, D. Antonio Pueyo, D. José Gon­ zález Suarez, D. Ignacio Sánchez, D. Francisco Bureyra, D. Ma­ nuel Rodrigne2, D. Manuel x4ngeira , D. Andrés Raposeiras, y D. José Gaspar y Barca ; subtenencia de …</t>
  </si>
  <si>
    <t>Gondoua, Angel</t>
  </si>
  <si>
    <t>Angel Gondoua</t>
  </si>
  <si>
    <t>de l„ sexta compañía. art. v. En la ciudad de Bujalsnce se aameu- / tara una compañía. Sexto batallón. Qaedan nombrados capitanes y oficiales de es­ D. Angel Gondoua, ayuuaore segundo, á ca­ ta compañía, y de la ya formada, los individuos pitán de la octava compañía. siguientes : .1Capitanes. Séptimo batallan. D. Pedro Coca C…</t>
  </si>
  <si>
    <t>Gonet, Pablo Teófilo</t>
  </si>
  <si>
    <t>Pablo Teófilo Gonet</t>
  </si>
  <si>
    <t>de una de te de la tercera compañía en la vacante de Don Jas que compongan el esqoadron á D. Sebastian Francisco de Paula Concha. Gil; por teniente á D. Pablo Teófilo Gonet, y art. viii. Nuestro ministro de la Gnerra que­ por subteniente á D. Antonio Fernaadez y Don da encargado de la exeoucion de este decreto. = Victorino PJ…</t>
  </si>
  <si>
    <t>Gonza, Andrés</t>
  </si>
  <si>
    <t>Andrés Gonza</t>
  </si>
  <si>
    <t>Rosoli, 40. D. Francisco Carreras, 256 y 4. D, José Xavier de Aranzarnendi , 203 y 6. D. José Geipi , 38. D. Juan Soler, 30. Francisco Aguerra,# 80. D. Andrés Gonza’ez , 40. D. Juan-Mayvnó y compañía , 150. D. Antonio Escardó , 70. D, Francisco Puche , 50. D. ¡Miguei l’orrens, 100. D. Feliciano Válls, 40. D. Pascual Este vez …</t>
  </si>
  <si>
    <t>Gonzá, Juan Benito</t>
  </si>
  <si>
    <t>Juan Benito Gonzá</t>
  </si>
  <si>
    <t>, 500. Tras­ ladados id.,y colectados por D.Juan Benito González de varios vecinos de dicha, villa, 597 y 3 rs. Trasladados y colectados por el mismo D. Juan Benito Gonzá­ lez , en dicha villa 506 1 y medio rs. Trasladados id., y entregados por varios individuos en la tesorera ele la misma villa en calidad de donativo , 2315.…</t>
  </si>
  <si>
    <t>González</t>
  </si>
  <si>
    <t>s valero­ E‘. gener..i de ingenieros Ctbier. 1 sos guerreros que concurrieron á tan gloriosa ac­ E. brigadier Messina................. t ción los del coronel González, y del géfe de esUn comisario de guerra. I quadron Horré, ambos al servicio de $. M. Coronel de attillerí i........ ......... 1 El general Philippon, gobernador…</t>
  </si>
  <si>
    <t>González, Ana María</t>
  </si>
  <si>
    <t>Ana María González</t>
  </si>
  <si>
    <t>rto , 1000. D. Ramón de barreta, 200. Sres. Gordon Shaw y com­ pañía , 10Ó0. D. Joaquín y D. Juan Casaldaero, 400. D. Pedro Boullcsa y Mii anda, 100. Doña Ana María González , 400. D. Manuel Paul, 200. D. Joa­ quín de la Vega , 400. D. Domingo de Heras, 1000. D. Martin Irazoqui, 400. D. T. B, 500. D. Pablo Riera, 500. D.» Ant…</t>
  </si>
  <si>
    <t>González, Antonio</t>
  </si>
  <si>
    <t>Antonio González</t>
  </si>
  <si>
    <t>' de las1 do» provincias , sea Décimo batallón. por el mero hecho de la guerra , &lt;5 sea forzándolos por las seducciones y amenazas í seguir su parti­ D. Antonio González, subteniente, í teniente do; he aquí el verdadero resoltado de sus proion— de k séptima compañía , en la vacante de D. An­ das combinaciones. Las quadVilbs q…</t>
  </si>
  <si>
    <t>González, Baltasar</t>
  </si>
  <si>
    <t>Baltasar González</t>
  </si>
  <si>
    <t>. Batallón de milicias blancas. El coronel D. Fran­ cisco María de Cicero, TOO. El sargento mayor 1). Juan José de Fier­ ros , 400. El ayudante mayor D. Baltasar González y .5. El cirujano D. Jo­ sé Ruiz Trianoy 30. El tambor mayor Nicolás Guilis / 10. D. Francisco Muñoz, capitán , 20. D. José 'Fray-re, id., 25 l&gt;. Alejandro …</t>
  </si>
  <si>
    <t>González, Camilo</t>
  </si>
  <si>
    <t>Camilo González</t>
  </si>
  <si>
    <t>retario de Estado = Firmado = Mariano Luis de Uaquijo.’’ D. Pedro Simón Puerta, teniente, á ayudante segundo, en la vacante de D. Francisco Barsanti. D. Camilo González, subteniente, á teniente AVISOS. de la tercera compañía, en reemplazo de D. Mar­ En virtud de providencia del Sr. D Juan Bautista tin de Azcue. Guitart de 25 …</t>
  </si>
  <si>
    <t>González, Cipriano</t>
  </si>
  <si>
    <t>Cipriano González</t>
  </si>
  <si>
    <t>:: zuza y D. Francisco de Paula Ardízone; tenencias á D. José Veaimtrgnia y D. José Celestino Fernandez de Cusía; y subtmercias á D. Podro Gutiérrez, D. Cipriano González, D. Lorenzo Grillo, D. Francisco Meleadez y D. Mariano Franco Rodríguez ; y en el de artilleros, compañías al córale de X i ni era, D. Francisco Xavier Gonz…</t>
  </si>
  <si>
    <t>González, Cristóbal</t>
  </si>
  <si>
    <t>Cristóbal González</t>
  </si>
  <si>
    <t>de introducir novedades des­ Para capitán de li segunda Compañía á D. Juan conocidas á la venerable antigüedad , rr ñau hecho Pastor; para teniente á D. Cristóbal González, y otra cosa que imitarla, defender sus legítimos de­ para subteniente á D. Juan Francisco Leño. recho! , y sostener unas libertades que eran comu­ Para ca…</t>
  </si>
  <si>
    <t>González, Francisco</t>
  </si>
  <si>
    <t>Francisco González</t>
  </si>
  <si>
    <t>ef Cabello Castaños. se bendijesen las banderas, como lo hizo D. Fran­ D. Josef de lá Torre Montoro. cisco Arribas, arcediano de Burgos y capeilan de D. Francisco González. la milicia cívica , del qual las recibieron el señor D. Vicente Cerrato. coronel y el primer gefe de batallón D. Juan de Tenientes. Ortega , y estos las e…</t>
  </si>
  <si>
    <t>tes. D. Josrf Pareja, PLAZA DI MADRID. BOLSA. D Francisco de Ltiba. DIA 17 DS AGOSTO DB l8ll. D. Francisco Santaella. Subtenientes. Efectos públicos. D. Francisco González. Vales reales......................................... 9 3i D. Cristóbal Aranda. Cédulas hipotecarlas......................... 94Í Certificaciones del teso…</t>
  </si>
  <si>
    <t>de los mismos Gorbea y so­ D. Ramón González Vango.................. 2246..19 , brinos........................................................ 192413 D. Francisco González............................. 1909..20 I D. Francisco Gorbea y sobrinos........... 125718.. 8f D. Antonio Leiral......... ............................ 1291.…</t>
  </si>
  <si>
    <t>laez, encargado de venta, parala manutención de un soldado, 9. D. Gaspar Cfeapie , id., 2. D. Antonio José Ximenez , id , 2. 3). José García, id., 2. D. Francisco González, id., 1. D. Domingo Sán­ chez , sobrestante del molino , 4. D. Julián de Magallanes , id, segundo , 2, IX Esteban de Urbieta, mayoral, 1, D. Antonio Fialio…</t>
  </si>
  <si>
    <t>González, Joié</t>
  </si>
  <si>
    <t>Joié González</t>
  </si>
  <si>
    <t>s del cea i ente del pueplo L&gt;. Santiago Orduna, y que sus v ciñas y los de otros pueblos inmediatos se habían agregado á los revoltosos que man laba D. Joié González , y estaban armados de ianzas , escopetas y flachas. Entonces determinó atacarlos, lo que execraron sus tropas con tal denuedo, que muertamente los desalojaron …</t>
  </si>
  <si>
    <t>González, José</t>
  </si>
  <si>
    <t>José González</t>
  </si>
  <si>
    <t>Carlos de Hoyos, 100. D. Felipe Argumedo , 100. D. Manuel Vciez de Villa, 100. Di José M uñoz , 100. D. Antonio Ruiz , 100. D. Nicolás Molleda , 100. D. José González 5 100. D. Francisco Fernandez, 100. D. Antonio Arrí, 100, D. Pedro Ganzalez , 100. D. Manuel Sánchez Cal­ derón, 100. D. Agustín del Piélago, 100. D. Francisco …</t>
  </si>
  <si>
    <t>González, Juan</t>
  </si>
  <si>
    <t>Juan González</t>
  </si>
  <si>
    <t>rbo y compañía, 100. D. José de la Rosa Manzanilla, 100. D. Francisco de Estrada, 100. D. Juan Brioso , 50. D. Cenon Sastre, 50. Alexo Fncalada , 50. D. Juan González , 50. D. José Sirarola, 50. Don Joaquín Casares, 50. D. Juan Vicente Alfonso , 50. D. Pedro Delgado, 50. D. D iego Ríos Carta, 50. D. Martin Yerobi, 50. D. Juan…</t>
  </si>
  <si>
    <t>. Sabas Ma­ rín , D. J isé Ortega , D. Juan Vázquez, D Manuel Sánchez, D. An­ tonio Bermejo, D. Luis Puente, D. Aotolin Sigiienza, D Matías Te­ resa, D. Juan González , D Manuel Calvantes, D. Jé Mora, Don Juan Morgaez, D Alfonso Gírela, D. JranGamez , D. L *&gt;n Acnña, D. Esmeraido Acuña, D. José Correa Ioañez,D. Ramón Salas y …</t>
  </si>
  <si>
    <t>González, Juan Antonio</t>
  </si>
  <si>
    <t>Juan Antonio González</t>
  </si>
  <si>
    <t>es­ D„ Nicolás María Guendica, por mano de calzo, residente en Cobeña , por........... 2200 D. Martin Antonio de Huici..................... 3920Ó..19 D. Juan Antonio González, ex-agustino D. Miguel María de Gort.-zar.. ................... 14401-32 calzado , residente en Chinchón , por... 2200 D. Santiago Gutiérrez de Arintero…</t>
  </si>
  <si>
    <t>González, Juan Diaz</t>
  </si>
  <si>
    <t>Juan Diaz González</t>
  </si>
  <si>
    <t>, II. Francisco de Chavan-! por si , su es­ pesa é hijo , 2 dependientes y '8 criados, 2120. El manques de S.'Reman, 1000. D. Antonio Basoeo , 25000. D. Juan Diaz González , 3000, F&lt;1 mar­ ques de 8. Juan de Pavas, 1000. D. Sebastian do lleras, por sí , su esposa ^'hijós,'4000. D. Roqae Abdlcntc , D. Gregorio Saenz de Sicilia…</t>
  </si>
  <si>
    <t>González, Juan Manuel</t>
  </si>
  <si>
    <t>Juan Manuel González</t>
  </si>
  <si>
    <t>o, por.......................................... 2200 D. Tomas del Arco , id. id., id.................... 2200 D. Cristóbal Texada. ex-aerónimo leso, D. Juan Manuel González, ex-cistercienpor..................................................................... 1100 se, residente en Morata, de esta pro­ D. Gaspar Ortiz Mardone…</t>
  </si>
  <si>
    <t>e­ Josef Antonio Rendon................................. 9929-25 sidente en Miraflores de la Sierra, por 2200 D. Felipe de la Torre , por mano de Don D. Juan Manuel González, ex-bernardo, Pedro Antonio de Ursueguia.................... 17797..17 residente en Morata, por....................... 2200 D. Francisco de Paula Tovar ,…</t>
  </si>
  <si>
    <t>González, Lidero</t>
  </si>
  <si>
    <t>Lidero González</t>
  </si>
  <si>
    <t>oronel D. Diego Luis Salido, que también ha tenido á su cargo parte de la enseñanza , y de los profesores, capitán D. Francbco Ce­ nantes , tenientes D. Lidero González, D. Julián Tomíba y D. Luis Hita, subteniente D. Luís Mr-rgelina, D. Juan Gómez y D. Anteríio la Torre, catedrático del seminario de S. FnlgsEcio. Cádiz 5 de …</t>
  </si>
  <si>
    <t>González, Manuel</t>
  </si>
  <si>
    <t>Manuel González</t>
  </si>
  <si>
    <t>Antonio Escardó , 70. D, Francisco Puche , 50. D. ¡Miguei l’orrens, 100. D. Feliciano Válls, 40. D. Pascual Este vez , 44. José Aliguel Andino, 502. D. Manuel González , 30 y 2. D. Juan Manuel Fe.ixoo , 60. D. Manuel Carambó , 76 y 2. D. Francisco Gómez , 80. D. Antonio Lizurra , *50. Varios vecinos del par­ tido de Toa-baxa,…</t>
  </si>
  <si>
    <t>González, Manuel Perez</t>
  </si>
  <si>
    <t>Manuel Perez González</t>
  </si>
  <si>
    <t>n , 2000, D. Manuel de la Torre, 1500. D. Antonio y D. Manuel Gutiérrez del Corral, 15o0. D. Clemente Vciez, 1500. D, Francisco Mantilla é hijo, 600. D. Manuel Perez González, 600. I). Bernardo Salceda, 600. D. José San Juan, 600. D. Manuel Gutiérrez de Caballos, 600. D. Manuel de Olea, 500. Mozos de tas tiendas. — D Manuel G…</t>
  </si>
  <si>
    <t>González, ManueT</t>
  </si>
  <si>
    <t>ManueT González</t>
  </si>
  <si>
    <t>El contador interino Don Francisco Vázquez , 20. D. Bernabé Escobosa , 6. D. José Banga, 100. Don Nicolás Gaxioía , Í26y2rs. D, Ventura Vatiz ,. 10. D. ManueT González, 100. El ensayador D. Agustín Aguilar , 100. Su teniente D. Fernando Escu- * dero , 50. D. Miguel ítoncal , 5. — IMaioya. El cura D. Isidro Camacho , 10. El su…</t>
  </si>
  <si>
    <t>González, Miguel</t>
  </si>
  <si>
    <t>Miguel González</t>
  </si>
  <si>
    <t>ercero D. Gerónimo Medina . 30. El quai'to D. Juan de Dios Centeno , en cada mes, 2. El quinto D. José María Echanove, 12 y 4 rs. El oficial agregado D. Miguel González.Rueda, en cada més, 1. El guarda mayor D. Francisco Tarrazo ha ofrecido para mantener 2 soldados por tiempo de 2 uóqs, 501). El escribano D. Agustín Cosgaya, …</t>
  </si>
  <si>
    <t>González, Pedro</t>
  </si>
  <si>
    <t>Pedro González</t>
  </si>
  <si>
    <t>nte­ ría de ía Patria , D. Atanajio Navas, D. C ndido María Bozada, O. Manuel Rodríguez, D. Fernando López, D Faustino Navarro* D. Santiago Pereyra , D. Pedro González , D J í^n Ssnovilla , D Ig­ nacio Carrasco, D. Pedro Giménez, D. J?.yme Qjirós, D. Sabas Ma­ rín , D. J isé Ortega , D. Juan Vázquez, D Manuel Sánchez, D. An­ …</t>
  </si>
  <si>
    <t>González, Rafael</t>
  </si>
  <si>
    <t>Rafael González</t>
  </si>
  <si>
    <t>r............................. noo cas, residente en I oledo , | or............................. 2 2co D. Ambrosio García Tortero , natural de Valda- D. Rafael González, natural de z\ranjaez , resi­ racele, residente en su pueblo, pnr..................... 2200 dente en Toledo, por............................................. …</t>
  </si>
  <si>
    <t>González, Rafees</t>
  </si>
  <si>
    <t>Rafees González</t>
  </si>
  <si>
    <t>D. Joaquín Pu%moItó. Don Diego Villeslada, ©. Pedro Rico, D. Rafael Quero], D. José Ro­ chan©, D. F'rancia co Bermudez de Cañas, D. Vicenta SalameT#, D. Rafees González , D. Joaquín ds Bedoya, D. José Ribslles , Don Pedro Franco j D. Vicente Marín. En el batallón de voluntarios de Camponrayor ha conferido el Consejo de Regenc…</t>
  </si>
  <si>
    <t>González, Valentín</t>
  </si>
  <si>
    <t>Valentín González</t>
  </si>
  <si>
    <t>nez , 17. D. Andrés García, 25. IX Francisco Villegas, 17. IX Juan Sánchez, 17. IX Antonio Cosío, 20.1). Ma­ nuel de Celis , 20. D. Joaquín Muza, 34. D. Valentín González, 6. D. Enri­ que Perez Lastra , 20. D. Andrés Cacho de Herrera , 100. D. Santiago Diego García, 102. Doña Rita Tixero, 51. D. Patricio José Gómez , 17. D. V…</t>
  </si>
  <si>
    <t>González, Vicente</t>
  </si>
  <si>
    <t>Vicente González</t>
  </si>
  <si>
    <t>r......................................................... 2200 side, por....................................................................... 2200 D. Vicente González, natural de Piedrabuena, EX CATUCHINO. provincia de la Mancha, residente alli , por...... a200 D. Pedro Martin de la Torre, natural de Cerverj, D. Josef Fern…</t>
  </si>
  <si>
    <t>Gonzalo</t>
  </si>
  <si>
    <t>to- se acabarán del todo: Robín , comandante superior en la campiña , tuvo oficiales y soldados se presentan diariamente pre­ noticia en la Puente de D. Gonzalo que una parti­ tendiendo servir á S. M. católica. da de bandidas habia pasado el Genil; se dirigió in­ ,, Esta» acciones y los movimientos que han pre­ mediatamente á…</t>
  </si>
  <si>
    <t>Gonzalo, Josef</t>
  </si>
  <si>
    <t>Josef Gonzalo</t>
  </si>
  <si>
    <t>Vicente), comisario de guerra de se­ guiente : gunda clase , caballero que fue de Calatrava. articulo i. «Nombramos caballeros de la Ruiz de Celada (D. Josef Gonzalo), oidor deca­ Orden Real de España i no de la real audiencia de Aragón. Alca ( D. Josef Miguel) , archivero general de la Sánchez ( D. Manuel), comandante de bat…</t>
  </si>
  <si>
    <t>Gonzalo, Marcos López</t>
  </si>
  <si>
    <t>Marcos López Gonzalo</t>
  </si>
  <si>
    <t>en sal.................................. 1460.. 2 D. Gabriel de Alcaraz.............................. Ó3Í..25Í D. Máximo Pardo...... ........ 151~“i4 D. Marcos López Gonzalo..................... 722 Josef Montero de la Concha........... 1123.. 6 D. Pedro Irigoen y Almansa................ 451- 8f D. Manuel de lllcscas.........…</t>
  </si>
  <si>
    <t>Gonzauz, José</t>
  </si>
  <si>
    <t>José Gonzauz</t>
  </si>
  <si>
    <t>. Cir­ io? Tlorati ; tenencias i D. Francisco Gramari, D. Felipe Caballero,D. Vicente Mosquera , D. Anselmo UUoa y á D. M .miel Parta; subtenencias á D. José Gonzauz, D. Temas Adran, D. José Gar­ cía, D. Silvestre Ibarra, I). Cayetano Várela, D. José -Cernadas, y á D. Manuel Sánchez Mayoral; sugbtenencia- de ~~ a Don Ignacio …</t>
  </si>
  <si>
    <t>Gorbea, Francisco</t>
  </si>
  <si>
    <t>Francisco Gorbea</t>
  </si>
  <si>
    <t>...... 2246..19 , brinos........................................................ 192413 D. Francisco González............................. 1909..20 I D. Francisco Gorbea y sobrinos........... 125718.. 8f D. Antonio Leiral......... ............................ 1291..26 Los mismos................................................…</t>
  </si>
  <si>
    <t>Gordcn</t>
  </si>
  <si>
    <t>marzo. Acaba de arribar á este puerto una división in­ glesa ,compuesta délas fragatas Amfion 9 capitán Host j Cancerbero, Ca­ pitán Whitby y Activa, capitán Gordcn , y de la corbeta Vohariaf capitán Hormby. Conduce una fragata y una corbeta francesas apresa­ das , y un transporte con prisioneros, de resaltas de la acción que…</t>
  </si>
  <si>
    <t>Gordifio, Pedro</t>
  </si>
  <si>
    <t>Pedro Gordifio</t>
  </si>
  <si>
    <t>, 1031. D. Luis Bul ge vis , por el prest de dos soldados en quatro meses, durante 3a guerra , 72. D. José Manuel Manzana, por su oferta mensual , 2. D. Pedro Gordifio, como síndico del monasterio de religiosas car­ melitas descalcas de esta ciudad , á cuenta de 101)0 pesos de su oferta , 100. i&gt;. Santiago Drak, 1000, D. Migu…</t>
  </si>
  <si>
    <t>Gordiiio, Pedro</t>
  </si>
  <si>
    <t>Pedro Gordiiio</t>
  </si>
  <si>
    <t>os animales que ha ofrecido durante la guerra, iUU. D. Juan Paredes , teniente de Has mismas milicias , por el prest de un sol­ dado en 4 meses , 86. D. Pedro Gordiiio , síndico dei monasterio de religiosas ■ carmelitas , á cuenta de 4000 pesou que han ofrecido , 100. D. Antonio Arsilu, copitan del partido Horcón, pa&gt;r su ofe…</t>
  </si>
  <si>
    <t>Gordillo, Pedro</t>
  </si>
  <si>
    <t>Pedro Gordillo</t>
  </si>
  <si>
    <t>, 9aD. Miguel Bonilla, por el de 3 soldados en un mes durante Ui guerra, 27. El teniente-rey D. Manuel Artazo , por el da 4 solda­ dos en un mes, 40; D. Pedro Gordillo, como síndico del monasterio de reli­ giosas carmelitas, á cuenta de 1000 pesos que han ofrecido, 100. El capitán D. Antonio de Castro Palomin, subinspector de…</t>
  </si>
  <si>
    <t>Gordillo, Vicente</t>
  </si>
  <si>
    <t>Vicente Gordillo</t>
  </si>
  <si>
    <t>l aseo de la oficina , 2 y 4. D. Pascual Antonio Monzon , escribano mayor de gobierno , 23. D. Manuel B navente, escribano dé la sala del crimen, 25. D. Vicente Gordillo, 25; D. .Sebastian de Ugarriza , en cada un año de los que* dure la guerra,500. El VI R. arzobispo 1). Bartolomé' de las Heras, I-0000. D. Ramón Eduardo Anch…</t>
  </si>
  <si>
    <t>Gordon, Jacobo</t>
  </si>
  <si>
    <t>Jacobo Gordon</t>
  </si>
  <si>
    <t>a, oo parece que esta es Ocasión Por decreto de y y 10 del corriente S. M. se oportuna de agitar una cuestión, que debe ser dis­ ha servido nombrar á D. Jacobo Gordon, D." Pe­ cutida en todos tiempos con la mayor madurez y dro Gutiérrez y D, Joaquín Biualet para formar reflexión, y que exige en su misma discusión la el consej…</t>
  </si>
  <si>
    <t>Gormuhel</t>
  </si>
  <si>
    <t>eneral c-n gcíc, después de Según noticias de oticio el cuerpo de ejército dar gracias al Todop. dero:o poi tan Señalada vic­ tuso ¡,.iiid.iJo por el general en gefe Gormuhel toria , elogia la firmez, y el valor que hari mani­ K. ,,tus. w , que asciende á 2c© hombres, lia sido festado sus trop.,s , y ia habilidad y pericia mi…</t>
  </si>
  <si>
    <t>Gorondona, Angel</t>
  </si>
  <si>
    <t>Angel Gorondona</t>
  </si>
  <si>
    <t>es en que se explica, con sumo decoro y opor­ dante segundo del sexto batallón, en reemplazo de tunidad , lo que son los coros en ana tragedia; sien­ D. Angel Gorondona. do también mui nneva é ingeniosa la división que D. Tomas Molina, teniente, á ayndante'se­ allí se hace del público en dos clases, algo diver­ gundo del sépt…</t>
  </si>
  <si>
    <t>Gorostegui, Isidro</t>
  </si>
  <si>
    <t>Isidro Gorostegui</t>
  </si>
  <si>
    <t>de D. Pedro Moreno á la dig­ Guipúzcoa, vacante por muerte de su último po­ nidad de tesorero y canónigo de aquella catedral* seedor, al ex-carmelita D. Isidro Gorostegui. ' á D. Pedro Alcántara Martin* beneficiado de Pe- Para el beneficio vacante en dicha villa de Ab­ ñaparda. zaga á D. Juan de Sarasola, ex-regular del mis­ …</t>
  </si>
  <si>
    <t>Gorostiota, Gertrudis</t>
  </si>
  <si>
    <t>Gertrudis Gorostiota</t>
  </si>
  <si>
    <t>rio, 4 D. Manuel Malavear , 2. D. José Badia,2.— Hacendadas. Doña María Manuela Gqla, 500. Doña Ana María Morgues, 25. Doña María Josefa Marcin , 50. Doña Gertrudis Gorostiota , 200. Doña Micaela Francisca Montes de Oca, 10. Doña Juana ■ Mareutes, 150. Doña Gvegoria Calzadilla, 100. Doña Josefa de la Fuente y Sarmiento, 800. …</t>
  </si>
  <si>
    <t>Gorriz, Lucas</t>
  </si>
  <si>
    <t>Lucas Gorriz</t>
  </si>
  <si>
    <t>te exigian sus p’anes. ¿Mas de qué nos sirven estas ventajas,si hemos perdido el mas valiente soldado, el intrépido co­ mandante del tercer bacal ton D. Lucas Gorriz: esperaba propicias nue-vas de la; acción que suponía mandada por este valeroso comandante;, pero la ¡desemejada suerre que le cupo me llena de tristeza, y apena…</t>
  </si>
  <si>
    <t>Gortari, Julián</t>
  </si>
  <si>
    <t>Julián Gortari</t>
  </si>
  <si>
    <t>Pedro Ferrer, ayudante primero, á coman­ mitad está empleada en una operación mu¡ impor­ dante. tante, qual es la del desmonte de las termas de Tito, D. Julián Gortari, sargento primero , á subtenien­ cuyos edificios existen casi todos, conservándose te de la tercera compañía.</t>
  </si>
  <si>
    <t>Gortschakow</t>
  </si>
  <si>
    <t>ngeniosa para machacar y moler los kow, se leyeron un poema sobre la inmortalidad, huesos, y los polvos á que quedan reducidos se compuesto por; el . príncipe Gortschakow, y tre$ venden con mucha conveniencia. Varias veces se fábulas por el señor Kriíow. Esta sociedad , que es­ ha servido ya en ia mesa de S. M. una sopa com­ …</t>
  </si>
  <si>
    <t>Gottorp</t>
  </si>
  <si>
    <t>(Siguen ias firmas.) GRAN DUCADO DE FRANCFORT. SUIZA. Francfort i.° de octubre. Soleare i.° de octubre. Ha sido tan grande la sequía que ha habido El conde Gottorp está para llegar; de un día á aquí, que se ha interrumpido la navegación de otro á esta ciudad á visitar á S. E. el landamann de muchos rios de Alemania por falta …</t>
  </si>
  <si>
    <t>los ministros se ban excedido á sí mismos, y que ja­ Basilea g de octukrt. mas han cometido un absurdo semejante. Ellos han Todavía permanece aqui el conde Gottorp; pa­ enviado á Sicilia un ministro plenipotenciario y rece que le agrada paí». Este príncipe vive mui comandante en gefe; y quaodo todo el mundo ve retirado, y est…</t>
  </si>
  <si>
    <t>Goud</t>
  </si>
  <si>
    <t>el del Príncipe, i las ocho de le noche, se re­ El príncipe Constantino Czatoriski, coronel; el presentará por la compañía española la comedia anti­ conde Goud.kowski, teniente coronel; el señor gua de Calderón en tres actos titulada la Dama duen­ Riutenstrauch, gefe del estado mayor; el seño* de, y el fin de fiesta el Alcald…</t>
  </si>
  <si>
    <t>Gouré</t>
  </si>
  <si>
    <t>quanto antes. El número de es­ Valladolid............. efectivo. 1 pl. tos vJientes es tan grande que por ahora no pue­ de hacer mención mas qne del coronel Gouré , ge- Efectos públicos. fe del estado mayor d.l quinto cuerpo; el coronel Vales reales..................................... 9° I Lapornte, empleado cerda del señor …</t>
  </si>
  <si>
    <t>Gourré</t>
  </si>
  <si>
    <t>nsas. ras cogidas'á ios enemigos en Oiivenza, en la ba­ ,, Van propuestos para generales de brigada el talla dei Gébora y en Badajoz. Suplico á V. A. coronel Gourré, gefe del estado mayor del quinto tenga á bien preseatac estos' honoríficos trofeos á cuerpo, el coronel Veüande , del regimiento 88.°, lo* pies de S. M. y el cor…</t>
  </si>
  <si>
    <t>Gourten</t>
  </si>
  <si>
    <t>; pe­ ro como no era este el objeto, permaneció en posición hasta las qu itro de la tarde, hora en que se calculaba habría ya concluido su ataque el general Gourten, y se retiró á Cambri's * y al día siguiente á esta pía-</t>
  </si>
  <si>
    <t>Gouzalez, Jo-ef</t>
  </si>
  <si>
    <t>Jo-ef Gouzalez</t>
  </si>
  <si>
    <t>de Gaspar FerMartin Duran.................... 616 4928 n.mdez, núm. 13/9........... 1232 9856 Otra ¡d. en id., que ocupa Otra, calle de la.Cruz de la D. Jo-ef Gouzalez............. 605 4840 Palma, nútn. 13 5............... 880 7040 Una casa calle de la Pólvora, Otra, calle del Corral de San que ocupan Doña Petronila Antón, nú…</t>
  </si>
  <si>
    <t>Góycneche</t>
  </si>
  <si>
    <t>or el Dr. Castclii, acerca de la balada del Desaguadero tí 20 de junio, entre las tropas de fu mando y !as del vireynaío del Perú , á las ordene* del brigadier Góycneche.- El mismo Casfolli confiesa que una de sus divisiones no quiso pelear, que algunas-'de-sus compañías se pasaron al enera-go, é hicieron fu^go sobre ias trop…</t>
  </si>
  <si>
    <t>Goyenechs</t>
  </si>
  <si>
    <t>rse contra las tentativas que pu­ dieran hacer los facciosos de otras provincias co finantes. En el Desaguadero había 7000 soldados á las órdenes del brigadier Goyenechs, con un tren considerable ce artillería. En la fragata Joa* quina, que debía seguir á la Cantabria, se habían embarcado 1000 quijales de pólvora parada peníu…</t>
  </si>
  <si>
    <t>Goztnan, Josef</t>
  </si>
  <si>
    <t>Josef Goztnan</t>
  </si>
  <si>
    <t>tanes. Capitán. D. Ignacio Argc te. D. b vderico mií. D. Francisco Perez de Algava. D. Rodrigo de Mesa. Teniente. D. lLmor. F.ores. I). Rafael Orive. D. Josef Goztnan. D. Ramón Ncgtete. Subteniente. D. José! Fernandez de Córdoba. 4 1 D. Rat.iel S^ravia. D. Francisco Sol.no Tablada. D Josef C-F zas. art. iv. En la villa de Cab…</t>
  </si>
  <si>
    <t>Gqla, María Manuela</t>
  </si>
  <si>
    <t>María Manuela Gqla</t>
  </si>
  <si>
    <t>, 2. D. Domingo Marera , 1. D. José María Suarez , 2. Antonio Balao, 8. D. Francisco Armario, 4 D. Manuel Malavear , 2. D. José Badia,2.— Hacendadas. Doña María Manuela Gqla, 500. Doña Ana María Morgues, 25. Doña María Josefa Marcin , 50. Doña Gertrudis Gorostiota , 200. Doña Micaela Francisca Montes de Oca, 10. Doña Juana ■ …</t>
  </si>
  <si>
    <t>Gra</t>
  </si>
  <si>
    <t>, tu­ vista de tierra. vo tiempo para escapar antes de la explosión. ,, Ai amanecer descubrimos la división inglesa Se ha puesto á los heridos que el general Gra- compuesta de un navio sin obras muertas y rres fra­ ham ha traído á Cádiz en un magnífico hospital gatas. El comandante mandó inmediatamente hacer que está cerca de…</t>
  </si>
  <si>
    <t>s compuestas de paisana ge y no exercitad&amp;s en la guerra , dió motivo á que en los primeros mo­ mentos de la marcha se viese asaltada la división del coronel Gra­ cia por el exército enemigo, que á muy corta distancia rompió el fuego sobre ella. A pesar de la sorpresa que debió causaT en nuestro exército este movimiento inesp…</t>
  </si>
  <si>
    <t>Gra, Luis</t>
  </si>
  <si>
    <t>Luis Gra</t>
  </si>
  <si>
    <t>io de Porras Pita , 204. El escribano real B. Juan de Mesa , tesorero del colegio de es­ cribanos , á jjombre (Je este, 1000. El comisario de policía D. Luis Gra­ nados , 100. IX Domínalo do I- Cueto , 500. El presbítero D. Pedro Anto­ nio de Borda, 50. El presbítero B. Ignacio Gastañaga , 50. El arzobis­ po de Guatemala B. L…</t>
  </si>
  <si>
    <t>Gracia</t>
  </si>
  <si>
    <t>los’enemigos dirigían su rumbo por el' camino- de Ibieni á caer sobre ia división de Cabañas. En aquella misma noche hizo movimiento la división del coronel Gracia aproximándose á 3a de Ca­ bañas , y con ía noticia de haber los enemigos tomarlo posición £&amp; el cerro ele Mbaeg-, por otro nombre de Rumbado , distante legua y med…</t>
  </si>
  <si>
    <t>r por espacio de mas de 4 horas, dexaron el campo sembrado de cadáveres y prisioneros, entre ellos varios oficiales. Yo me hallaba en ia división del coronel Gracia cuando se rompió el fuego, y habiendo observado que flaqueaba, quise pasar á la. de C¿¿bañas; pero Fu na partida de facinerosos en fu mero como de 50, el mando de…</t>
  </si>
  <si>
    <t>Graell, Antonio Figiieroíay D Juan</t>
  </si>
  <si>
    <t>Antonio Figiieroíay D Juan Graell</t>
  </si>
  <si>
    <t>ero se distinguieron el sargento mayor de Fieles Zaragozanos D. Mariano Villas pesa, los capitanes D. Cayetano Ma­ ta, D. Pedro Simó, D. Pablo Víbct, D. Antonio Figiieroíay D Juan Graell; los teníanles D. Juan Fort, D. Jnaa Pablo Part y D. Juan Moneas!; I03 subtenientes D. Simón Vda3CO y D. Manuel.......... los sargentos Anto…</t>
  </si>
  <si>
    <t>Gragera, Pedro</t>
  </si>
  <si>
    <t>Pedro Gragera</t>
  </si>
  <si>
    <t>id© conceder grado de teniente coronel á Doa Gines Sánchez, sargento mayor del regimiento de infantería de Ga­ licia ; y en el de Murcia, ayudantía á D Pedro Gragera; tenencia* á D. Francisco Xavier Mendez y D. Francisco Valbuena; y subte­ nencias á D. Juan María Muñoz y D. Joaquín Bascada, teniente, subtenientes, cadete y sa…</t>
  </si>
  <si>
    <t>Grah</t>
  </si>
  <si>
    <t>tenido un ac­ unida , y pudiésemos formarnos en línea.” Yo hi­ cidente de perlesía. ce entonces esta observación ai comandante , el Se asegura que el general Grah .m salió herido qual me respondió: ,,Tenemos el mejor dia de ligeramente de la última batalla. S. E. no se ha nuestra vida; dos buques de estos son nuestres,</t>
  </si>
  <si>
    <t>Graham</t>
  </si>
  <si>
    <t>re­ cibirían los enemigos, tanto mas temibles , cuanto que ni una tan sola guer­ rilla se dexaba ver por otro punto. A este fin , y de acuerdo con el general Graham , dispuso quedase en el cerro de la Cabeza del Puerco ,1a división del brigadier Begines compues­ ta entonces del regimiento de Sipümza, y Cantabria, á que se uni…</t>
  </si>
  <si>
    <t>casa de los guardas á Fas órdenes dél brigadier' BegiJ «es, en vano intentaron los enemigos envolverlos por la playa. Mientras esto sucedía , supo el general Graham sobre su marcha la del enemigo , y penetrándose de la importancia de contener sus progreses y de todas laa circu.nstaridas del momento con la rapidez propia de su…</t>
  </si>
  <si>
    <t>damente sobre las ob­ cal Victor, compuesto de las dos divisiones Rufservaciones que ba hecho qaando ha visitado todos finyLeval (i). La división del general Graham ha­ les demás establecimientos de esta clase. bía ido á Tarifa el 25 de febrero, y el 5 de mar­ zo llegó después de una marcha de 16 horas á la* alturas de Barros…</t>
  </si>
  <si>
    <t>los españoles qne se les hablan unido componían R.?taKnM_87.« de infimic-C¡ una fuerza de 5© hombres (6). m, s.gunio batallón........ ^ Tálente.. „El general Graham atravesó con las tropas de su mando el rio de S. Pedro, y volvió á en­ Regimiento 95.0 de infante­ trar en la isla de León (7). _ ría, segundo batallón........ 2 …</t>
  </si>
  <si>
    <t>. • mes anterior en Aigeciras. £1 objeto de esta expe­ dición es obügar'al enemigo ¿ levantar el sitio de IMPERIO FRANCES. Cádiz (U). Mientras que el general Graham le ata­ que por una parte, la guarnición de Cádiz le aco­ Parts $ de abril. meterá por otra; y si el ataque se executa á un S. M. el Rei de Ñapóles inmediatamente…</t>
  </si>
  <si>
    <t>sla ; y la relación de la batidla de Chielana de 5 de marzo , en que tanto se distinguió casi á nuestra vista este extrdlo ingles á tus órá*. nes del general Graham , habrá informado de h verdad á lodo el mundo»</t>
  </si>
  <si>
    <t>192</t>
  </si>
  <si>
    <t>gun parece, destinada á obrar contra las costas á lord VVellington y á su exé cito, como también meridionales del Báltico, sino para hacer una ex­ al general Graham y á las tropas que están baXo pedición contra las fuerzas navales de la Suecia; sus órdenes. ,, Yo he deseado, añadió M&gt;. Gratan, pero los suecos se han pnesto en…</t>
  </si>
  <si>
    <t>es 22 de agosto próximo , en Alma: hueseciilo ó ternilla que hii en el ce­ que se juntar* de nuevo.” rebro, O según otros, en el diafragma. Bulas: £1 general Graham ha llegado de Cádiz á Lis­ nombre antiquado. Constitución: según los filóso­ boa á bordo de la Ratona con 400 cazadores de á fos, centón de párrafos de Condillac …</t>
  </si>
  <si>
    <t>RAN BRETAÑA. hombres. Si el gobierno de Cádiz nos ha permiti­ do ocupar este pnnto, unidos con los españoles, Londres 31 de agosto. ha sido porque el general Graham dixo que si no Las ’gazetas de Nueva-Yorck del 26 y las de consentía en ello , llamaría á Cádiz todas las tro­ Boston del 30 del mes pasado nada dicen sobre las p…</t>
  </si>
  <si>
    <t>e ; pero una descarga que les hizo el regimiento de infantería ligara núm. 61, que había apodado de antemano en un bosque sobre su flanco el teniente general Graham, les impidió que se reuniesen, dando lugar al m&amp;.yer general A sisón para pasar el Azava y perseguirlos ; después de lo cual volvió 4 ocupar su a ate-» rior posic…</t>
  </si>
  <si>
    <t>Graham, Tomas</t>
  </si>
  <si>
    <t>Tomas Graham</t>
  </si>
  <si>
    <t>raron las tropas inglesas que habian salido del puerto de Cádiz algunos dias antes , y que mandadas por el teniente general de S. M. B. el Excmo. Sr. D. Tomas Graham, formaban parte del exército aliado al cargo del. general en gefe el Excmo. Sr. D. Manuel de Lapeña. Algunos buquesdel convoy , impelidos por el viento y las cor…</t>
  </si>
  <si>
    <t>Graharai</t>
  </si>
  <si>
    <t>ra por los pocos ingleses que hai aqui, ya ha tiempo que Cádiz estaría en poder del ene­ Cádiz 8 de agosto. Nada oenrre aquí por migo. Sabemos que el general Graharai viene con ahora de particular , pero esperamos que los fran­ refuerzos, de que tenemos mucha necesidad. El ceses ataquen de nn dia á otro nuestras obras de la m…</t>
  </si>
  <si>
    <t>Graharn</t>
  </si>
  <si>
    <t>ta h ¿bia salido de los puertos de Inglaterra para eu destino, y que iba á énviarse de Inglaterra un refuerzo de tropas para la división del teniente general Graharn que se halla en la Isla de Lson.”—La partida de Abiií ha cogido cerca de las Rozas ua. cor­ reo francés. Valencia 9 de julio. El l.° de este mes se instaló la ju…</t>
  </si>
  <si>
    <t>Graíst</t>
  </si>
  <si>
    <t>él Gébora, se ha visto ,¿El 18 un grueso cuerpo enemigo marchó con precisada el 6 del corriente á repasar este rio con artillería contra-Coviihao; el general Graíst eva­ alguna pérdida. Toda la caballería y la infantería cuó ésta ciudad con su destacamento,, y se retiró se hallaban entonces reunidas dentro de Badajoz: sobre A…</t>
  </si>
  <si>
    <t>Grakant</t>
  </si>
  <si>
    <t>RETAÑA. IN FROLBM AUGUSTI Londres 10 de mayo. íongam óptate laborque deae puer incipe vitant. Et rtdeas patria serus ad astra vid. Carta del teniente general Grakant al mui hono­ rable Henrique Welleslei. AUSTRIA. Isla de León 24 de marzo de t8ti. Vierta 11 de mayo. Mui señor mío: „Ya podéis conocer la repugnancia con que Un …</t>
  </si>
  <si>
    <t>Graliam</t>
  </si>
  <si>
    <t>que el sol, esto es, general C .mpbell, que maniobraba en la ala iz­ 532 millones de mi-las, y se principia á poner ha­ quierda baxo las órdenes del general Graliam.” cia las ti de la noche. Él dia 21 se poüdrá á las i* y 3 quartos, y el t.° de diciembre á las 10 y Extracto de una carta de un oficial ingles que quarto. Es de …</t>
  </si>
  <si>
    <t>Gramari, Francisco</t>
  </si>
  <si>
    <t>Francisco Gramari</t>
  </si>
  <si>
    <t>cuerpos de infaríerís del cxércíto les empleos siguientes: E x el regimiento de ir?fardería, de. H¿berniacompañía a D. Cir­ io? Tlorati ; tenencias i D. Francisco Gramari, D. Felipe Caballero,D. Vicente Mosquera , D. Anselmo UUoa y á D. M .miel Parta; subtenencias á D. José Gonzauz, D. Temas Adran, D. José Gar­ cía, D. Silves…</t>
  </si>
  <si>
    <t>Gran</t>
  </si>
  <si>
    <t>nizarle en algún modo de los disgustos que Europa. le ha causado la publicación de la correspondencia Se sabe que ha llegado á Bucharcst el señor del general Gran. Italiuski, ministro de Rusia.</t>
  </si>
  <si>
    <t>ques americanos considerarse «orno una clase media, la qu.l se au­ con sus cargamentos.” menta diariamente , y es la que llaman de merca­ El corsario d Gran duque de Berg, sn capi­ deres rusos. La población de Petersburgo ascien­ tán Dross'er, ha vuelto á entrar en Dieppe el 23 de a 300O habitantes , de los quales 309 son exd…</t>
  </si>
  <si>
    <t>Grana, Francisco</t>
  </si>
  <si>
    <t>Francisco Grana</t>
  </si>
  <si>
    <t>D. Gaspar Bavi , 50. D- Jaymc Pont, 50. I). Juan Plá , 35 y 5 rs. D. Santiago Parodi, 30. D. Domingo Esiaracbe , 60. D. Domingo íJarcia , 45 y 3 rs. D. Francisco Grana, 52 y 2 D. Pedro "Rumen , 183 y 3. D. Ignacio Tubores , 30. D. Juan. Rosoli, 40. D. Francisco Carreras, 256 y 4. D, José Xavier de Aranzarnendi , 203 y 6. D. J…</t>
  </si>
  <si>
    <t>GRANADA, Francisco de Ro EDIFICIOS EN</t>
  </si>
  <si>
    <t>Francisco de Ro EDIFICIOS EN GRANADA</t>
  </si>
  <si>
    <t>cientos ochenta y quatro mil novecientos gas, tinajas y demas piezas ocho reales y veinte y quatro maravedís vellón. en la misma villa, arrenda­ da á D. Francisco de Ro­ EDIFICIOS EN GRANADA. bles........................................ 3800 45600 Una casa en la calle del SalvaVILLA DE LEBRIJA. dor, número 7..................…</t>
  </si>
  <si>
    <t>Granados</t>
  </si>
  <si>
    <t>ron en la acción, fueron el sargento primero de infantería Juan Eirad y el de la misma clase José Granados, tí granaderos y 2 fu­ sileros: estos y el sargento Granados son del cuerpo de Cruzada, y les demas de mi columna. La noche del 5 la tuve en Ogen para dar algún descanso i mí tropa. Tengo el honor de repetir é V. E. mi a…</t>
  </si>
  <si>
    <t>Granados, Antonio</t>
  </si>
  <si>
    <t>Antonio Granados</t>
  </si>
  <si>
    <t>on Galiano , para una de las plazas de akt, ir. Nombramos por subteniente de esta las juntas que substituyeron al consejo real , y son los compañía á D. Antonio Granados, sargento pri­ malvados que, unidos con Villela, sentenciaron y lle­ mero que fue dél regimiento de Madrid, i.° de varon al patíbulo al digno magistrado Rico…</t>
  </si>
  <si>
    <t>Grant</t>
  </si>
  <si>
    <t>3 de enero con cartas para Massena, y supongo que llegaría ayer al cuartel general dcl excrcito ene­ migo. Venia escoltado por 2 ó 3000 hombres. —El coronel Grant&gt; que manda las ordenanzas en la Beyra baxa, había seguido hasta las in­ mediaciones . de Sabugal el destacamento que escoltaba el correo que partió dei Cécerc en 22…</t>
  </si>
  <si>
    <t>- Acompaño á V. E. la copia de ana carta que sobre esce asunto me ha dirigido el mariscal B’resford, así como de la que con este motivo ha escrito el coronel Grant. — Igualmente hilhrá V. E. inclusas las copias dé los partes del general Sir Guillermo Erskine que manda los puestos avanzados del ala izquier­ da d-a exé c to, qu…</t>
  </si>
  <si>
    <t>á creer que son de los oficiales y saldados enfermos trasladados de acue­ lla villa á la retaguardia del exército.” El parte del coronel Grant que se cita en el ofi:io anterior , dice que la división del enemigo que llegó á Guarda 9 había desecado 2500 hombres para Bslmonte , y mientras saque ban ios pueblos de aquejas inmedi…</t>
  </si>
  <si>
    <t>Grao, José</t>
  </si>
  <si>
    <t>José Grao</t>
  </si>
  <si>
    <t>IX. José Ramírez , 10 y 4 rs Francisco Fransechi, 50. José María del Carmen , 52 y 1. D. Gabriel C-.diar , alguacil mayor de la villa de Coamo , 160. D. José Grao , 140 y 2. D. Jaime Turró y Vivas* 117 y 4. D. Magia Torres, 242. D. Fernando Fernandez, i90. (Se continuará.) CADIZ : EN LA IMPRENTA REAL.</t>
  </si>
  <si>
    <t>Grar</t>
  </si>
  <si>
    <t>méate.” Pane del mariscal Beresfiord á lord JFellingion. Chamusca y di febrero de i #i 1. Miíord : tengo la- honra de pasar á V. E. 1¿ rela­ ción del teniente coronel Grar.t , á quien hace sigan tiempo le encar­ gué la inspección y mando de las ordenanzas en la frontera de la Beyra baxa-, y por la parte de Guarda; &gt; La fuerza…</t>
  </si>
  <si>
    <t>Gratara</t>
  </si>
  <si>
    <t>visión ligera de infantería y la caballería del general Alten en el convento de Saca parte , enfrente de Aifayates; el cuerpo que mandaba el teniente general Gratara formaba to iz­ quierda en Bismuto, tejiendo su vanguardia sí otro lado del rio que pasa al pie de Villar-May 01 ; y la caballería de) featonte ge­ neral Sir Stap…</t>
  </si>
  <si>
    <t>Grau, Manuel</t>
  </si>
  <si>
    <t>Manuel Grau</t>
  </si>
  <si>
    <t>mado pasarían á incendiar los restantes; v deseando yo sacar de esta empresa todas las ventajas posibles, dispuse que los oficiales del 2.° de Saboya D. Manuel Grau , y D. José Pellicer ( que .voluntariamente habían pedido pasar) , se embarcasen en medio del vivo fuego que se hacia, lo que executarbn con la mayor bizarría, no…</t>
  </si>
  <si>
    <t>Grau, Valerio</t>
  </si>
  <si>
    <t>Valerio Grau</t>
  </si>
  <si>
    <t>M-.irí i Sevilla, G. D. Luis Mén­ dez , 5. D. Antonio Calero, 5. D. Francisca Peralta , 6. Pedro Saboila, 4. X&gt; Ramón Totosans, 4. D. Juan Perez, 4. D. Valerio Grau , á D. Juan de Dios \randa, 8. D. Esteban Borom, 3. D. José García, 2. D Pedro Ferrer , 2. D. Domingo Marera , 1. D. José María Suarez , 2. Antonio Balao, 8. D. F…</t>
  </si>
  <si>
    <t>Gravelíe</t>
  </si>
  <si>
    <t>co i V. E. que los tenga ep copsi- la fuerza sus hijos, y los otros el pillage de sus déracion. propiedades, ó que sos personas sean insultadas: ,,Et capitán Gravelíe, comandante de la arti­ los caminos estarán libres y seguros ; se restable­ llería de la plaza, ha manifestado antes y después- cerá la. circulación en todas pa…</t>
  </si>
  <si>
    <t>Grckcw</t>
  </si>
  <si>
    <t>opuesta con xoo ,, Entre tanto no estaban ociosos los demas des­ piezas de artillería, mientras que el general Mar- tacamentos del exército ruso. El coronel Grckcw -cow» dirigiendo contra los turcos los mismos caño­ pasó el Danubio por Turtucai; se apoderó de esta nes que habían abandonado s les anunciaba la bri­ plaza, y env…</t>
  </si>
  <si>
    <t>Grcrnt</t>
  </si>
  <si>
    <t>he recibido de aquella parte. Ha­ bía hecho esfuerzos el 12 del corriente para apoderarse de Covilhan : pero fué rechazada con alguna pérdida por el coronel Grcrnt, el qual había con anticipación ocupado la villa con un cuerpo de ordenanzas de la Beyra-baxa. — - Acompaño á V. E. la copia de ana carta que sobre esce asunto me …</t>
  </si>
  <si>
    <t>Gre</t>
  </si>
  <si>
    <t>erpo de volunt'Ho« patriotas cL Navarra, cuyo primer comandaiA- D. Francaco E*&gt; oz y Mina filé herido de una bala de fusil eu el brazo, y su teniente D. Gre.go-</t>
  </si>
  <si>
    <t>con mucho D. Pablo Noriega , abanderado, á ayudante se­ tino y discernimiento, pues es el verdadero modo gundo del quaito batallón , en reemplazo de D. Gre­ de evitar que las gentes al leer ios avisos de la re­ gorio Alfonso Choya. presentación se anden alambicando los sesos para D. Sebastian del Conde Vallejo, teniente, á av…</t>
  </si>
  <si>
    <t>ectivas que ocupan en el dia de hoi, y particular­ darian la muerte, no habiendo allí siempre un militar mente á los Sres. D. Francisco Espoz y Mina, D. Gre­ de algún carácter, que podría asegurar nuestras vidas gorio Guruchaga, D. Esteban Castillo, D. Hilario Pe­ en todo tiempo: asi pues, si puede ser, haga vmd. ven­ ralta, …</t>
  </si>
  <si>
    <t>Grecn</t>
  </si>
  <si>
    <t>1152</t>
  </si>
  <si>
    <t>e de 1811. —• Oreen. — Exorno. Sr. D. Lu'«s Lacy.” 5.° Oficio del general Jbacy á la jimia superior de Cataluña. —■ “Excnjo. Sr. : j&lt; or el parte de! coronel Grecn que tengo el honor de copiar á T. E. (es el que antecedeJ, en que manifiesta se habla visto obligado por el dictamen de los marinos ingleses á abandonar las islas …</t>
  </si>
  <si>
    <t>Gree-ri</t>
  </si>
  <si>
    <t>1131</t>
  </si>
  <si>
    <t>s JMedas. — l .Cl Del mariscal de campo jD. Luis Lacy, general en gefe interino de este exército y principado, á la junta superior. — Excino. Sr.: El coronel Gree-ri, con fecha de 31 de agosto próximo pasado, me dice lo que copio: „ El 29 del corriente desembarqué en esta isla, é inmediatamen­ te tomé mis precauciones para im…</t>
  </si>
  <si>
    <t>Greeh</t>
  </si>
  <si>
    <t>ta gente puedan de Cataluña para llevarla i militar en el Norte. Concluyen los oficios relativos á la toma de las islas de las Ivfedas. 4.® Parte del coronel Greeh al general Lacy. — “Exorno. Sr.: después de haberse entregado á discreción el castillo de las Medas, á pesar del fuego de las baterías enemigas , dispuse que se co…</t>
  </si>
  <si>
    <t>Gregorio</t>
  </si>
  <si>
    <t>’, rindiendo prisioi e os á Jos restantes,,y teniendo la singular complacería . de ús* libertad 'á los áyuht&amp;mkhtóé. Se distinguieron en esta ocasión D. Gregorio de</t>
  </si>
  <si>
    <t>losBirrios, campo de Gibraitaf/á I) Joa­ quín María Eguigaren: para la de CTatayud á D. Fabián Loreote, y para el corregimiento de Molina de Aragón á D. Gregorio La redo. Buques que han recogido corresponderéis es la administración de correos de Cádiz durante la semana finalizada en 13 del corriente* Para Veracruz í. fragata …</t>
  </si>
  <si>
    <t>................. 1624 17 9 D.B1 as Sánchez Puertas , curador ad- 2 D. Antonio de la Gañín.................. . 3610 bona de D: Juan Mateo Xalraque- 3 D. Gregorio Imperial........................ 2436 25Í; mada.................. 6407 aj| 3 D. Cristóbal Perez y Doña Angela 4 D. Nicolás de Besabe........................... 722 B…</t>
  </si>
  <si>
    <t>Grei</t>
  </si>
  <si>
    <t>rturo Pigot; presidente del consejo mediación del almirante Courci. el duque de Baiford ; los tres secretarlos de Esta­ . n-* ■ do lord Grenville, el conde Grei y el mui ¡lustre Del 16 de octubre. Cx. Ponsombi; canciller del Echiquier Mr. IIusCada vez son mas desagradables las noticias qne kisson; primer lord del almirantazgo…</t>
  </si>
  <si>
    <t>alta de víveres , Jos buques ingleses que 12.0 de dragones ligeros, en Casrel-B-anco. hai en el puerto, y los que en lo sucesivo entraren Brigada 4el general Grei: 3.0 y 4.0 de drago­ en él á la fuerza , estarán necesariamente expues­ nes, en Evora. tos á las mismas calamidades y á sufrir iguales pri­ Brigada del general Anso…</t>
  </si>
  <si>
    <t>Gresn</t>
  </si>
  <si>
    <t>294</t>
  </si>
  <si>
    <t>misma noche que llegué, de3puss de haber reconocido detenidamente la situación y aproches de aquel fuerte, en compañía dei comisionado de S. M. B. el coronel Gresn, 33 tomaron las disposiciones necesa­ rias para acabar de cerrar las salidas que se comunican con la villa; se abrieron zanjas en donde situar los tiradores y guar…</t>
  </si>
  <si>
    <t>Griffiths</t>
  </si>
  <si>
    <t>y guardado con esre fin'. Se sa­ Rolles; el Egmont, de 74, capitán Bingham ; gefe be dé cierto que el Duque de Dantzick y el, Me­ dé la esqoadra , el capitán Griffiths. rengo tienen grandes intereses en manos de los ame­ Fragatas. La Nimphen, de ,36 , capitán Han» ricanos, los quales no solo se prestaría est.. in­ cocq , ,del…</t>
  </si>
  <si>
    <t>Grikeo</t>
  </si>
  <si>
    <t>1945</t>
  </si>
  <si>
    <t>iones, y pronto á socorrer á la una cargamentos, y ha condenado el día t. de este dala otra, según lo exija la necesidad. mes at Catalina Eleonor, su capitán Grikeo. Escriben de Giurgewo que el exército torco El tribunal de Itocoue ha declarado libres a los ha salido de Rudsohuek, después de haber dexado buques Jacthn, su cap…</t>
  </si>
  <si>
    <t>Grillo, Lorenzo</t>
  </si>
  <si>
    <t>Lorenzo Grillo</t>
  </si>
  <si>
    <t>de Paula Ardízone; tenencias á D. José Veaimtrgnia y D. José Celestino Fernandez de Cusía; y subtmercias á D. Podro Gutiérrez, D. Cipriano González, D. Lorenzo Grillo, D. Francisco Meleadez y D. Mariano Franco Rodríguez ; y en el de artilleros, compañías al córale de X i ni era, D. Francisco Xavier González y D. Carlos Malaga…</t>
  </si>
  <si>
    <t>Grindel</t>
  </si>
  <si>
    <t>fe- cienda ha presentado dicha memoria á S. M. el lande da noticia de varios ensayos que ha hecho el Emperador. Los comerciantes observan en ella que doctor Grindel para hacer sangre artificialmente. les es mui perjudicial la baxa del papel, puesto Veinte y cinco veces ha repetido sus tentativas; que por lo regular no sacan m…</t>
  </si>
  <si>
    <t>Grivigne, Henrique</t>
  </si>
  <si>
    <t>Henrique Grivigne</t>
  </si>
  <si>
    <t>nte de qué profesan en una materia de tanta importancia; la primera compañía del segundo batallón. principios que podrán tranquilizar á algunos espí­ D. Henrique Grivigne, subteniente, á teniente ritus débiles, ó qae carecen de luces y conoci­ de la quinta compañía del segundo batallón. mientos, y cuya solemne declaración pue…</t>
  </si>
  <si>
    <t>Grosolei, Angel</t>
  </si>
  <si>
    <t>Angel Grosolei</t>
  </si>
  <si>
    <t>n observación del nuestro; pero Foi, que es­ Rs. vn. taba en Truxillo , habtá salido también para reUDÍrsele.” D. Mignel Antonio de Oquendo. itcoo 20 D. Angel Grosolei........................... 180.0 Mndr'¡d i y de octubre. Pí fu Maií.i de Arpwedes....... ...... 4 0CO D. •Sebastiin de Ota.g.n................. 60120 Extracto …</t>
  </si>
  <si>
    <t>Grosvenor</t>
  </si>
  <si>
    <t>en reemplazo de D. Antonio Ximentz. traordinario, el lord Yarmouth, el honorable Ber- D. Luis Molle á subteniente de la quarta com­ kelei Craven, el general Grosvenor, el caballero pañía en la vacante de D. Pedro de Padrós. Maithnd , el marques de Qneensburi, el lord Pom- aut. iv. Nuestro ministro de la Guerra qaeda íiet &amp;c.”…</t>
  </si>
  <si>
    <t>Groveoing</t>
  </si>
  <si>
    <t>Niim. 2)6. 1945 GAZETA DE MADRID DEL VIERNES 13 DE SETIEMBRE DE 1811. TURQUIA. su capitán Groveoing, con su cargamento. La subscripción para establecer una universi­ Constantinopía so de julio. dad en Noruega asciende ya á 155© rixdalerS. La Puerta ha rcc.bidu ptieg s del gran visir, en E</t>
  </si>
  <si>
    <t>Grr</t>
  </si>
  <si>
    <t>ramente. La misma operación hickion con­ tra las restantes primero y tercero; pero no tuvieron m jor é.rito, sosteniéndose el tercero, al mando de su comandante Grr z, con un valar y firmeza increíbles. Una guerrilla del primer basa Ion, qu© por su dema- lado arrojo se avocó hasta las mus de los cabal os , tu­ vo la desgracia…</t>
  </si>
  <si>
    <t>Grusvenor</t>
  </si>
  <si>
    <t>se leyese por Nuestros lectores verán con dolor que el go­ tercera vez el bilí del lord Stanhope. bierno de los Estados-Unidos es tan obstinado y El conde Grusvenor impugnó fuertemente esta ran implacable como el nuestro. Parece inevitable medida , pero sin proponer nuevas objeciones; y y próximo un rompimiento, y solo, resul…</t>
  </si>
  <si>
    <t>Gsvirati, Santiago</t>
  </si>
  <si>
    <t>Santiago Gsvirati</t>
  </si>
  <si>
    <t>l estado, RUI de las Españas y de las Indias. 2 D. Casimiro Antonio Gómez............ 6859 Vistas las consultas de la comisión de liquidación de la 6 D. Santiago Gsvirati......... ..................... 8032 8’ deuda del estado, lo expuesto por nuestro ministro de Ha­ 9 - D. Domingo de Urrutia................ . 3339 cienda, y …</t>
  </si>
  <si>
    <t>Gtaham</t>
  </si>
  <si>
    <t>ue mandaba las expresadas tropas británicas que se enviaron de Cádiz con el objeto de socorrer á dicha plaza, remitió varios par­ tes y documentos al general Gtaham, comandante ea gefe de las tropas de S. M. B. en Cádiz y en la Isla de León , por los que resulta que el mencionado coronel llegó á la vista del puerto de Tarrago…</t>
  </si>
  <si>
    <t>Gtreau</t>
  </si>
  <si>
    <t>exército, he entrada hace 3 dias en el territorio fr nc^s , don­ de he cobrado ya las contr b'toiou?s que he impuesto, después do Jñher desalojado.al general Gtreau de una fuerte posición que de­ fendía con 1300 infantes, 2 cañones y alguna caballería: en esta ac­ ción conocí que ?a poca tropa se acordaba aun de que hablan si…</t>
  </si>
  <si>
    <t>Gu, Manuel</t>
  </si>
  <si>
    <t>Manuel Gu</t>
  </si>
  <si>
    <t>estre general: el ayudante del cuerpo de frontera de Sierra Gorda , capitán D. Bernardo Tello: el del regimiento provincial de Puebla de infantería , D. Manuel Gu­ tiérrez de les Ríos : el del regimiento de la Corona D. Juan de Urqui- . di : el teniente veterano de dragones de Puebla , D. José Mora : el al­ férez del propio c…</t>
  </si>
  <si>
    <t>música , donde se cauto misa Para el de Villaverde de Iscar, vacante pot solemne y Te Deum, diciendo nn sermón oportu­ muerte de D. Matías Ibañez, á D. Manuel Gu­ no y aná ogo á las circunstancias D. Andrés Pei­ tiérrez, cura de Tejares. nado, ex- regular franciscano, guardián de sn con­ Para el de Pajares del Fresno, vacante…</t>
  </si>
  <si>
    <t>Guadiana, José María</t>
  </si>
  <si>
    <t>José María Guadiana</t>
  </si>
  <si>
    <t>GUILA. El gobernador coronel D. Antonio Cordero , 500. El ayudante inspector D. José López , 130. — Compañías presidíales.—Monclova. Teniente primero D. José María Guadiana, 60. Id. segundo D. Franciscoddam, 60. Alférez primero D. Juan José JSlguczabal, 50. Id. segundo D. José Andrés Cadena, 40. Capellán D. Juan Ñepomuccno Pe…</t>
  </si>
  <si>
    <t>Gual, Antonio</t>
  </si>
  <si>
    <t>Antonio Gual</t>
  </si>
  <si>
    <t>Maristani , 25. D. Miguel Roig , 25. D. Joaquín Sánchez, 25. D. Miguel Vargas , 25. D. Juan Huise, 25. D. Manuel Antonio Barbachano , cada año , 20. D. Antonio Gual , 20 D Antonio Martin , 20. D. José Mauricio Rodríguez, 12. D. Alexmidro del Campo, 12. D. Antonio Montero, 12. D. Juan Flota y compañía, 12 D. Antonio Guerra, 10…</t>
  </si>
  <si>
    <t>Gual, Pablo</t>
  </si>
  <si>
    <t>Pablo Gual</t>
  </si>
  <si>
    <t>2. Pantaleon Peralta , 1. Ceferino Basó , 1. José Mena, 4. Siiverio Pina , 1. Francisco Mendoza, 1. D. Pedro Arguelles , 150. B. Juau Totosans , 150. D. Pablo Gual, 100. D. Juan Antonio. Ferreiro , 50. D, Francisco Moreno , 50. D. Juan Diaz , 40. D. Jorge Montero , 25. Don Domingo'Mosqueira, 25. D. Aiidres Pumar , 25. Jóse An…</t>
  </si>
  <si>
    <t>Gualba, Buenaventura</t>
  </si>
  <si>
    <t>Buenaventura Gualba</t>
  </si>
  <si>
    <t>strada, 500. D. José Perez Medina, 500. D. Hemeterio Dalias, 500. D. Juan Agustín de Ibarra , 300. D. Domingo Sainz Pardo, 200. D. Pedro Rosell, 200. D. Buenaventura Gualba, 200. D. José Goma, 100. D. Andrés Ibarra, 100. D. -Juan de la Fuente y Valle , 100. D, An­ tonio de Estrada , 100. D. José Buenaventura Batllé , 100. D. …</t>
  </si>
  <si>
    <t>Guardaelmuro, Juan</t>
  </si>
  <si>
    <t>Juan Guardaelmuro</t>
  </si>
  <si>
    <t>no hay con que explicar ia bizarría y valor de los dra­ gones al mando del valeroso teniente coronel D. Francisco Rodríguez, r Aviso por mi ayudante D. Juan Guardaelmuro á Valladolid , que vengan á recoger toda la artillería y cuanto ha quedado en el campe* pues yo no me detengo. Ya haré á V. E. relación de todo, cuando pue­ …</t>
  </si>
  <si>
    <t>Guatee, Juan</t>
  </si>
  <si>
    <t>Juan Guatee</t>
  </si>
  <si>
    <t>ha de 13 del que rige, oe■9 por los partes convocatoria que habla dirigido á io?; corsead actos D. Alexandro Fernandez, D. Fiancisoo Laso de i» V ga, D. Juan Guatee y la partida de i presbítero D. Fernando C.a izares. ce me habían reunido , el primero ecn la fueiza de 50. caballos disponibles, el segando con la de 80 y el ter…</t>
  </si>
  <si>
    <t>Gucciardi</t>
  </si>
  <si>
    <t>ón ó término de Clursnuviüe, distrito de ni, Stratñ o , Dándolo , Carroñehi, el conde Pa­ Meung. Mr. Peílier , medico de Baugencí, remi­ ra dissi, el conde Gucciardi, el cande Prima, tió sobre esto una memoria, que se leyó en la se­ ministro de Ha&lt; ierda ; Fiorella , Giustiniani, sión pública Je la sociedad de ciencias física…</t>
  </si>
  <si>
    <t>Guches, Crispina</t>
  </si>
  <si>
    <t>Crispina Guches</t>
  </si>
  <si>
    <t>s. 2 D. Alonso Contreras............................ 24187 5 D. Antonio, Doña M«ríi Gar&lt;.és y 2 D. Juan de Llagona........................... 1173 8§ Doña Crispina Guches , herederos 6 D. Francisco de Paula Des-essart, por de D. Manuel Garué:..............-....... mano de su apoderado D. Juan. M34 8|l 3 D. Juan de Iriarte..-.…</t>
  </si>
  <si>
    <t>Guereta, Severo</t>
  </si>
  <si>
    <t>Severo Guereta</t>
  </si>
  <si>
    <t>mandado volverá D. Manuel Lucio Gutiérrez, sargento primero, publicar la subasta de la casa calle de la Torrecilla J:1 á abanderado, en la vacante de D. Severo Guereta. Leal , mím. 1 , manz. 27 , por el término (le 8 di is mu; previniéndose al público, que hallándose tas ida en Segundo batallen. 125720 rs, está hecha postura …</t>
  </si>
  <si>
    <t>Guernica, Sebastian Antonio</t>
  </si>
  <si>
    <t>Sebastian Antonio Guernica</t>
  </si>
  <si>
    <t>Béigida; en una letra sobre Valencia, 1000. Marques de Camarasa , lOOO. I). G. Z., 120. D, Juan Bautista Tamarit, 200. Duque del Infan­ tado , 4000. D. Sebastian Antonio Guernica, 1000. D, Esteban Fernandez de León , 2000. D. Benito de la Plaza, 600. D. N. Piedra-Blanca , 40. D. Pedro de la Rosa, presbítero de S Juan de Dios,…</t>
  </si>
  <si>
    <t>Guerra, Antonio</t>
  </si>
  <si>
    <t>Antonio Guerra</t>
  </si>
  <si>
    <t>nio Gual , 20 D Antonio Martin , 20. D. José Mauricio Rodríguez, 12. D. Alexmidro del Campo, 12. D. Antonio Montero, 12. D. Juan Flota y compañía, 12 D. Antonio Guerra, 10. D. Rafael Castilla, 10. D. Gerónimo García, 10. D. Jacinto Perora, 10. D. José Pallan, 10. D. Juan Cabrera, 10. D. Juan Iriarte , 10. D. Agustín Costa, 10…</t>
  </si>
  <si>
    <t>Guerra, José Nicolás</t>
  </si>
  <si>
    <t>José Nicolás Guerra</t>
  </si>
  <si>
    <t>1. D. Gregorio Feroz, vecino de Kalkini , 100." D. Juan Ignacio Cosgaya, 50. D. Gregorio Marcad al, líX). D. Hipólito Olivera, vecino de Bacalar, 50. D. José Nicolás Guerra , 25. Dona Juana Felipa Romero , 100. D. Juan da Dios Cosgaya , subdelegado de la intendencia de esta provincia en ei par­ tido del camino real alto, por …</t>
  </si>
  <si>
    <t>Guerrero, Gabriel</t>
  </si>
  <si>
    <t>Gabriel Guerrero</t>
  </si>
  <si>
    <t>e Chepo , en alhajas y dinero, 92 y 6 rs. y medio. D. José María Cbari , teniente del batallón fixo y comandante del destacamento de Penonorné , 100. D. Gabriel Guerrero , subteniente del regimiento de milicias blan­ cas disciplinadas de infantería , 100. D Juan de Dios de Avala, gobernador de Santiago de Veragua, 300. D. Ped…</t>
  </si>
  <si>
    <t>Guerrero, Ignacio</t>
  </si>
  <si>
    <t>Ignacio Guerrero</t>
  </si>
  <si>
    <t>100 y 0 rs. Los vecinos de Moconito , 237 y 5 rs. Los de Bacuvirito , 148 y 4 rs. Los del Valle de Oposura, 49 y 1 rs. — S. Sebastian, El subdelegado D. Ignacio Guerrero , 10. D. Miguel Arrieta , 150. D. Juan Ortigosa , 50. D. Antonio Inchauitegui, 10. D. Lorenzo Lizagarra, 10. D. Manuel Tirado, IG. D. Ig­ nacio Fletes, 20. D…</t>
  </si>
  <si>
    <t>Guerrero, Juaa</t>
  </si>
  <si>
    <t>Juaa Guerrero</t>
  </si>
  <si>
    <t>-agustino calzado. Diego Antonio Nieto, presbítero, ex-regular del Para el segundo de la referida villa, de nueva órden de S. Francisco. erección , á D. Juaa Guerrero, presbítero, ex- Nuestro ministro de Negocios eclesiásticos que­ carmelita descalzo. da encargado del cumplimiento de este decreto. = Para el de la villa del Vi…</t>
  </si>
  <si>
    <t>Guerrero, Luis María</t>
  </si>
  <si>
    <t>Luis María Guerrero</t>
  </si>
  <si>
    <t>arina militar capaz de protegerlo. Los cérvido nombrar para la regencia de la audiencia votos pues de la Francia antigua y moderna están de Sevilla á D. Luis María Guerrero, presidente unánimes sobre esta materia. Marinas he aquí ia que era de la junta criminal extraordinaria de Má­ necesidad y el deseo de la gran nación. Est…</t>
  </si>
  <si>
    <t>Guerrero, Macario</t>
  </si>
  <si>
    <t>Macario Guerrero</t>
  </si>
  <si>
    <t>do cada uno después á 4 enemigos. Miyorga libertó también al soldado Esteban Yongitud, á quien un insurgente llera* ba preso en su caballo.— Él porta D. Macario Guerrero, acometida de 7 enemigos , respondió ¿ la intimación que u o de estes le hizo de que rindiera el'estandarte , derribándolo del caballo de un pisto! tozo; y s…</t>
  </si>
  <si>
    <t>Guerrero, Pedro</t>
  </si>
  <si>
    <t>Pedro Guerrero</t>
  </si>
  <si>
    <t>a­ dajoz, compañías £' D. Manuel .Brayo, D. Raílolomé Berris, Don Manuel Gata y D, José Mesia y Monxoy; ayudantía á D. Maria­ no Mediano, tenencias á D. Pedro Guerrero, B. Juan Mercado, D. Fernando 'Tostado,' D. Miguel Bravo , B. Fraucise© Bolaño?. D. Valentín Navarro, y D. Manuel Sai? Roznan: y subtenencias á D. Disgaio Hern…</t>
  </si>
  <si>
    <t>Guerrero, Tomas</t>
  </si>
  <si>
    <t>Tomas Guerrero</t>
  </si>
  <si>
    <t>1. El alcalde mayor D. José Puertolas , 20. El refcau.hídor de tribdtos D. Diego Cabrera , 12. D Nicolás Carbajal , 12.— Ckínchxlp:i:&gt;jo. El cura Dr. D. Tomas Guerrero , como vecino priucipal, ade­ mas de híbpr contribuido por m no de su prelado, 50. Li comunidad de indios, 299. El alcalde migar D Pedro Estrada, 12. El recaud…</t>
  </si>
  <si>
    <t>Gugger, Francisco</t>
  </si>
  <si>
    <t>Francisco Gugger</t>
  </si>
  <si>
    <t>ía de la purria de Serranos de la ciudad do Valencia. En el regimiento de infantería primero de Burgos ha conferido el Consejo de R -ganda compañía á D. Francisco Gugger; tenen­ cias á D. Mariano Bolarin y D. José Paez ; y subtenencia á D. Ma­ nuel Bordalonga. Asi mismo se ha servido conferir en el regimiento de infantería ds…</t>
  </si>
  <si>
    <t>Gui, Blas</t>
  </si>
  <si>
    <t>Blas Gui</t>
  </si>
  <si>
    <t>................... 2300 de res d1 , por....................................................... 2100 D. Josef Lázaro, natural de [.¡lio, provincia de D. Blas Gui/.ilez , natural de Ludia, en Guada- Toledo, residente en sil pueblo, por.................. 2300 laxar.1 , residente en la misma villa, por........... 2200 D. Antonio…</t>
  </si>
  <si>
    <t>Guilleimo</t>
  </si>
  <si>
    <t>ticia y de aduanas son responsables de la exe- esta ceremonia eran SS. A A. el Príncipe heredero, cucion de esta orden, como t«mbitn las autorida­ el príncipe Guilleimo, el príncipe Carlos, acompa­ des militares que hau recibido órdenes para el ñados de sus ayos; las princesas Carlota y Ale­ ef-cto. jandra , el príncipe y la …</t>
  </si>
  <si>
    <t>Guillelmo</t>
  </si>
  <si>
    <t>Han vuelto á esta ciudad láduquesaLuisay SUIZA. sus hijos, como también el duque Guillelmo , que había salido,á'recibir á su hermano. £1 duque Luis Soleare de abril. es el único qne permanece en Kircheim, La dieta extraordinaria ha oidq. en su primera sésion un informe circunstanc</t>
  </si>
  <si>
    <t>Guillen, Josef Sánchez</t>
  </si>
  <si>
    <t>Josef Sánchez Guillen</t>
  </si>
  <si>
    <t>ián de Herrera. por muerte de D. Francisco Madrigal, al presbí­ Para el de Isbol y Tablate, vacante por as­ tero D. Francisco de Saks Camin. censo de D. Josef Sánchez Guillen al del Fondon, Nuesrro ministro de Negocios eclesiástico» á D. Josef Mexías, ex-regular recoleto. queda encargado del cumplimiento de este de­ Para el d…</t>
  </si>
  <si>
    <t>Guillen, Miguel</t>
  </si>
  <si>
    <t>Miguel Guillen</t>
  </si>
  <si>
    <t>acompañaron á Darquines á incendiar los barcos: igualmente nó puedo menos de recomendar el mérito contraído por los coman­ dantes de somatenes el Dr. D. Miguel Guillen!, y su segundo I). Pa­ blo .Viñes , y el rector de la Palma D. Adrián Ochando, que coi? su gente distraxeron al enemigo en las alturas de la ermita del Remedio…</t>
  </si>
  <si>
    <t>Guillermo</t>
  </si>
  <si>
    <t>rgo para Stettin, repuestos de municiones ; pero se consiguió apa­ en donde está el palacio de verano de S. A. R. el garlo después de alguna pérdida. duque Guillermo, en el qual. se hallan SS. AA. el Mr. Peltier , periodista de Londres,, ha indica­ príncipe y princesa Paulina, y las demas personas do, y lo reconocen todos los…</t>
  </si>
  <si>
    <t>1380</t>
  </si>
  <si>
    <t>rlín 3 de noviembre. tibíe en nuesrro horizonte noche y día, y en no­ ches claras no se necesita de anteojo para observarle. La esposa de S. A. R- el príncipe Guillermo „ El doctor Lamberti habiendo notado en sus dió á luz con toda felicidad dos príncipes el dia 29 observaciones hechas á las 9 y 45 minutos del 14 del mes pasa…</t>
  </si>
  <si>
    <t>Guillermo, Sir</t>
  </si>
  <si>
    <t>Sir Guillermo</t>
  </si>
  <si>
    <t>mo­ mento el enemigo no ha hecho nueras tentativas en parte alguna de nuestra posición. El enemigo manifestó el intento de atacar el puesto del mayor general Sir Guillermo E^skme , en Aldea del Obispo, en Ja misma mañana con el segundo cuerpo; peí o hab¡endo este general man­ dado que el segundo batallón de la legión lusitana…</t>
  </si>
  <si>
    <t>Guilletir</t>
  </si>
  <si>
    <t>-17 D. Josef Antonio de Criarte................... 28338..17 D. Manuel García Montenegro............. 11732.. X7 D. Juan Manuel Pérez de Herrera, por D. Guilletir.o de lihagon , por mano mano de D. Pedro Pablo Pérez de de Gorbea y sobrinos.......................... 36228.. 8f Arriata................................ ..........…</t>
  </si>
  <si>
    <t>Guiña, José</t>
  </si>
  <si>
    <t>José Guiña</t>
  </si>
  <si>
    <t>Fiballer, D. Pablo Tarrago y Don Juan QuiY&amp;nte; los de ayudantes á D José A-abez y D. Jo é Fue­ llo ; los de capitán segundo á D. Francisco Sierra y D. José Guiña; les de teniente í D. José Biiosa, D. Diego Castro, I). Ignacio Rebo­ llo y D. Francisco Valles; los de subteniente á D. Gabriel Larín y D. Pedro Galan. ' CADIZ : E…</t>
  </si>
  <si>
    <t>Guiñaría, Jfsé María Celaya y TL Nicolás</t>
  </si>
  <si>
    <t>Jfsé María Celaya y TL Nicolás Guiñaría</t>
  </si>
  <si>
    <t>l re­ gimiento de infantería de IJítonia. En el regimiento de infantería Ordenes Militares se ha ¿servido el Consejo de Regencia conferir compañías á D. Jfsé María Celaya y TL Nicolás Guiñaría; tésecciar á D. Peéío Píkz, D. Fran­ cisco Macias y D. * Jaáqúin- Ató';GW«íl«*; ¿úbtenéndas á !&gt;¿*Mannel Quinte, ^.Valentín de 3á Infa…</t>
  </si>
  <si>
    <t>Guiot</t>
  </si>
  <si>
    <t>és de este choque pueda aun El cuerpo de Ballesteros ha sido arrojado d*l iluminar nuestro planeta. Es mni extraño el que condado de Niebla. El señor general Guiot, del un filósofo se haya dexado arrastrar, como algu­ 5." cuerpo, que mandaba esta expedición, ha en­ nas buenas mugeret y frailes del siglo x , de la trado en Aya…</t>
  </si>
  <si>
    <t>Guipado, Salvador</t>
  </si>
  <si>
    <t>Salvador Guipado</t>
  </si>
  <si>
    <t>, á sus aliados Subtenientes. y á sus enemigos, quando estos son poco numero­ D. Juan Djego Agullar. sos, y solo pueden hacer una resistencia inútil. D. Salvador Guipado. Todos esos miserables caerán tarde ó temprano en D. Manuel Criado. manos de la justicia , y el exemplar que se hará art. v. Es la villa de Hornachuelos se f…</t>
  </si>
  <si>
    <t>Guírart, Juan Bautista</t>
  </si>
  <si>
    <t>Juan Bautista Guírart</t>
  </si>
  <si>
    <t>s cinco y inedia ria, y presentádose en los autos formados con este mo­ de la tarde. Desde el primer punto de la frontera tivo por el juzgado del Sr. D. Juan Bautista Guírart, de España todos los pueblos por donde ha pas.do del consejo de S. M., juez de piimera instancia, y es­ S. M. se han esmerado en darle testimonio de la …</t>
  </si>
  <si>
    <t>Guirií'au, Antonio</t>
  </si>
  <si>
    <t>Antonio Guirií'au</t>
  </si>
  <si>
    <t>ro Mártir Pascual , 200. 1). José TraseiJas, 150. D. José Sopeña , 3,20. IX José Alvareda , 3000. D. Manuel Ferrer y Sans, 1000. D. José Closa, 4-00. D. Antonio Guirií'au , 4üü. D Simón de Agreda , 200. IX José Cubero , 200. i). Cristóbal Vidal, 120 D. Ricardo Mea.de , 1000. D. Jacobo Enrique Mistíer , 400. IX Andrés del Fres…</t>
  </si>
  <si>
    <t>Guise</t>
  </si>
  <si>
    <t>ntería sobre la fa*da del Turón y derecha de la primera división ; pero fué rechazado por Ja in­ fantería Ib.era de las guardias reaks mandada por el teniente coronel Guise con el auxilio da cinco compañías del regimiento 95 á las ór­ denes dei capitán Citare: en el discurso del cañoneo fué herido el mayor general Nighüng\Ie,…</t>
  </si>
  <si>
    <t>Guitart, Juan Bautista</t>
  </si>
  <si>
    <t>Juan Bautista Guitart</t>
  </si>
  <si>
    <t>O. fin, manifiestan una samo sagacidad en todo lo Por providencia dada en 8 del presente mes por el que exige paciencia y observación. Un salvage Sr. D. Juan Bautista Guitart, del consejo de S. M., atravesará un bosque de áoo millas pira llegar á juez de primera instancia , y de la testamentaría de un punto eu tnydió de ¡a ob…</t>
  </si>
  <si>
    <t>lustración d.el gobierno y la de los gobernados. Por providencia dada en 3 del presente mes por el Jamas pueblo ignorante logró un labio gobierno: S. D. Juan Bautista Guitart, del consejo de S. M. , juez jamas un gobierno ilustrado pudo avenirse con un de primera, instancia, se ha mandado ciur y emplazar ,í pueblo ignorante. …</t>
  </si>
  <si>
    <t>ademia de ciencias. El b añes da D. Prudencio Moreno, vecino de esta corte, nuevo sistema de pesas y medidas es el resultado se ha mandado por el Sr. D. Juan Bautista Guitart, del consejo de S. M., juez de primera instancia, que todos de las ¿Veas de estos comisarios, á quienes ayu­ los acreedores que tengan derecho á dichos …</t>
  </si>
  <si>
    <t>yor fuese la cantidad que se pidiese , y los mer­ cados de Europa recibirían toda la cantidad pedi­ Por providencia dada en 25 de este mes per el Sr. D. Juan Bautista Guitart, del consejo de S, M., juez da. En este supuesto, seria preciso verosímilmente de primera instancia en esta corte, se lia mandado ci­ profundizar mas la…</t>
  </si>
  <si>
    <t>de quiebras: 3.° las adua­ nas é impuestos extraordinarios de los géneros co­ loniales : 4.0 el comercio: 5.0 el sistema de monedas. aviso. •» El Sr. D. Juan Bautista Guitart, del consejo de PROVINCIAS ILIRICAS. S. M-, y juez de primera instancia en Madrid* por pro­ videncia de p de mayo último* se ha servido señalar el Tries…</t>
  </si>
  <si>
    <t>Gaceta de Madrid n.º 173</t>
  </si>
  <si>
    <t>o siguiente, que funda sobre ella Mr, Lambinet. La biblia mas antigua que se conoce es AVISO. la famosa de Maguncia , de la qual solo queda un El Sr. D. Juan Bautista Guitart, del consejo do éxemplar, que expresa la fecha puesta por el en­ S. M., y juez de primera instancia en Madrid, por pro­ cuadernador , por donde consta q…</t>
  </si>
  <si>
    <t>particular de S. M. Del $• La ceremonia del bautismo del Re¡ de Roma» AVISO. y las ñestas de que ha sido, acompañada en esta Por providencia del Sr. D. Juan Bautista Guitart, capital » fueron celebradas ayer con la pompa cor­ del consejo de S. M., juez en primera instancia, con respondiente i su objeto. Ademas de la inmensa f…</t>
  </si>
  <si>
    <t>ste milagro erigieron en 1778 el monumento siguien­ Por providencia dada en 8 del corriente por «1 te. En medio de un zócalo, cuyos ángulos están 3r. D. Juan Bautista Guitart, del consejo de S. M., adornados de genios qne representan Jas estaciones, juez de primera instancia, y de la testamentaría de Don se levanta ona pirámi…</t>
  </si>
  <si>
    <t>ei YVessel hasta csra ciudad continúan coa Por providencia dada en 2 del corriente por el se­ oaa actividad prodigiosa, y están ocupadas en ellas ñor D. Juan Bautista Guitart. juez de primera instan, mas de 7® personas y 1200 cairos. Ya están casi cía en esta villa, se'cita, llama y emplaza á todos lo* concluidas las obras en…</t>
  </si>
  <si>
    <t>fuego en medio del AVISO. mar, á distancia de ;Teguas de la misma, y media de tierra , eu parage que tenia 38 brazas de pro- Por providencia del Sr. D. Juan Bautista Guitart, fssdiddd i h¿cisndo con is! violencia la explosiónj juez de primera instancia, se subasta á voluntad de su que formó uo monte mui alto de arena-y piedra…</t>
  </si>
  <si>
    <t>o=Mariano Luís de Urquijo.” Gómez ( D. Juan Josef), comisario de guerra de segunda clase. AVISO. González Yebra (D. Eustaquio), coutador gene­ El Sr. D. Juan Bautista Guitart, del consejo de ral de la provincia de Zamora. S. M., juez de primera instancia, ha mandado, por Gregorio ( D. Francisco de), capitán de ingenie­ auto d…</t>
  </si>
  <si>
    <t>se ha señalado el di» quizá una fatal combinación de circunstancias ha 16 del corriente á las 12 en la audiencia del señor jusz de primera instancia D. Juan Bautista Guitart. coartado vuestras mejores intenciones ; pero ello es cierto que nuestra situación es demasiado amarga, yqu.Mi &gt; se han cumplido aun nuestras esperanzas,…</t>
  </si>
  <si>
    <t>Guitart, Juan Bullista</t>
  </si>
  <si>
    <t>Juan Bullista Guitart</t>
  </si>
  <si>
    <t>de nna lavandera adonde se habiaa refugiado ó personas. A una tr.uger que se asomó AVISO. á la puerta para ver si se disipaba ¡a tempestad, la El Sr. D. Juan Bullista Guitart, del consejo da mató un rayo; las demas solo percibieron un fuer­ S. M., juez de primera instancia , ha señalado pan ti te oler de azufre. No se notó ni…</t>
  </si>
  <si>
    <t>GuiUrbni, Manuel</t>
  </si>
  <si>
    <t>Manuel GuiUrbni</t>
  </si>
  <si>
    <t>coronel D. Vicente Chamizos en 4 distintos cuestos al mando cíe los capitanes D. B artolomé Gutierr- z, D. B ruaráo Gil de Ledtsraa, y los tenientes D. Manuel GuiUrbni y 1). José Forres, cuyos comandantes de batería se portaran romo siempre,, esto es , eos la serenidad , valor é i tíuigencia. que cnir-ctenz?, al dis­ tinguidí…</t>
  </si>
  <si>
    <t>Guizaburruaga, Feliciano</t>
  </si>
  <si>
    <t>Feliciano Guizaburruaga</t>
  </si>
  <si>
    <t>o de las minutas de la secretaría de Estado. D. Miguel de Orbaneja........ ................... 10430-16 En nuestro palacio de Madrid á 6 de setiembre D. Feliciano Guizaburruaga.................... 8953-22 de 1811. D. fosef y D. FranciscoMaldonado.... 9223..30 l Don Joscf Napoleón por la gracia de Dios y por D. 1 gnacio Antoni…</t>
  </si>
  <si>
    <t>Guldivar, Pedro</t>
  </si>
  <si>
    <t>Pedro Guldivar</t>
  </si>
  <si>
    <t>racas, y que hacen otras cosas, que do S. M. promover en el regimiento t.° de caza­ todas prueban que son nuestros felices aliados. dores á caballo i D. Pedro Guldivar , D. Josef Do­ (10) Ei embaxador de Cádiz reconoce el poder co­ mínguez y D. Víctor Toledo de García, sargentos losal de la Francia, y va á prosternarse delant…</t>
  </si>
  <si>
    <t>Gumersin</t>
  </si>
  <si>
    <t>a á las justicias mis­ Manuel de Herrera, al ex-agustino D. Manuel mas; quebrantamiento de puertas, y todo género Barji y Alvarez y al ex-franciscaoo D. Gumersin­ de crueldades, hasta la de incendiar 3 ediíic.os de do Martin Forero. los robados, ascendiendo el valor total de- lo que art. iz. Las rentas y derechos de estola de…</t>
  </si>
  <si>
    <t>Gunu-z, Eulogio</t>
  </si>
  <si>
    <t>Eulogio Gunu-z</t>
  </si>
  <si>
    <t>Cariñena D. Perro Pabla Martin, y los p.is: n r b Cl t nL»o.tí: ú'kx re-(.crido de la P focos?. i). P..¡.b¿o JLotcc . y el subte-den­ te LA d&lt;? Soria D. Eulogio Gunu-z , quienes así or no la tropa q :e tuvo esta sue.ee, fueron sorprehfadidos e*¿ las cusas dsi ¡.uwbio do Aua.-í?,</t>
  </si>
  <si>
    <t>Gurrea, Manuel</t>
  </si>
  <si>
    <t>Manuel Gurrea</t>
  </si>
  <si>
    <t>o de que me auxiliase con alguna infantería pa­ ra el paso del Ebro, no rae contestó, y protegido solo por 3 partídas, de su caballería, mandadas por D. Manuel Gurrea , teniente de húsares de Navarra, y los nombrados Pesoduro y Afatacara, que por sus conocimientos del terreno me sirvieron de mucho, haciendo un rápido repentin…</t>
  </si>
  <si>
    <t>Gutieri, José</t>
  </si>
  <si>
    <t>José Gutieri</t>
  </si>
  <si>
    <t>­ sio Díaz, 20. Varios vecinos de Lois.i, 36 y 3 Francisco Airnira, 8. Bernaido Curbella, 4. Francisco Reyes , 13 y l. Ramón Manzano , li y 2. Doctcr D. José Gutieri ez de Arroyo , 250. Doctor I&gt;. Miguel de Andino, 214. Pres­ bítero D. Lorenzo Acosta, 250. Id. I). Pascual González, 114 y 3. Id. D .n José Andrés Pena, 15. Vari…</t>
  </si>
  <si>
    <t>Gutierre, Fernando</t>
  </si>
  <si>
    <t>Fernando Gutierre</t>
  </si>
  <si>
    <t>los donativos de la provincia de Tucatan. Comercio: D. Pedro Manuel de Regil, 400 ps. fs. D. Luis Totosans , 300. Doña María Josefa del Valle , 4000. D. Fernando Gutierre*;, 500. D. Mi­ guel Duque de Estrada, 500. D. José Perez Medina, 500. D. Hemeterio Dalias, 500. D. Juan Agustín de Ibarra , 300. D. Domingo Sainz Pardo, 200…</t>
  </si>
  <si>
    <t>Gutiérrez, Alexandro</t>
  </si>
  <si>
    <t>Alexandro Gutiérrez</t>
  </si>
  <si>
    <t>amente concluida una gran par­ mo término se les prefine, comparezcan ante S.S y te del camino , y á mediados de octubre estarán oficio del escribano D. Alexandro Gutiérrez por sí ó por procurador con poder bastante á calificar sus cré­ concluidas en el departamento de las bocas del ditos, á cuyo fin en 1 junta general de 24 …</t>
  </si>
  <si>
    <t>Gutiérrez, Antonio</t>
  </si>
  <si>
    <t>Antonio Gutiérrez</t>
  </si>
  <si>
    <t>ancisco María Te- Españas y de las indias. .................................................. 5 220. .24 Vista la consulta de la comisión de liquida» D. Antonio Gutiérrez...,..... 4634.. 2 don de la deuda del Pistado; lo expuesto D. A monio Arenosa............ 966..18 por miesrro ministro de Hacienda , y oído nues­ Doña Muría…</t>
  </si>
  <si>
    <t>Gutiérrez, Eugenio</t>
  </si>
  <si>
    <t>Eugenio Gutiérrez</t>
  </si>
  <si>
    <t>100. D. Francisco Fernandez, 100. D Marcos de los Ríos , 100. D Juan Perez , 100. D. Mateo Rodríguez, 100. D. José Pedrosa, 100. D. José Rasilla, 60. D. Eugenio Gutiérrez, 100. D. Antonio Ortegon, 100. D. Manuel Sánchez , 100. D. Francisco de la Ve­ ga, 100. D. Manuel Velez Campa, 100. D. Santiago García, 100. D. José García …</t>
  </si>
  <si>
    <t>Gutiérrez, Juan Antonio</t>
  </si>
  <si>
    <t>Juan Antonio Gutiérrez</t>
  </si>
  <si>
    <t>adrazo, 100. D Vicente Sánchez de M-'ifoellan, 100. D. Miguel Ruiz , 100. D. Felipe de Herrera, 100. D. Miguel Villegas, 100. D. Manuel Herrero, 100. D. Juan Antonio Gutiérrez, 100. I). José Fernandez y D. Melchor Gómez , 70. D. Ramón Martínez , 100. Ron Liego de Hontoria: 100. D. Juan Asturiza , 100. D. Diego del Solar. !()0…</t>
  </si>
  <si>
    <t>Gutiérrez, Lucas García</t>
  </si>
  <si>
    <t>Lucas García Gutiérrez</t>
  </si>
  <si>
    <t>a el día de ios señores D. Vicente García, nombrado viré-presidente, D. José López Juana Pitilla, intendente de la pro'vinera., D José E adio Garces, D. Lucas García Gutiérrez, D. Da­ mián A cocer, D. Joaquín Verdugo y D. Matías Sauca, nombrado secretario interino. Extracto del parle comunicado por el teniente coronel D. Vice…</t>
  </si>
  <si>
    <t>Gutiérrez, Luis</t>
  </si>
  <si>
    <t>Luis Gutiérrez</t>
  </si>
  <si>
    <t>riente en Cañete con las tropas de su aun lo. La fortaleza de Murviedro presenta en el di a un iiexpug iable pun­ to de apoyo para nuestro exército. D. Luis Gutiérrez, comandante de la partida de descubridores de Cuenca , entró el 22 del pasado con $0 caballos en U.iecona , do ide es­ tuvo hasta que supo que se dirigía contra…</t>
  </si>
  <si>
    <t>Gutiérrez, Manuel</t>
  </si>
  <si>
    <t>Manuel Gutiérrez</t>
  </si>
  <si>
    <t>de mi escolta D. R¿mon Falco, recomienda mucho mi segundo el Sr. c &gt;nde de la Cadena ¿ co­ mo también á sus ayudantes el de infantería de Valladolid D. Manuel Gutiérrez de ios Ríos, y ^1 alférez D. José Ignacio de la Cuesta. Igualmente llevaron con acierto y actividad las órdenes , partiendo desde la vanguardia los capitanes …</t>
  </si>
  <si>
    <t>50. D. Juan Fernandez , de Zamora , 17. D. An­ tonio Crespo, de Ídem , 8 y 4 rs. D. Gabriel Bombillo, de Castilla, 34. Don Francisco Polo, de id. 20. D. Manuel Gutiérrez, de id. 8 con 4. D. M. A. 8 con 4. D. Juan Isíepcmucene Cúbrales , de Asturias , 4 con 2. D. Víctor Igi csias , de Burgos, 8 con 4. D. Anselmo del Val, del v…</t>
  </si>
  <si>
    <t>Gutiérrez, Manuel Lucio</t>
  </si>
  <si>
    <t>Manuel Lucio Gutiérrez</t>
  </si>
  <si>
    <t>ra compañía, en reemplazo de D. Mar­ En virtud de providencia del Sr. D Juan Bautista tin de Azcue. Guitart de 25 del corriente se ha mandado volverá D. Manuel Lucio Gutiérrez, sargento primero, publicar la subasta de la casa calle de la Torrecilla J:1 á abanderado, en la vacante de D. Severo Guereta. Leal , mím. 1 , manz. 27…</t>
  </si>
  <si>
    <t>Gutiérrez, Nicolás</t>
  </si>
  <si>
    <t>Nicolás Gutiérrez</t>
  </si>
  <si>
    <t>. Sr.: En la urgen­ te necesidad de auxiliar á los enfermos déla tropa con sábanas y almohadas de que careeian, encargué al corregidor de esta ciudad D. Nicolás Gutiérrez, por su actividad y conocimientos, la cons­ trucción de 100 sábanas y 50 almohadas para el hospital, advirtién­ dole que rendida la cuenta de su costo, se p…</t>
  </si>
  <si>
    <t>Gutiérrez, Podro</t>
  </si>
  <si>
    <t>Podro Gutiérrez</t>
  </si>
  <si>
    <t>á D. Francisco A ib:: zuza y D. Francisco de Paula Ardízone; tenencias á D. José Veaimtrgnia y D. José Celestino Fernandez de Cusía; y subtmercias á D. Podro Gutiérrez, D. Cipriano González, D. Lorenzo Grillo, D. Francisco Meleadez y D. Mariano Franco Rodríguez ; y en el de artilleros, compañías al córale de X i ni era, D. Fr…</t>
  </si>
  <si>
    <t>Gutiérrez, Rafael</t>
  </si>
  <si>
    <t>Rafael Gutiérrez</t>
  </si>
  <si>
    <t>., 19980. A D. Domingo González y B. Fernando Rivero , por 102 id., 37740. A D. J uan González , por 60 á id. 22200 A P- jVItmue] Bebía, apoderado de D. Rafael Gutiérrez, por inver-' Fon que ha hecho en compra de caballos, 15000. A Ramón Gaílach , por una cuenta que ha presentado de gastos hechos para una caxa- donde.se ha­ l…</t>
  </si>
  <si>
    <t>Gutiérrez, Ramón</t>
  </si>
  <si>
    <t>Ramón Gutiérrez</t>
  </si>
  <si>
    <t>on la obligación de pagar la tercera parte de la Para el de Martin del Rio, vacante por muer­ renta señalada á su empleo para la dotación de un te de D. Ramón Gutiérrez* al presbítero ex-regu­ coadjutor. lar D. Francisco Santos. Y para esta coadjutoría á D. Miguel de IñnrPara la vicaría de Barba de Puerco, vacante ralegui * c…</t>
  </si>
  <si>
    <t>Gutiérrez, Vicente</t>
  </si>
  <si>
    <t>Vicente Gutiérrez</t>
  </si>
  <si>
    <t>e Cebados Argumeda , 100. D. Antonio Sobaron, 100. B. José Escalante, 100. D, Ramón de Renedo , 100. I). José de la Campa* 100. D. José Mancina, 100. D. Vicente Gutiérrez, 100. D. José de Rueda, lOO. ( Se continuará.) CADIZ : EN LA IMPRENTA REAL.</t>
  </si>
  <si>
    <t>Gutzkow</t>
  </si>
  <si>
    <t>929</t>
  </si>
  <si>
    <t>nde volvieron á principiar el fuego. En este del comercio ingles. Los miembros de esta junta caso el capitán Sveson atacó á los bricks, los qnason el coronel Gutzkow, el camarero Langetnak, les se retiraron bien pronto, conduciéndolos á rey el señor Larenhagen, diputado del cuerpo de molque otros buques. El enemigo fue perseg…</t>
  </si>
  <si>
    <t>Guvsal, Domingo</t>
  </si>
  <si>
    <t>Domingo Guvsal</t>
  </si>
  <si>
    <t>olbaedo, D. Ju n Caníbn, Don José Rodríguez , y D. Juan Alvarez, los porta-estindartes , D. Hilario Echevarría , y D. Angel M:riño, el padre capellán D. Domingo Guvsal, el sargento primero Juan Seroquel, el cabo primero Manuel Saua , y el espitan de artillería D, Matías de Arauco. Concluye el parte d general Losada , diciendo…</t>
  </si>
  <si>
    <t>Guyor</t>
  </si>
  <si>
    <t>a del exárcirn del Mediodía &gt; c= firmado = mariscal este motivo se ha reiterado la petición.) El 100.*, deque de Dalmacia. = Por copia conforme. = El coronel Guyor. La segunda compañía del 4.0 re­ general de división, gefe del estado mayor general gimiento de artillería de á caballo * mahdada por el del exército * = conde Gaz…</t>
  </si>
  <si>
    <t>Guzman</t>
  </si>
  <si>
    <t>ue se ¿abian sacado también de aquella plaza 100 cañones y 100 carros de municiones, y que llevaban el mismo rumbo. Los consejeros de estado Amorós y Conde Guzman que han es­ tado comisionados para ver y registrar los conventos de monjas, lo están también para visitar é inspeccionar todos los demas estableci­ mientos públicos…</t>
  </si>
  <si>
    <t>Guzman, Joan Lop-z</t>
  </si>
  <si>
    <t>Joan Lop-z Guzman</t>
  </si>
  <si>
    <t>esentará por la compañía española el drama en cinco Los hospitales civiies de esta corte. 3652 actos titulado el Duque, y el sainete la Fineza en los D. Joan Lop-z Guzman................. 240 ausentes. Actores en el drama. Señoras María García, Doña Miria Lucía de Rivas y Maqueda y Torre». Señores Maiquez, Poncc , Caprara, Be…</t>
  </si>
  <si>
    <t>Guzman, Juan López</t>
  </si>
  <si>
    <t>Juan López Guzman</t>
  </si>
  <si>
    <t>blo Coma......... .......... .......... 1400 tro secretario de Estado=Firmado — Mariano Luis D. Josef Fernandez de la Cuesta.. 215000 25 de Urquijo.“ D. Juan López Guzman................. 5086 22 D. Tomas Rodríguez Boten......... 34465 a D. Josef de Ibarrola........... -.......... 158000 En la extracción de la real lotería ex…</t>
  </si>
  <si>
    <t>Guzman, Sebastiana</t>
  </si>
  <si>
    <t>Sebastiana Guzman</t>
  </si>
  <si>
    <t>barrios extramuros. D. Felipe Molina , cada año y siempre que ocurra nuevo donativo , 200. D. Francisco Molina , 25. Don Francisco Xavier Molina, 50. Doña Sebastiana Guzman , 100. D. Luís Peset, 25. D. Bartolomé Ballester, 50. D. Ventura Martínez, 10. D. Pedro Bonet, 25. D. Bartolomé Cabrera, 10. D. Gregorio López , 10. D. Lo…</t>
  </si>
  <si>
    <t>Guzmao, Pedro</t>
  </si>
  <si>
    <t>Pedro Guzmao</t>
  </si>
  <si>
    <t>auto de a 5 de este mes , se anuncie por los papeles pú­ ros y oficial segundo del ministerio de Guerra. blicos la muerte abintestato del p»esbítero D. Pedro Guzmao (D. Josef María) , alcalde mayor de Be- Gerónimo de Arbixu, para que, si tuviese algún otro nsmexí. hermano ó sobrino carnal, que pueda entrar en Ja su­ Herran (D…</t>
  </si>
  <si>
    <t>H, Valentín</t>
  </si>
  <si>
    <t>Valentín H</t>
  </si>
  <si>
    <t>or. D. M vilano Olivares , teniente coronel. D. Jo¿é Mina Echáis. D. Cárlos Cepeda, coronel, f). José de los A agoles , teniente. D. Mariano Hidalgo. D. Valentín H í man­ de z , alférez. D Ignacio Chaves, capitán honorario. D. J osó A ¡íorío Na vaca , alférez. Lio. D. Raraon Garces. II. D. Mamirl Car­ ees. O. ■ Antonio Nieva.…</t>
  </si>
  <si>
    <t>Ha'wtayne</t>
  </si>
  <si>
    <t>ones, y destruyó 5 baxo el fuego de una batería de la costa enemiga ¿ que se refugiaron. El almirante Young ha remitido al almirantazgo un oficio del capitán Ha'wtayne de 7 de agosto, á bordo del Quebec en las aguas de Mlígcíand, en que reitere que el primer teniente de su fragata Samuel BIjth, con unas cuantas lanchas délos …</t>
  </si>
  <si>
    <t>Habert</t>
  </si>
  <si>
    <t>dose con diligencia el general en El 14 del corr¡ente( habiendo destacado el ge» gefe del ardor qoe anima á los soldados del exérci­ ■eral en gefe al general Habert con el 5-0 ligero y to, después de haber concluido completamente eí el 116.0 á Frellola y Perdió para qne i la maña­ cerco de Tortosa durante el dia 15 , y estrec…</t>
  </si>
  <si>
    <t>una comEsta mañana hemos sentido en esta ciudad un p.ñía de artillería ligera. El 19 de noviembre el terremoto tan fuerte, que no hai memoria de que general Habert echó á las tropas de O-Doncll de</t>
  </si>
  <si>
    <t>ncia de 1440 varas del vértice: el intrépido terror que había infundiJo la toma de Tortosa, Humbaldt subió mas de i3 varas mas arriba; pero spaodo al general Habert que marchase ¿ las i 2 un obstáculo invencible le obligó á volverse : sien­ de la noche del 8 de eaero con su división y con do asi que Biot y Gai-Lussac repitier…</t>
  </si>
  <si>
    <t>oficiales. También se recogió una gran por­ amor que mi Soberano debe esperar de uno de su* ción de armas y de municiones. mas rendidos súbditos. El general Habert hizo á las ocho de la noche ,, Tengo el honor de renovar á V. A. I. la se­ del 7 de febrero un reconocimiento sobre Cambrils, guridad del mas profundo respeto. Mui…</t>
  </si>
  <si>
    <t>iderable de heridos, j b .nderas y mu­ la caballería enemiga, y la contuvieron basta que chas piezas de artillería , cogidas al enemigo, toa llegó el general Habert con no regimiento y coo el resoltado de esta brillante jornada. su artillería, con lo qoal tos españoles se retiraron El oficial que ha traido estos pormenores in…</t>
  </si>
  <si>
    <t>maestro Cimarosa. puntos rechazaron los ataques dei enemigo , y ha­ En el de la Cruz, á las quatro y media de la tarde, biendo sawdo de Tarragona el general Habert con se executará la pieza cómica en un acto titulada Ir por una coluna de 600 hombres de infantería y 40 ca­ lana y volver trasquilados: seguirá la tonadilla gener…</t>
  </si>
  <si>
    <t>Habert, Luis</t>
  </si>
  <si>
    <t>Luis Habert</t>
  </si>
  <si>
    <t>Gaceta de Madrid n.º 136</t>
  </si>
  <si>
    <t>a Puerta misma hubo dé pensar asi ,.pue*. Compendio de teología dogmática, escrito en Intin •o lugar de enviar un exército para asabar coq las por el doctor Luis Habert. Las repetidas ediciones de reliquias del de »u enemigó, se contentó coo cele­ esta obrita, hechas en los países católicos de Europa, brar lot'primeree .triun…</t>
  </si>
  <si>
    <t>Habertque</t>
  </si>
  <si>
    <t>872</t>
  </si>
  <si>
    <t>s, una partida de 50 frar’ceses á quienes se hizo fuego: pero se suspendióal observar qwe se adelantaba un oficial con un trompeta. E a-ua edecán del general Habertque traía una carta da este, en ^ue exhortaba a gobernador á que se riudiese, con amena­ za de pesar á cuchillóla guarnición, si se resístia. La contestación del g…</t>
  </si>
  <si>
    <t>Habiendo, Win</t>
  </si>
  <si>
    <t>Win Habiendo</t>
  </si>
  <si>
    <t>Rossembiad, consejero de Estado , el barón Flemming, presidente, el barón Lagerheim , el ma­ Sesión del t¡ de junio. yor general barón de Bennet , el obispo Win- Habiendo propuesto el canciller del echiquier gard &amp;c. &amp;c. que se votase un crédito hasta la cantidad de tres He aquí el texto de la órden real dirigida al millones …</t>
  </si>
  <si>
    <t>Hager, Josef</t>
  </si>
  <si>
    <t>Josef Hager</t>
  </si>
  <si>
    <t>e Escriben de Roma que el sabio aleman Fede­ Sinólogo ha publicado un pequeño manifiesto con­ rico Sickier hn sido nombrado miembro de la aca­ tra el doctor Josef Hager, de quien dice que ni demia de antigüedades, que celebra sus sesiones siquiera conoce el valor de un carácter chino; que en el Capitolio. Una de las últimas o…</t>
  </si>
  <si>
    <t>Hago</t>
  </si>
  <si>
    <t>s sabios , que conocen el talento y el arrojo del con­ Madrid i&lt;j de junio. de , creen que sus viages aerostáticos serán iuui inte,reíanles. El señor general Hago, gobtrnador de la pro­ Del TÓ. vincia de Guadaiaxara, acaba de poo.rte otra vez al frente de sus tropas pira dispersar las reuniones Va tomando crédito el periódico…</t>
  </si>
  <si>
    <t>cha que se le cbíiga ¿ hacer, se disminuirán algo sus tropas, especialmente la in­ fantería. — Desde el día 2 no he recibido noticias ningunas ni del general Hago ni del coronel Yial: creo que estén persiguiendo la infantería del Empecinado. - Tergo la honra de ser con -respeto de V. A., principa, el muy -humilde y obediente …</t>
  </si>
  <si>
    <t>de Toledo Lahaussaye es el que ha ido ú. la provincia de Gtiadalaxara coa las tropas que ha podido reco­ ger de estas inmediaciones para reforzar al general Hago. En entraron, antes de anoche 24 hombres de la partida del Médico. An­ tes de ayer se marcharon del cuartel del Noviciado un sargento y ÍÍ soldados jurados. — Las ca…</t>
  </si>
  <si>
    <t>121</t>
  </si>
  <si>
    <t>IA DE ESPAÑA E INDIAS „ " • - 4 DEL JUEVES 19 DE SETIEMBRE DE 1811, . ESPAÑA. Madrid 9 de agosto. A las 5 de estatatde lia salido para Guadalaxara el general Hago, escoltado por 100 dragones. Los diputados de aquella ciudad que vinieron á quejarse por haberse obligado á los cívicos ¿ salir con la tropa de línea, no han sido o…</t>
  </si>
  <si>
    <t>Hall</t>
  </si>
  <si>
    <t>inmediatamente se puso en movimiento la fuerza sutil que manda el c-apitan de navio D. Fran­ cisco Mourelle, y una división inglesa á las órdenes del capitán Hall. Muy luego llegaron baxo el tiro de metralla del castillo de Rota, y atacaron los cañoneros á este y á los. buques que había en su ma­ rina , mientras que Mourelle …</t>
  </si>
  <si>
    <t>Haller</t>
  </si>
  <si>
    <t>compañía 64.a tres jóvenes literatos, y también el barón de Stac- de genízaros, que es mui numerosa y mui impor­ kelberg, de Li-vonia ; un pintor; el barón Haller, tante, se halla en estado de reprimir mejor que de Wurtemberg; ua arquitecto, y el estatua­ ningún otro el espíritu Tcvoltoso de esta milicia, rio Link. por la inf…</t>
  </si>
  <si>
    <t>Hamburgo</t>
  </si>
  <si>
    <t>Gaceta de Madrid n.º 28</t>
  </si>
  <si>
    <t>Inglaterra, en cuya travesía no ha emplea­ IMPERIO FRANCES. do mas que 12 días, y que ha traído la noticia de haber vuelto á entrar en Villa-Nova el mariscal Hamburgo 20 de diciembre. Masiena, y que lord Weüington se había retirado Mr. Le Roi, cónsul general de Francia en esta otra vez con so qnartel general á su posición do …</t>
  </si>
  <si>
    <t>Hamelin</t>
  </si>
  <si>
    <t>en el islote de Passe, y embarcado en la Nerei~ vegaban hácia el Norte, pasé á bordo del buque da ¿ que esta fragata se. hallaba en el estado mas del comandante Hamelin para darle instrucciones, deplorable; que él, habiendo visto buxar los vivos comunicarle un pliego que acababa de recibir del" y los muertos (es su misma expr…</t>
  </si>
  <si>
    <t>ianpor cier­ Ifigenia (3) , con las piezas A , B, C , D , que con­ ta la victoria. Dice así: ,,La Nereida es ya nnes- tiene Ja correspondencia con el capitán Hamelin» »rra; y si me enviáis una áncora de i$J libras y Yo le respondí con la nota {4;; pero al tiempo qaa «un calabrote lo serán también las otras tres. iba á enviarl…</t>
  </si>
  <si>
    <t>bon, y cargado de otros efectos y el'fuerte de la isla de Passe. E! gobierno trances de valor. cuidará de suministrar embarcacioues segaras y con­ El capitán Hamelin da también parte de todo venientes para transportar la tripulación de la Ifi~ lo ocurrido luego que se presentó coa su división genia y la guarnición de la is- d…</t>
  </si>
  <si>
    <t>Hamiiton</t>
  </si>
  <si>
    <t>se habían formado. Entre tanto habían avanzado la división del honorable mayor general G'.iillerrao Stuart para sos­ tener á aquellas, y la del mayor general Hamiiton hacia la izquier­ da de la línea española, formándose en columnas cerradas de bata­ llones para moverse en todas direcciones. La brigada portuguesa de caballerí…</t>
  </si>
  <si>
    <t>ipal punto de ataque. Psro el enemigo viendo deshe­ cha su empresa principal, también afioxó en la otra tentativa. La división, portuguesa del nu«yor general Hamiiton acreditó.ea todos los casos la mayor firmeza y valor, y maniobró tan bien como la británica. — La brigada portuguesa del brigadier general Hervey, perteneciente…</t>
  </si>
  <si>
    <t>Guillermo Lumley, por la grande habilidad con que resistió á la numerosa caballería del enemigo, y le frustró su objeto. Debo también mucho al mayor general Hamiiton que mandaba en la izquierda durante el fuerte ataque sobre nuestra derecha: y me­ recen ser mencionadas igualmente las brigadas portuguesas del gene­ ral Fon sec…</t>
  </si>
  <si>
    <t>Hamiíton</t>
  </si>
  <si>
    <t>Picton qué dirigía las operaciones en la izquierda del Guadiana, y del mayor general-Houston que las dirigía á la derecha clel mismo rio ; del mayor general Hamiíton ,. del teniente coronel Fíeteker, del cuerpo de ingenieros reales que dirigía las-; operaciones en la izquierda del Guadiana, y del espitan Squire que dirigía la…</t>
  </si>
  <si>
    <t>Hamilton</t>
  </si>
  <si>
    <t>a la derecha de la división del mayor general H imilton , que cerraba la izquierda de la línea. — La divi­ sión del general Colé, con una brigada del general Hamilton, for­ maba la segunda línea del exéreito británico y portugués. No difirió mucho tiempo su ataque el enemigo en la mañana del 16, pues á las 8 se observó que es…</t>
  </si>
  <si>
    <t>quella misma noche con el objeto de dirigir los movimiertes de las tropas. Igualmente puse cn movimiento en la noche del 13 la divrsion del mando del general Hamilton , retirándola del bloqueo de B id? j z, ' con intención de detener él enemigo, en caso de eme fuese bolamente el exé-cito del Sur el que avanzas#». En la noche …</t>
  </si>
  <si>
    <t>ría y de granadas que hacia el fuerte, y recha. Debo mucho á estos oficiales, como también al de las balas y bombas que disparaba la plaza. Al frente general Hamilton, á los demas oficiales del estado ma­ de la vanguardia iba el alférez Días, del regimiento 51.°, yor, y á las tropas que están baxo sus órdenes respec­ el qual …</t>
  </si>
  <si>
    <t>pas inglesas. Cinco llafranca y Almendralejo hacia Albuera; he dado or­ tenientes, un sargento , 43 soldados muertos; dos capi­ den i la división del general Hamilton de que vaya tanes , nueve tenientes, nueve sargentos, 117 soldados también á aquel punto, y esta noche iré yo mismo en heridos; un capitán, un alférez, seis sol…</t>
  </si>
  <si>
    <t>Hamilton, Adolfo</t>
  </si>
  <si>
    <t>Adolfo Hamilton</t>
  </si>
  <si>
    <t>n, sueco, tres actos titulada los Gemelos,y se concluirá con un Mr- de Tibell, mayor general al servicio del divertido sainete. Reí de Suecia, Mr. el conde Adolfo Hamilton, gentilhombre En e! de la Cruz, á las quatro de la tarde, se ex«de cámara, cutará la comedia en cinco actos en prosa titulada el El señor conde Lautineshau…</t>
  </si>
  <si>
    <t>Hammertein</t>
  </si>
  <si>
    <t>e Ptrersborgo, de fecha del 24 del tal ha notificado al gobierno dinamarqués el nom­ mes anterior, dicen que el gobierno ruso'había da­ bramiento del conde Hammertein para ministro ds do ya orden de vender lo&lt; cargamentos .de los bu* S. Al. el Reí de Westfalia cerca de la corve de ques de Tenerife, que hace ya tiempo habían s…</t>
  </si>
  <si>
    <t>Han</t>
  </si>
  <si>
    <t>Duque de Dantzick y el, Me­ dé la esqoadra , el capitán Griffiths. rengo tienen grandes intereses en manos de los ame­ Fragatas. La Nimphen, de ,36 , capitán Han» ricanos, los quales no solo se prestaría est.. in­ cocq , ,delante, de Tlesinga; la Deseada, de 3;, digno tráfleo, sino que suministran á los corsarios capitán Farq…</t>
  </si>
  <si>
    <t>Harispe</t>
  </si>
  <si>
    <t>efectivo. Lion................ ..... efectivo. pronto para el asalto. Entonces mandé tomar las Amsterdan..... .... efectivo. armas á una brigada del general Harispe en la co­ Idem............... ..........vales. municación de las trincheras, y formé en coluna Hamburgo....... .....efectivo. las compañías escogidas de los guard…</t>
  </si>
  <si>
    <t>494</t>
  </si>
  <si>
    <t>e 2a caba­ llería que vino á atacarnos, habiéndoles resultado ademas i so muer­ tos, con uq l úmero triplicado de herido?. Ai primipLr el combate, el general Harispe envió un oficial de cabá ktía en calidad'de parlamentario, el cual fue recibido por mi segu . do I&gt;. Gregorio Eruchaga , suspendiendo el fuego de pistola , que ■…</t>
  </si>
  <si>
    <t>con sus hermanos mayores de ar­ mas ; y todo el exército ha manifestado el mayor PLAZA DE MADRID. BOLSA. denuedo y valor. DIA 6 DB juno DB 1811. „EI general Harispe ha dado un nuevo testimo­ nio de su serenidad y valor, pues á pesar de ha­ Efectos públicas. ber caído sobre éi una granizada de piedras y de Vales reales...... .…</t>
  </si>
  <si>
    <t>derecha la coluna del coro­ la Oliva debían sostener al general Montmarie» nel Boargeois : los carabineros del 1.° de infante­ al mismo tiempo que el general Harispe ejecuta­ ría ligera acometieron al enemigo &gt; y completa­ ba varios movimientos por el camino de Barcelo­ ron su derrota , arrojándole á bayonetazos hasta na para…</t>
  </si>
  <si>
    <t>l Cantarero, que les intimó la rendi­ tra Vülacampa , el qual se retiró sin admitir el ción; pero ellos prefirieron la muerte á una capi­ combate. El general Harispe le persiguió hasta mas tulación, y vendieron mui cara su vida, pues ma­ allá de las fronteras del reino de Valencia , y re­ taron á 11 hombres de la quadrilla, y…</t>
  </si>
  <si>
    <t>Créese que el Emperador irá desde Holanda á «mi perfecta consideración. = El general de di vi— visitar el gran ducado de Berg. Dicen que el mi­ «sion barón Harispe.” nistro de este ducado el senador conde Roederer La confusión y perplexídad en qne esta derrota ha salido para Dusseldorf á fin de esperar allí í y la sitnacion d…</t>
  </si>
  <si>
    <t>Harrowby</t>
  </si>
  <si>
    <t>inistros del rey con loa de los SS- lord Canciller $ conde Camden , conde de Westmoreland, marques de . Wellesley, conde de Liverpool, conde Bnhurst, conde Harrowby , lord Mulgrave, Sir Spencer Perceval, Sir Cárlos Yorke, Sir Ricardo Ryder y Sir Dundas Satín-* ders. Los de los embaxadores de Portugal, de Sicilia y de Gerdeoai…</t>
  </si>
  <si>
    <t>Hartleben</t>
  </si>
  <si>
    <t>persona de S. M seri igualmente confiado á su gran duque disfruta de la mejor salud á pesar de augusta esposa. ( The Sun.} SU edad ; wnzad 1. - . El consejero Hartleben acaba de publictr una IM T £ R I O FRANCES. traducción alemana-del nuevo código pena] dél imperio fraócc- ...ccjn notas mui extensas , eu las que París 2 6" d…</t>
  </si>
  <si>
    <t>Hato, Carlos</t>
  </si>
  <si>
    <t>Carlos Hato</t>
  </si>
  <si>
    <t>e habían adelantadlo hasta mas acá de Buiza, retrocedieron ha&amp;ta la R$bla, donde continúan, extendiendo sus descubiertas al puente de Alba. Oficio de D. Carlos Hato, comandante de la primera sección de la vanguardia del séptimo extrcito, á la junta superior de Asturias.— “Exorno. Sr.: Habla ofrecido á V. E. comunicarle loe pr…</t>
  </si>
  <si>
    <t>Hatzfeld</t>
  </si>
  <si>
    <t>tro de ,,Considerando la ¿poca etique esta-orden de­ Hacienda: dícese que reemplazará en Dresde al berá ponerse en execucion, y la posibilidad de al­ conde Hatzfeld , que está nombrado ministro pie* guna mutación satisfactoria en el sistema de nues­ nipotenciario-de S. A. R. en París. tras relaciones con la Gran Bretaña , que…</t>
  </si>
  <si>
    <t>Hawker</t>
  </si>
  <si>
    <t>ser c-stigida, y es- tragara inglesa Melampo, la llamó con la bacina, p-rauios que ai golpe que aCab . de lUv-r se segui­ y le preguntó quien era. El capitán Hawker res­ rán otros uta» fuertes y vigorosos, lusca que los pondió:,, la fragata de S. M. británica el Melampoá</t>
  </si>
  <si>
    <t>y el conmódoro Rogers ha pagad9 con usura su ataque contra el Pequeño Bell. IMPERIO FRANCES. ,, Mientras las dos fragatas estaban parlamen­ tando, el capitán Hawker habia dado orden de Brasilas 2 5 de setiembre. cargar su artillería con triplicada carga, de manera Ayer á las 5 de la tarde paseó S. M. la Empe­ que á la primera…</t>
  </si>
  <si>
    <t>Hawtaine</t>
  </si>
  <si>
    <t>o tráfleo, sino que suministran á los corsarios capitán Farquar, delante del Texe!; la Quebec, de municiones de guerra y de boca, y aun hombres. 5 2, capitán Hawtaine , delante de Flesinga ; la Ho; Asegurar» que la mayor parte de sus tripulaciones racio, de $8, capitán L. D. G. Siuart, delante de se compone de americanos, y h…</t>
  </si>
  <si>
    <t>Hay</t>
  </si>
  <si>
    <t>eneral Anson, y este general ítacq mención particular de i teniente coronel Harvey y tj&lt;*l capitau Brod Trien del Víi-gímierito 14 , é igualmente del capitán Hay y del mayor Corks del regimiento 16 de dragones ligeros. Perú '.a principal atención del enemigo en esta-4ia.se dirigía á la, podrían que .ocupaba la tercera divisió…</t>
  </si>
  <si>
    <t>Hcaiiot</t>
  </si>
  <si>
    <t>1187</t>
  </si>
  <si>
    <t>o de las cuadrillas que infestan ei Gargia, pereció el 21 en una emboscada, y de toda su cuadrilla solo escaparon 8 hombres en un ataque hecho por el general Hcaiiot (9). * ESPAÑA. Madrid 4 de octubre. Con fecha de l.° de este mee ha avisado Alanza desde Tarancon que Suchet estaba en Segorbe , y se dispo­ nía á atacar á Murvi…</t>
  </si>
  <si>
    <t>Hcnriod</t>
  </si>
  <si>
    <t>lada los Falsos hombres de bien, ó el comenzaba á inf-star de nuevo el p.b. Hízoie cer­ duque de Borgona , y el fin de fiesta el Castigo de Ja car el general Hcnriod en la noche del 21 en la miseria. Actores en la comedia. Señoras García, Mavilla dé Grañcoa , adonde habia ido á casarse, queda y Torres. Señores Por.cc, Infante…</t>
  </si>
  <si>
    <t>Hcreut, Gil</t>
  </si>
  <si>
    <t>Gil Hcreut</t>
  </si>
  <si>
    <t>uan Martin Cortés, del regimiento de dragones deí Rey , al cabo pri­ mero Marcelino González, y á los dragones Juan Muñcz y Francisco Ibañez.— VI. De D. Gil Hcreut, gobernador de la torre de S. Juan de los Alfaques , til gobernador de Pemscola. — Torre de S. Juan 15 de abril. El 12 del conienre por la tarde,los enemigos vinie…</t>
  </si>
  <si>
    <t>Hdiv, Joaquín</t>
  </si>
  <si>
    <t>Joaquín Hdiv</t>
  </si>
  <si>
    <t>excrcito los empleos siguientes : Iht el batallón de infantería ligera de tiradores de Castilla; los df; «paitan primero ó D. Ramón López Bastamante, D. Joaquín Hdiv.ncks y D, Fí&amp;nciaco Cabelmates; el de primer ayudante á -D. Ifndyes Clemente; los de capitán segundo á D. Juan Antonio CxOtygz, D- Pedro Meriel, D. Pedro Cortijo…</t>
  </si>
  <si>
    <t>Head</t>
  </si>
  <si>
    <t>do el presidente de creto , se han convertido ya en quejas y en acusaciones los Fit doc- Unirlos. públ reas, También escriben de estos últimos que el capitán Head, comandante del bride el Cosmopolita, que ha ESPAÑA. llegado de Campeche á Nueva-Yorck en 33 dias, refie­ re que ha habido un combate muí sangriento en el vi- ** *f…</t>
  </si>
  <si>
    <t>Hemos, Joa</t>
  </si>
  <si>
    <t>Joa Hemos</t>
  </si>
  <si>
    <t>de Dios y por la constitución del estado, REI de las EspaEstado mayor.__ Segundo exército. ñas y de las Indias. ,,Habiéndose propuesto el Excmo. Sr. D. Joa- • Hemos decretado y decretamos lo que sigue : «qui.i Blake auxíuar á la recomendable guarnición articulo i. ,, Con arregle á lo prevenido eo «del castillo de S. Fernando …</t>
  </si>
  <si>
    <t>Hemos, Michelena</t>
  </si>
  <si>
    <t>Michelena Hemos</t>
  </si>
  <si>
    <t>cutivas. Las ba­ los españoles que había en ella a pagar cada uno las del enemigo tocaron 2. veces á nuestro schooner. la cantidad de 500 duros, y el general Michelena Hemos tenido 3 hombres heridos. Se dice que la consintió á este precio dexar la ciudad tranquila. esquadra de M&lt; ntevideo ha perdido ^ o 10 hom­ También se ha …</t>
  </si>
  <si>
    <t>Hemos, Rafael</t>
  </si>
  <si>
    <t>Rafael Hemos</t>
  </si>
  <si>
    <t>ismocion del estado, REI de las Espa­ Antonio Nueros; subprefecto de la subprefectura das y de la1! ludías. de Baza , en la prefectura de Granada , á D. Rafael Hemos decretado y decretamos lo que sigue: Gravier; y secretario general de ia prefectura de AR-ficULO 1. ,,En las batallones de milicia cí­ Córdoba á D. Antonio Mier.…</t>
  </si>
  <si>
    <t>Hendricks, Pedro</t>
  </si>
  <si>
    <t>Pedro Hendricks</t>
  </si>
  <si>
    <t>e temer que hayan padecido mocho con el bom­ en que se diga que el buque sí 1 la na Augusto , y bardeo los .grandes almacenes y depósitos de algo­ su capitán Pedro Hendricks, y que navega con pa­ dones del levante que hai en Widdin. bellón papemburgues. En ellos se expresará tam-</t>
  </si>
  <si>
    <t>Henri</t>
  </si>
  <si>
    <t>as a las li.nui por á esta expedición por mandado de la Reina de crimen de m ihomeiismo, ue magia y de ji&gt;d„isCastilla, y con licencia que dió el Rei D. Henri- m -; la inscripción dice qae Se its qutn ó ci Paique. En esta expedición fueron conquistadas y m- . capital de Canaria. E tercer qua &lt;ro ripre­ agregadas á la corona d…</t>
  </si>
  <si>
    <t>Henride</t>
  </si>
  <si>
    <t>Gaceta de Madrid n.º 144</t>
  </si>
  <si>
    <t>sido dignos de serlo, el reino de la civilización y „ Despue* de la muerte del Emperador Henride las luces hubiera sido el efecto pronto é inme­ que de Luxémburg» vino á París, donde habitó ea diato de la revolución que se hizo a favor suyo la calle de Fouarre. Allí concurrió á la universi­ quatro siglos después. Pero su debi…</t>
  </si>
  <si>
    <t>Henriqoe</t>
  </si>
  <si>
    <t>de idem. Borges (D. Francisco), teniente de nuestra guar­ Escovar (D.'Antonio), capitán comandante de la dia de honor de Sevilla. de Arjona. Boodia (D. Henriqoe ), tirador de . nuestra gaar- Escribano (D. Blas ) , soldado de artillería dia real. Falqués ( D. Antonia), comandante de batallón del Bougard ( D. Pedro), soldado de…</t>
  </si>
  <si>
    <t>Henrique</t>
  </si>
  <si>
    <t>ado sucesivamente á los estados durante la do aquí, á s.ibe4v.el de caballería ligera, mandado dieta, no han dexado estos de tener motivo para por el príncipe Henrique , y el del príncipe Luís. estar satisfechos de la confianza y de la bondad También se ha pasado Jipi revista al regimiento de con que S. M. ha oido la opioion …</t>
  </si>
  <si>
    <t>Henriquez, Joaquín</t>
  </si>
  <si>
    <t>Joaquín Henriquez</t>
  </si>
  <si>
    <t>Francisco do Oña, D. Domingo Ace vedo, D. Juan Recio, D. Antonio Hida'go y D. José Soldes, y al ayudante D. Valentín Alegre; ayudan tí i al teniente D Joaquín Henriquez ; tenencias í los subtenientes D. J *só Fierra , D. José María Cejaibo, D. José Márquez y D. P dro Bi­ en; y subtenencias á los sargentos primeros D. Jo é M u…</t>
  </si>
  <si>
    <t>Hentique</t>
  </si>
  <si>
    <t>y y medía desde el jardín del príncipe Palffi en pre­ de Cariada, la qual por una parre era prima del sencia de un gentío numeroso; atravesó el Danu­ Emperador Hentique vi, y por otra am^bi tier­ bio y la ciudad , y se dirigió hacia Kittsée , v á namente á su marido, y quiso por estos motivos las seis y media baxó á tierra en…</t>
  </si>
  <si>
    <t>Her, Francisco</t>
  </si>
  <si>
    <t>Francisco Her</t>
  </si>
  <si>
    <t>nte guerra, 1000. El administrador general de rentas de tierra , á nombre de varios de sus em­ pleados subalternos, 306. D. Enrique de los Reyes, 30. D. Francisco Her­ nández , capitán de la primera compañía urbana de naturales de Galicia, á nombre de los individuos que la forman, 3187. D. Pedro Juan de Erice, ca­ pitán de la…</t>
  </si>
  <si>
    <t>Her, José</t>
  </si>
  <si>
    <t>José Her</t>
  </si>
  <si>
    <t>Contaduríay Juzgado de censos de indios. D. Gaspar Corrochano , contador, IOS y 2 y medio. D. José Antonio Cerra , oficial de la contaduría , 41 y 5. D. José Her rera, defensor déla caxa, 50. D. Francisco Elias, escribano del juzgado, 83 y 2 y medio. D. José da Echa* arria, oficial de id., 95. D. Justo Mesdoza y Toledo , cobr…</t>
  </si>
  <si>
    <t>Heraso, Francisco</t>
  </si>
  <si>
    <t>Francisco Heraso</t>
  </si>
  <si>
    <t>, lo expuesto por nuestro ministro de Ha­ 9 - D. Domingo de Urrutia................ . 3339 cienda, y oido á nuestro consejo de Estado, hemos decre­ 3 D. Francisco Heraso...i....................... 1263 17 tado y decretamos lo siguiente: 1 D. Francisco Codoni..................... ..... 54i 27 articulo i. „Se declara acreedores…</t>
  </si>
  <si>
    <t>Herck, Manuel</t>
  </si>
  <si>
    <t>Manuel Herck</t>
  </si>
  <si>
    <t>atallan de infantería ligera de B ar­ bitro D. Mariano Espat&amp;lero; ha declarado libres de todo cargo, aá ai retó «ido gobernador, mariscal de campo , D. Manuel Herck, como ú los dea^us g?,fos expresados, y que la formación de este pre­ ciso no áel.c de modo alguno servirles de impedimento para sus ul­ terioras .ascensos, mand…</t>
  </si>
  <si>
    <t>Hércu</t>
  </si>
  <si>
    <t>rno. De vando exacta :,ente el cometa. Se vió el 3 1 de oc­ aquí se infiere que uo se concluirá tan pronto ia tubre entre la pierna y brazo izquierdo d Hércu­ dieta ; pues de lo contrario no se tomarían seme­ les; la parte central de su cola se dirigía hacia la jantes precauciones. No se ha llegado á traslucir bella estrella …</t>
  </si>
  <si>
    <t>Heredero</t>
  </si>
  <si>
    <t>ayer de esta capital al sitio de Drottning- vincias de la P.meranu , como en la Po.merahulm. nia , Ja Marca Electoral , la Nueva Marcj y la S. A. el Príncipe Heredero ha ido días pasados Silesia, se prohibí por la presente, desde el dia á visitar la fortaleza de Waxholm , que defiende de su publicación , importar hasta nueva …</t>
  </si>
  <si>
    <t>Heredia, José</t>
  </si>
  <si>
    <t>José Heredia</t>
  </si>
  <si>
    <t>icio y copia del parte que me da .el coronel D. Julián Sánchez. — Dios guárde le:. Badajoz y febrero is de I.8-II. —Gabriel de Mendizabal.—Excmo. Sr. D. José Heredia.” Parte de D. Julián Sánchez al teniente general D. Gabriel de •,Mendízabal. «Bxcaao. Sr.—‘Luego que red oí ia primera orden d : V. E., tomé las correspondientes…</t>
  </si>
  <si>
    <t>Herek, Teófilo</t>
  </si>
  <si>
    <t>Teófilo Herek</t>
  </si>
  <si>
    <t>h s guerrillas del Lastre se batieron bizarramente con el enemigo. Ei brigadier D. José La torre, refiriéndose á ios partes del teniente^ co­ ronel “D. Teófilo Herek, participa que^á las 5 y media de la mañana se puso en movimiento con las compañías de caz-adobes-oeAfrica,^ spaík v $6 alumnos de la academia militar. La de Afr…</t>
  </si>
  <si>
    <t>Herk, Manuel</t>
  </si>
  <si>
    <t>Manuel Herk</t>
  </si>
  <si>
    <t>de Áíendizabal.— Excmo Sr. L). José Heredia.” “Exmo.Sr.: Paso á manos de V. E. copia de la capitulación que me remitió ayer el gobernador de (Xveacia D. Manuel Herk, acom­ pañando al.mismo tiempo el sentimiento y sorpresa que me ha causa­ do la rendición de dicha plaza, qnando porf los; partes .taa; resueltos que me daba cont…</t>
  </si>
  <si>
    <t>Hermcsiilo, José María</t>
  </si>
  <si>
    <t>José María Hermcsiilo</t>
  </si>
  <si>
    <t>xara , se sabe que el 8 del mismo mes el coronel de provincias internas Viliaescusa derrotó completamente las tropas de sediciosos acaudilla­ das por D. José María Hermcsiilo, apoderándose de todos sus equipagesy artillería. La acción fué en el pueblo de S. Ignacio de la ccmprehension del Rosario. —El brigadier Cruz había lle…</t>
  </si>
  <si>
    <t>Hermene</t>
  </si>
  <si>
    <t>ue está en Alheñáis y Padul, y se extiende hasta el Suspiro del Moro, á 3 leguas de Granada. Hay antecedentes de que loa enemigos quieren atacarlo. — D. Hermene­ gildo Almendro, comandante de una partida de 16 alpujarreños, ha llegado hoy á esta oiodad con 975 cabezas de ganado lanar, 39 va­ cas y 43 yeguas que ha cogido á 5 …</t>
  </si>
  <si>
    <t>Hermógenes</t>
  </si>
  <si>
    <t>Gaceta de Madrid n.º 32</t>
  </si>
  <si>
    <t>rá rezando ciones.” En su quarto, nos tranquea - Al leer este párrafo no es posible dexar de acor­ L t ocasión. Tú.... .. sí, Fermina, darse de aquel D. Hermógenes, de ridicula memo­ Débate yo la fineza, ria , ni habrá nadie qne no vea en este juido del Si me quieres bien...... En ese critico nna prueba convincente de que en …</t>
  </si>
  <si>
    <t>Hermosa, Agustín López</t>
  </si>
  <si>
    <t>Agustín López Hermosa</t>
  </si>
  <si>
    <t>....................................................... 1100 clérigos naturales de Madrid , por mano D. Carlos Perez, ex escolapio, lego, por 1100 de D. Agustín López Hermosa................. 41340.. S D. Juan Clemente, ex-agustino calzado, D. Felipe Hoyos............................................... 4680-19 lego, residente…</t>
  </si>
  <si>
    <t>Hernán, Vicente</t>
  </si>
  <si>
    <t>Vicente Hernán</t>
  </si>
  <si>
    <t>Saboya, Fernando VII y Gerona, á Don Pablo Miró, capitán del propio cuerpo: al teniente coronel D. Ma­ riano Villaespesa, capitán del z° dé Saboya: á D. Vicente Hernán­ dez , capitán del de Iliberia: al teniente coronel D. Antonio Roten, capitán del de Almería: á D. Bruno Gómez, capitán del de Améri­ ca : al coronel D. Pió Fa…</t>
  </si>
  <si>
    <t>Hernández, Antonio</t>
  </si>
  <si>
    <t>Antonio Hernández</t>
  </si>
  <si>
    <t>or el camino de Madrid, y tí mariscal N y ha partido para Francia. Utiel 20 de abril. A principios del corriente el capitán de cazadores de C; riíkna D. Antonio Hernández entré al frente de una guerrilla en h ciuiad de Borja, sorprehendió é hzo prisionera la guardia del princ pal, obligó á la guarnición á encerrarse en el con…</t>
  </si>
  <si>
    <t>junta superior de Aragón y parte ds Cas­ tilla ' ha recibido con fecha de 25 -de mayo desde la villa de Arauda en el partido de Calatayud un parte de D. Antonio Hernández capitan del regimiéritó de Cariaena , que en distancia dice lo sigdien­ ta: íc Hallándome el 21 de este mes en las ibmediaeióíirs de Jar­ que con el objeto …</t>
  </si>
  <si>
    <t>Hernández, Disgaio</t>
  </si>
  <si>
    <t>Disgaio Hernández</t>
  </si>
  <si>
    <t>rrero, B. Juan Mercado, D. Fernando 'Tostado,' D. Miguel Bravo , B. Fraucise© Bolaño?. D. Valentín Navarro, y D. Manuel Sai? Roznan: y subtenencias á D. Disgaio Hernández, D. Pedro de la Riva, 0. Pedro da Torres, D. A to ni©. Castellanos ,' D. Frustiso Pansa, B. Jasé María Ptrvz, 1). José Carrón, D. Saturnino Viyanco, D. Pedr…</t>
  </si>
  <si>
    <t>Hernández, Eustaquio</t>
  </si>
  <si>
    <t>Eustaquio Hernández</t>
  </si>
  <si>
    <t>r ileó la salida de Irs r^ses de la ciudad po&lt;- el punto contra­ rio, pues sa ic o?*, i áeia ía C e?. Tejarle. El capi'an D. Juro Eabicb y r! alfVrez D Eustaquio Hernández fueron ocultes per el ho­ yo del tfs &gt; de S. F ancitco hasta aproximarse al cementerio , don­ de se hallaban las va/es y deras s reces; y s un escápete env…</t>
  </si>
  <si>
    <t>Hernández, Felipe</t>
  </si>
  <si>
    <t>Felipe Hernández</t>
  </si>
  <si>
    <t>836 por oferta de la nación Carabali Yusarna del cabildo de la nura y limpia Con­ cepción , 50. D. Felipe Hernández, capitán del partido de Piñal del Rio, por oferta de los vecinos de ía jurisdicción de Filipinas, 13G7 y un real. El oresbítero D. Juan Francisco Orozco, 11 y 6. Juan Fabre / garzón de la p</t>
  </si>
  <si>
    <t>Hernández, Jacinto</t>
  </si>
  <si>
    <t>Jacinto Hernández</t>
  </si>
  <si>
    <t>soro público... 70 n. Í rcrías. Oro español contra plata.................. „En Toledo se hallará esta obra, y se subscribirá í ella en la Librería de D. Jacinto Hernández: en Zara­ goza en la de Luna: en Salamanca en la de Juan Barca: thatros. en Bilbao en la de Marín; y en Segovia en la oficina En el del Principe, á las cinc…</t>
  </si>
  <si>
    <t>Hernández, Johcí'Maiía</t>
  </si>
  <si>
    <t>Johcí'Maiía Hernández</t>
  </si>
  <si>
    <t>ural de Urda, donde reside , por..................................................... 2 loo en la .Mancha, residente en Toledo, por.......... . 2 300 D. Johcí'Maiía Hernández , presbítero, natural de D. Diego Ruiz , natural de Talayuvlas, provincia la villa de la Guardia, provincia de Toledo, re­ de Cuen, a , residente en Tol…</t>
  </si>
  <si>
    <t>Hernández, José Francisco</t>
  </si>
  <si>
    <t>José Francisco Hernández</t>
  </si>
  <si>
    <t>co Subori, D. José Santander, D. Francisco Solis, D. Pedro Zsvala, D. Juan Romero, D. Ignacio Hsrrera, D. Miguel EscarníHa, D. José Francisco López , D. José Francisco Hernández , Don Manuel Güemes, y el indio Juan Lázaro , que tuvo una parte con­ siderable en esta gloriosa empresa , habiendo conseguido la reunión de tres pue…</t>
  </si>
  <si>
    <t>Hernández, Justo</t>
  </si>
  <si>
    <t>Justo Hernández</t>
  </si>
  <si>
    <t>po y D. Florencio Barona, el teniente D. Temas Bdrandalla, el capitán de Cariñena D. Antonio Hernández, y el tenien­ te del segundo de línea de Soria D. Justo Hernández, que fué herido. Nuestra pérdida ffte de 4 muertes y 20 heridos, entre clics el expresado Hernández, el capitán de Numantinos D. Juan Antonio Solano, el ayuda…</t>
  </si>
  <si>
    <t>Hernández, Manuel</t>
  </si>
  <si>
    <t>Manuel Hernández</t>
  </si>
  <si>
    <t>un parte de I). Pech o Fernandez de la Muela que mandaba á la sazón la partida de D. .Francisco Sunches, de í). Nieasio Ló­ pez Cierzo , teniente de D. Manuel Hernández (el Abuelo) y de D. Tomas Fernandez , ios cuales habiendo reunido 150 m&amp;uchegos de sus partidas el dia Q en Huerta de Yaldecarabanos trataban de atacar á Aran…</t>
  </si>
  <si>
    <t>Hernández, Nicolás</t>
  </si>
  <si>
    <t>Nicolás Hernández</t>
  </si>
  <si>
    <t>udo de las Hormazas , 2000. D. Francisco Demande Mputañs, 40 D. Tomas Casado , 20. D. José .María I’aniagua, 20. D. Loren o Ci-neros y Toledo , 0‘*&gt;. D. Nicolás Hernández, 60. X). Agustín Maestre, 40; D. Ignacio Salazar , i60. D. Aivrel José Soveron, 50). D 'Carlos Gira1 Jo, 60. D. Nlcoas de Castro , 40. D. Francisco de los .…</t>
  </si>
  <si>
    <t>Hernández, Ramón</t>
  </si>
  <si>
    <t>Ramón Hernández</t>
  </si>
  <si>
    <t>e la Torre; tenencias á D. Manuel Medina, D. Francisco de Paula Adames, B. Rafael del Rio y D. Pedro Aguila? A vala; y subtenencias i. D. José Mateo, D. Ramón Hernández, D. Mariano Chuliz, D. Matías Farras, D. Modesto de la Torre y D. Antonio Loma. Muques que ¡ion recogido correspondencia en la administración de correos de Cá…</t>
  </si>
  <si>
    <t>Herrainz, Julián</t>
  </si>
  <si>
    <t>Julián Herrainz</t>
  </si>
  <si>
    <t>o cal­ trinitario descalzo , residente en Almozado, residente en Guadalaxara , por.. 2 200 dovar del Campo , por................................ 2200 D. Julián Herrainz de ía Fuente, ex— Doña Teresa Velazquez, ex-calaírava, franciscano, lego, residente en Peñal- residente en Almagro, por........................ 2200 ver, prov…</t>
  </si>
  <si>
    <t>Herran, María del Carmen</t>
  </si>
  <si>
    <t>María del Carmen Herran</t>
  </si>
  <si>
    <t>ran......... 2923 22 D. Nicolás de los He-ros........• 8750 D. Mariano Herran....... ,,............... 930 33 D. Fernando Bernardo de Quiios. 12472 2 Doña María del Carmen Herran... 930 33 D. Jaime Caxanovas.......... ............* 3082 7 D. Francisco Fernandez.................. 7775 27 Doña Paulina Gil de Terreros....... 390…</t>
  </si>
  <si>
    <t>Herran, Mariano</t>
  </si>
  <si>
    <t>Mariano Herran</t>
  </si>
  <si>
    <t>tano d» la Lana................ X978 33 La archicofradía del Santísimo Cris­ D. Antonio Cornide....................... to del Olvido y María Santísi­ D. Mariano Herran.-........................ 17349 1* 3302 IÓ ma de los Dolores de la parro­ D. Fernando de Ecingoechea......... ' 5064 29 quia de S. Sebastian de esta «or-’ D. J…</t>
  </si>
  <si>
    <t>............. 28548 D. Guillermo Pcironer.................. 6450 24 D. Fernando Antonio Moran......... 2923 22 D. Nicolás de los He-ros........• 8750 D. Mariano Herran....... ,,............... 930 33 D. Fernando Bernardo de Quiios. 12472 2 Doña María del Carmen Herran... 930 33 D. Jaime Caxanovas.......... ............* 3082 …</t>
  </si>
  <si>
    <t>Herrera, Alfonso</t>
  </si>
  <si>
    <t>Alfonso Herrera</t>
  </si>
  <si>
    <t>subalternos. Nuestra pérdida ha consistido en 3 soldados y un cabo'muertos y 22 heridos , de ellos gra­ vemente los subtenientes D. Manuel Martin , y D. Alfonso Herrera. No llenaría mis deberes, si omitiese á V. E. que des-</t>
  </si>
  <si>
    <t>Herrera, Joaquín Marrinez</t>
  </si>
  <si>
    <t>Joaquín Marrinez Herrera</t>
  </si>
  <si>
    <t>Godoi, 23 de diciembre, que se-admitirán las que se hicieren cura de Domingo Perez. siendo arregladas. Para el de Pinos Pnente, vacante por muerte de D. Joaquín Marrinez Herrera, al presbítero ex-, agustino descalzo D. Francisco Parras. TBATRCS.' Para el dePortubus, vacante por fallecimiento de D. Antonio Perez Barquero, al p…</t>
  </si>
  <si>
    <t>Herrera, José</t>
  </si>
  <si>
    <t>José Herrera</t>
  </si>
  <si>
    <t>isco Antonio Gutiérrez, 50. D. Juan Antonio Paez, 12. D. Pedro España, 10. D. José Castro, 1.0j Varios individuos, 61. — Nueva Bilbao. El subdelegado D. José Herrera, TOÓ.' D. Tomas Ramón de' Z avala,* 12. El cura D. Mariano Riaño , 25. Varios individuos, 19 y 7 rs.— &amp;. Buenaventura. I). Andrés Mola no, 15. D. Antonio Rivas, …</t>
  </si>
  <si>
    <t>Herrera, Manuel</t>
  </si>
  <si>
    <t>Manuel Herrera</t>
  </si>
  <si>
    <t>tán de ílmí'Tíics de Madrid. D. Manuel Arjona y el subteniente de Galicia J). L!ííd Pimienta , y el herido es el subteniente da dragones de Ma­ drid. D. Manuel Herrera. Hay ademas heridos los primeros ayuda-ates do estado mayor D. Luis Miehüena, gofe dal de esta división, y D. Tornas Pascual Maapoey, y ei comandante de patrio…</t>
  </si>
  <si>
    <t>pitán de la pri­ D. Joaquín Suarez, sargento primero, á subte­ mera compañía en la vacante de D. Bartolomé niente de la décima compañía. Quintaniila. D. Manuel Herrera, subteniente, á teniente en re­ Octavo batallón. emplazo de D. Manuel Obando. D. Vicente Moyano, sargento primero, á subte­ D. Juan Rodrigo de Quintaniila y Ca…</t>
  </si>
  <si>
    <t>Herrera, Simón</t>
  </si>
  <si>
    <t>Simón Herrera</t>
  </si>
  <si>
    <t>frontera de Tejas. El teniente coronel D. Simón de Herrera, gobernador de-diohas colonias , y comandan­ te de los referidos cuerpos , 300. El cadete D. Simón Herrera , 100. — Pri. mera compañía del Nnevo León. Capitán D. Gerónimo Herrera,, '200. Te­ niente ,I). José María Muñoz , 5fy. .Alférez Ffánqi^corjÉsca.millat¿.5^0.. La…</t>
  </si>
  <si>
    <t>Herrero, Juan</t>
  </si>
  <si>
    <t>Juan Herrero</t>
  </si>
  <si>
    <t>................................. 2200 Badajoz , residente en Toledo , por..................... 2 200 D. Francisco Pérez, natural de la villa de Tem­ D. Juan Herrero, natural de Muiibeltran, en To­ bleque, provincia de la Mancha, residente en ledo, residente en su pueblo, por....................... 2200 Toledo, por...........…</t>
  </si>
  <si>
    <t>Herrero, Juan Manuel Perez</t>
  </si>
  <si>
    <t>Juan Manuel Perez Herrero</t>
  </si>
  <si>
    <t>rtínez........................ 4J*.. D. F ermin de Zelayeta.................... ....... 3J OOO D. Adrián Marcos Martínez................... 3158..2jf D. Juan Manuel Perez Herrero, por D. Vicente Arbiol................................ . 3429..17 mano de D. Pedro Pablo Perez de D. Matías Duran.............. ..........,.........…</t>
  </si>
  <si>
    <t>Herrero, Manuel</t>
  </si>
  <si>
    <t>Manuel Herrero</t>
  </si>
  <si>
    <t>az Tagle, 100. L. Juan Madrazo, 100. D Vicente Sánchez de M-'ifoellan, 100. D. Miguel Ruiz , 100. D. Felipe de Herrera, 100. D. Miguel Villegas, 100. D. Manuel Herrero, 100. D. Juan Antonio Gutiérrez, 100. I). José Fernandez y D. Melchor Gómez , 70. D. Ramón Martínez , 100. Ron Liego de Hontoria: 100. D. Juan Asturiza , 100. …</t>
  </si>
  <si>
    <t>Herrero, Miguel</t>
  </si>
  <si>
    <t>Miguel Herrero</t>
  </si>
  <si>
    <t>siden­ Doña María de los Dolores Rodríguez, ex­ te en Madrid , por....................................... 22CO franciscana del convento de Santa Cla­ D. Miguel Herrero } id., residente en Pa­ ra, por............................................. 22co racuellos, por................................................ 2200 Doña Manu…</t>
  </si>
  <si>
    <t>Herreros, Manuel Antonio García</t>
  </si>
  <si>
    <t>Manuel Antonio García Herreros</t>
  </si>
  <si>
    <t>s del Congreso en la sesión del 28 del mismo mes, han sido elegidos I03 Sres. D. Ramón Utges, diputado propietario por el prin­ cipado de Cataluña, y D. Manuel Antonio García Herreros , dipu­ tado suplente por la provincia de Soria: debiendo todos los decretos y órdenes que emanen de las Cortes, ir autorizados y firmados, co­…</t>
  </si>
  <si>
    <t>Herveila, Ramón</t>
  </si>
  <si>
    <t>Ramón Herveila</t>
  </si>
  <si>
    <t>do ¿ D. Rafael OJeriz, D. Tomas Sacz, D. Juan Dañoso, D. Pedro Pascual Casales, D. Romualdo Cortazar y D. José Alguacil Car­ rasco; los de teniente á D. Ramón Herveila, D. José de las Hera?, D. AN’xandro Rab’ej, D. Celestino' Cuella , D. Andre» Abollo, Don José Cubilar, D. Anselmo Muiré, D. José María Garza, í). «Fosé Navajas…</t>
  </si>
  <si>
    <t>Heuri</t>
  </si>
  <si>
    <t>, hacia 10 lée, gefes de ingenieros y de artillería, que reco­ dias que se había principiado, y durante estos las nociesen el terreoo y las obras. £1 coronel Heuri, tropas de ingenieros y de artillería y las de infan­ gefe det ataque, mandó que avanzasen los trabaja­ tería han sufrido diariamente alguoa pérdida. Mu­ dores , y…</t>
  </si>
  <si>
    <t>Heuriod</t>
  </si>
  <si>
    <t>tra Obispo , comenzó á perseguirle, le mató algu­ merecían hacia tiempo el último suplicio. . na gente , le hizo varios prisioneros , y logró dis­ El general Heuriod , gobernador de Lérida, que persar á mas de 1500 hombres. había sorprehendido y derrotado á la quadrilla de Tomas Campillo llamado; el Alcalde de CadreBaella , d…</t>
  </si>
  <si>
    <t>Hi, Juan</t>
  </si>
  <si>
    <t>Juan Hi</t>
  </si>
  <si>
    <t>á D. Juan Vivas, D. Calixto Gar­ cía Buj.anda, D. Liocente^Argüello, y D. Juan Antonio Tostado; los deteniente á D. Ignacio Perez, D. Vicente Descalz,D. Juan Hi­ dalgo Chacón, D. José Carrasco, D. . Ra r on González y D. Ra­ món Novoa; los de subteniente á D. Juan Rosales y D. Ramón González; y el de subteniente de bandera á …</t>
  </si>
  <si>
    <t>Hidalgo</t>
  </si>
  <si>
    <t>D. Ignacio Allende y D. Juan Aldama. Algunas prisiones que se hicieron con este motivo en aquella ciudad, no alcanzaron a estorbar la explosión; y el cura Hidalgo, sublevando á los indios y mulatos, entró el 16 al amanecer en el pueblo de su feligresía, puso presos á varios vecinos de distinción , y se dirigió en asonada al p…</t>
  </si>
  <si>
    <t>electo de Valladolid de Michoacan D. Manuel Abad Queipo, cuya diócesis era el teatro de los excesos, publicó en £4 de setiembre un decreto contra el cura Hidalgo y sus sequaces, declarándolos incursos en las penas eclesiás­ ticas como sacrilegos, profanadores de la religión, y violadores de sus ministros. Nuestro dignísimo ar…</t>
  </si>
  <si>
    <t>tró el todo del exército á las nueve y media de la mañana. Se hicieron bastantes prisioneros, entre ellos muchos oficiales de la creación dél rebelde cura Hidalgo. Al dia siguiente al amanecer, salió un fuerte destacamento de nuestras tropas con dos cañones al, manió del teniente de navio Don Pedro Celestino Negrete con el cb…</t>
  </si>
  <si>
    <t>hos pueblos como en otros de tierra adentro robaban indistintamente á '¿achurirfts^ criollos. El brigadier Cruz se proponía pasar Zacatecas, donde el cura Hidalgo reunía sus últimos recursos, y daba muestras ¿e querer haber­ se firme. Pero algunas cartas particulares refieren qúi Hidalgo con</t>
  </si>
  <si>
    <t>e Liarte con 24^ ho obres y 40 ca­ ñones: yqued Sr. Calleja estaba en marcha con sa exéruto para aquel punto, á donde se creía se hubiese dirigido el cura Hidalgo. Ea el pueblo de Mestirlan , provincia de ia Gissteea, fué aprehen­ dido D. Pascólo Ortiz de Letona , natural de Guatemala , y se le en­ contraron los poderes otorg…</t>
  </si>
  <si>
    <t>entado al general Ctlíeja pidiendo el indulto, y que se le ha concedido con algunas restricciones. Del 16. Ds Qusrétaro. y Valiadoiid escriban que el cura Hidalgo, Alíenle, y demos cabecillas han abandonado á Zacatecas y pasado á S. Lu'S Potosí, para dirigirse después al Saltillo , y desde allí á la Nue­ va Or eaos. Si tal es…</t>
  </si>
  <si>
    <t>-4$7 Se asegura que el tabecilla Allende salló mortalmenic herido de Xa batalla , y que el cura Hidalgo se dirigió á Zacatecas con 300 y se­ gún otros con 800000 pesos. Con -noticia que hubo de que se había de­ tenido en Zapopan por falta de muías para la conducción de los cauda­ les , sin mas escolta que algunos lanceros , d…</t>
  </si>
  <si>
    <t>reso, y supli­ cando parase el fuego: en cuya vhtud se amarró á este y á los de­ nsas, y fueron remitid es á ía retaguardia. — Cerraba la de ellos el cura Hidalgo , que con ía escolta de 20 hombres, mandados por un asesino nombrado Mar roquín, marchaba con las armas presentadas, á quienes luego que llegaron al punto donde est…</t>
  </si>
  <si>
    <t>Hidalgo, Antonio</t>
  </si>
  <si>
    <t>Antonio Hidalgo</t>
  </si>
  <si>
    <t>r, teniente, á capitán de la quin­ En el del Príncipe, á las siete de la noche, se re­ ta compañía. presentará por Ja compañía española la comedia de D. Antonio Hidalgo, sargento primero, á sub­ Moreto en tres actos titulada la Fuerza dél natural , y teniente de la quarta compañía. la opereta la Esclava persiana. Actores en J…</t>
  </si>
  <si>
    <t>Hidalgo, Francisco</t>
  </si>
  <si>
    <t>Francisco Hidalgo</t>
  </si>
  <si>
    <t>que os han gobernado coh'fa dores al reconocimiento de Granada , con especia­ ~de estos despechados mandones, 'que por sí mis- lidad el segundo cabo D. Francisco Hidalgo , que "mós se han elevado sobre vosotros, y-el resultado arriesgó mucho su vida en la prisión del segundo os dirá si sereis mas felices (i). (Redactor gene­ …</t>
  </si>
  <si>
    <t>Hidalgo, Gaspar de Losas</t>
  </si>
  <si>
    <t>Gaspar de Losas Hidalgo</t>
  </si>
  <si>
    <t>. Spñoras María López, Torres y Cabo. Señores Muñoz, Cristiani y Manuel Fernandez. Octavo batallón. Nota. La tragedia anunciada para el dia de hoi no D. Gaspar de Losas Hidalgo, teniente, á espi­ se puede executar por indisposición de uno de los ac­ tan de la tercera compañía. tores que entraban en ella. D. Mannel de U.¡barrí…</t>
  </si>
  <si>
    <t>Hidalgo, Ignacio</t>
  </si>
  <si>
    <t>Ignacio Hidalgo</t>
  </si>
  <si>
    <t>r¿ lí d m o. D. Mariano Be­ lleza, teniente general. D. Francisco Olmedo. D. Nicolás Nava. Don desé María Salqido. D. Antonio Ruiz. D. Antonio Bclan. D. Ignacio Hidalgo. Seculares. D. Ignacio Jo*é Allende, generalísimo. D. Mariano Xiroenez, capitán general. D. Juan de Aldama, teniente general. D; Manuel Smta María, mariscal. …</t>
  </si>
  <si>
    <t>dalgo , ex-g^nera]r imo. D. Médano Ba­ ilesa y teniente- general retirado. D. Francisco Olmedo. D. Nicoi&amp;s •Nava.- D. Antonio Ruiz. Di Antonio Belan.-D. Ignacio Hidalgo. Seculares. D. Ignacio José Alteado,-generalísimo. D. Müña’ao Ximenez, capitán general. D. Juan Aldama, teniente genera?. Don Pedro Anuida, mariscal.’ D. Manu…</t>
  </si>
  <si>
    <t>Hidalgo, Joaquín</t>
  </si>
  <si>
    <t>Joaquín Hidalgo</t>
  </si>
  <si>
    <t>an de Tenientes. Ortega , y estos las entregaron á los dos abandera­ D. Francisco de Paula Valle. dos , quienes las colocaron á la derecha é izquier­ D. Joaquín Hidalgo. da'de S. E. D. Pascual Muñoz. Se cantó despoes una misa, á la que siguió on D. Pedro Pablo Ibarra. solemne Te Deum, y concluido se retiró S. E. con D. Nicolá…</t>
  </si>
  <si>
    <t>Hidalgo, Josef</t>
  </si>
  <si>
    <t>Josef Hidalgo</t>
  </si>
  <si>
    <t>dos por fuerza de la chalupa donde venían, Para ti curato de A mexljar y Notaez, vacan­ se habían ahogado enfrente de Zandvoorr. Va­ te por muerte dt D. Josef Hidalgo, al p.esbítero rios cadáveres de otros han sido arrojados des­ D. Jostf María Acroia. pees por las olas á la playa. Todos los que han Para el de Aic..z¿r y Barp…</t>
  </si>
  <si>
    <t>Hidalgo, Mariano</t>
  </si>
  <si>
    <t>Mariano Hidalgo</t>
  </si>
  <si>
    <t>costa , sa'geato mayor. D. M vilano Olivares , teniente coronel. D. Jo¿é Mina Echáis. D. Cárlos Cepeda, coronel, f). José de los A agoles , teniente. D. Mariano Hidalgo. D. Valentín H í man­ de z , alférez. D Ignacio Chaves, capitán honorario. D. J osó A ¡íorío Na vaca , alférez. Lio. D. Raraon Garces. II. D. Mamirl Car­ ees.…</t>
  </si>
  <si>
    <t>Hidalgo, Miguel</t>
  </si>
  <si>
    <t>Miguel Hidalgo</t>
  </si>
  <si>
    <t>incia de Coahuila. Religiosos. Fr. Bernardo Conde, franciscano. Fr. Gregorio de la Concepción, carmelita. Fr. Pedro Bastamante, mercenario. Clérigos. D. Miguel Hidalgo, ex - gener¿ lí d m o. D. Mariano Be­ lleza, teniente general. D. Francisco Olmedo. D. Nicolás Nava. Don desé María Salqido. D. Antonio Ruiz. D. Antonio Bclan.…</t>
  </si>
  <si>
    <t>ia orden de la pro­ vincia de S. Pedr© y S. Pablo de Mechoacan. Fr. Gregorio de la Concepción, carmelita. Fr. Pobo Bustamanis, mérceos río. Clérigos. D. Miguel Hidalgo , ex-g^nera]r imo. D. Médano Ba­ ilesa y teniente- general retirado. D. Francisco Olmedo. D. Nicoi&amp;s •Nava.- D. Antonio Ruiz. Di Antonio Belan.-D. Ignacio Hida…</t>
  </si>
  <si>
    <t>Hidalgo, Pedro</t>
  </si>
  <si>
    <t>Pedro Hidalgo</t>
  </si>
  <si>
    <t>. Pedro Ganzalez , 100. D. Manuel Sánchez Cal­ derón, 100. D. Agustín del Piélago, 100. D. Francisco Rodríguez de los Ríos, 100. I). José Gutiérrez y D. Pedro Hidalgo, 100. D. Francisco Fernandez, 100. D Marcos de los Ríos , 100. D Juan Perez , 100. D. Mateo Rodríguez, 100. D. José Pedrosa, 100. D. José Rasilla, 60. D. Eugeni…</t>
  </si>
  <si>
    <t>Hiera, Agustín</t>
  </si>
  <si>
    <t>Agustín Hiera</t>
  </si>
  <si>
    <t>S. Juan, vacante por de D. Josef Palomar ai de Arévalo, á D. Domin­ muerte de D. Pablo Diaz, al ex-premostratense go Miguel, &lt;x-carmelita descalzo. ; D. Agustín Hiera. Para el de Valderueda, vacante por muerte Para el de Santa María de Serón, vacante por de D. Bernardo Isla, á D. Ignacio Ramiro, clé­ promoción de D. Narciso C…</t>
  </si>
  <si>
    <t>Hilario</t>
  </si>
  <si>
    <t>z, id., residente en D &gt;ña Victoria Otero Castro, id., por.... 2200 Seseña, por................. 2200 D ña Rmereociana Martin, id., por......... 2200 D. Hilario . Antonio Vera, ex-agustino Doña María Apolinar Frelre y Carrasco, calzado, residente en Casarubios del id., por...................... 2200 Monte, por................…</t>
  </si>
  <si>
    <t>Hili</t>
  </si>
  <si>
    <t>vista evacuaron los enemigos aquel pueblo, y se retiraren al de Malpaitida. El conde de Penae permaneció en el Arrojo. Ei señor general Hili determinó aquel dia marchar en la,madru­ gada del siguiente á atacar á Mal partida con 2 brigadas de su in­ fantería, toda la nuestra, y la caballería de ambas naciones. El 26 i las 2 de…</t>
  </si>
  <si>
    <t>imientos an leí t ores ¿ ella j iMaisíi paya que cualquier militar haga la debida justicia á Ies ftom&gt;HÍoy Cütwcuui uios que el Exe^c*.. Sr. teniente general Hili a.desplegado en di dkcufso de esta operación, y á que 83 lia debi­ da fa gloria de tina ventaja tan seilalada y tan consueta'; pero e3 menester haber estado a i tí …</t>
  </si>
  <si>
    <t>aú la mitad del 12.5 regi­ Rom. 1 C de octubre. miento ená en los hospitales. Parte de ia división E! gran palacio Quiriual y todos los edificios del general Hili, compuesta de- bnffles y del 57.°, accesorios se hallarán mui pronto en estado de po­ con los batallones que acaban de re uní' «.ules, y der ser habitados. Hai ya m…</t>
  </si>
  <si>
    <t>Hill</t>
  </si>
  <si>
    <t>stablece el exercício libre de los bera del Codes. Los franceses se informaron con cultos, destruye teda distinción. mucho cuidado de la posición dei general Hill , y ,, No hai ya religión dominante en este reino; y de Jos medios que tenían los aliados para pasar el par consiguiente ninguna religión tieue derecho Tajo por Abr…</t>
  </si>
  <si>
    <t>ebida al Reí co­ tramos á lord Wellington, quien todavía tiene su mo &lt;eñ’r y gefe de SU familia, ó faltase á su pro­ quartd general en este sitio. El general Hill pasó pia dignidad y á sus propios deberes, el Rei tiene el Tajo por cerca oe Vila-Nova , y dicen que ha el derecho de citarle á su presen.ia para conde­ subido por …</t>
  </si>
  <si>
    <t>una pérdida mui considerable, en una han ido al exército. En Santaren y en Cartaxó no acción que hubo el día 14 de febrero. hai por ahora novedad. El general Hill continúa El señor general Lahoussaye ha encontrado su­ enfermo. El gene ral Campbell, y el general Finch, misos á todos ios moradores de lot pueblos, y tus-</t>
  </si>
  <si>
    <t>on arroja­ vimiento; está ya fuera de los pestíferos pantanos dos á la costa de Antigua, Al Vigilante se le en­ del Alentej.j , excepto el cuerpo del general Hill, contró en el mar el 20 de junio , sin ningún hom­ que se ha quedado allí. Se ha trasladado el quarbre á su bordó. El Susscx ha dado á la costa en tel ge eral á Cas…</t>
  </si>
  <si>
    <t>a de su tripulación. En igual caso se hallaban te general ha vuelto ¿ Inglaterra.) los capitanes de los demás buques ingleses qne habia 2.a división: general Hill, en Villaviciosa y en el puerto, donde se les habia obligado ¿ entrar. Barba. ■ 1 Dichos capitanes do encontraban ni pan ni agua,'ni. 3.a división: general Picton, …</t>
  </si>
  <si>
    <t>tiembre dice poder. Este estratagema les salió perfectamente, lo s guíente: pues el enemigo se retiró al instante , y no sin pér­ ,, La die;sioti del general Hill ha salido del Alen- dida. Los nuestros acudieron inmediatamente á apa­ tij &gt;, y ha ido á incorporarse con lord Wellingron, gar el fuego, y lo lograron en términos, …</t>
  </si>
  <si>
    <t>1193</t>
  </si>
  <si>
    <t>e campo, gefe de estado mayor del quinto y sexto exérciio, al señor gefe del estado mayor general* “Excmo. Sr. : el cuerpo de exército'del te­ niente general Hill con una fuerza de 10 á 12000 hombres, entre ellos unos 2000 de caballería, se puso ayer en movimiento desde Portalegre , níarchando á la Codosera, donde durmió ayer…</t>
  </si>
  <si>
    <t>hacerlo por escrito, no debiendo dexar de decir desde ahora, que asi como al valor y disciplina de las tropas, se debe á la sabia dirección del. Sr. general Hill ;un.resul*tado tan completo y glorioso. Dios guarde á V. E. muchos años. Del cam­ po de batalla á la inmediación de Arroyo-Molinos á las 11 del dia 28 de octubre de …</t>
  </si>
  <si>
    <t>1190 das, mandadas por el general Hill, han tenido la mayor parte en esta gloriosa victoria, en la que no hemos perdido un hombre. Luego que las circunstancias lo permitan, pa­ saré á manos de V. E. los detalles de todo lo ocur­</t>
  </si>
  <si>
    <t>E., salí el2S del presente de ese cuartel general para tomar el mando de las tropas de este exórm|o que debían operar en unión con las del Excmo.Sr, general Hill* comandante en gefe del exército aliado del Álontejo, ▼ ol $4¡ conseguí este objetó en el pueblo de la Aliseda, donde acapabade llegar el jeÁor general Hill,y estaba…</t>
  </si>
  <si>
    <t>sumamente favorable. Las tropas marcharon con precisión, ño obstahte la difi­ cultad que presentaban la noche y el temporal, y antes del diá el señor general Hill estaba dirigiendo la formación de las columnas de p,te que en una hondonada á muy corta distancia del pueblo fio Arroya- Molinos, sin que el enemigó tuviese la meno…</t>
  </si>
  <si>
    <t>hice reconocer á rierecha é izquierda por medio de mis tiradores, y un pequen o destaca mentó que envié á este objeto. En etite tiempo el Exeme. Sr. general Hill mandó que se formasen dos columnas de infantería, dedicadas á envolver dicho pueblo, marchando la infantería *n el centro apoyada por mi caballería ( jae en este mom…</t>
  </si>
  <si>
    <t>le el emprender operaciones que conduzcan i su ali­ vio. Crtébré infinito que se me presentase últimamente oessien de confirmar esto mismo ; y que el general Hill pudiese llevar á efecto las iisírúcciones que le di para que diese un golpe de considerable importancia á la causa. —^Dios guarde á V. E. machos años. Freíneda 9 de…</t>
  </si>
  <si>
    <t>Híller, Ingles</t>
  </si>
  <si>
    <t>Ingles Híller</t>
  </si>
  <si>
    <t>ci capitán Ingles Híller empleado por el mariscal B?resíord i la íamcdiacion'del conde, se ofreció á ir con otros 40 caballos del escua­ drón dc-Pantigoso íí i idagar si se hallaba ya en el pueblo de la Gran­ ja la cNuasna movible del exérci</t>
  </si>
  <si>
    <t>HiU</t>
  </si>
  <si>
    <t>visto la dirección que el enemigo daba á otra con tiempo suficiente para for­ marse y oponerse á ella, resultó que fué hecho prisionero el tenien­ te coronel HiU , muchas deles soldados heridos, y algunos.prisio­ neros , antes que un destacamento de caballería británica tuviese tiemoo de aproximarse en su socorro. El segundo …</t>
  </si>
  <si>
    <t>Hiugliton</t>
  </si>
  <si>
    <t>nte se libertó de está carga y conservó su puesto baxo el man­ do del mayor L’Estraage hasta la llegada de la tercera brigada á las órdenes del mayor general Hiugliton. La conducta de esta bri­ gada fué heroica , y no lo fué menos la de la segunda brigada ai cargo de! honorable teniente coronel Ahercombrie. El mayor general. …</t>
  </si>
  <si>
    <t>Hnlls</t>
  </si>
  <si>
    <t>as eomo fatal para las de la Gran Bretaña. siones son: ' Fragatas. CAPITULO ur. La Presidenta , conmóduro Rogers. Servicio de 1810. La Constitución , capitán Hnlls. ,,Las reatas se habian regulado como los años Los Estados-Unidos , capitán Decvtur. anteriores en 740 millones de francos ; pero ca;</t>
  </si>
  <si>
    <t>Hobentóal</t>
  </si>
  <si>
    <t>ón vor, y que desde entonces en adelante se irá pade Senf.-, ministro de Relaciones exteriores, y el gi.ido a los otros príncipes y condes lo que les conde Hobentóal, ministro de Conferencia^. Ya se toque. sabe qae para ser admitido en el orden ecuestre de Escribe'» de Leipsick que los comisarios sazo­ los estados ie Saxonia …</t>
  </si>
  <si>
    <t>Hofinanussegg</t>
  </si>
  <si>
    <t>eza Prin­ de á seis millones de libras esterlinas. cipal de este gímete es la colección del Brasil Se presentará hoi al parlamento un mensage del del conde Hofinanussegg, que contiene 338 espe­ Príncipe regente, pidiendo un aumento de un mi­ cies nuevas de aves , coya belleza excede á quan- llón para pagar las tropas portugue…</t>
  </si>
  <si>
    <t>Hoflande</t>
  </si>
  <si>
    <t>tiempo, y se Degraudvogel, hace cada dia mas progresos. Este cree que le acompañará el Príncipe real. exemplo ha animado á los bávaros, y de toda» EL profesor Hoflande ha abierto un curso so­ partes del reino vienen gentes á instruirse en el bre el arte de conservar la salud y la vida, y se­ método de extraer dicho azúcar. gú…</t>
  </si>
  <si>
    <t>Hogrewe</t>
  </si>
  <si>
    <t>dades es un extrangero llamado CaHannóver contribuyese á esta grande obra. El cé­ brit, que había sido abandonado en la isla , y que lebre geómetra y coronel Hogrewe presentó hace era miembro de la órden secreta de un príncipe, y 30 años al Reí Jorge m un plan mui circunstan­ que conoció á un ingles que lo era también de otra…</t>
  </si>
  <si>
    <t>Holcn</t>
  </si>
  <si>
    <t>gosta. de Tolli, que se dístingoió en la guerra contra la 'Escriben de Cristiaiuand, en Noruega» que el Suecia, fue nombrado poco después minittro dé capitán Holcn» que mandaba los bricks Loílaod, Guerra. El general Steínheil, antiguo gefe del es­ Kiel y Langeo, ha recobrado dos bnqoes de. la tado mayor del general Benningsen…</t>
  </si>
  <si>
    <t>Holm</t>
  </si>
  <si>
    <t>eral Benningsen, ha vuelto 4 Jutlandia cargados de trigo, y que habiao sido ser empleado en el exército de Turquía. apresados por on cúter ingles. El capitán Holm persiguióal enemigo á fuerza de remo, habiéndole AUSTRIA. faltado el viento; y aunque todaviano se saben las circunstancias del combate, sin embargo algunos Vierta …</t>
  </si>
  <si>
    <t>Gaceta de Madrid n.º 292</t>
  </si>
  <si>
    <t>Copenhague 14 de setiembre. Escriben de Constantíoopla , con fecha del 20 de agosto, que ha habido en esta ciudad el 28 de Escriban de Noruega que el capitán Holm ha julio un incendio terrible que ha consumido mas apresado en las aguas de aquella provincia nn brictc de 1© cas^s. Se atribuye este desastre 3 la ven­ ingles, arm…</t>
  </si>
  <si>
    <t>Honor</t>
  </si>
  <si>
    <t>, de los grandes oficiales, de genio, vire! 4?Italia. los ministros, de los’ grandes-águilas de la legión de ' Concluidas estas formalidades, S.M. el Emperador Honor , de los oficiales de servicio, de los pages que pasó al salón 7 firmó los registros , los que firmaron conducían las hachas, y de los reyes de armas, se tras­ t…</t>
  </si>
  <si>
    <t>Hope</t>
  </si>
  <si>
    <t>ta gracia, especial de convidar­ le í comer. S. E. ha conferenciado largo rato con . Mi lord: S. M. sobre el objeto de so viage, y parece que la „El capitán Hope, edecán del teniente gene­ Emperatriz ha escuchado con grande Ínteres todo ral Graham, acaba de llegar en este instante con quanto el conde le ha dicho acerca de nn …</t>
  </si>
  <si>
    <t>Hore, Rafael</t>
  </si>
  <si>
    <t>Rafael Hore</t>
  </si>
  <si>
    <t>uerpo del exército imperial del fnediodia de España, autorizado por S. E. el mariscal duque de Tre* viso, comandante del exército sitiador , y el Sr. D. Rafael Hore , brigadier de los reales exércitos, y teniente coronel del regimiento de infantería del Príncipe, autorizado por el mariscal de campo I). José Imaz , gobernador …</t>
  </si>
  <si>
    <t>Hormby</t>
  </si>
  <si>
    <t>división in­ glesa ,compuesta délas fragatas Amfion 9 capitán Host j Cancerbero, Ca­ pitán Whitby y Activa, capitán Gordcn , y de la corbeta Vohariaf capitán Hormby. Conduce una fragata y una corbeta francesas apresa­ das , y un transporte con prisioneros, de resaltas de la acción que sos­ tuvo con una escuadra francesa en el…</t>
  </si>
  <si>
    <t>Hornillos, Francisco de Paula</t>
  </si>
  <si>
    <t>Francisco de Paula Hornillos</t>
  </si>
  <si>
    <t>o , 20. — Ministerio de real hacienda El conta­ dor D. Pedro Baranda; ademas de 25 ps. mensuales que ha ofrecido durante la guerra , 500. El tesorero D. Francisco de Paula Hornillos, en cada mes , 15. El oficial mayor D. Manuel Ortiz , en cada un año , 80. El segundo D. Blas Valladares, en cada mes , 5. El tercero D. Gerónimo…</t>
  </si>
  <si>
    <t>istros de real hacienda, contador, tesorero y dependientes de la 7nisma. D. Pedro de Baranda , contador, por 10 meses de su oferta en cada uno , 250. D. Francisco de Paula Hornillos, tesorero, por 10 meses de su oferta en cada uno , 150. D. Manuel- Ortiz , oficial primero , ha ofrecido ei 10 por 100 ele 800 pesos que disfruta…</t>
  </si>
  <si>
    <t>Horodiski, Cayetano</t>
  </si>
  <si>
    <t>Cayetano Horodiski</t>
  </si>
  <si>
    <t>pleni­ rata al género de que hace parte esta especie: se potenciario de S. M. el Rei de Saxooia, encuentra, según él, en la China y Cochinchina en El conde Cayetano Horodiski. los troncos de árboles, de quien es una planta pa­ El señor Baczinski. rasita como las demás especies de este género. Lou­ El señor Alfredo Potocki. re…</t>
  </si>
  <si>
    <t>Horré</t>
  </si>
  <si>
    <t>izo entonces tartas car­ particular. También., ¿f.^hesi : corarse qop elogio eí gas, las quales tnvieróa rodas el éxtro mas com­ vmayor González y el,capitán Horré, ambos de ar­ pleto.’ : tillería al servicio de S\ M. G- . . ( , 5 A-las to de la mañana las dos divisiones espa­ ñolad, que habían llegado rz dias anees de Lisboa…</t>
  </si>
  <si>
    <t>Horten</t>
  </si>
  <si>
    <t>ro­ la casa de comercio. no* y éste en las dos primeras filas de banco*. ,,Leipsick 28 de mayo de \%\ \.-ret.oxprohom­ S. M. la Emperatriz , S. M. la Reina Horten­ bres y diputados del comercio de tita ciudad* sia* S. A. I. la princesa Paulina , S. A. I. y R. el gr. ii düque de Wurtzburgo, y S. A. R. el gran baviera. duque de…</t>
  </si>
  <si>
    <t>Hortensia</t>
  </si>
  <si>
    <t>e los reyes de armas, se tras­ también S. A-I. madama madre, S. M. la Reina de ladó á la capilla, donde se le había preparado en me­ España, S. M. la Reina Hortensia, S. A. I. la prince­ dio de la nave un sillón debaxo de un dosel con un re­ sa Paulina, S. A. I. el príncipe Borghese y S. A. I. el clinatorio. El Ret de Roma, p…</t>
  </si>
  <si>
    <t>das por todos los espectadores, padrino; yá la izquierda S A- I. madama madre, prolongándose los gritos un buen rato , durante el madrina, v S. M. la Reina Hortensia, en repre­ qual la Emperatriz estaba de pie con su hijo en sentación de S. M. la Reina de Ñipóles, madrina. los brazos, y el Emperador, habiéndole recibido en El…</t>
  </si>
  <si>
    <t>Host</t>
  </si>
  <si>
    <t>510 prisioneros, in­ clusos 20 oficiales. Malta 31 de marzo. Acaba de arribar á este puerto una división in­ glesa ,compuesta délas fragatas Amfion 9 capitán Host j Cancerbero, Ca­ pitán Whitby y Activa, capitán Gordcn , y de la corbeta Vohariaf capitán Hormby. Conduce una fragata y una corbeta francesas apresa­ das , y un tr…</t>
  </si>
  <si>
    <t>Hoste</t>
  </si>
  <si>
    <t>inquietudes. Los ánimos estaban tan agitados, que se creía que si no se verificábala paz, no estaba segura la vida del G¿an» Señor. * ’ ’ El valiente capitán Hoste ha llegado de Malta con su fragata A. fion y las doi francesas que apresó en el Adriático. Lo ocurrido con el rey de Suecia Gustavo Adolfo es uno de aquellos incid…</t>
  </si>
  <si>
    <t>Houghton</t>
  </si>
  <si>
    <t>andante de una brigada portuguesa, y oficial de gran mérito, por haberle llevado una pierna una bala de cañón; y siento profunda­ mente la muerte def general Houghton y de dos oficiales de esperan­ zas . ísir Guillermo jVíyers y el teniente coronel BuckvroFíh. M í es sumamente agradab’e no solo informar á Y. S. de la firy val…</t>
  </si>
  <si>
    <t>ado, dixo el canciller, sobre si habría algún aliados, se infiere que ha sido considerable. El medio de reemplazarle; y despaes de haber refle­ mayor general Houghton ha sido muerto; los ma­ xionado con madurez sobre este punto, me he yores generales Colé y VV. Stuart han sido heri­ convencido de qae no podía adoptarse otro m…</t>
  </si>
  <si>
    <t>algunos pormenores re­ se erigiese un monumento en la iglesia catedral de lativos á nuestro regimiento. El capitán Butke ha S. Pablo á la memoria del general Houghton, sido muerto: el capitán Cameron ha recibido on muerto en la batalla de Albuera. Esta propuesta balazo en el pecho y una lanzada en un muslo, fue adoptada unáni…</t>
  </si>
  <si>
    <t>Hougton</t>
  </si>
  <si>
    <t>conduxeron ex­ celentemente. El enemigo tuvo tres generales muertos y tres heridos : Pepin y Gazan son de los primeros. Por nuestra parte tuvimos al general Hougton muerto, y á los generales Stewart y Colé heridos.— Hoy ha desembarcado alguna caballería recien llegada de Inglateira, de donde parece vienen mas cuerpos de ambas…</t>
  </si>
  <si>
    <t>Hourco, Juan</t>
  </si>
  <si>
    <t>Juan Hourco</t>
  </si>
  <si>
    <t>o...... 810 D. Ramón de Arana....................... 20559 8f Doña Juana de Muga.................... 900 D. Guillermo Uhagon.................... 6coo D. Juan Hourco............................. 1800 D. Juan Hourco.............................. 20100 Sor María de la Asuacion Moreno. 1080 D. Antonio de Yarritu..................…</t>
  </si>
  <si>
    <t>D. Gaspar Quadrillero,.................. 1500 dos los números siguientes: 61,78 , 75,67 y 18. D. Josef de Riva................ ........... 329x18 ii| D. Juan Hourco............................. 136581 4 D. Juan Murfi................................. 165000 tlATXOl. D. Guillermo de Huageo................ 15 7 71 En el del Prín…</t>
  </si>
  <si>
    <t>Housípn</t>
  </si>
  <si>
    <t>en sus obras exteriores con el fuég© del 6 del corriente, de­ terminé que se asaltase aquella noche el mencionado fuerte. Ea virtud de esto el mayor general Housípn , que diligia las operaciones del sitio en la orilla derecha del Guadiana , nombró para la empresa un destacamento del regimiento 85, á las órdenes del mayor Mack…</t>
  </si>
  <si>
    <t>Houston</t>
  </si>
  <si>
    <t>vtv Aunque ci movimiento que en esta ocasión execuíaron nuestrrs trepas se h'z~* en circunstancias muy críticas , fué muy bien dirigido por ei mayor general Houston, el brigadier general Craufora , y el teniente general Sir Srapleton Cotton. La séptima división fué protegí la en su paso de Turón pur la división ligera mandada…</t>
  </si>
  <si>
    <t>pa­ recía practicable la brecha de la muralla del fuerte, y pbr lo t into determiné que en aquella noche se intentase segunda vez el asalto. Ei mayor general Houston nombró para. verificarlo otro destaca­ mento á las órdenes del mayor Geecliy , del regimiento portugués 11,111 17. Este oficial, con los demás destinados para ma…</t>
  </si>
  <si>
    <t>mucha pérdi­ da, y el mayor Gnechy que lo -mandaba y otros oficiales fueron muertos; no obstante, las tropas mantuvieron su puesto hasta que el mayor general Houston les mandó que se retirasen. — Luego que llegáronlos refuerzos de las fronteras de Castilla , des­ pués deja batalla de la Albuhera, emprendí el sillo do B.ilajoz…</t>
  </si>
  <si>
    <t>el alistamiento del exér­ nuestras tropas se mantenían en sus puestos basta que cito de reserva, y que las pocas personas que se recibieron orden del general Houston para retirarse. habían desmandado algún tanto , y tomado parte 1, Después de la batalla de Albuera, y luego que en aquellos alborotos , han reconocido al instant…</t>
  </si>
  <si>
    <t>a partida , que era la de gado á bordo de la Freya sir B. Spencer y otros ofi­ alguna consideración en li Mancha, apenas podrá ciales, entre ellos el general Houston. {The Courrier.) reunir el tercio de su ftierzt anterior, porque des­ Diario sobre la enfermedad del Rei. pués de esta acción se han presentado voluntaria­ mente…</t>
  </si>
  <si>
    <t>Hovera, Salvador</t>
  </si>
  <si>
    <t>Salvador Hovera</t>
  </si>
  <si>
    <t>15 radores de la sección D. José Casas y D. José Guiu, á los tenientes D. José Arjó y D. Francisco Damont, y al subteniente D. Salvador Hovera , al capitán de la misma sección D. Jayme Plenafeta, al sar­ gento primero Espasa, y á los soldados Gines Amat de la primera del segundo, y José Ingola de la tercera del mismo ; no pud…</t>
  </si>
  <si>
    <t>Hoyos, Felipe</t>
  </si>
  <si>
    <t>Felipe Hoyos</t>
  </si>
  <si>
    <t>por mano D. Carlos Perez, ex escolapio, lego, por 1100 de D. Agustín López Hermosa................. 41340.. S D. Juan Clemente, ex-agustino calzado, D. Felipe Hoyos............................................... 4680-19 lego, residente en Chinchón, por........ 1100 D. Gabriel de Alcaraz, como marido de Doña Margarita Ximenez …</t>
  </si>
  <si>
    <t>Hrbert</t>
  </si>
  <si>
    <t>que io hombres entre ellos al clérigo Miguel Pallabuena, gefe de heridos. partiJa , que fue muerto con sus cómplices. Solo El 21 habiendo marchado el general Hrbert esta continua actividad de las tropas puede preve­ con la qnarta división, encontró en el puente de nir las sorpresas que deben incesantemente temerse "Villareal …</t>
  </si>
  <si>
    <t>Hrywtfod</t>
  </si>
  <si>
    <t>1205</t>
  </si>
  <si>
    <t>IA DE ESPAÑA E INDIAS ©EL JUEVES 7 DE NOVIEMBRE DE 18IL ESPAÑA. Montevideo 24 de julio. (Continúa el artículo del número anterior.y La fragata Nereo, capitán Hrywtfod, traxo ámbas cartas p&amp;ra el señor virey y la junta. El señor virey mandó publicar desde lue­ go la que recibió, en la gaceta de esta ciudad del 8 de mayo, aña­ …</t>
  </si>
  <si>
    <t>Hsrbas</t>
  </si>
  <si>
    <t>n los franceses, que según se asegura, ascendían á 900000 faní&gt;Bfn« — fl# -y triorn ^W J« ,7finfinn &lt;1* %JV I V&gt;v/vv v «AV WW De Madrid han salido el.ministro Hsrbas para Toledo y la Man­ cha, y Arribas par» Segovia y Avila , á pretexto de hacer execuiaf las disposiciones del rey intruso en aquellas provincias.</t>
  </si>
  <si>
    <t>Hsrrera, Ignacio</t>
  </si>
  <si>
    <t>Ignacio Hsrrera</t>
  </si>
  <si>
    <t>ido, D. José María Escalena, encargado de justicia, D. José Francisco Subori, D. José Santander, D. Francisco Solis, D. Pedro Zsvala, D. Juan Romero, D. Ignacio Hsrrera, D. Miguel EscarníHa, D. José Francisco López , D. José Francisco Hernández , Don Manuel Güemes, y el indio Juan Lázaro , que tuvo una parte con­ siderable en…</t>
  </si>
  <si>
    <t>Htinrich</t>
  </si>
  <si>
    <t>compuesta de tres oficia­ Jacquin, Scheerer y Prcchtel que exáminaien el les y 30 marineros. Los quatro barcos dinamar­ añil que extrae del pastel ti doctor Htinrich de queses que estaban refugiados en la bahía de Kongs- Plau eu Bohemia. Estos profesores han desempe­ hann se han aprovechado de esta ocasión par2 ir á ñado su c…</t>
  </si>
  <si>
    <t>Hubert</t>
  </si>
  <si>
    <t>en la rada de Dun­ kerque. ,,La embarcación inglesa Isabel, de porte de Nota. En la gazeta núm. 34 , pág. 136 , Un. 43, 6;o toneladas, mandada por el capitán Hubert- donde dice guindola, debe decir corredera. Wiiiiam- Exstwick, perteneciente á la compañía de las Indias, y procedente de Londres, se había LIBRO. unido con la ño…</t>
  </si>
  <si>
    <t>Huberto</t>
  </si>
  <si>
    <t>ría. Lesage (D. Juan) , soldado de caballería ligera de Piferrer (D. M.muel), capitán del regimiento Jonuestra giifrdia real. 'ef N .poleon. Lesene ( D. Huberto}, sargento primero de gra­ Pl za ( IL Juan de la) , sargento segando del de naderos, idem. T i odo, 2.0 de intanrería de línea. Liser ( D. Juan Bautista), tambor del …</t>
  </si>
  <si>
    <t>Hudson, Mateo</t>
  </si>
  <si>
    <t>Mateo Hudson</t>
  </si>
  <si>
    <t>dia, qne sobradas veces ha afli-* D. Luis Josef de Castro á subteniente de la se­ gido á los pueblos cristianos. gunda compañía del segundo batallón. D. Mateo Hudson á subteniente de bandera del Representación del arzobispo de Udina á S. A. I. primer batallón. el príncipe Eugenio Napoleón , virei de Italia. art. v. En el bata…</t>
  </si>
  <si>
    <t>Huertas, Cándido</t>
  </si>
  <si>
    <t>Cándido Huertas</t>
  </si>
  <si>
    <t>re ea lo roas acalorado de la acción y don­ de era necesaria su presencia y mayor el riergo, oenriando á su lado al subteniente de tiradores de Cádiz D. Cándido Huertas. El comisario de guerra D. José Culo, á quien se habilitó para llevar órdenes , mandes ó su genis! actividad y valor. Todos los oficiales y tropa se esmeraron…</t>
  </si>
  <si>
    <t>Huessen</t>
  </si>
  <si>
    <t>lería de Villucampa. Las tropas „ Excelentísimo Señor í Por ausencia del vice­ francesas que han intervenido en la acción no li *n almirante YViutvr, conde Huessen, tengo «I hooor perdido ni un hombre siquiera. Villacampa, que</t>
  </si>
  <si>
    <t>Hug</t>
  </si>
  <si>
    <t>mbién ha tapuesto su vida a los mayo­ señor general Laboijssaye acaba de ir, de acuerdo res peligros en el paso del Agueda, puyo rio hai con el señor general Hug.i, al alcance del Empe­ tenido que atravesar á nado. Pido para él el grado cinado, y de arrojarle á Ls sierras, con una pér­ de oficia! de Ja legión de Honor- dida c…</t>
  </si>
  <si>
    <t>Hugo</t>
  </si>
  <si>
    <t>104</t>
  </si>
  <si>
    <t>iese á alguno, sería ofender á los demás.—?Sig lienza 15 de diciembre de 1810. —• Til Empecinado, P. I). En la acción de Atienza perdió su caballo el general Hugo,</t>
  </si>
  <si>
    <t>j. ) kj ■ » Habiendo sabido el señor general Hugo el 2j ' tos; y que el exÓrcitr» dét príncipe d« Essling se del mismo mes que el Empecinado estaba ea. C¡- halla en un estado floreciente. fctentes, marchó contra él , y le obligó á escapar á las montañ</t>
  </si>
  <si>
    <t>es, se retiraron los franceses á Ruguilla, donde cometieron mil atrocidades, como lo habian hecho en Canredondo. Esta es la glo­ riosa expedición del general Hugo. Madrid 31 de enero, El 3 del corriente el general Hugo después de ha­ ber recibido los refuerzos que había pedido aquí, y dado orden para que se le retiñiesen las …</t>
  </si>
  <si>
    <t>unido con la división de trópa-1 dí áqüiÜa provin .Oí'Í ,wiu • * según los áttteccdentes debía esperarse en breve otra acción. ARTICULO BE OFICIO. E! general Hugo que se llama gobernador de la provincia de Gaá' dalxira , siempre activo en incendiar pueblos guando se ie propor­ ciona ocasión, creyó que la mardia del brigadier …</t>
  </si>
  <si>
    <t>nado sus 'deberes. Este suceso fuá el'dia 18. ; Los cnuiifg s fubsist ú en Saceióri ^ donde reunidos con mucha parte dé las,tropas de”la división del general Hugo , ascienden á mas de 2500 hombres , entre ellos unos 500 de Cc.büíena. En esta po­ sición , nuestras trepas igualmente reu idas, aunque en rnencr núme­ ro de una y …</t>
  </si>
  <si>
    <t>de caballería li­ Real Irlandés. gera de nuestra guardia real. Goya ( D. Francisco), pintor. Mendivil (D. Cándido Francisco de), canónigo da Guenot (D. Hugo), primer teniente de artillería Toledo." de nuestra guardia real. Meruendano (D. Pedro), comandante de batallón Guerrero (D. Antonio), húsar de nuestra guardia del regimi…</t>
  </si>
  <si>
    <t>‘piJíenio á los cuellos los víyérés qüe tuviesen atrasados ó su importe , y los que á-emas "señala; en especie como contribución extraordinaria , el general Hugo trata de establecer su cuartel en dicha villa, en donde ent ó efe:-' nyamente el dia 7 con 800 hombres, 2 cañones, uncbüs y ctros ar­ tícelos de guerra. Ll dia 2 reu…</t>
  </si>
  <si>
    <t>n sufrido, desanimados por la in­ ostras. utilidad de sos esfuerzos, é intimidados por Ja lle­ El mismo d¡a entró en San Maló el corsario la gada del general Hugo, qu*, habiendo rábido en Juno escoltando una presa iaglesa de 400 tonela­ Brihuega los movimientos del enemigo, se puso das cargada de aoo sacos de azúcar, ai pipas…</t>
  </si>
  <si>
    <t>le han deserta­ se refugió en las montañas de Riaza p&lt;ra evitar el do mas de 200 hombres , .y él ha perdido-mucha combate que venia á presentarle el general Hugo, parte de la influencia y opinión que tenia para con el qttal marchaba contra él á largas jornadas. los habitantes crédulos y desgraciados de las cam­ El Manco execu…</t>
  </si>
  <si>
    <t>ñera! de Priego 25 de muzo de 1811. — J tJro Villjcampa. ’ P. D. — Concluido este parte, se me acaba de as gu ar por dos p isa'/ os de Aañon , que el coronel Hugo , que estaba tn f dan lo en ser el pii blo, se halla con dos heridas de gravedad , y que del mismo pu blo han salido ptra Gaadalaxara 200 heriies de resultas de ¿a …</t>
  </si>
  <si>
    <t>enanfio se rindió, habiendo con­ sumido todas sus municiones (3). — Villacempa, luego que pasó el T^jo, dirigió todos sus esfuerzos costra Auñon. El coronel Hugo, que mandaba en este punto los batallones de! 55 y del R al Extrangero, se defendió con el mayor valor, é li.zo muchas salidas, las cuales fueron todas desastrosas p…</t>
  </si>
  <si>
    <t>durante la acción por medio de las ba­ las, y fué herida en el cuello (8).— El combate de Auñor* es uno de ios mas gloriosos que ha habido.— El señor general Hugo ka ido persiguiendo al enemigo, y mientras que él maniobra por la orilla derecha del Tajo, maniobran también por la orilla izquierda los generalesD’Armagnac y Blond…</t>
  </si>
  <si>
    <t>s malvados, mandada por el enemigo las esperanzas mas ridiculas, le han si­ un tal Morawski, la qual tenia consternado á io­ do mui fatales. Hi siñor general Hugo, penetran­ do aquel país , en términos que ni aun la justicia do el plan ofensivo combinado contra él ¡ manio­ se atrevía á prender á ninguno de los que la com- bró…</t>
  </si>
  <si>
    <t>l rey el Ominan. — Para Cartagena y todos los puntos de Levante : barca-correo la Ramona. CARTAS INTERCEPTADAS. De BcHiard á Berthier. Piiocip?. — Eí general Hugo y el coronel Yial han continuado en perseguir al Empecinado' hasta Uceda, en donde este gafe de guerrillas pasó d Jarama, y se situó en Torrelagusa. Instruido de es…</t>
  </si>
  <si>
    <t>s; pero es cosa triste, Señor, el verse en la necesidad de desnudar á un santo para vestir á otro, y de aquí r ace que no ade­ lantamos nada (1).— Ei general Hugo ha perseguido al Empecinado hasta el Xarama : alcanzóle en Uceda el coronel Vial — E* Em­ pecinado pai-ó el Xarama el día 1.®, y se fdirigió á Terrehíguua. 11; form…</t>
  </si>
  <si>
    <t>sobre todo necesitada en las circunstancias actuales. desde el cmnb.ite de 12 de junio, en que el señor Nuesira pérdida es poco considerable, pues se general Hugo le batió compktamense junto A Ci- reduce á algunos heridos, qu* han sido conducidos fuentcs , encargó al marques de Z.yas que tomase á Taraocon. el mando de las tro…</t>
  </si>
  <si>
    <t>ad que vinieron á quejarse por haberse obligado á los cívicos ¿ salir con la tropa de línea, no han sido oidos, y se ha aprobado todo lo hecho por el general Hugo, quien ahora va en­ cargado de varias comisiones para levantar nuevas tropas de los na­ turales del pais, con facultades amplias para imponer contribuciones» Las ca…</t>
  </si>
  <si>
    <t>1188</t>
  </si>
  <si>
    <t>os, habia pasado el 25 con dirección á aquel punto, mientras verificaba lo mismo una porción de caballería por la Alcudia. El 2 por ía tarde entró el general Hugo con un convoy de trigo y paños de Giadakxara , escoltado por 300 infantes y 00 caballo®, A las 9 de la noche del 2 al 3, 400 soldados de la guarnición, una porción …</t>
  </si>
  <si>
    <t>el 30 del pasado otro convoy tle 200 canos ¿Te igual c-ase. El 6 se pasó revista á los cuernos de jurados, dándoles k recono­ cer por su inspector al general Hugo. Él mismo dia, 3 a anocheci­ do, vino un correo de Andalucía, del cual no se han dado carias al público, y aun se ha negado su venida : mas sin embargo , se sabe qu…</t>
  </si>
  <si>
    <t>aría García , Rosario García , Tor­ gobernador y vicario capitular de su diócesis. res y Baus. Señores Ponce, Infantes, Caprara , Aveci­ Pedesclaux ( D. Hugo), cónsul en Burdeos. lla , Suarcz r Fabiani. Reuthi ( D. Juan) , capitán del regimiento suizo. En el de la Cruz, á lasquatro de la tarde, se eje­ Rio (D. Manuel del), co…</t>
  </si>
  <si>
    <t>Hugo, Leopoldo</t>
  </si>
  <si>
    <t>Leopoldo Hugo</t>
  </si>
  <si>
    <t>pescadores á media legua de la Haya. El Excmo. Sr. D-mit-mue............................... 800 El Emperador se informó de todo quarito podía Ei Sr. D. Leopoldo Hugo............................... 200 interesar á estos pobres habitantes, y después man­ El kxcmo. Sr. D. Juan Bautista Strolz...... 200 dó echar al agua el barco …</t>
  </si>
  <si>
    <t>HUÍ</t>
  </si>
  <si>
    <t>po de toda desea una mudanza general.’* tropas de Santareu á Golegao. En vi:ta de esto lie enviado á Valada , al otro lado de! Tajo , ei cuer­ po del general HUÍ en las lanchas que ha enviado BAVIERA. •1 almirante Barkelei para auxiliar las operaciones del exército. Augsburgo j de diciembre. ,, Habiéndome adelantado de las po…</t>
  </si>
  <si>
    <t>HUI</t>
  </si>
  <si>
    <t>explican lo tras na­ del enemigo, después de haber trasladado á la ori­ turalmente posible la retirada de Masiena; pero lla izquierda la división del general HUI. Lá del puede haber ademas otras muchas qoe nosotros no general Fine, qne se hallaba también en la orí- conozcamos ni penetremos. Nuestra ignorancia so­ lb izquierda…</t>
  </si>
  <si>
    <t>NSILVANÍA. gueo los franceses; pero si estos se lo impiden , en­ P¿incso-w« , o enero. tonces 00 le queda mas arbitrio que ir á incorpo­ rarse con el general HUI, quien con las tropas in­ Por una orden especial del general en gefL jor­ glesas y portuguesas de su mando dificulta Jas co­ ge Petrowiiz, que ha sido aprobada por e…</t>
  </si>
  <si>
    <t>ingenio: en el quinto carro iba no grande al­ Las últimas, cartas recibidas de Lisboa dicen tar , y sobre este ardían varios perfumes. Delante que el general HUI ha idoá reemplazar al nurisca! del altar iban la religión y la inocencia, dirigien­ B.resford baxo las órdenes del lord Weliington. do sus votos al cielo por la cons…</t>
  </si>
  <si>
    <t>Hüíitr</t>
  </si>
  <si>
    <t>hando pie a ti Cira y trayéndose ei caballo dei teniente Pizarra. Xos ofi Jales W.Ligtet, teniente del quart© regimiento de dragones pesa­ dos , y él capitán Hüíitr dei 29 de infantería, comisleñados por su ge¿aí Xoiíg al 3ado dírl cande tic Penne para dar parce dé ^üto ocur­ ra es? la vanguardia , se ccnduxcron muy bien, hab…</t>
  </si>
  <si>
    <t>Huise, Juan</t>
  </si>
  <si>
    <t>Juan Huise</t>
  </si>
  <si>
    <t>. José Puig y Escardó , 25. D. Sebastian Ferrer, 25. D. Francisco Maristani , 25. D. Miguel Roig , 25. D. Joaquín Sánchez, 25. D. Miguel Vargas , 25. D. Juan Huise, 25. D. Manuel Antonio Barbachano , cada año , 20. D. Antonio Gual , 20 D Antonio Martin , 20. D. José Mauricio Rodríguez, 12. D. Alexmidro del Campo, 12. D. Anton…</t>
  </si>
  <si>
    <t>Húl</t>
  </si>
  <si>
    <t>G'rard hkbia reunido en Mérida un pequeño cuerpo de tropns , piro issitgmo que distribuirá otra vez este cuerpo, luego qii í llegue á s-'.ber que el general Húl se haíla en Portalegre.— Ten­ go el hor^r &amp;c. — TVelliigton.” liaron de los mula tos y heridos en los dias 25 y 27. Total de la pérdida del 25. — Portugueses : un sal…</t>
  </si>
  <si>
    <t>Hungría</t>
  </si>
  <si>
    <t>vincias de! reino, conformándose con lo depuesto tninas de Hitngría y de Trausiivania será lleva­ en ei edicto de 28 de febrero de 1809. Esra ope­ do d Hungría , y no a la casa de la moneda de ración se ha concluido, y se ha pub.icado oficial­ Viena. mente en todo el reino la tarifa general de las an­ Reina en Las inmediacion…</t>
  </si>
  <si>
    <t>Hunt</t>
  </si>
  <si>
    <t>de Curazao: ,Mr. Vanderspiegel, kiruon; t\ Drake, de 1 o , capitan Brrwel; el Bri- director de las aduanas de aquella isla , y Mr. Jotomarte, de 10, capitán Hunt; la Calipso, de 14, «•fLion. (Tke Alfred.) capitán Mr,. Kerlic; el Banterer, de 14, capitán Es sin duda bien extraño que aunque los fran­ Ward. ceses bao perdido tod…</t>
  </si>
  <si>
    <t>Hurtado, Fernando Miguel</t>
  </si>
  <si>
    <t>Fernando Miguel Hurtado</t>
  </si>
  <si>
    <t>duque de Dalmacia , general en gefe del exército im­ catedrático de humanidades de esta universidad; perial del mediodía, concluida ía segunda campa­ D. Fernando Miguel Hurtado, consultor de esta ña de Extremadura, tan gloriosa é importante co­ prefectura ; y D. Juan Miguel Sánchez, escribano mo la primera, cuyas ventajas ha …</t>
  </si>
  <si>
    <t>Hussei</t>
  </si>
  <si>
    <t>Mr. Darlei repitió lo que anteriormente b^bia asamblea se someterán voluntariamente á las leyes. dicho acerca de la extrañ za que había manifesta­ El consejero Hussei. Alderman Darlei, decid do el lord French ,de que se procediese contra uoa con juramento, ¿si teneis alguna queja contra al­ asamblea de la qual é. era miembro.…</t>
  </si>
  <si>
    <t>Hutchinsoq</t>
  </si>
  <si>
    <t>de peo- subdiáconos con casullas; dos obispos asistentes; sar; pero en el dia es fácil hallaren el discurso del «1 celebrante vestido de pontifical. coronel Hutchinsoq razones mui poderosas para El presídeme del concilio es el Eminentísimo convencer á qnalqniera de la inutilidad de nues­ señor cardenal Fesch, arzobispo de Leó…</t>
  </si>
  <si>
    <t>Hwad</t>
  </si>
  <si>
    <t>el coronel Oiwai de la.portuguesa, mandados por el bri­ gadier general Long; del coronel lord. Eduardo Somerset,. coman­ dante del 4 de diagones; del coronel Hwad , comandante del 13 de dragones ligeros ; del mayor Weston, comandante del 3 de drago­ nes de las guardias (por estar enfermo ©n Villafiranca sir G amby Calerarí) y…</t>
  </si>
  <si>
    <t>I'ernanEmperador</t>
  </si>
  <si>
    <t>ue era cutará la comedia en tres actos titulada Triunfir solo por un afectuoso homenage de respeto y de amor al la fe, ó la Conquista de I.ara por el conde I'ernanEmperador y á su augusta fami-ia. Ei dia se ha Gonzalez; se bailara el bolero, y se concluirá con el ¡concluido con fuegos artificíale» muí magníficos y sainete la'…</t>
  </si>
  <si>
    <t>I'loustoa</t>
  </si>
  <si>
    <t>esta ocasión observé partí cu'ár­ mente-.que los-’cazadores británicos , mandados por el coronel Enga­ ce, se portaron con mucha firmeza; y el mayor general I'loustoa elogia con encarecimiento la bizarra conducta de urs dcstc^ amanto dé infantería ligera del cuerpo del duque de Brun&gt;w ck. No obs­ tante que este ataque fué rec…</t>
  </si>
  <si>
    <t>I, Don</t>
  </si>
  <si>
    <t>Don I</t>
  </si>
  <si>
    <t>gefe , dispuso el reconcentrar toda la caballería en la campiña inmediata á Llerena, y esperar allí al enemigo. —- La brigada portuguesa al mando del brigadier Don I. A. Maddeu, acan­ tonada en Berlanga , se replegó á este punto , en el qual mani­ festaron las tropas combinadas vivos deseos de que llegase el mo­ mento de comb…</t>
  </si>
  <si>
    <t>I, José</t>
  </si>
  <si>
    <t>José I</t>
  </si>
  <si>
    <t>32</t>
  </si>
  <si>
    <t>D. J;sé de Heredia.” . Votos de los oficiales que asistieron al consejo de guerra. N i.° “Habiéndose reunido en el aposento del mariscal cjte campo .D. José I.nar, gobernador de esta plaza, k&gt;3 generales,, gefes facultativos .de artillería c .ingenieros , y los principales de los regimientos existen­ tes en ¡a misma, con obje…</t>
  </si>
  <si>
    <t>I, Josef Napoleón</t>
  </si>
  <si>
    <t>Josef Napoleón I</t>
  </si>
  <si>
    <t>os dos últimos pueblos; que tenia artillería; que Con motivo de los dias de nuestro Monarca el estaba mandado por un oficial superior ingles; que Sr. D. Josef Napoleón I se tuvo ayer dia 19 una todo anunciaba que iba á aumentarse considerable­ solemne misa c. ntada con Te Deunt} que dixo el mente con otras tropas esta reuuion…</t>
  </si>
  <si>
    <t>u ausencia los demás mi­ y Reí, y el Excmo. Sr. mariscal duque de Dal- nistros que quedan en esta capital se reúnan en el tnacia á la de S. M. el Sr. D. Josef Napoleón I. real palacio á lo menos una v&lt;.z por semana para Por la tarde hubo función de toros y de tea­ el despacho de los negocios mas urgentes. Según tro para el pu…</t>
  </si>
  <si>
    <t>I, Manuel</t>
  </si>
  <si>
    <t>Manuel I</t>
  </si>
  <si>
    <t>Gazeta de la Regencia de España e Indias n.º 36 (extraordinaria)</t>
  </si>
  <si>
    <t>N&amp;m. Sd. 2’6g B GACETA EXTRAORDINARIA DE LA REGENCIA DEL MARTES 12 DE MARZO DE 1811. JEjI general en geFe interino del 4.0 exército D. Manuel I/apeitx Con (echa de 9 y 10 del corriente remite al Sr. gefe del es&lt;ado ma­ yor general los partes que le dirige desde Medina-Sidonia el brigadier ¡D. Antonio Begines de los Ríos , com…</t>
  </si>
  <si>
    <t>I, Vicente</t>
  </si>
  <si>
    <t>Vicente I</t>
  </si>
  <si>
    <t>isco Campos. Guerrero. Para el de Iznalloz, vacante por ascenso de Don Para el de Valor, vacante por promoción de Melchor de Cnerda al de Cogollos, á D. Vicente I&gt;.. Nicolás Antonio Martínez al beneficio del del Castillo, cura de Daifontes. mismo pueblo, á D. Cristo1^-Josef García, cura Para el de Itravo, vacante por promoció…</t>
  </si>
  <si>
    <t>I-eonardo, Juan Antonio</t>
  </si>
  <si>
    <t>Juan Antonio I-eonardo</t>
  </si>
  <si>
    <t>pitán en la vacante de Don cutará la tragedia en cinco actos titulada la Elmira, Pablo Biosca. adornada con decoraciones nuevas; y se dará fin ccn un D. Juan Antonio I-eonardo á capitán en reemplazo pequeño baile cómico, compuesto por. el señor Sandade D. Vicente Vázquez. lio Luengo. _ EN LA IMPRENTA REAL,</t>
  </si>
  <si>
    <t>Iarlsberg, Wade</t>
  </si>
  <si>
    <t>Wade Iarlsberg</t>
  </si>
  <si>
    <t>ública. Las obras destina­ miento de una universidad en Noruega. E¿ gentil­ das al coucursó serán remitidas directamente á la hombre Pedio Auker y el conde Wade- Iarlsberg academia, y serán admitidas hasta mediados de han dado para este objeto 50© rixdaier», y el gen- octubre. A fin de que haya orden en recepción tilhombre y …</t>
  </si>
  <si>
    <t>IbacVa, María Gertrudis</t>
  </si>
  <si>
    <t>María Gertrudis IbacVa</t>
  </si>
  <si>
    <t>ña Ursula López de Azcutia.................. 8lOO teatros. D ña Antonia Ortiz de Espinoso.. 22500 En el del Príncipe, á las siete de la noche, se re­ Doña María ‘Gertrudis IbacVa , y presentará por la compañía española la tragedia en cin­ en su nombre su apoderado Don ' co actos titulada Blanca, ó los Venecianos, y el sainete…</t>
  </si>
  <si>
    <t>Ibañe, Pedro</t>
  </si>
  <si>
    <t>Pedro Ibañe</t>
  </si>
  <si>
    <t>n­ to del duque de Clarence con la señorita Ttlney- dez del Campo................................ Long van adquiriendo cada dia mayor crédito. 1805 4 D. Pedro Ibañe?..................... ............ 2888 Muchos periódicos al dar parte de esta noticia han 1 D. Pedro Fernandez.......................... ..... 1805 añadido malic…</t>
  </si>
  <si>
    <t>Ibañez, Fausto</t>
  </si>
  <si>
    <t>Fausto Ibañez</t>
  </si>
  <si>
    <t>de la Torre........................... 1083 su marido.................................... ..... 4 Doña lgnacía de la Concha........ . 677 I2307 17 2 D. Fausto Ibañez................................. 722 *3f 22I485 25 1 D. Agustín Josef Mendez................... 370 25! 24 D. Joaquín Gómez............................... 28744 …</t>
  </si>
  <si>
    <t>Ibañez, Fulgencio</t>
  </si>
  <si>
    <t>Fulgencio Ibañez</t>
  </si>
  <si>
    <t>érez de fragata D. Ramón Gil , 100. Capitanes y pilotos de estos buques, D. Pedro Izquierdo , 60. D. Juan Bautista Basó, 30. D. Leandro Ato­ mía, 30. D. Fulgencio Ibañez , 30. D. José Raygada», 20. El capellán Don Manuel Rodríguez, 25. El eivujano D. Joaquín de Rivera Serratet, 35. Comandancia de matriculas. Comandante , el c…</t>
  </si>
  <si>
    <t>Ibañez, José</t>
  </si>
  <si>
    <t>José Ibañez</t>
  </si>
  <si>
    <t>ho que me ha ayu­ dado en esta ocasión con su actividad y conoahmentos militares el capitán de ingenieros, encargado de las obras de dicha fortaleza, D. José Ibañez.” El Consejo de Regencia se ha servido promover á brigadier de infantería de los reales exércitos al coronel D. Luis María Andriani, ayudante general de! estado m…</t>
  </si>
  <si>
    <t>Ibañez, Juan</t>
  </si>
  <si>
    <t>Juan Ibañez</t>
  </si>
  <si>
    <t>rdomo de propios de esta ciudad * por el prest de 100 soldados en 6 meses que el ilustre ayuntamiento ha ofrecido man­ tener durante la guerra, 5400. D. Juan Ibañez, secretario del gobierno y ca­ pitanía general, por el de 4 soldados en 5 meses , 180. D. Andrés de Jauregui, teniente de regidor , por el de 6 soldados en 3 mese…</t>
  </si>
  <si>
    <t>Ibañez, Matías</t>
  </si>
  <si>
    <t>Matías Ibañez</t>
  </si>
  <si>
    <t>recedidos de roda la música , donde se cauto misa Para el de Villaverde de Iscar, vacante pot solemne y Te Deum, diciendo nn sermón oportu­ muerte de D. Matías Ibañez, á D. Manuel Gu­ no y aná ogo á las circunstancias D. Andrés Pei­ tiérrez, cura de Tejares. nado, ex- regular franciscano, guardián de sn con­ Para el de Pajare…</t>
  </si>
  <si>
    <t>Ibañez, Pedro</t>
  </si>
  <si>
    <t>Pedro Ibañez</t>
  </si>
  <si>
    <t>tas de la secretaría de D. Juan de Larrazabal....... 5282.. 6 Estado. D. Pedro Alonso Rodríguez. 46027..13 En nuestro palacio de Madrid a 17 de agos­ D. Pedro Ibañez........ ........... 13808.. 7 to de 1S i 1. Doña María Petra Pastor..... 2 5 074 2.. 1 5 Don Josef Napoleón por la gracia de Dios D. Manuel de Barbería........ 6…</t>
  </si>
  <si>
    <t>apoderado 3 D. Antonio Fernandez de Córdoba.. 1173 8¿ D. Clemente de Cabía...... ............. 2 Fernando Bernardo de Qairós........ . 361 19687 16 9 D. Pedro Ibañez...;..................... 8100 2 D. T ornas de Ortega.......................... 397*1 D D. Gonzalo Díaz de Ribera.......... . 7 Doñ« Margarita Macarthi...........…</t>
  </si>
  <si>
    <t>Ibarra, Andrés</t>
  </si>
  <si>
    <t>Andrés Ibarra</t>
  </si>
  <si>
    <t>erio Dalias, 500. D. Juan Agustín de Ibarra , 300. D. Domingo Sainz Pardo, 200. D. Pedro Rosell, 200. D. Buenaventura Gualba, 200. D. José Goma, 100. D. Andrés Ibarra, 100. D. -Juan de la Fuente y Valle , 100. D, An­ tonio de Estrada , 100. D. José Buenaventura Batllé , 100. D. Vicente Ta­ layera, 100. D. Buenaventura Oliver …</t>
  </si>
  <si>
    <t>Ibarra, Joaquín</t>
  </si>
  <si>
    <t>Joaquín Ibarra</t>
  </si>
  <si>
    <t>ares satisfacen voluntaria­ Para capitán de la primera compañía á D. Fer­ mente de este modo, y por un tiempo que regu­ nando Cabrera en reemplazo de D. Joaquín Ibarra; larmente comprehende toda la duración de su vi­ para teniente á D. Juan Beas en la vacante de Don da , la deuda de una parte de sus conciudada­ Fernando Cabre…</t>
  </si>
  <si>
    <t>Ibarra, Pedro Pablo</t>
  </si>
  <si>
    <t>Pedro Pablo Ibarra</t>
  </si>
  <si>
    <t>. dos , quienes las colocaron á la derecha é izquier­ D. Joaquín Hidalgo. da'de S. E. D. Pascual Muñoz. Se cantó despoes una misa, á la que siguió on D. Pedro Pablo Ibarra. solemne Te Deum, y concluido se retiró S. E. con D. Nicolás León. el misino acompañamiento. D. Fernando Miguel del Corral. S. E. tuvo después una vistosa …</t>
  </si>
  <si>
    <t>Ibarra, Silvestre</t>
  </si>
  <si>
    <t>Silvestre Ibarra</t>
  </si>
  <si>
    <t>ri, D. Felipe Caballero,D. Vicente Mosquera , D. Anselmo UUoa y á D. M .miel Parta; subtenencias á D. José Gonzauz, D. Temas Adran, D. José Gar­ cía, D. Silvestre Ibarra, I). Cayetano Várela, D. José -Cernadas, y á D. Manuel Sánchez Mayoral; sugbtenencia- de ~~ a Don Ignacio Parada.</t>
  </si>
  <si>
    <t>Ibarrola, Manuela</t>
  </si>
  <si>
    <t>Manuela Ibarrola</t>
  </si>
  <si>
    <t>apode­ 6 D. Angel Gerónimo Alvart-z............... 63r7 *7 rado D. Andrés Abrisguieta.......... 1444 1 D. Domingo Antonio de Herrero...,,. - 180 17 2 Doña Manuela Ibarrola...................... 433 2 i D. Manuel Luron.................. .............. 3Ó1</t>
  </si>
  <si>
    <t>Ibarrueta, Alvaro Navarro</t>
  </si>
  <si>
    <t>Alvaro Navarro Ibarrueta</t>
  </si>
  <si>
    <t>e, por.......................... 2200 Solana, por..................................................... 2200 D.Francisco Xavier Santiago Salgado, id., D. Alvaro Navarro Ibarrueta , ex-merceresid nte en id., por.................................... 2200 nario calzado, residente en Villarubia D. Pablo Rodríguez, ex-escolapio, res…</t>
  </si>
  <si>
    <t>Ibas, Juan</t>
  </si>
  <si>
    <t>Juan Ibas</t>
  </si>
  <si>
    <t>0. D Rafael Tomas, 10. D. Juan Puig, 10. D. Francisco Becerra, 10. Antonio Ordz , 10. D. José Espinosa, 10. Doña Rita Viñas , 10. Tomas Herrera , 12. D Juan Ibas , 10. D Francisco Pé­ rez Díaz , 10 D. José Cabrera , G. D. Francisco Púa , 6. D. Roque Beyroa , G. D Venancio Ramírez , 6. D. José M-.irí i Sevilla, G. D. Luis Mén­…</t>
  </si>
  <si>
    <t>Ibero, Publo</t>
  </si>
  <si>
    <t>Publo Ibero</t>
  </si>
  <si>
    <t>el de primer ayudante á D. Francisco Fer­ nandez, y el de segundo á D. J ay rae Carrera; los de capitán segundo á D. J osé Carriezo, D. Juan Piñeiro, D. Publo Ibero, D. Pascual de la Calle, D. Ignacio Piñena y D. Angel García Salcedo; los de uniente á£&gt;. José Ramón Rodil*, D. Pascual Casal Aideo, D. An­</t>
  </si>
  <si>
    <t>Iberri, José Ignacio</t>
  </si>
  <si>
    <t>José Ignacio Iberri</t>
  </si>
  <si>
    <t>propio cuerpo D. José Ignacio de la Cuesta : el subteniente de la columna de granaderos, D. José Mariano Zavaía 5 y el alférez de dragones de México, D. José Ignacio Iberri : quienes reunidos á mi lado y ai de mi segundo el Sr. conde de la Cadena , para comunicar mis órdenes, las distribuyeron con acierto y prontitud, haciénd…</t>
  </si>
  <si>
    <t>Ibuir, Saturnino A</t>
  </si>
  <si>
    <t>Saturnino A Ibuir</t>
  </si>
  <si>
    <t>radores de Sigit snza , á las órdenes de sus respectivos comandantes D. Antonio L arroya y O. Nicolás de Isidro, y 3 compañías de caballería á las dé D. Saturnino A Ibuir, comandante del primer escuadrón ,, en todo 900in­ fantes y 140 caballos, ciando supe que venia á atacarme el enemi­ go , quien con efecto se presentó el 23…</t>
  </si>
  <si>
    <t>ICiezabitzonski</t>
  </si>
  <si>
    <t>quisiera ver á estos súbditos rebeldes del sol tacamento del 7.0 de caballería ligera, al mando venir á doblar su cerviz delante de este monarca; del capitán ICiezabitzonski, ha derrotado completa­ siento despoblar los cielos de esos globos magní­ mente las quadrillas de Zaldivia y B'cáyen, que ficos; pero no pnedo mirar como…</t>
  </si>
  <si>
    <t>Ie, Nighüng</t>
  </si>
  <si>
    <t>Nighüng Ie</t>
  </si>
  <si>
    <t>coronel Guise con el auxilio da cinco compañías del regimiento 95 á las ór­ denes dei capitán Citare: en el discurso del cañoneo fué herido el mayor general Nighüng\Ie, pero creo no sea cosa de peligro.</t>
  </si>
  <si>
    <t>Ies</t>
  </si>
  <si>
    <t>799</t>
  </si>
  <si>
    <t>cuta y sigue como un general consumado. Por mui descontento al ver el curso de nuestro cam­ lo que hace á nosotros , añidió, nunca hemos con­ bio. El ministro Ies dice también que van á to­ seguido que tenga buen éxito ninguna de nuestras marse providencias severas para descubrir los agio­ expediciones, exceptuando la del Egi…</t>
  </si>
  <si>
    <t>IFiarte, Cayetano</t>
  </si>
  <si>
    <t>Cayetano IFiarte</t>
  </si>
  <si>
    <t>dragones, que fueron hechos ¡prisioneros. c, Alicante 13 de octubre. El 10 del corriente falleció en esta.plaza su gr b-rnador el rnasiscal de campo D. Cayetano IFiarte. Su inuer-e ha sido Horada de todos los buenos, y Ja memoria de sus virtudes militares, patiióticas y cristianas , de que en vida y en musite ha da­ do s*ñaTa…</t>
  </si>
  <si>
    <t>Ig, Fermín</t>
  </si>
  <si>
    <t>Fermín Ig</t>
  </si>
  <si>
    <t>oda Ja ciudad, sebre- Para el curato de S. Martin de la ciudad de sadendo por so buen gasto y multitud de luces el Segovia , vacante por promoción de-D. Fermín Ig­ palacio episcopal donde reside el señor gobernador, nacio de B ut¡za al arcedi^ndto de Miyorga , á la casa del tribunal, las consistoriales y la cate­ D. Policarpo…</t>
  </si>
  <si>
    <t>Ig, Manuel</t>
  </si>
  <si>
    <t>Manuel Ig</t>
  </si>
  <si>
    <t>* Ignacio Aldamá , á quienes prendió igualmente. El proceso y los reos lian-Isido conducidos á éstíi capital. — El obispo'de la Puebla de los Angeles D. Manuel Ig­ nacio González del Campillo convocó el 27 del pasado, en su cate­ dral al cabildo y clero de su diócesis , y después de confirmar el juramento prestado al rey D. F…</t>
  </si>
  <si>
    <t>Igarriza, SaivadOr</t>
  </si>
  <si>
    <t>SaivadOr Igarriza</t>
  </si>
  <si>
    <t>es, y la nuestra ha sido bastante aunque* no puede llegar á la cuarca parte, habiendo quedado herido mortaimente el ca­ pitán de tiradores de Sevilla D. SaivadOr Igarriza. Espero de V-E. lo eLve á la consideración de S. A., como igual­ mente les premios que he concedido sobre el campo de batalla-á nom­ bre de S M ” * 4 o El m…</t>
  </si>
  <si>
    <t>Igi, Víctor</t>
  </si>
  <si>
    <t>Víctor Igi</t>
  </si>
  <si>
    <t>lla, 34. Don Francisco Polo, de id. 20. D. Manuel Gutiérrez, de id. 8 con 4. D. M. A. 8 con 4. D. Juan Isíepcmucene Cúbrales , de Asturias , 4 con 2. D. Víctor Igi csias , de Burgos, 8 con 4. D. Anselmo del Val, del vallé de Tobalina, 204, B. Julián dei Val, de id., 25. (Se continuará.) PAPELES INTERCEPTADOS. lielacicn de aco…</t>
  </si>
  <si>
    <t>Iglesias, Bernardo A'uevo</t>
  </si>
  <si>
    <t>Bernardo A'uevo Iglesias</t>
  </si>
  <si>
    <t>iela y corn•jjanía , 500.IX Antonio y D. Juan Víctor, 500. D Pedro Sorela, 200. D. An­ tonio Faxas , 500. D .Joíé Moda , 300. 1). Pedro Perato, lOoO. D. Bernardo• A'uevo-Iglesias , 30,0. D. Joaijuin Bucet. 600. D. José Escardo , 1000. D.Juaa . Xovato , 500. JD. Tomas Ravina, ¿00. D. Luis de Gárgol lo, 1000.1). Fernán*dp.de Gá…</t>
  </si>
  <si>
    <t>Iglesias, Ignacio</t>
  </si>
  <si>
    <t>Ignacio Iglesias</t>
  </si>
  <si>
    <t>e D. Lnis de los Ríos. glamento de 23 de octubre de! mismo. Don Antonio Gómez á teniente en reemplazo art. ii. Servirá de pie para la formación de de D. Ignacio Iglesias. este esquadron la compañía de esta arma y de la art. vil. En la milicia cívica del Puerto de misma provincia creada por uuessro decreto de Santa María 28 de…</t>
  </si>
  <si>
    <t>Ignac, María</t>
  </si>
  <si>
    <t>María Ignac</t>
  </si>
  <si>
    <t>ficial agregado á la misma secretaría , en cada mes , 6, D. J osé María Granados, 200. D. José Mariano de Casas y hermanos , 100. Bcña María Loreto y Doña María Ignac.ia de Cárdenas, 1020. D. Vicente del Corral , I09d. El presbítero B. Francisco Xavier Noriega , 500. La con­ desa viuda de Buenavista , 340. El superintendente …</t>
  </si>
  <si>
    <t>Ignacio</t>
  </si>
  <si>
    <t>istrador de correos taría del ministerio de Negocios eclesiásticos. de Medina del Campo. Almera (D. Francisco), individuo de nuestra guar­ Colomina ( D. Ignacio) , fusilero de nuestra guar­ dia de honor de Granada. dia real. Alooso (D. Josef), sargento de húsares de nuestra Collado (D. Diego), tirador del regimiento de guardi…</t>
  </si>
  <si>
    <t>su/os , y 250 hombres de escolta.— H&gt;, marchado a Badajoz el regimiento de infantería número ico con 6 carros de vestuario, arroz y vino. Van también D. Ignacio deC .ceres sombraió pre fecto de Badajoz, D. Francisco Taran para intendente y D. Lorenzo Ayílon para comisario general de po.icía en Z«frc. Del 27. Se han escapado 1…</t>
  </si>
  <si>
    <t>Ignacio, Joan</t>
  </si>
  <si>
    <t>Joan Ignacio</t>
  </si>
  <si>
    <t>laico , ir!. D. Joan Ignacio ífc\mon , id. D. José Santos Villa , coro­ nel. D. Mutual Chica, coronel retirado. D. Pidro L’jon, mayor de plaza. D. Vicente Sildieraa, tenieata coronel retirado. D. José Mi­ guel Arroyo. D. A ¿toa</t>
  </si>
  <si>
    <t>Ignacio, José</t>
  </si>
  <si>
    <t>José Ignacio</t>
  </si>
  <si>
    <t>1279</t>
  </si>
  <si>
    <t>sus oficíales y soldados, nomo asimismo la da 'Fr. T murcio Cuenca, de! cirujanoD. Hilario IIrabiosa, y de los O Jcan ■ Árgu^osa, D. "Ignacio Lczano, D. José Ignacio etd Ri ?, D. Ri­ men Istneta y José María Navaida, sargento de provincias íüL/bíís.—*</t>
  </si>
  <si>
    <t>Ignacio, Josef</t>
  </si>
  <si>
    <t>Josef Ignacio</t>
  </si>
  <si>
    <t>Miguel) , archivero general de la Sánchez ( D. Manuel), comandante de batallón de corona. artillería, y director de la fundición de Sevilla. Altuna (D. Josef Ignacio de), secretario general Sande ( D. Diego ) , capitán de infantería de línea. de la prefectura de Granada. San Vicente ( O. Ignacio), capitán de escopete­ Alvatez…</t>
  </si>
  <si>
    <t>Igrano, B</t>
  </si>
  <si>
    <t>B Igrano</t>
  </si>
  <si>
    <t>provincia del Paraguay se halla ente­ ramente libre de enemigos. Las tropas que la junta de Buen os Ay res había enviado á las órdenes de su vocal el doctor B Igrano para exci­ tar la rebelión y separar el Paraguay de la monarquía española, agre­ gándolo á los países oprimidos por los facciosos, han sido destruidas y sus reli…</t>
  </si>
  <si>
    <t>Igual</t>
  </si>
  <si>
    <t>exlctitod» ni individuos del icamanri de MaDstL-ld para apaci­ se han representado de on modo tan precioso, y guar los alborotos de Sottoi en AshlL: d. Igual bello como lo han hecho tantos hombres de talen­ venganza han tomado con M'. Lewis de Sueuton to , de coya reunión ha resultado esta obra verda­ cerca de esta ciudad, cu…</t>
  </si>
  <si>
    <t>Iguanzo, Francisco</t>
  </si>
  <si>
    <t>Francisco Iguanzo</t>
  </si>
  <si>
    <t>7'da marzo cerca de Santa María. Fueron tantas las ítafchas, tiros y pedradas de k&gt;; rebeldes,-que desde luego lo hirie­ ron á él y ai padre capellán D Francisco Iguanzo, ob*ig índoles í retirarse á lá villa de Xerez: sin embargo lo3 nu «foros escarmen­ taron al enemigo quien tuvo 200 muertos y 27 prisioneros, de los quales 1…</t>
  </si>
  <si>
    <t>Ihañez, Francisco</t>
  </si>
  <si>
    <t>Francisco Ihañez</t>
  </si>
  <si>
    <t>11 I 2 D. Francisco Ihañez, ex-dominico, id., Reales vellón. por.. ...................... ............................. 2200 I). Josef Rodríguez.................................... . 200 D. Josef Ariza, ex mercenario</t>
  </si>
  <si>
    <t>Ihañez, Juan</t>
  </si>
  <si>
    <t>Juan Ihañez</t>
  </si>
  <si>
    <t>-por t i de 4 saldados en tres meses , 60. D. Juan Oovarruhias, capitán de milicias de infantería , 4 cuenta da su oferta de 300 pesos anuales, 100. D. Juan Ihañez , secretario de la capitanía general, por el prest de 4 soldatios en 3 meses, 103., El teniente coronel D. Lucas Alvarez , por el de un soldado en 3 meses , 27 D. …</t>
  </si>
  <si>
    <t>Ihur, Joaquín</t>
  </si>
  <si>
    <t>Joaquín Ihur</t>
  </si>
  <si>
    <t>al segundo ayudante D. Jacinto Inoza!; segunda ayudantía al teniente D. Valerio L«?on ; tenencia al subteniente D. Vicente Miranda; y subtenencias á D. Joaquín Ihur­ guen, cadete de la escuela militar del cuarto exérciío , y á D. Eussb o de Mmacho y Mendoza, cadete del batallón de Valencia y Alburqueíque. CADIZ : EN LA IMPREN…</t>
  </si>
  <si>
    <t>II, H</t>
  </si>
  <si>
    <t>H II</t>
  </si>
  <si>
    <t>tados; pero la .mezcla del ácido y de la sal produce las órdenes del gene^l Beresford, por haber caido aun mayor efecto que el ácido solo. enfermo el general H II ■ el qual ha salido paraTn- Los ácidos son mejores conductores que los álcalis, y estos meiores que las sales que provienen de estos glaterra á bordo de la fragata …</t>
  </si>
  <si>
    <t>II, Kamenski</t>
  </si>
  <si>
    <t>Kamenski II</t>
  </si>
  <si>
    <t>icto, que anulará todos estos contratos, median­ trado en ella quatro cañones, pólvora y víveres. te que los billetes de banco que el gi b erno ha El conde Kamenski II, general en gefe al lado de puesto en circulación tienen un valor legal, y se acá dei Danubio, alaba las medidas tomadas por reciben en las caxas públicas casi…</t>
  </si>
  <si>
    <t>IIah</t>
  </si>
  <si>
    <t>-y-- o9 con. todos sus ofi ia&gt;s son dignos dv ia recome&amp;u&amp;cion. dñ V. ?., y eo puedo meno:* de hacérselo pásente , por sí tiene á tome un­ nicur'o al general IIah lUmos foiiido algunos muertes y heridos, en e mu .y corto uniere. Luego qua me iuforme olrcun j. ti o'* 13.0 í. 3- ll &lt;A raen *■ vt V .J-•o; U-iA ¿-v d " . cía exac…</t>
  </si>
  <si>
    <t>Iienette, Santiago</t>
  </si>
  <si>
    <t>Santiago Iienette</t>
  </si>
  <si>
    <t>828 Continúan los donativos a favor del exército de Cataluña. D. Santiago Iienette, 390 rs. D, Hugo Mucdermot, 500» D. Enrique Linch, 900. Ei Etnuio. cardenal de Borbon , 3000. D. Agustín de Sorondo , 500. Don E. B. 300. D. Victor Soret, 500. D. Francisco de Berrio, 500.</t>
  </si>
  <si>
    <t>Ííill</t>
  </si>
  <si>
    <t>Gaceta de Madrid n.º 38</t>
  </si>
  <si>
    <t>el reinado de V. M: nos gloriamos mas que , ciembreí ■ ' ' , ' nunca de sfr franceses. Tenemos el honor de com­ Siento t;en?r que/participaros que el general Ííill poner el cabildo metropolitano de una iglesia que lia caído enfermo,. lia llcg?jio á Chamusca coh una en todo tiempo ha sido el modelo de las demas gran calentura …</t>
  </si>
  <si>
    <t>IIinojosa, José</t>
  </si>
  <si>
    <t>José IIinojosa</t>
  </si>
  <si>
    <t>D. Casimiro Valdes, 111 y 2 Los capitanes qe compartí .is D. An­ tonio Correa , De Juan Zubiras y D. Antonio Martínez, 2SI y 2. Jil ayu­ dante mavor D José IIinojosa, 75 y 3. Los subtenientes de compañías Don Enrique del 'Sol, D. Tomas Pía v i). Alexandro Herrera , T69' y 7. EÍ ca­ pel SaiTD.. Felipe Mata, 43 y 6. El médico-c…</t>
  </si>
  <si>
    <t>IIirsohfold, Mauricio</t>
  </si>
  <si>
    <t>Mauricio IIirsohfold</t>
  </si>
  <si>
    <t>inguió la compañía de tiradores de húsares reales de Granada.— Son dignos de elogio el teniente coronel graduado D. Eugenio Hírschfold y el capitán - D. Mauricio IIirsohfold , -ambos agregados al re í ¡pimiento de Alcántara, qué’ se batieron coa hr mayor bizarría.—• El regimiento de cazadores de la Real Maestranza, su bien do…</t>
  </si>
  <si>
    <t>Iiivadeneyra, Antonio Rodríguez</t>
  </si>
  <si>
    <t>Antonio Rodríguez Iiivadeneyra</t>
  </si>
  <si>
    <t>1133</t>
  </si>
  <si>
    <t>e que vengan de la división de Sarsfielü 500 hombres.,r * ■ (Se continuará.)' Recuenco, Alcarria, 27 de setiembre. El 1S de este mes, eí coman­ dante D. Antonio Rodríguez Iiivadeneyra se presentó con 20 hom­ bres delante de Molina, de cuyo castillo salieron en su seguimiento 00 franceses. Los patriotas los fuero» atrayendo ha…</t>
  </si>
  <si>
    <t>IIleseas, Víctor Francisco</t>
  </si>
  <si>
    <t>Víctor Francisco IIleseas</t>
  </si>
  <si>
    <t>, sargento primero, á subte­ D. Juan Rodrigo de Quintaniila y Calderón á niente de la sexta compañía. subteniente en la vacante de D. Manuel Herrera. D. Víctor Francisco IIleseas , sargento primero , á art ix. Nuestro ministro de la Guerra que­ subteniente de la séptima compañía. da encargado de la execucion de este decreto.=…</t>
  </si>
  <si>
    <t>Iíúrbide, Agustín</t>
  </si>
  <si>
    <t>Agustín Iíúrbide</t>
  </si>
  <si>
    <t>á presentarse á las 12 del día, salió D. Mariano García á esperarlos coa 30 hombres y el al­ férez D. José Iraía , dexando en el pueblo á su segundo D. Agustín Iíúrbide : los rebeldes entonces acometieron con 2000 caballos, y re­ chazados en sn priraeir ímpetu, se retiraron con ánimo de empeñar á Gaicia en su seguimiento al p…</t>
  </si>
  <si>
    <t>IJast, Lorenzo</t>
  </si>
  <si>
    <t>Lorenzo IJast</t>
  </si>
  <si>
    <t>res. Dnwel y compañía , 5000. D. MF gnel Lobo , 000. P. José Durana, 80. Sres. Strangc , hermanos y compañía, ‘ 500. D. Ignacio Eleves y Matute, 100, D. Lorenzo IJast.is , 200. X). Francisco * Rodríguez de Tórices. 1.00. D. Juan Illa y Clr.usell, 200. D. Andrés Morzan, '500. P. Melchor MonconiU , 100. !&gt;., Ildefonso Uuiz ded …</t>
  </si>
  <si>
    <t>Ijjedro</t>
  </si>
  <si>
    <t>ael), subteniente del regimiento Cifuentes (D. Joaquín de), oficial de la secreta­ Josef Napoleón. ría del ministerio de lo Interior. Alíaro y Rtmon (D. Ijjedro), oficial de la secre­ Clavijo ( D. Eduardo) , admidistrador de correos taría del ministerio de Negocios eclesiásticos. de Medina del Campo. Almera (D. Francisco), in…</t>
  </si>
  <si>
    <t>ÍL, Manuel</t>
  </si>
  <si>
    <t>Manuel ÍL</t>
  </si>
  <si>
    <t>uby, D. Aütaaio Sq2W¿o, D. Vicente Ji re­ velo , D. Dkgo Fénollet , B; J*sé Saezy D. José Romero , y Dm Jo-é Aguí lar; en el de Valencia, compañías á D. Manuel ÍL mi­ ras, D. Mnriano • Medran©, P.' Antonio Quitos : tenéE^íj» á Don Antonio E’-teba ’, D. Francisco B otobs* D. Busardo Vida?, Don Juan de Dios Lasa!», D. F«iip5 Ma…</t>
  </si>
  <si>
    <t>Ila</t>
  </si>
  <si>
    <t>. A. S. muí rendido y obediente servidor = ral dada por una brigada italiana en la derecha , y El conde Suchet. hácia el Francoli por la división del general Ila- ,,En el campo delante de Tarragona á 3 de jabert , aumentó el terror de los enemigos, los qua­ nio de i8n.’‘ les se vieron precisados á estar toda la noche ha­ cien…</t>
  </si>
  <si>
    <t>Ilaídinge</t>
  </si>
  <si>
    <t>talentos y servicios, y mas particularmente en esta, en que contribuyeron esencialmente al suce­ so del dia, no pudiendo omitir aquí los nombres del teniente coronel Ilaídinge, mayor general de las tropas portuguesas, cuyos conoci­ mientos y celo merecen mi gratitud; del brigadier general Mea"nho, ayudante general del exéreit…</t>
  </si>
  <si>
    <t>Ilarispe</t>
  </si>
  <si>
    <t>, que fueron re­ fueron persiguiendo, y les cogieron 15 prisioneros. chazados con pérdida de 50 hombres. Diez gendarmas del esquadron n.% que iban El general Ilarispe marchó el x 2 del propio de comisión hácia Sigena, se encontraron con la mes con su división hácia Mora de Rubielos con­ quadrilla del Cantarero, que les intimó…</t>
  </si>
  <si>
    <t>Ilaroelin</t>
  </si>
  <si>
    <t>obediente servi­ mi corazón de una capitulación. Os remito la ad­ dor = FirmadosE. Hamelin. junta copia de la correspondencia que ha habido entre el capitán Ilaroelin y yo sobre la capitula­ A bordo de la Ifigenia d 08 de agosto de zSio„ ción á que habia ya accedido antes de recibir vues­ tra carra. Tengo formada una opinión …</t>
  </si>
  <si>
    <t>Ilerran, Jcaquin</t>
  </si>
  <si>
    <t>Jcaquin Ilerran</t>
  </si>
  <si>
    <t>s de ganado y otros efectos. Ss ha distinguido nuevamente el coronel Casas, una parte del regimiento de húsares de Cataluña á las órdenes del espitan D. Jcaquin Ilerran, los Leales manresanos y ®. Antonio Rodé3, sub­ teniente del minino regimiento, que llegó á batirse cuerpo á cuerpo con otro oficie 1 francés, á quien atraves…</t>
  </si>
  <si>
    <t>Ilodrigo, Francisco de la Peña</t>
  </si>
  <si>
    <t>Francisco de la Peña Ilodrigo</t>
  </si>
  <si>
    <t>sidente D. Pedro de Agar, 25 libras y 8 onzas de plata labrada en varias piezas. D. Lorenzo Cisnero$, un vale real de i50 pesos, de l.° de setiembre. D. Francisco de la Peña Ilodrigo ,13 piezas de lienzo listado con 193 varas. D. José Eduardo de Cárde­ nas , diputado en Cortes por América, dos fuentes de plata con peso de 17 …</t>
  </si>
  <si>
    <t>Ilunt</t>
  </si>
  <si>
    <t>arL-tt. ros y de otras obras de p.ja le ha» entregado una El Argos , capitán Lawrence. representación , en que se quejan del perjuicio que El Hornet, capitán Ilunt. les cansa la concmrencia de los prisioneros de El Vixen , teniente Brambidge. goerra, que de a.guu tiempo á esta parte se han El Nautilo, capitán Sinclaire. dedic…</t>
  </si>
  <si>
    <t>IMake</t>
  </si>
  <si>
    <t>isiones ligeras inglesas seguian al enemigo que había dexade á retaguardia su caballería con alguna artillería. Parece que el exército mandado por el general IMake ha hecho algún /norimlento de resultas de la marcha de Souit desde Sevilla , y (¡He este último se ha detenido en el Ronquillo. El dia 9 e tirotearon nuestras guer…</t>
  </si>
  <si>
    <t>IMake, Joaquín</t>
  </si>
  <si>
    <t>Joaquín IMake</t>
  </si>
  <si>
    <t>uardar, cum­ plir y executar en todas sus partes. Tendréis]o entendido y dispon­ dréis lo necesario á su cumplimiento.—- Gabriel Ciscar, presidente.— D. Joaquín IMake ? ausente con permiso de las Cortes. — Pedro dé Agar.—En Gídiz á 19 de agosto de 1811.— A D. José de Herejía.” j -i bri­ En óQFifidevcicion al mérito, circunsta…</t>
  </si>
  <si>
    <t>Imaz</t>
  </si>
  <si>
    <t>330</t>
  </si>
  <si>
    <t>to la rendición de ía plaza de Badajoz , Verificada el ci i 10 del corriente, según demuestran los do­ cumentos que siguen: •• ~ ! • , •: Qfiefe cleí gobernador Imaz* Excelentísimo S.ñor: CíCcn el mas justo sentimiento anuncio á</t>
  </si>
  <si>
    <t>allen en el caso de venir á la plaza, sejes permitirá la entrada á la hora que mejarle parezca al mariscal duque de Treviso. X. Será permitido al Sr. general Imaz, gobernador de la, plaza, enviar un oficial al Exento. Sr. D. Gabriel de Mendizabal, general en ge fe interino del 5.° exército, con una , copla de la presente capi…</t>
  </si>
  <si>
    <t>Imbert, Juan</t>
  </si>
  <si>
    <t>Juan Imbert</t>
  </si>
  <si>
    <t>D. Pablo Riera, 500. D.» Antonio de Alsazua, 1000. D, Barto­ lomé Santa!6 , 300. D. Ramón Beltran, 160. D. Juan Whitte , 500. D. Miguel Boldíi, 200. D. Juan Imbert, 40. D. Juan Sans de Sto. Domingo, 200. D. Jo­ sé Gordoa, diputado en Cortes por América, 2000. D. José Co!í, 1000. Don Ignacio Garceran , 200. D. Pascual Moreno d…</t>
  </si>
  <si>
    <t>Imposible</t>
  </si>
  <si>
    <t>sus operaciones S. M. la Emperatriz y SS. AA. II. ios archi­ contra estos rebeldes, y creen los tarcos que es duques Ranerio y Antonio, y SS. AA. el príncipe Imposible qne puedan resistirá 2 exércitos tan for­ y princesa de Saxonia han marchado el 27 por la midables , que invadirán á ua tiempo mismo la mañana á Viena. Arabia.…</t>
  </si>
  <si>
    <t>In, Fernando</t>
  </si>
  <si>
    <t>Fernando In</t>
  </si>
  <si>
    <t>proporción debe ser siem­ Para capitán de la segunda compañía á D. Ro­ pre, aun en tiempo de paz, en razón compuesta mualdo Carrera; para teniente á D. Fernando In­ i.0 del resultado de la mortalidad ordinaria; 2.a fante , y para subteniente á D. Antonio López Fadel número de las licencias que se concedan. xardo. El número de…</t>
  </si>
  <si>
    <t>Inchansti</t>
  </si>
  <si>
    <t>ré ellos, y tal la obstinación con que acometieron á pesar áú grande daño que sufrían, que tuvieron los nues­ tros que retirarse, trayendo heridos al capitán Inchansti de muerte, y levemente i Cabañas, y dexando muerto al capitán Chafino, que des­ pués de haber tomado una bandera , se adelantó demasiado y feé en­ vuelto. Al m…</t>
  </si>
  <si>
    <t>Inchauitegui, Antonio</t>
  </si>
  <si>
    <t>Antonio Inchauitegui</t>
  </si>
  <si>
    <t>y 4 rs. Los del Valle de Oposura, 49 y 1 rs. — S. Sebastian, El subdelegado D. Ignacio Guerrero , 10. D. Miguel Arrieta , 150. D. Juan Ortigosa , 50. D. Antonio Inchauitegui, 10. D. Lorenzo Lizagarra, 10. D. Manuel Tirado, IG. D. Ig­ nacio Fletes, 20. D. Joaquín de Osuna, 10. D. Pedro Chiquete, 40. Don Vicente Osuna , 10. Var…</t>
  </si>
  <si>
    <t>Inciartc, José Ignacio</t>
  </si>
  <si>
    <t>José Ignacio Inciartc</t>
  </si>
  <si>
    <t>D. Pascual Moreno de. Mora, 200. D. Antonio Cortes y Coll, 300. D. Félix Pulí, 200. D. Mariano Lobera, 400. D. José Solernou, 200. D. J. L. F., 150. D. José Ignacio Inciartc, 100. D. Luís de Córdoba, 100. Sres. Viuda de Roberts y compañía, 500. D. Antonio Valiarino, 1000. .cu marques de Béigida; en una letra sobre Valencia, 1…</t>
  </si>
  <si>
    <t>Incluyo</t>
  </si>
  <si>
    <t>arde á V. S muchos años. Spbfe la barca! del Zújar 9 de agosto de 1811 £ ' las, 9 de la mañana. r—, J.osé O-Donnell. —- Sr. D. Manuel Freyre. —■ . P. D. Incluyo,una carta que me escriba Cuadra, pero es anterior á la hora en qu*pudo recibir mi primera proposición de reunión. —Es copia.—Freyre. Núm. 4.° Parte del mismo al mismo…</t>
  </si>
  <si>
    <t>Indalecio</t>
  </si>
  <si>
    <t>Liñ.n y D. Antonio Aguilar, marques de Vega Armijo, y al se­ gundo teniente D Jy é Montero; primeras tenencias de fusileros á los segundes tenientes D. Indalecio de ia Torre, D. José R faei Solis, gra­ duado de teniente coronel, D. Manuel Sergeant y D. Antonio Agiier^i, e te de czadores; empleos de segundos ayudantas mayores …</t>
  </si>
  <si>
    <t>Ingíis</t>
  </si>
  <si>
    <t>e la segunda división, y el mayor T E.trange dei tercer regimiento merecen mención particular y nada puede aventa­ jarse á la conducta y bizarría del coronel Ingíis á la cabeza de su re* gi miento. Estoy muy particularmente satisfecho del mayor general, el ho­ norable Guillermo Lumley, por la grande habilidad con que resistió…</t>
  </si>
  <si>
    <t>Iñigo</t>
  </si>
  <si>
    <t>617</t>
  </si>
  <si>
    <t>lo, nú­ núin. 26................................ 600 4800 mero 5-7 , manz. 131.......... S21.. 3 6 5 69..30 Otra, calle de la Aiamena, Otra, calle de D. Iñigo, nú­ núm. 12................................ 660 5280 mero 14, manz. 189........... 1003..2$ 80 29..30 Otr¡i, calle de la Garbanceo, Otra, callejones del Perchel, núm. …</t>
  </si>
  <si>
    <t>Inocencio, José</t>
  </si>
  <si>
    <t>José Inocencio</t>
  </si>
  <si>
    <t>ilialta el prest de 10 soldados en un año, que ha ofrecido mantener durante la guerra, 1080. El teniente coronel , marques de Espenville, 133 y 3 rs. D. José Inocencio por el prest de d$s meses de 5 soldados que ofrece mantener durante la guerra , 90. El brigadier D. Francisco Montalvo por el prest de quaíro meses de 2 soldad…</t>
  </si>
  <si>
    <t>e un soldado en dos meses durante la guer­ ra, 18. D. Juan Miguel Calvo, contador ordenador del tribunal de cuen­ tas, por 2 meses de su oferta , 20. D. José Inocencio, prest de 5 soldados en un mes durante la guerra , 45. Doña Manuela Teresa Cabal ero , por sí y su hijo el cadete de milicias de infantería D. Francisco de Pau…</t>
  </si>
  <si>
    <t>bara de Estrada, por 4 me­ ses-de _ su'oferta anual, 83 y 2 rs. Salvador Riera , garzón del batallón de Pardos, por 7 meses de su oferta mensual, 35. D. José Inocencio, por el de 5 toldados en 4 meses , ISO. El monasterio de Sta. Clara , por mano de su síndico, 1250. El coronel D. Juan Francisco del Castillo, á cuenta de su o…</t>
  </si>
  <si>
    <t>Inostrosa, Manuel</t>
  </si>
  <si>
    <t>Manuel Inostrosa</t>
  </si>
  <si>
    <t>ro Meriel, D. Pedro Cortijo, D. Francisco Delirado. y DfFarn&amp;ndo Rosales; los de teniente á D. Joaquín Pardo, Don Aosilpüo Mayoral, D. Pascual Perez, D. Manuel Inostrosa, y Don Ssbíiiiían Sánchez; los de subteniente i D. Facundo Rodríguez, D. Fernandez Camino, D. Joaquín Rubenes, D. Joaquín Peliicei, D. Cayetano Sexto, D. Die…</t>
  </si>
  <si>
    <t>Inoza, Jacinto</t>
  </si>
  <si>
    <t>Jacinto Inoza</t>
  </si>
  <si>
    <t>s de Camponrayor ha conferido el Consejo de Regencia compañía al capitán segundo D. Rara uu ele Trias ; empico de capites segundo al segundo ayudante D. Jacinto Inoza!; segunda ayudantía al teniente D. Valerio L«?on ; tenencia al subteniente D. Vicente Miranda; y subtenencias á D. Joaquín Ihur­ guen, cadete de la escuela mili…</t>
  </si>
  <si>
    <t>Ioañez, José Correa</t>
  </si>
  <si>
    <t>José Correa Ioañez</t>
  </si>
  <si>
    <t>s Te­ resa, D. Juan González , D Manuel Calvantes, D. Jé Mora, Don Juan Morgaez, D Alfonso Gírela, D. JranGamez , D. L *&gt;n Acnña, D. Esmeraido Acuña, D. José Correa Ioañez,D. Ramón Salas y Don Julián Retana. Buques que han recogido correspondencia en la administración de correos de Cddtz durante la semana finalizada en 27 del…</t>
  </si>
  <si>
    <t>IPEspenville, Carlos Luis</t>
  </si>
  <si>
    <t>Carlos Luis IPEspenville</t>
  </si>
  <si>
    <t>36. D.Juan Bautista Jguregui, por el de'2 soldados en 6 meses ,108. B. Francisco Ganuza , subteniente del regimiento de milicias de infantería, 200. D. Carlos Luis IPEspenville , 300. Eí teniente coronel D. Pedro Valverde, 50. El P. FY. Francisco Callejas , regente de estudios de la escuela fran­ ciscana , por sí, lectores y …</t>
  </si>
  <si>
    <t>Iranzo, Miguel</t>
  </si>
  <si>
    <t>Miguel Iranzo</t>
  </si>
  <si>
    <t>noviembre 25 de 1810,— Francisco Berros.-—Sr. D. Federico Castañon.” Tarragona 6 de enero-tifa 181L El general en gefe interino de. es­ te, exército D. Miguel Iranzo ha recibido del brigadier D. Gervasio Gasea, comandante accidental de las tropas en Mon blandí, el parte de la acción que-sostuvieron con las enemigas el 3 del c…</t>
  </si>
  <si>
    <t>Irazoqui, Martin</t>
  </si>
  <si>
    <t>Martin Irazoqui</t>
  </si>
  <si>
    <t>400. D. Pedro Boullcsa y Mii anda, 100. Doña Ana María González , 400. D. Manuel Paul, 200. D. Joa­ quín de la Vega , 400. D. Domingo de Heras, 1000. D. Martin Irazoqui, 400. D. T. B, 500. D. Pablo Riera, 500. D.» Antonio de Alsazua, 1000. D, Barto­ lomé Santa!6 , 300. D. Ramón Beltran, 160. D. Juan Whitte , 500. D. Miguel Bo…</t>
  </si>
  <si>
    <t>Iriarte, Bernardo</t>
  </si>
  <si>
    <t>Bernardo Iriarte</t>
  </si>
  <si>
    <t>................. 9220 20 D. Felipe Carlos de Vailejo.......... 0220 D. Pedro Miranda....»......,............ 3M4 14 D. Juan de Gaona , como tutor de D. Bernardo Iriarte.............. ......... 35641 19 D. Manuel Estébaq Catatan...... I4883 22 D. Miguel Antonio Oquendo....... 4696 ¿4 D. Ignacio Martin Agudo.............. 1020…</t>
  </si>
  <si>
    <t>Iriarte, Juan</t>
  </si>
  <si>
    <t>Juan Iriarte</t>
  </si>
  <si>
    <t>y compañía, 12 D. Antonio Guerra, 10. D. Rafael Castilla, 10. D. Gerónimo García, 10. D. Jacinto Perora, 10. D. José Pallan, 10. D. Juan Cabrera, 10. D. Juan Iriarte , 10. D. Agustín Costa, 10. D. Agustín Riera, 10. D Rafael Tomas, 10. D. Juan Puig, 10. D. Francisco Becerra, 10. Antonio Ordz , 10. D. José Espinosa, 10. Doña R…</t>
  </si>
  <si>
    <t>Iribarren, Juan Bautista</t>
  </si>
  <si>
    <t>Juan Bautista Iribarren</t>
  </si>
  <si>
    <t>D. Juan Flores, ex agusritfo recoleto, re­ D. Raimundo y D., Gregorio Necoechea» sidente en el Molar, por.......................... 2200 por mano de D. Juan Bautista Iribarren. 45615..11 D. Antonio Diaz, ex-capuchino, residente D. Joset Rodríguez........................................... 3000 en Chinchón, por................…</t>
  </si>
  <si>
    <t>Iribarren, Miguel María</t>
  </si>
  <si>
    <t>Miguel María Iribarren</t>
  </si>
  <si>
    <t>os y un contuso. Espoz recomien­ da sobremanera el ardor y bizarría de toda su tropa , 1) ocien do espe­ cial mención de D. Ramón Ulzurrun y Eraso, y D. Miguel María Iribarren que mandaban la infantería.,En el Carrascal el 16 del mismo noviembre logró Espoz con 70 infantes y 90 caballos apoderarse á las 12 del d¿a de 7 carros…</t>
  </si>
  <si>
    <t>Irigoyen, Juan Pedro</t>
  </si>
  <si>
    <t>Juan Pedro Irigoyen</t>
  </si>
  <si>
    <t>añía, 300. D. Juan José Offerrall, 30Í). D. Manuel Ranees, 3000. Sres. Hoig yoFerrer, 2000. D. Fran*. cisco Puíg, 320. D. Francisco Fustegueras, 100. D. Juan Pedro Irigoyen, 500. D. Tomas de la Cuesta ,500. D. Antonio Coma y Fortet, 2000. Sres. Su­ birá y Forncs , 1000. D. Manuel Mícheo, 500. D. Lorenzo Camps, 500. Don. Juan …</t>
  </si>
  <si>
    <t>Iruegas, Lorenzo</t>
  </si>
  <si>
    <t>Lorenzo Iruegas</t>
  </si>
  <si>
    <t>sido'diputado cerca de nuestra corte, 6 D. Joan Laque...... ............................. quien dice que las desavenencias entre Montevideo 63*7 17 3 D. Lorenzo Iruegas............................ J1191 y Buenos-Aires no estaban todavía arregladas el 5 D. Prudencio, D. Juan y Doña Jo­ dia 15, y que según él cree no' llegaría …</t>
  </si>
  <si>
    <t>Isabel</t>
  </si>
  <si>
    <t>dera afrenta del Cid es la de vocadamente repartidos, particularmente los de verse asi deshonrado en el teatro español , por D. Roque , de Muñoz y de Doña Isabel. Ningu­ un ingenio de contrabando, que se ha creído ca- no de ellos conviene al género de tiento que po­ az de hn'quexar un ra go de la vida de aquel seen los que lo…</t>
  </si>
  <si>
    <t>. el mar. Construirá navios, armará esquadras, y Las guerras civiles de Francia y la prudencia atraerá á fuerza de oro marinos extrangeros; pe­ de la Reina Isabel mudaron después el estado de so no conseguirá engendrar en la nación el gu to y las cosas. La Inglaterra formó marinos intrépidos la afición á la vida matítima, la …</t>
  </si>
  <si>
    <t>Isabelita</t>
  </si>
  <si>
    <t>e diga al mis— gurón en tres actos titulada el Dómine Lúeas, y el fin m &gt; tiempo que la actriz encargada de! papel de de fiesta los Payos y Soldados. Doña Isabelita , papel difícil, y qne pide mucha Nota. Mañana viernes se representará en el referi­ refl.xion y estudio, ha manifestado inteligencia y do teatro, á Jas siete de …</t>
  </si>
  <si>
    <t>Isabeúta</t>
  </si>
  <si>
    <t>ramo en esta comedia. blar de los demasque se han presentado en esta co­ Se pueden citar en abono de esta verdad la rela­ media. =J. A. ción que hace Doña Isabeúta del modo coa que conoció á su amante, y el dialogo de examea que • ——------------------ J sigue inmediatamente: el ser-non que el viejo Don PLAZA DE MADRID. BOLSA.…</t>
  </si>
  <si>
    <t>Isidoro</t>
  </si>
  <si>
    <t>00. í5. Domingo Antonio de Vivanco , 1000.1). Tomás Jo■ sé Andiiaga ,,200. 1). Antonio Vig.uau , 500. Sra. viuda Boom , 200» P. Juan ; Carrocín, 000. D. Isidoro de; Bayo, ,500. D. Fulgencio Manchón, 400. L&gt;. Mi­ guel Pelegi i, 200. Viuda de-Nnndjn, 500. D. Gerónimo Martines García., 200. ♦IX llamón. Larrue , 50Q. IX José Gaon…</t>
  </si>
  <si>
    <t>Isidro</t>
  </si>
  <si>
    <t>pies por minuto.” ARTICULO I. Nombramos para la sacristíi de ,,Que suponiendo , con Daniel Bci noulli , que un la pa-roquu de la villa de Alhendi : á D. Isidro de &gt;• hombre que emplea sus fuerzas del modo mas cómela Vega , cx-do:ninico. » do, no puede levantar trabajando 8 horas por dia mas Para la de l lora ¡íVd. Miguel de l…</t>
  </si>
  <si>
    <t>Isla, Bernardo</t>
  </si>
  <si>
    <t>Bernardo Isla</t>
  </si>
  <si>
    <t>tense go Miguel, &lt;x-carmelita descalzo. ; D. Agustín Hiera. Para el de Valderueda, vacante por muerte Para el de Santa María de Serón, vacante por de D. Bernardo Isla, á D. Ignacio Ramiro, clé­ promoción de D. Narciso Calvo á un curato del rigo de prima. obispado de Palencia, á D. Félix Alvaro, cura de Y para el de Mosarejos …</t>
  </si>
  <si>
    <t>Isla, Francisco del Campo</t>
  </si>
  <si>
    <t>Francisco del Campo Isla</t>
  </si>
  <si>
    <t>mitidos por -D. Francisco Ma­ ría de la Cuesta, en el navio Miño, á D. Manuel de Quevedo, re­ sidente en Cádiz. D. Joaquin Gómez , 500 pesos fuertes. D. Francisco del Campo Isla , 34. IX José de San Juan , 200. D. Miguel Gómez de las Barcenas, 102. D. To­ mas de lá Higuera, 17. D Bartolomé Martínez , 17. D. Andrés García, 25.…</t>
  </si>
  <si>
    <t>Ismer</t>
  </si>
  <si>
    <t>en Urdíales, punto de altura media legua de esta villa.: solo siento el cansancio de las tropas, porque el enemigo es superior, y está mandado por el coronel Ismer del 2* de dragones, que reúne fuerzas de ámbas armas. --Dios 5cc. Veger 2 de marzo de i8n. — José Aytmrkh. —Excmo. Sr. D. Ma­ nuel Lapefía. P. D. El enemigo ha ten…</t>
  </si>
  <si>
    <t>Itaiinski</t>
  </si>
  <si>
    <t>al S. A. la vireina y el príncipe reden nacido dis­ debía llegar allí el dia 6. También se esperaba pa­ frutan dtr la mejor salud. ra el mismo dia al conde Itaiinski , y á un pleni­ potenciario de la Puerta para trata.*'de la paz. Du­ rante las negociaciones habrá suspensión de hosti­ IMPERIO FRANCES. lidades á consecuencia d…</t>
  </si>
  <si>
    <t>Italinski</t>
  </si>
  <si>
    <t>epositario supremo de las le­ Dícese que se ha firmado la paz entre Ja Rusia yes que habéis adoptado, hará que las respeten to­ y la Puerta, y que el conde Italinski, que ha si­ dos , sin excepción de clases ni de personas. Vn-odo nombrado embaxador cerca del grao Señor , se tros me encontrareis siempre dispuesto á defender h…</t>
  </si>
  <si>
    <t>Itcille</t>
  </si>
  <si>
    <t>e Cataluña á Pamplona el 24 de s tteintre, y aseguran que iba á reemplazar &gt;! gobernador de Navarra: lo cierto es que una brigada de la 'división del conde Itcille lia salido pa?a Burgos. Laguarnición de Tolosa se compone de 454 soldados, inclu­ ios 18 de caballería. Pesoduro, gefe de una banda aragonesa, ha sido cogido con a…</t>
  </si>
  <si>
    <t>Itdin</t>
  </si>
  <si>
    <t>mbre de 181 o. fomentar en quanto esté de nuestra parre el acre­ Coi» motivo de haber llegado á Bucharcst el centamiento de la iidustria del imperio. Conde Itdin k» cara tratar de negociaciones de paz ,, Publicando est »s principios en el reglamente por parte de la Ruso , van tomando mas fuerzicada particular que acompaña , y…</t>
  </si>
  <si>
    <t>Itñaz, José</t>
  </si>
  <si>
    <t>José Itñaz</t>
  </si>
  <si>
    <t>ala de * cañón. Su ca­ dáver fué enterrado el dia siguiente éíi la^catedral con la pcrnpá dé-' bida a stis hatáñas-y gloriosa teuértéw: El brigadier* D. José Itñaz le hd sncédido' eh el1 marido: ' ' * '"CáíliU'iB 'de inarzoi Gantinéan las noticias acerca de la retirada dé Massena. La h; bia precedido la llegada de un correo e…</t>
  </si>
  <si>
    <t>Itoioero, Claudio</t>
  </si>
  <si>
    <t>Claudio Itoioero</t>
  </si>
  <si>
    <t>tonio Pizano , 200. D. Benito Picnrdo, 1000. IX- Francisco Escudero, 500. D. Ramón Eguilus, 300. Sres. Somera Hermanos,.500.. D. Serafín Alaix , 300. D. Claudio Itoioero, 500, D. Ramón Romero, ¿00. D. Juan Antonio de Criarte, 500. I). Juan Ma­ ría de Inarte , 500. D. José Romero Campo, 400. D. Paulo Larriela y corn•jjanía , 5…</t>
  </si>
  <si>
    <t>Itoxo, Judas Tadeo</t>
  </si>
  <si>
    <t>Judas Tadeo Itoxo</t>
  </si>
  <si>
    <t>el de Lugo , el empleo d* coronel n D. Agus­ tín D¿rcourt:.en el de O cense igual empleo i D. Juan M, miel Do­ mínguez: en el de Balanzas ei propio á D. Judas Tadeo Itoxo y la comandancia del tercer batallón ú D. J asm Francisco Albanell: en el de Oviedo la tenencia coronela• á D. Ramón de Gregorio y la co­ mandancia á D. Vic…</t>
  </si>
  <si>
    <t>Iturriaga, Juan Josef</t>
  </si>
  <si>
    <t>Juan Josef Iturriaga</t>
  </si>
  <si>
    <t>ros ensa­ Subtenientes. yos , el descubrimiento es de tal importancia en D. Josef María Garrido. Jas circunstancias actuales , que no se necesitarian D. Juan Josef Iturriaga. mas que otros dos ó tres de su especie para arrui­ D. Bartolomé de los Santos. nar todo el poder marítimo de la Inglaterra , y ha­ art. ni. En la villa …</t>
  </si>
  <si>
    <t>Iturriaga, Manael</t>
  </si>
  <si>
    <t>Manael Iturriaga</t>
  </si>
  <si>
    <t>D. Cristóbal Pesquero. paredes; la armonía de dos soberbios coros de mú­ D. Manael Iturriaga. sica, y la elegancia de los trages de mas de 30a D. Tomas Locano. señoras que' asistieron, hicieron de este espectácu­ D. Antonio Ramírez y Mena. lo uno de los mas brillantes qae pueden ve</t>
  </si>
  <si>
    <t>Iturza, Ramón Aivarez</t>
  </si>
  <si>
    <t>Ramón Aivarez Iturza</t>
  </si>
  <si>
    <t>342 Quinto batallan. D. Pedro Rodríguez del Castillo á teniente en la D. Antonio Ortega, sargento primero, á «obte­ vacante de D. Ramón Aivarez Iturza, niente de la primera compañía. D. Paulino de la Bodega á teniente en reemplazo D. Josef de Vclasco, sargento primero, á abande­ de D. Mariano Sánchez Panadero. rado. D. Juan d…</t>
  </si>
  <si>
    <t>IV, Cirios</t>
  </si>
  <si>
    <t>Cirios IV</t>
  </si>
  <si>
    <t>i 240 gada la nación á satisfacer al empréstito h-?cho por el tesorero rúbiko de Francia en el r y^ado dd S:. D. Cirios IV., y que ¿uario, prCáident y diputado secretario, —Juan de Bille, diputado secretar o. — D¿üo Dá.io ern Cádiz á 3 de setiembre de ISil.—. A¿ co^srjo de Urgencia.— Y para la debida ^x cnc on</t>
  </si>
  <si>
    <t>IVlathen</t>
  </si>
  <si>
    <t>da. cable la exclusión de los católicos de los derechos Sir J. C. Hippislei, Mr. Herbert, Kerri y políticos que gozan los demas súbditos, pues de­ el general IVlathen hablaron en el mismo sentido xa solo á u discreción del parlamento h decisión que Mr. Gratan: el doctor Duigenan, al contrario, de su suerte. se opuso fuertemen…</t>
  </si>
  <si>
    <t>Iz, José Seguido</t>
  </si>
  <si>
    <t>José Seguido Iz</t>
  </si>
  <si>
    <t>n X i menea Donor©, D. Pedro Medina y Don Valentín Ampliáis: á tenientes, á los subtenientes D. Franc s :o Pr-yricr y Moreno , graduado de teniente , D. José Seguido Iz­ quierdo, D. Pedro Colmenares, D. Pedro de la Castalia ,r D.'J&amp;cé Nicolás de Chimioni y D. Antonio Fernandez. :</t>
  </si>
  <si>
    <t>Izquierdo, Antonio</t>
  </si>
  <si>
    <t>Antonio Izquierdo</t>
  </si>
  <si>
    <t>0. El administrador'de correos y demas empleados, 720. Don. Francisco Rimen ei , 25. I). Juan Rodríguez Calderón, 2Ó0. D. José Nicolás Costeros , 50. D. Antonio Izquierdo , 100. i). José Vendino Ró.baldo, 200. I). Agustín Maigual, teniente á guerra det partido de Maya&amp;ftfd/1091. Doña Ménica Tinto . 144 y 4 rs Juan delaPiz, sa…</t>
  </si>
  <si>
    <t>Izquierdo, José Segundo</t>
  </si>
  <si>
    <t>José Segundo Izquierdo</t>
  </si>
  <si>
    <t>a servido promover á subtenientes del real cuerpo de ingenieros á D. Francisco Preysler y Moreno, teniente del regimiento de infantería de Murcia ; á D. José Segundo Izquierdo, cadete del regimiento de caballería provisional, ántes segundo de Santiago; á D. Pedro Colmenares y D. Pedro de la Cantolla, cadetes del batallón de g…</t>
  </si>
  <si>
    <t>Izquierdo, Pedro</t>
  </si>
  <si>
    <t>Pedro Izquierdo</t>
  </si>
  <si>
    <t>, el teniente de fragata D. Rafael Ximenez Montalvo , 150. Se­ gundo , el alférez de fragata D. Ramón Gil , 100. Capitanes y pilotos de estos buques, D. Pedro Izquierdo , 60. D. Juan Bautista Basó, 30. D. Leandro Ato­ mía, 30. D. Fulgencio Ibañez , 30. D. José Raygada», 20. El capellán Don Manuel Rodríguez, 25. El eivujano D.…</t>
  </si>
  <si>
    <t>Izquierdo, Sebastian</t>
  </si>
  <si>
    <t>Sebastian Izquierdo</t>
  </si>
  <si>
    <t>D. José Mergarejo , 132. D. Juan Ayllon, 32. Doña Ana Rabel , viuda de Conturie , 100. D. Mateo Rodríguez Sánchez, 1215. i). Lorenzo Rodríguez, 4768. D. Sebastian Izquierdo , 500. D. Pascual Cebada , 704. D Juan Córd ido , 300. D. Felipe de....... 100. D. Juan Ferrari, 30 ). D. Nicolás María Carmena 1500. D. Angel González Vi…</t>
  </si>
  <si>
    <t>J, Antonio Delgado</t>
  </si>
  <si>
    <t>Antonio Delgado J</t>
  </si>
  <si>
    <t>6lí) yor el teniente corase! D. Antonio Delgado J qu?, le siguió en *1 mu tío y tó imito ea la bizarría, sacaioa su cuerpo de entre un gnu upo A? 20 enemigo?’ muertes.” R* comienda Q nad^a al sargento mayor dei batallón de tiradores de Cádiz</t>
  </si>
  <si>
    <t>J, B</t>
  </si>
  <si>
    <t>B J</t>
  </si>
  <si>
    <t>ril, y después de una pearsu navegación se reunió en Ayamonte , ocupó la posición de los C^ti L jos, donde se le incorporó par­ te de la división del general B J;e*tercs, y donde continúa su cuartel general. —- Hvjr motivos para esperar en breve novedadfs de grande Importancia en esta parte de la península, y según todas las …</t>
  </si>
  <si>
    <t>J, D</t>
  </si>
  <si>
    <t>D J</t>
  </si>
  <si>
    <t>^espc^dieateJurarnerv-O prevenido por las Cortes ge­ nerales y extraordinarias: Antes de ayer entró en; esta plaza el ilustre defensor de A'forga, él brigadier D J : é de Sarirpcildes, coronel del regimiento de Santia­ go. Salió á recibirle un; gentío inmenso a imitación del capitán gena.jde.'' la general admiración y aprecio…</t>
  </si>
  <si>
    <t>J, Don</t>
  </si>
  <si>
    <t>Don J</t>
  </si>
  <si>
    <t>el estado mayor general lo que sigue: í( El mariscal de. campo D. Manuel Freyre, desde Lorca, me dirige el parte que le ha dado él 30 de setiembre el brigadier Don J aan Antonio Sanz, comandante general de la tercera división, que á la letra dice asi: — Señor general: á consecuencia de la órden de V. S. que me comunicó en Pue…</t>
  </si>
  <si>
    <t>J, Juan</t>
  </si>
  <si>
    <t>Juan J</t>
  </si>
  <si>
    <t>enemigo tenia construido en esta villa , estaba bloqueado des días había por los coroneles, D, Luis Creeft 4sl regimiento de hú­ sares de Cataluña, y D. Juan J.fioa , comandante de Coracero» es</t>
  </si>
  <si>
    <t>J, Nicolás</t>
  </si>
  <si>
    <t>Nicolás J</t>
  </si>
  <si>
    <t>á ca­ ta compañía, y de la ya formada, los individuos pitán de la octava compañía. siguientes : .1Capitanes. Séptimo batallan. D. Pedro Coca Cueliar. D. Nicolás J‘ *ndei. sarpecro primero, á sub­ D. Francisco Navarro López. teniente de la ottav* comp: nía. Tenientes. Noveno batallón. D. Juau de Coca Torres. D. Calixto Ruiz Fu…</t>
  </si>
  <si>
    <t>J, Pablo</t>
  </si>
  <si>
    <t>Pablo J</t>
  </si>
  <si>
    <t>Larrieta, D. Manuel Sanz, D. Domin­ go Cierto, I). Antonio Vallaría© y D. Sebastian Peñasco; y subte­ nencias á D. Diego Blanco, D. Manuel Miravete, D. Pablo J *¿ica, D. José Camerino, D. Mariano de Miguel, D. Manuel Nieto, Don Juan de Cacho, ü. Agustín Roa, D. Ramón de ArroyueSo, Don Joaquín de Luzuriaga, D. José Francisco d…</t>
  </si>
  <si>
    <t>J-faquín</t>
  </si>
  <si>
    <t>318</t>
  </si>
  <si>
    <t>- Asimismo á tenientes coroneles del real cuerpo de arüleáa á ks capitanes D. Felipe Luengo, graduado de teniente coro­ nel, D. José Saravía, ídem, y D. J-faquín ce Góngora: á capitanes á los tenientes D. Manuel Várela y Ulloa., graduado de capitán, D. Mi-</t>
  </si>
  <si>
    <t>J-Iissatn, Je</t>
  </si>
  <si>
    <t>Je J-Iissatn</t>
  </si>
  <si>
    <t>., ó .e.¡ , 3' d 1 ii^’r ei Ijl'.l 'no dé. c nde ]¡ y Mu. h: .r-baxi , de B.s.hiEk y de J,.gour- Wi ronizi ti Sobre .1 c. *.,ro vid * c*j • -■•Ti ■ . d. Je J-Iissatn; apee hacia reunido toda la cab.iihrta de h b;a empezado á le '.;: IT.lf .UR - - 1 i 1/ ■!-.■ "-a,.m-. A Ja A.iatoiia baxo las órdenes de Tschepau Og.ou ineTo ii…</t>
  </si>
  <si>
    <t>Jacii</t>
  </si>
  <si>
    <t>y que la crítica Certificaciones del tesoro público.... debe también ríner su parte, diré qué e) papel de Oro español contra plata.................. Doña Jacii ta requiere mas amenidad y dulzura, me­ Napoleones d« oro.............. .............. nos arranques, y ma' seriedad. No Se podía desear mas «n el papel de Doña Rosa: …</t>
  </si>
  <si>
    <t>Jacinto</t>
  </si>
  <si>
    <t>en quisiere coa ellos. {Redactor general tiúm. j&gt;y.) mejorarla acuda á la escribanía de número de D. Luis Perez Pcñuelas , que despacha su habilitado D. Jacinto Del 18. Gaona y Loeches, en donde se admitirán las que hicie­ Gaceta de la regencia del 17. Contiene el ren siendo arregladas, y dará las notas convenientes. parte df…</t>
  </si>
  <si>
    <t>Jaén, Antonio Cipriano</t>
  </si>
  <si>
    <t>Antonio Cipriano Jaén</t>
  </si>
  <si>
    <t>Yangucz , id. , 4. D. José María Pmsonid , 25. D José Amo­ nio Masias , id., 4. Fr. Domingo Sampelayo , prior del convento de Sun Juan de Dios , 10. D. Antonio Cipriano Jaén , cura de Antón , 25. D. Ma­ nuel Palacios , cura interino de Oía , 8. D. Francisco Aranzivia , cura inte­ rino de San Carlos de.Chirú , por sí y su sacr…</t>
  </si>
  <si>
    <t>Jahabido</t>
  </si>
  <si>
    <t>ar su libertad. promoción de D. Gumersindo Requejo á una ca­ De resultas de una borrasca terrible que ha nonjía doctora; 'de ia c--tedr.il de Osma, á D. Jahabido hoi en nuestras aguas, han ido a pique mu­ sel Macarrón , cura de Navas. chos barcos que se habi.ni refugiado en este puer­ Para la vicaría de Aldea de P.-ñaiba , va…</t>
  </si>
  <si>
    <t>Jai</t>
  </si>
  <si>
    <t>inarias en la lesión de 24 del corríante á la renovación de su presidente, vlce■ pre­ sidente y secretario, han sido elegidos, para presidente el Sr. D. Jai­ me Crerrx, dlpll &gt; a lo propietario por el principado de Cataluña; pura vice- presidente el Sr. tí. José Shaon de Uria, Diputado propietario el Sr. D.,Lítenlo Oliveros. …</t>
  </si>
  <si>
    <t>Jaime</t>
  </si>
  <si>
    <t>se les obliga á todos á suscitó en el reino de Aragón D. Alvaro de Cabrera, que sin falta se presenten desde hoi hasta el 3 c conde de Urgel, al Reí D. Jaime 1, y de la discordia del corriente á los comandantes militares del exér­ que hubo entre los infantes D. Jaime y D. Pedro, hi­ cito imperial en las ciudades y villas mas …</t>
  </si>
  <si>
    <t>JáL</t>
  </si>
  <si>
    <t>gtier, D. «José- Cueva?, D. Jasé S&amp;rnpér, D. Aídolu» Forrar, D. Bjrnabó Vda, D. y ícen­ te N¿ñaz Cortes, O. Alfonso • C Jbach* * D. José QaFós López, D. JáL&amp;íi Pardo i D. Francisco López, D. Carlos Ls.iréu, D. José Palomino, D. Juüao M-tTiíaez, D. José Toas, D. Mnmié! Lnaif, D. jLmon P*sl, D. Fauetia© Vidal, D Juan Murcio, D.…</t>
  </si>
  <si>
    <t>Jalón, José María</t>
  </si>
  <si>
    <t>José María Jalón</t>
  </si>
  <si>
    <t>728</t>
  </si>
  <si>
    <t>uando en ordenar sus escuadrones hasta poner en fuga el enxambre de insurgentes qus le atacaban : al señor co­ man fiante de la columna de granaderos D. José María Jalón * que no obstante hallarse ei.ferino ese dia , permaneció a la cabeza de su primer batallón, y contribuyó no poco con sus disposiciones y con el aliento que …</t>
  </si>
  <si>
    <t>Jalón, Juan</t>
  </si>
  <si>
    <t>Juan Jalón</t>
  </si>
  <si>
    <t>el icgles D. Eduín G.:een , comisionado de S. M. B. en la corona de Aragón, ha tenido una parte muy directa en esta gloriosa expedición. El co­ ronel D. Juan Jalón, que ha sido muy maltratado por una cansíes embreada, y el teniente coronel D José Manso, que á mes de hsber dirigido una de las columnas de asalto., ha sido e! en…</t>
  </si>
  <si>
    <t>Janot</t>
  </si>
  <si>
    <t>539</t>
  </si>
  <si>
    <t>ntermos. L'-s 5000 y tantas retantes h .biaa muerto ó quedadose en i s hospitales d-rsic Francia hati V ri-'adoiid.— Ei. octavo cuerpo mandado por el general Janot había venido de Ale­ mania después de la p. z con Austria : se organizo prrfeccam. nt1 ?n Francia de donde partió con 250:0 hambre?; después de la c~nqukta ce Asto…</t>
  </si>
  <si>
    <t>Jaquía</t>
  </si>
  <si>
    <t>brica establecida en el Prater por el barón Jaquía pieza que se representó fac la mayor piedad dt para extraer azúcar de los arces. Se calcula que los Leopoldo el Grande, cuyo graa corazón y carác­ pies que hai de estos árboles en los bosques del ter bondadoso obligaba á hacer frecuentes alusio­ Austria inferior y supe</t>
  </si>
  <si>
    <t>Jaquir</t>
  </si>
  <si>
    <t>, por orden del capitán gene­ ral B. Jaaquiu Blake, coa fecha de 21 de octubre en Valencia,©! parte siguiente: “Exacto. Sf.: Me manda el JExctto. Sr. D. Jaquir. BVk4 rrmiíJ? á Y. E., para que tenga'á bien d&amp;? noticia.á S. A. e;Co.ts;jo de Regencia, .ccpms.de los partes que ha recibido dd gobernador de Sriguc-to D. Luis María …</t>
  </si>
  <si>
    <t>Jarama</t>
  </si>
  <si>
    <t>Berthier. Piiocip?. — Eí general Hugo y el coronel Yial han continuado en perseguir al Empecinado' hasta Uceda, en donde este gafe de guerrillas pasó d Jarama, y se situó en Torrelagusa. Instruido de este movimiento, recogí todos los franceses que nos quedaban en Ma­ drid, y dirigí baxo las órdenes.de mi edecán M.'jou, una co…</t>
  </si>
  <si>
    <t>JarUberg, VVedel</t>
  </si>
  <si>
    <t>VVedel JarUberg</t>
  </si>
  <si>
    <t>que emplea es distinto deJ que se plenipotenciario cerca de la corte de Viena por fa­ ha empleado ya en Italia, en Francia y en Ale­ llecimiento del conde VVedel JarUberg.3 mania para obtener los mismos resultados por me­ Anteayer no lubia aun ningún crucero ingles dio de la fermentación, cuyo método exige mas *n el gran Belt…</t>
  </si>
  <si>
    <t>Jas</t>
  </si>
  <si>
    <t>a A; dia siguiente se repitió la misma ceremonia que las dtmas, y todas las tiend.s son uniformes. «n otro pueblo, ex.epto que hubo ademas un bai­ En general Jas tiendas ton pequeñas, pero están le de niños de cinco á seis años, que bailaron ma­ bien provistas. En cada calle vive» las personas di ravillosamente al modo de los…</t>
  </si>
  <si>
    <t>Jasé</t>
  </si>
  <si>
    <t>va ; el quinto cuerpo y ia mayor parte de la caballería se hallan en Extremadura. Nada hay de nuevo en Valladolid y sus inmediaciones, excepto aue el rey Jasé ha vuelto á España ; y se asegura que ya llegó á B argos el 5 del corriente con una escolta de cerca de 3000 hombres. Igualmente se dice que deben seguirle grandes refu…</t>
  </si>
  <si>
    <t>hasta'Vitoria saliesen á felicitar á S. M.; esto es, los curas y clérigos, los habitantes y jóvenes con sus tambores bas­ cos, y que gritasen viva el rey Jasé. Di orden á los dos cabildo# del clero, á la municipalidad, á los individuos de la jauta cri­ minal, de que saliesen fuera d c la puerta de Francia á felicitar y cumpli…</t>
  </si>
  <si>
    <t>Jasen, Vicente</t>
  </si>
  <si>
    <t>Vicente Jasen</t>
  </si>
  <si>
    <t>e D. Cérlos, com­ pañías á D. Nicolao Bolea , D, Francisco García y D. José Quin­ tana : ayudantía á D. Jmé Aguado: tenencias á D. R araos Nave-, Ha, D. Vicente Jasen, D. Fernando María, D. Ramón Laraz, D;*n Fatiga, D. Nícoiafí Franco y D. Joaquín Fuentes: en @1 de "Ba­ dajoz, compañías £' D. Manuel .Brayo, D. Raílolomé Berri…</t>
  </si>
  <si>
    <t>Jaussen</t>
  </si>
  <si>
    <t>acudan..de la&lt; cercanías muchos f"uqa .asamblea .del consejo supremo de Indias. El , (tniles de traba ¡adores para poner las casas en esta­ ^39.. el general Jaussen recibió á las autoridades ndo de ser habitadas. Había én medro1 de 2 este pue­ :qójstjt.uidas, que prestaron juramento en sus ma­ blo una colina,.encima de. la qu…</t>
  </si>
  <si>
    <t>Jbacy</t>
  </si>
  <si>
    <t>r. — Dios guarde á V. E. mu­ chos año-. A bordo de »a fragata .Lavrnia 4 de setiembre de 1811. —• Oreen. — Exorno. Sr. D. Lu'«s Lacy.” 5.° Oficio del general Jbacy á la jimia superior de Cataluña. —■ “Excnjo. Sr. : j&lt; or el parte de! coronel Grecn que tengo el honor de copiar á T. E. (es el que antecedeJ, en que manifiesta se…</t>
  </si>
  <si>
    <t>JBlake, Joaquín</t>
  </si>
  <si>
    <t>Joaquín JBlake</t>
  </si>
  <si>
    <t>plir y txsctifar en todas su» partes. T:ndrcislo entendido, y dispo^dieis lo nccesarso á su cum­ plimiento,— Gabriel de Ciscar, presidente. — Ausente D. Joaquín JBlake con permiso de las Cortes. —Pedro de Agar. — í&gt; ido en Cádiz i 11 de noviembre de 1811. — A !&gt;. 'Ignacio déla Pcznela# D. Andrés del Castillo, diputado territo…</t>
  </si>
  <si>
    <t>JBorghese</t>
  </si>
  <si>
    <t>asa­ que Taiíor, eí qual fue levemente herido en el portes. combate, como también su primer teniente. IMPERIO FRANGES. París Jz de marzo. S. A, I. el príncipe JBorghese, gobernador ge­ Burdeos i.° de marzo. neral de los departamentos del lado de allá de los Caitas de Nueva- Yorck participan la qníebra Alpes, ha llegado ¿ esta…</t>
  </si>
  <si>
    <t>Jdccatd, Eugenio</t>
  </si>
  <si>
    <t>Eugenio Jdccatd</t>
  </si>
  <si>
    <t>an bien asegurados están, y la enu­ fue del regimiento de infantería de Malaga, y por meración de las causas que han contribuido al au­ subteniente á D. Eugenio Jdccatd , que lo era del mento de los gastos, para haceros ver que calcula­ regimiento Real Irlandés. dos con economía , aplicados con prudencia , y de­ art. m. Nuest…</t>
  </si>
  <si>
    <t>JDesprcs</t>
  </si>
  <si>
    <t>os titulada la Pere­ a limo ai servicio d- S. M. C. ), empleados Cerca grina Doctora, ó contra la mayor maldad el Triunfe del gen -ral en gefe . v el coronel JDesprcs , ayudan­ de la inocencia, con todo su teatro, una tonadilla,/ te de campo de S. AL C. se dará fin con al sainete da los Abalas loco*. EN LÁ IMPRENTA REAL»</t>
  </si>
  <si>
    <t>Je, Calmo</t>
  </si>
  <si>
    <t>Calmo Je</t>
  </si>
  <si>
    <t>on el mas María López, y la. otra en el segundo por d señor vivo entusiasmo en el inmenso gentío de todas cía* Mu ñoz, obligada.de viola., que tocará D. Calmo Je tes que á mucha distancia de ia ciudad habia sali­ Filipo, y e¡ fin.fié, fi&lt;*sfa*&amp;Q9 Kstu liantes petardistas do i recibir al Re», y continuó acomp¿ñíadole Actores e…</t>
  </si>
  <si>
    <t>Je, Rimon</t>
  </si>
  <si>
    <t>Rimon Je</t>
  </si>
  <si>
    <t>urisdicción pasa toda entera y de Schemit ( D..............) , sargento del mismo cuerpo. - pleno derecho á los cabildos, sea metropolitanos, Torre ( D. Rimon Je ia ) , primer teniente de ar^ sea catedrales; y que conf&gt;rme á lo dispuesto poe tillen.. el concilio de Trento, sesión 24, capítulo 16, si Ucz ga ( D. Mariano de), n…</t>
  </si>
  <si>
    <t>Jeaunequio, Juan</t>
  </si>
  <si>
    <t>Juan Jeaunequio</t>
  </si>
  <si>
    <t>- rización especial de S. M.= El ministro secretario llon, el coronel D. Joaquín Urizar, y el capitán de Estadu = Flrmado=: Mariano Luis de Urquijo.M D. Juan Jeaunequio quedan nombrados caballeros de ia O'dcn Real de España. art. 11. Nuestros gran canciller y gran teso­ PLAZA DE MADRID. BOLSA. rero de la Orden cuidarán de la …</t>
  </si>
  <si>
    <t>Jérica, Cirios</t>
  </si>
  <si>
    <t>Cirios Jérica</t>
  </si>
  <si>
    <t>laui S An­ tonio. — Para la Coruña: bergantín-correo Aurora , qae debió salir e. 16. Habiéndose perdido 17 vales reates, que desde la Coruña remitió D. Cirios Jérica en 4 de diciembre ú cimo, endosados á D. Pablo Jerica, de Cádiz, suplica ece ú!timo á la persona en cuyas man^s se ballet» 5 se sirva dirigí'se-os por el correo,…</t>
  </si>
  <si>
    <t>Jerica, Pablo</t>
  </si>
  <si>
    <t>Pablo Jerica</t>
  </si>
  <si>
    <t>urora , qae debió salir e. 16. Habiéndose perdido 17 vales reates, que desde la Coruña remitió D. Cirios Jérica en 4 de diciembre ú cimo, endosados á D. Pablo Jerica, de Cádiz, suplica ece ú!timo á la persona en cuyas man^s se ballet» 5 se sirva dirigí'se-os por el correo, o a 2a Coruna a D. Aúvnio Bengochea, apoderado del pr…</t>
  </si>
  <si>
    <t>JermolofF</t>
  </si>
  <si>
    <t>mos los pasages siguientes. Markow,se ha puesto también en marcha , é igual­ Una de fecha del 26 de julio asegura que et mente la 9.a, m odada pot el general JermolofF, increíble lo que ha baxado el precio de los géne­ que estaba acampada en las cercanías de esta ciudad. ros coloniales, de que están atestados todos los al­ Nn…</t>
  </si>
  <si>
    <t>Jert, Fiaticúsco</t>
  </si>
  <si>
    <t>Fiaticúsco Jert</t>
  </si>
  <si>
    <t>do Mendizabal, 500. D. Francisco Lerda de Tejada, 1000. ÍX Juan Bautista Cheirasoo y Vico, ÍÜOÍL D. Santiago José de Tenar ,'500. D. Juan Vaidés 400. D. Fiaticúsco Jert.'s , 200. I). Miguel Mateu, 2000 D. José Balboa, 40. D. José Puyade , 100. D. Tomas SoW y Molins , 100. D. Santiago Castañete», 500. D. Pedro Raynaud , 400. D…</t>
  </si>
  <si>
    <t>Jerusa</t>
  </si>
  <si>
    <t>IEDADES. otro tiempo tan floreciente, tan libre y tan civili­ zada , y en el dia tan envilecida y tan humillada, Continuación del Itinerario de París d Jerusa- y casi tan bárbara como sus báibaros de miradores, len, y de Jerusalen d Parts, yendo por la oprime el corazón del autor, y le inspira una elo­ Grecia» y volviendo por…</t>
  </si>
  <si>
    <t>Jerusalen</t>
  </si>
  <si>
    <t>ara n ni Star una comisión para examinar la acta relativa ai impuesto sobre los sombreros en VARIEDADES. Inglaterra y en Irlanda. Itinerario de Parts d Jerusalen , y de Jerstsa SUIZA. ¡en d Parts , yendo por la Grecia, jr volvien­ do por el Egipto , Berbería y España: por JP. Coira 14 de mayo. A. Chateaubriand: tres volúmenes…</t>
  </si>
  <si>
    <t>Jeschau</t>
  </si>
  <si>
    <t>digo pénal militar, para lo que ha nombrado S. M. úna comisión. 'El ministro Nostitz y el te­ extraordinarios. La creación de nn nuevo papel- niente. general Jeschau se hallan al frente de esta moneda ha encontrado muchos obstáculos é incon­ comisión , qne se compone por la mayor parte de venientes, y el principal es que los …</t>
  </si>
  <si>
    <t>JForjaz, Miguel Perehira</t>
  </si>
  <si>
    <t>Miguel Perehira JForjaz</t>
  </si>
  <si>
    <t>de H ligeland el 4 de este mes á bordo de un pequeño buque para pasar al pala de Holstein. PORTUGAL. Lisboa 27 de julio. Oficio del lord Wellinglon á D. Miguel Perehira JForjaz desde su cuartel general de la quinta de S. Jua/i á 18 de julio de 1SJJ. “ El exército enemigo, llamado de Portugal, desfiló el 14 del corrie nte de l…</t>
  </si>
  <si>
    <t>Ji, Jmn</t>
  </si>
  <si>
    <t>Jmn Ji</t>
  </si>
  <si>
    <t>de Burgos, residente en Toledo, por 2200 en Cuerea, residente en la misma, por.............. 2200 D. Basilio Casas y Borja, natural de Valencia, re­ D. Jmn Ji sef Mencjjraba!, njtural de Igca, en sidente en Toledo, por........................................ 2200 Soria, residente en Toledo, por.......................... 2200 …</t>
  </si>
  <si>
    <t>Ji, Vicente</t>
  </si>
  <si>
    <t>Vicente Ji</t>
  </si>
  <si>
    <t>ula Lopes, D, Tomas Ríos , D. Andrés Rodrigo y D. Francisco Gor-znlea ; y subtenencia» i D. Alexandro* Psrezj D, Mariano C'uluby, D. Aütaaio Sq2W¿o, D. Vicente Ji re­ velo , D. Dkgo Fénollet , B; J*sé Saezy D. José Romero , y Dm Jo-é Aguí lar; en el de Valencia, compañías á D. Manuel ÍL mi­ ras, D. Mnriano • Medran©, P.' Anto…</t>
  </si>
  <si>
    <t>Jiigarré</t>
  </si>
  <si>
    <t>es, divididos por pelotones, tuvieron allí, mismo atacó el dia 24 á ia guarnición de Araujuez. El una comida de campo, y después danzas mui di­ señor general Jiigarré después de haber dispuesto vertidas, que duraron hasta entrada la noche.,En to infantería en términos que pudiese defender el esta fiesta han reinado el buen or…</t>
  </si>
  <si>
    <t>Jíontardii, Francisco</t>
  </si>
  <si>
    <t>Francisco Jíontardii</t>
  </si>
  <si>
    <t>las baterías y obras del ene­ migo en S. Feliu , Palamós, la Escala, C&amp;daques y ía Selva, y que ha embarcado toda la artillería. Parte dirigido 'por D. Francisco Jíontardii á la junta superior del principado. “Hoy diá de ía fecha me han avisado que el ene­ migo, habiendo pasado el puente de B ancafort en número de S000 infant…</t>
  </si>
  <si>
    <t>Jjmssen</t>
  </si>
  <si>
    <t>la qual habia sido reci­ torrentes que baxabari d¿ las moñtañasoéran tan bida con gusto. g-andés , que las aguas.de muchos ríos se elevaron , . ,;(E1 general Jjmssen , nombrado gobernador ge4&gt;ó jo pies sobre su nivel ordinario. La villa de tiérah.por el Emperador, habia llegado el 2J de B qano estuvo enteramente sutrergida.^p…</t>
  </si>
  <si>
    <t>JJorsenne</t>
  </si>
  <si>
    <t>900 jm t Burgos para ir á Valladolid (1). — Tengo el honor de ofrecer á V. E. el homenage de mi profundo respeto — El conde JJorsenne. Del mismo al mismo. Burgos 10 de julio de 1811. —A S. E. el mariscal duque de Is~ tria. — Monseñor: los partes que me han dado esta mañana mis emi­ sarios, me confirman en que Mina, perseg</t>
  </si>
  <si>
    <t>JJuoaelot</t>
  </si>
  <si>
    <t>miento x.° de ca­ á "Valencia. ballera ligera napolitano, llegó ayer cíe Corlu con El de Cataluña sitia á Tarragona. Una división pliegos de S. E. el general JJuoaelot, gabi-rrudor de fragatas france'as ac.ba de conducir a Barcelo­ general de, las islas jónicas, para S. M. .el Reí de na un convoi de 9jquintales de harina, arr…</t>
  </si>
  <si>
    <t>JLaíihre, José</t>
  </si>
  <si>
    <t>José JLaíihre</t>
  </si>
  <si>
    <t>, 400. IX Andrés del Fresno, 120. D. Francisco Miguel Barón , 500. Don Ramón Soler, 504. D. Juan Francisco de Vergara , ItíOO. D. Miguel Gomer, 400. D. José JLaíihre, llKX D. Juan García de Falencia, 150. D. Valentín. Tar* ris, 2000. (Sé continuará.) CADIZ t EN LA IMPRENTA REAL.</t>
  </si>
  <si>
    <t>JLong</t>
  </si>
  <si>
    <t>ue estaba enterado de la acción dada en aquel dia, y conocía perfccicmente la confusión que dobla rcynar eu la guarnición de la plaza. Ei señor mayor general JLong, ai servicio de S. M. B., mandaba una columna de infantería y caballería sobre mi flanco derecho: este general se equivocó, y aun á mí mismo dieié ¿orne que ei gem…</t>
  </si>
  <si>
    <t>Jlúbies, Domingo</t>
  </si>
  <si>
    <t>Domingo Jlúbies</t>
  </si>
  <si>
    <t>enviada de guerrilla á la parte de Coiidegusem é inmediaciones de O lena, ha hecho una presa de consideración al enemigo de bueyes , campeche &amp;c. De D. Domingo Jlúbies, comandante accidental del batallón de Ba~ laguer.—Ager 15 de setiembre.—Queriendo Ies eaendges aprovecharse de la impresión que superna* habría hecho en los a…</t>
  </si>
  <si>
    <t>Jo, Félix</t>
  </si>
  <si>
    <t>Félix Jo</t>
  </si>
  <si>
    <t>en les campos de Chieiana, y disposiciones que la precedieron, segnn ios dictámenes do ios ge­ nerales, maiqa’ís del Casíel&amp;r, mirqect del Palacio y D. Félix Jo­ nes , y el del Consejo é*¡ Regencia da 12 de rayo último; y quieren que S. A. haga on ei paiiisaiaT las declaraciones que correspondan, á cuyo fii de ve) vamos á V. …</t>
  </si>
  <si>
    <t>Jo, Juan</t>
  </si>
  <si>
    <t>Juan Jo</t>
  </si>
  <si>
    <t>780</t>
  </si>
  <si>
    <t>narias en la sesión de 24 del corriente á la reno vacien de su presidente, vice­ presidente y secretario, han sido elegidos, para presidente el señor D. Juan Jo*:é Gureña, diputado proricario por la ciudad de Dürango, para tícs presidente el Sr. £*. Joaquín Mania.u, diputado ptopi tsr'o por la ciudad rie Veracruz y su provinc…</t>
  </si>
  <si>
    <t>Jo, Juan y Doña</t>
  </si>
  <si>
    <t>Juan y Doña Jo</t>
  </si>
  <si>
    <t>ncias entre Montevideo 63*7 17 3 D. Lorenzo Iruegas............................ J1191 y Buenos-Aires no estaban todavía arregladas el 5 D. Prudencio, D. Juan y Doña Jo­ dia 15, y que según él cree no' llegaría esto á ve­ sefa de Aguirre, por su apoderado rificarse, á pesar de lo ¡caponante que seria para el D. Lorenzo de Irue…</t>
  </si>
  <si>
    <t>Joa</t>
  </si>
  <si>
    <t>to Miguel-, al sub­ teniente de la segunda compañía de reserva del corregimiento de Bar­ celona D. Jayme Burrejl, al subteniente de húsares españoles D. Joa­ quín Aguiió , y á varios individuos., ele este cuerpo y compañía» de reserva. Valencia 22 de enero.. El comandante general de este rey no ha recibido ei parte siguiente …</t>
  </si>
  <si>
    <t>á entender que. D. Manuel Negueruela, subteniente, á tenien­ el mar habia inundado y cubierto con sus aguas te de la quinta compañía en la vacante de D. Joa­ los continentes que habia abandonado anterior­ quín Sojo. mente. D. Antonio Bnrrelli» sargento primero , á sub­ Mr. Brougniart ha reconocido que este terrena teniente de…</t>
  </si>
  <si>
    <t>títulos de lá propiedad de una casa, sita en I- calle mas que encerrar e&gt;te aire enrarecido dentro de una de San Pedro y San Pabio ,-que pertenevíó a D. Joa­ cobertura bastante capaz y bastante ligera por sí mis­ quín Copea, y en que sen i irrarets por su falleci­ ma, para que se la pueda attr un peso sin que se dis­ miento" …</t>
  </si>
  <si>
    <t>haw y com­ pañía , 10Ó0. D. Joaquín y D. Juan Casaldaero, 400. D. Pedro Boullcsa y Mii anda, 100. Doña Ana María González , 400. D. Manuel Paul, 200. D. Joa­ quín de la Vega , 400. D. Domingo de Heras, 1000. D. Martin Irazoqui, 400. D. T. B, 500. D. Pablo Riera, 500. D.» Antonio de Alsazua, 1000. D, Barto­ lomé Santa!6 , 300.…</t>
  </si>
  <si>
    <t>de la universidad de S. Gerónimo de esta ciudad, por oferta del cuerpo de doc­ tores de dicha universidad , 970. D. Juan Luis Mar que ti, á nombre de D. Joa­ quín de Herrera, por oferta de ia nación Carabali isuama , del cabildo nuestra señora de Monserrate , 30. El mismo , á nombre de dicho señor , por entrega de los individ…</t>
  </si>
  <si>
    <t>dor y regidores de esta ciudad, el inoportuno empeño deque yoles dexáse'la administra­ ción y disposición de varios arbitrios, que el comisario regio D. Joa­ quín M&amp;da Seríelo había creado con ebjstoa determinados del ser­ vicio en las actuales difíciles circunstancias. Yo incurrí entonces en la indiscreción de decirles que l…</t>
  </si>
  <si>
    <t>te en Ca­ D. Leandro Díaz , ex-benedictino , por... 2200 bezuela en Extremadura, por.................. 2200 B. Manuel Sánchez, cx~capuchino, por 22cc D. Joa ’ uin Madrigal ¡ id, , residente en D. Hilario García Verdugo, ex-inercena- Madrid, por................................................... 2200 rio descalzo, por.........…</t>
  </si>
  <si>
    <t>dor de ren­ tas reales de la ciudad de Jaruco, por el de 2 soldados en 5 meses, 75. D. Juan Naranjo, sargento inválido, por 6 meses de su oferta, 42. D. Joa­ quín José de Sola, por el prest de 3 soldados en 5 meses, 135. D;Juan de Dios Corona, tesorero del real colegio de escribanos, á nombre y por oferta de dicho colegio, 13…</t>
  </si>
  <si>
    <t>en toda la exícnsicn del castillo que mira al pueblo y á levante. El gobernador , .el ayudante general I). Luis María Andriani ha dado al Excrno. Sr. D. Joa­ quín Bakí el parte de este suceso-, qus original remito kV. E., como dicho se ñor rae previene, raanná:idome participar i V. E. las ocurrencias de estos dias , para que …</t>
  </si>
  <si>
    <t>1153</t>
  </si>
  <si>
    <t>ncl con fecha de 8 dei actual, desde el cuartel general de Valencia , remite al señor ge.fu dfe. estado mayor general, do orden del espitan gt'E'-ral D. Joa­ quín BLikc, el peste que ha di rígido el mariscal de campo D. Jasé Obispo ai de la misma clase D. Cásiós O -Donnsil, cuj o .tener es el sigiiieute: • UL¿ íKcasiflad de «…</t>
  </si>
  <si>
    <t>s distinguidos de Cádiz compañías á D= José Ignacio de Lazcano, D. Bartolomé de Iturraido, Don Juan Francisco de Llano y Sangines,'D. Bernardo Pérez, D. Joa­ quín Casalduero, D. Pedro Juan de Zulueía, marques de Villareal de Purullesa, D. Manuel Goicolea, D. Gaspar Aguado y D. Fran­ cisco Noguer; tenencias á D. Mauricio de L …</t>
  </si>
  <si>
    <t>anga Argitalks, , ’ . , Él. geta dei esta do mayor del querpa espodieiouano« dea&lt;?e Va* lencia remite el 15 del corriente , d? ór«*n *deál.Ex¿mó.'Sr. D. Joa­ quín B ; ke, aiseñorgefe del estado, .ma^or g^npiaí, el oficie y par* tes siguiente» , ,y . . . . . * 6 Exorno. Sr.: Con ei objeto ría préster el auxilio posible $1 caa=…</t>
  </si>
  <si>
    <t>Joaé, Juan</t>
  </si>
  <si>
    <t>Juan Joaé</t>
  </si>
  <si>
    <t>or el capitán D. Fran,cisco Rk»nda, y entretanto operar por Acápulco un cuerpo de 150 ho iíb;‘s, a- mando í e l oidor de la au ii ncia de Guadaiaxara D. Juan Joaé, Recacho. Pero apeisas divisaron los rebeldes la descubierta de R gules , que mandaba el capitán de la compañía de Teposcoluca Juan Abrego , aoonu-tieion con tal ím…</t>
  </si>
  <si>
    <t>Joan</t>
  </si>
  <si>
    <t>nochecer. ; \ Oficiales* y tropa-¿se .han portádó &lt;oii yálcr y constancia , disti.n- ^uié^dose particularmente el, papitai D. Francisco Riorída , y * D. Joan - íMachain ,, ayudante de Ja cuarta división. Merece' mención especial Jósé - Nuñcz, pasagerode la fragua Guadajupé. / surta é‘a ÁcaRulcol.j que siguió ia expedición en …</t>
  </si>
  <si>
    <t>ira­ bienes nacionales de la provincia de Soria. do , caballero que fue de la orden de Cárlosut. Widerman (D. Jorge), ayudante del regimiento Dupin ( D. Joan ), capitán del regimiento de To­ suizo. ledo, 2° de infaotería de línea. Zaragoza (D. Ramón), capitán del regimiento de Escudero (D. Pedro Joaquín), presidente déla Tole…</t>
  </si>
  <si>
    <t>Joaq</t>
  </si>
  <si>
    <t>o, iLscruir sus obras de di feas a Cu U¡1deexmy prender los desertores é Ui.fi LeoLS que se albergaban en este y ^ tros pueblos , comi-ionó al capAan D. Joaq.. in.Vizcaync , quien en la mafia na dd 31 de enero hico arañar t dadas obras d. Uudecona, y cegrr el f so que circuía el pu b'p&gt;, en térruines de no dax*c ni aun rastro…</t>
  </si>
  <si>
    <t>Joaqain</t>
  </si>
  <si>
    <t>uñoz ( D. Nicolás), capitán de la milicia cíviaa Henrie ( D. Joan Bautista), sargento de tiradores de M daga. del regimiento Real Irlandés. Narvarte (D. Joaqain), capitán del regimiento da Herrera (D. Tomas), capitán de granaderos del Madrid, i.° de infamcria de línea. regimiento Josef Napoleón. Nevreda (1). Juñan), teniente …</t>
  </si>
  <si>
    <t>Joaqnin</t>
  </si>
  <si>
    <t>oncesión de Saiz de Villegas (D. Nicolás), comandante de la los Reyes de España nuestros augustos predece­ guardia cívica de Sasamon. sores. Sa’gado (D. Joaqnin), coronel. art. n. Esta confirmación no perjudicará á Sarraille ( D. Juan M ria ), subprefecto de Lacena. tercero ni á los derechos del estado. Semprun ( D. Benito), …</t>
  </si>
  <si>
    <t>Joaqui</t>
  </si>
  <si>
    <t>ávala: á s^rggntos mayores dé'brigada 9. á‘Iosr¡capitanes D Séb^sf an de S. Juan, »D Blas Manuel Te-ue? , p. ‘José "María Dana , ‘D. Vicente Sánchez, D. Joaqui« d i la G qz , D Raf el dél-Barrio , D. Miguel S.mtillana y D. Ignacio O ovas: á capitanes á los tenientes D Juan Manuel Carmen/, D José Montes y Fíores, D. Pedro Brin…</t>
  </si>
  <si>
    <t>Joaquín</t>
  </si>
  <si>
    <t>ta de la prueba hecha el dia 8 del corriente por la brigada de oficiales de artillería de este departamento, nombrada al efecto por el subinspec­ tor D. Joaquín de ia Pezuela. Pero la escasez que se experimenta de salitres en este reyno, hacia temer los inconvenientes que de ella iban á resultar para la farmacia, paia las art…</t>
  </si>
  <si>
    <t>otras tantas de xarabe. El señar de Fellemberg ha Caamaño (D. Joaquín), ayudante mayor del re­ establecido en sus tierras varias escuelas de agri­ gimiento Josef Napoleón. cultura» y entre otras una gratuita para la instruc­ Cancelada (conde de ) , comandante</t>
  </si>
  <si>
    <t>a. Villaoquina (Conde de), ayudante primero de la compañía de caballería de cazadores de montaña milicia cívica de Madrid. de Ubeda. Uriarte y Landa (D. Joaquín de), prefecto de Rbodas (D. Fernando de), mayor de la milicia . Mérida. cívica de Málaga. .... Weber (D. Manuel), individuo de nuestra guar­ Ríos (D. Pedro), cabo pri…</t>
  </si>
  <si>
    <t>esta ciudad de los ■donativos, entregaron, D. José Ignacio Echegoyen , 1146: ei’ conde de Ü.-Reiíy, 210 y 4 rs. D. José de Genes 195 y uno y rneilio. D. Joaquín &lt;ue Herrera , 243 y medio. D. Luis Ignacio Caballero , 933 y G rs. I). Carlos Pea roso, 1138 y 4. El conde de Santa María de Loreto , 518. y 6 y me­ dio. D. Juan Cris…</t>
  </si>
  <si>
    <t>rnadores y densas autoridades* así civiles cpmo militaros y ecle* di do, y, dispondréis lo necesario á £« cumplimiento. — Batirle! car, presidente. — D. Joaquín ausente con permiso de las Cortes. — Pedro de Agae±-r- En Cíydíz Á 29 ds setiembre de 1811.*. A D. José Canga Argitalks, , ’ . , Él. geta dei esta do mayor del querpa…</t>
  </si>
  <si>
    <t>1286</t>
  </si>
  <si>
    <t>oficio , cuya capia incluyo en este, como la -cosiest-nciou , .por io so estara*3 V. U. : rué cae&amp;URmado el teniente es» road, capitán de artillería, D. Joaquín. de Miguel de avesiguar si era tal la, pérdida que sufrió nuestro esóraitb , enasto la prepuso ei sitia­ dor , y convencido de la imposibilidad d« que se le hiciese t…</t>
  </si>
  <si>
    <t>cido les parará el perjuicio que haya lugar. las juntas de Negocios contenciosos. Mcinadíer (D. Esteban), corregidor de Puerto Real. TEATROS. Moreno (D. Joaquín ), alférez de navio. Kn el del Príncipe , á las siete de la noche, se re­ Moreno (D. Josef Angel), comisario de guerra presentará por la compañía española la comedia …</t>
  </si>
  <si>
    <t>Don Diego Villeslada, ©. Pedro Rico, D. Rafael Quero], D. José Ro­ chan©, D. F'rancia co Bermudez de Cañas, D. Vicenta SalameT#, D. Rafees González , D. Joaquín ds Bedoya, D. José Ribslles , Don Pedro Franco j D. Vicente Marín. En el batallón de voluntarios de Camponrayor ha conferido el Consejo de Regencia compañía al capitá…</t>
  </si>
  <si>
    <t>Joaquín, D</t>
  </si>
  <si>
    <t>D Joaquín</t>
  </si>
  <si>
    <t>García de ia Plata, 1000. D. José Ulle, 10J. E! conde de Monteblanco , su espesa, v su hijo el conde de Montemar, 4000. Real cuerpo de artillería. El coronel D Joaquín de ia Pezuela, 300. Su esposa Doña Angela de Cev.allos, 200. El teniente coronel D. Juan Aruar, 169 y 5. El capitán de la plana mavev D. Casimiro Valdes, 111 y…</t>
  </si>
  <si>
    <t>Joaquín, Don</t>
  </si>
  <si>
    <t>Don Joaquín</t>
  </si>
  <si>
    <t>ndante'del segundo batallón al sargento mayor-de brigada-del real cuerpo de ingenieros D. Ternas Aguífre y Castro: para la comandancia del tercero al coronel Don Joaquín deTÜvacoba, teniente coronel de! expresado cuerpo : para la del cuarto al teniente coronel D. Pídro Solazar; y para- la del sexto al ele igual cías* D. Manue…</t>
  </si>
  <si>
    <t>Joaquín, José</t>
  </si>
  <si>
    <t>José Joaquín</t>
  </si>
  <si>
    <t>órente , 1000. Sres. Olasaguilia é Inara, 1000. J&gt;. Pedro Antonio de Aguinre , Diputado en Cóvlcs por Cádiz . 10()(). D. Diego Guilitdmo Glass, 2000. D. José Joaquín de : Manchólas, 50ü. Id conde’ de Motcjjvima, en una letra sobre Lorea , 3000 El •provisor t&gt;. Mariano Martin Esperanza , 3000. 1). Juan Dmiec , 300. Ei señor E …</t>
  </si>
  <si>
    <t>Joaquín, Josef</t>
  </si>
  <si>
    <t>Josef Joaquín</t>
  </si>
  <si>
    <t>canónigo ; Pedro Bernar­ vido nomb ar a D. Francisco Berruezo y Portillo, da , canónigo; Angel Sesler , canónigo; Angel BoD. Francisco Oiavarrieta y D. Josef Joaquín de nussi, canónigo. Santa Marta oidores de la audiencia de Sevilla ; y V, Venecia 12 de febrero de 1S11.” á D. Fabiao Sánchez de la Fuente, D. Miguel ^ Azrtar y …</t>
  </si>
  <si>
    <t>es dice entreguen la cantida^ de pron­ villa de Escoriaza en la de Guipúzcoa, vacante to: responden no tenían unto dinero; que lo bus­ por ascenso de D. Josef Joaquín deZurneta al en­ carían; que les dieran inedia hora de tiempo para tero de la misma , al presbítero D. Joaquín de Az«lio; y por solo este motivo los maedan arre…</t>
  </si>
  <si>
    <t>Joaquín, Pedro</t>
  </si>
  <si>
    <t>Pedro Joaquín</t>
  </si>
  <si>
    <t>nto Dupin ( D. Joan ), capitán del regimiento de To­ suizo. ledo, 2° de infaotería de línea. Zaragoza (D. Ramón), capitán del regimiento de Escudero (D. Pedro Joaquín), presidente déla Toledo, 2° de infantería de línea. junta crimioal extraordinaria de Paleada. Zárate (D. Antonio Ortiz de), presidente de Iz Fcrrer ( D. Magín)…</t>
  </si>
  <si>
    <t>Joas, Julián</t>
  </si>
  <si>
    <t>Julián Joas</t>
  </si>
  <si>
    <t>brán tenido para D. Mariano Vergara , subteniente, á teniente poner por primer títu'o de dicha tragedia el de de la quarta compañía , en reemplazo de D. Julián Joas restituido al trono de David 3 no habrá sido Duque. la menos poderosa ía de creer que el público de Ma­ art. vn. En los batallones de milicia cívica drid no sabri…</t>
  </si>
  <si>
    <t>Jode</t>
  </si>
  <si>
    <t>da , término de la villa de 146 pies el uno, y el 01ro Martos, compuesta de 41 *3) » lindan con t érras aranzadas, y tres quartas de los herederos de D. Jode olivar, con ijco pies, sef Argoie, ar.oyo de Tocasa de teja, molino de^ / ledillo, y viña de Juan de aceite con dos vigas, calde- ‘ Molina.............................. …</t>
  </si>
  <si>
    <t>Johus</t>
  </si>
  <si>
    <t>1413</t>
  </si>
  <si>
    <t>rgadas, entre las que se cuanta el bergantín Coffee Plantee, que iba°de Cor-zao á Londres can efectos coloniales , y el hermoso bu­ que el Éxcliange, capitán Johus, que también navegab* de Gura* sao ¿ Lo&amp;dics con un rico cargamento de añil y o ¡res cf • el os, y 36000 daros en dinero.. Eídabaa á borao del Exchange tú iá*yo? g…</t>
  </si>
  <si>
    <t>Joíef</t>
  </si>
  <si>
    <t>ida , ídem. 'Penard (D- Santiago), tirador de nuestra guardia Leones ( O. Martin ) , juez de las juntas de nego­ real. cios contenciosos. Peñaranda ( D. Joíef), teniente de artillería. Lesage (D. Juan) , soldado de caballería ligera de Piferrer (D. M.muel), capitán del regimiento Jonuestra giifrdia real. 'ef N .poleon. Lesene…</t>
  </si>
  <si>
    <t>Joñas</t>
  </si>
  <si>
    <t>es de con.‘idr?f.r.í&lt;in en «1 i©do, y se cuentan en e ia algunas piezas de artilléis a —Todo ?o que pongo cu rnrtMr de V. E. de orden 1:1 Exente. S?. D Joñas?* t para que V- E. Unga á b'.ea íÁ- no a ir» d? $. A. el Co de Urgencia. — D,e-s gu¿zde Á V. E. ranchos r-ñis. 'VabnoM 27 de cataba de 1811.” 2.° “Eícm S-.: Sí observa d…</t>
  </si>
  <si>
    <t>Jorge</t>
  </si>
  <si>
    <t>e Ducer (D. Ratnon), comandante .de batallón del segunda clase. regimiento Josef Napoleón. Bermudez ( D. Luis), individuo de nuestra guar­ Dubreuii ( D. Jorge), capitán del regimiento Real dia de honor de Sevilla. Extrangero. Bidekavis (D. Conrado), tambor del regimiento Dupui (D Juan Bautista), ayudante mayor da Real Fxtrang…</t>
  </si>
  <si>
    <t>mas al verdadero curso del camhio. Por lo demas can motivo de la muerte del príncipe Jorge de la redacción del valor de los billetes de banco Anhalt- Desau. apenas ha reñido aquí influencia en la sabida del El barón de Rachnitz , protector zeloso de las precio de las producciones del país. artes y de las ciencias , ha sido no…</t>
  </si>
  <si>
    <t>andante. (Je artillería. Al señor marques de Atabaca. Jenta ( D. Josef), teniente de la compañía de in­ Limosnero válidos de S. t defonso. Lachelot ( D. Jorge), cabo primero def regimiento Al señor D. Joaquín María Piñeíró. Real Extrangero. López Calvo ( D. Miguel), cura párroco de Sa- samon. - ■■ Gran cancillería de la Orden…</t>
  </si>
  <si>
    <t>1177</t>
  </si>
  <si>
    <t>y au­ xilios pudiesen salvarla ó contribuir á &amp;u defensa: que si por una par­ te le era doloroso verse privado de manifestar personalmente á S. M. el rey Jorge m, á nombre de su rey y nación, toda la gratitud que le profesarán eternamente los españoles ; por otra se complacía en protestar á S. A. R. iguales sentimientos, y ju…</t>
  </si>
  <si>
    <t>auiz y Guendica (D. Berengoer), coronel retira­ bienes nacionales de la provincia de Soria. do , caballero que fue de la orden de Cárlosut. Widerman (D. Jorge), ayudante del regimiento Dupin ( D. Joan ), capitán del regimiento de To­ suizo. ledo, 2° de infaotería de línea. Zaragoza (D. Ramón), capitán del regimiento de Escude…</t>
  </si>
  <si>
    <t>Jorge, CzérnL</t>
  </si>
  <si>
    <t>CzérnL Jorge</t>
  </si>
  <si>
    <t>se interrumpirían las co­ habían imaginado, se retiraron precipitadamente y municaciones directas con la Suecia, porque'sehaá con alguna pérdida. E! general CzérnL Jorge, que bia hecho saber de oñcjo que andaban cruzando manda este campo recibe diariamente refuerzos, algunas fragatas inglesas y varios bricks entre Es- y está …</t>
  </si>
  <si>
    <t>Jorge, Nicolás</t>
  </si>
  <si>
    <t>Nicolás Jorge</t>
  </si>
  <si>
    <t>mas para fondos de brado consejeros de la prefectura de Sevilla á Don capital, 17 ce'ntimai para gastos de administración Fernando Miguel Hurtado , í D. Nicolás Jorge de y 4 céntimas para empleados. Arespacochaga y á D. Martin de Saravia; y ha Los pueblos tendrán facultad de imponer adi-, conferido la misma plaza en la de Tol…</t>
  </si>
  <si>
    <t>Jorrin, Manuel</t>
  </si>
  <si>
    <t>Manuel Jorrin</t>
  </si>
  <si>
    <t>a. za , todos de ceremonia, y respectivamente de ga­ Para el del Condado, vacante por promoción la , estando sobre las armas la guarnición, el nú­ de D. Manuel Jorrin al de Santa María de Scpulmero 8.° y la guardia cívica fueron á la catedral veda, á D. Manuel Pinta , cura de Siguero. precedidos de roda la música , donde se c…</t>
  </si>
  <si>
    <t>Jos</t>
  </si>
  <si>
    <t>de partir. A las resto de la guarnición se ha salvado enteramente. 10 de la noche todo estaba pronto: envié orden á ,, Remito adjuntos los partes del comandante Jos puestos avanzados de las medias lunas y de los de ingenieros y de Mr. Lechene, capitán ce articaminos cubiertos deque viniesen con el mayor si­ lleiía, en los qua…</t>
  </si>
  <si>
    <t>mado en sus tíni- T1ATROI. los de marques de la Vega y de barón de Cheste En el del Príncipe , 4 fas cinco de la tarde, se reiy Mohtichervoque gozaba D. Jos’df María Mé¿» .presentará; por. la. compañía:¿apañóla\la .comedia del cader antes del 18 de agosto de 1809 por contce- ■ maestro Tirsp de Molina en tres actos titulada. &gt;…</t>
  </si>
  <si>
    <t>.................. 5^550 t&gt;. Ramón Fernandez üe Qniroga. 5104 * D. J osef Antonio de Uriarre......... 50115 D. Rodrigo de Zorrilla y Mourni. 44150 21 D. Jos.-f de Carranza...................... 27387 I? D. Josef Badan...... ................ 26178 22 D- Josef Gonzalo y D, Miguel D. Simón Viegas............................. 224…</t>
  </si>
  <si>
    <t>Jos, Lla</t>
  </si>
  <si>
    <t>Lla Jos</t>
  </si>
  <si>
    <t>público le rapnifestó su desagrado , interrumpiéndole señores Giraldo y Calatrava; y para Gracia y Justicia con frecuencia; y lo mismo sucedió con el general Lla­ Jos señores García Herreros y Zumalacarregui, decla­ mas,.... Los señores Golfín, Capmani, Gallego y oíros rándose permanente la sesión hasta que estos individuos p…</t>
  </si>
  <si>
    <t>José</t>
  </si>
  <si>
    <t>e ya ofrecidos á en­ tregar en .España , (&gt;000 pesos. Capitanes. D. Pedro Santana , 100. D. José An­ tonio Remón , 100. D. Francisco Arosemona , 100. D. José deFábrega , ade­ mas del sueldo que le está asignado por castellano interino de Chagre todo el tiempo que sirva este empleo , 200. D. Nicolás Remon 500. El ayudante mayo…</t>
  </si>
  <si>
    <t>icn , 20. Fr. Martin de la Santísima Trinidad, cura interino , 25. I). Jo­ sé Sixto Márquez , 5. D. José Magdalena Veiasco , 5. D Juan de Arjoña , 2. D. José: Reyes , cura de Ocú , ÍO. D. José Dámaso Franco, cura de Santa Bárbara, 4. Fr. Baitasai Cabezudo , cura interino de Macaracas , 25. D. Fran­ cisco Mateo , cura de Pesé …</t>
  </si>
  <si>
    <t>&gt;. Alejandro Marcin , id., 200. D. Francisco ele la Pena, id. , 5. D. Pedro Gil., teniente, 10. D. Fran­ cisco Argaez, id., 10. D. Roque Gil, id., 6. D. José .Bello , id. 10. D. Ga­ briel Santos, id., 10. D. Juan Truxillo , subteniente, 50. MT. José María Ibarra, id, ¿ ó.^D.v^hiyiteo Ortega , id: 10. * D. Francisco Cicero, id…</t>
  </si>
  <si>
    <t>mií. D. Francisco Perez de Algava. D. Rodrigo de Mesa. Teniente. D. lLmor. F.ores. I). Rafael Orive. D. Josef Goztnan. D. Ramón Ncgtete. Subteniente. D. José! Fernandez de Córdoba. 4 1 D. Rat.iel S^ravia. D. Francisco Sol.no Tablada. D Josef C-F zas. art. iv. En la villa de Cabra se formará UQ D. Miguel Gírela Vizcaíno. batal…</t>
  </si>
  <si>
    <t>Jóse</t>
  </si>
  <si>
    <t>ral Leval, lo que me obligó á ha­ te de esto mismo con ocasión de los dias de nues­ cer un movimiento sobre su derecha, y á mandar tro Monarca el S . D. Jóse f N-poleon I. al general Ruffin que se aproxímase hacia su iz­ El tS de m irzo, víspera de la fiesta, prin­ quierda. Eran las tres de la tarde quando el fuv-go cipiaron …</t>
  </si>
  <si>
    <t>anca á Ciudad Rodrigo. He sabido igualmente por Valladoiid, que otro , también de mucho valor, que consistía en equipajes y efectos pertenecientes ai rey José , acababa de ser interceptado por el p3-rtidario Mina, cerca déla ciudad de.Vitoria, habiendo sido pasada por las armas la tropa que lo escoltaba. El general Bíake pasó…</t>
  </si>
  <si>
    <t>A E INDIAS ©EL SABADO 27 DE JULIO DE I8II. 4 ESPAÑA Guatemala 25 de'margo. El 14 del corriente hizo su entrada púfolica en esta capital e! Excmo. Sr. D. José d® Basta enaste y Guerra# caballero del orden de Santiago, teniente general de la reai armada, y en seguida tomó posesión de los empleos de presidente, goberna­ dor y ca…</t>
  </si>
  <si>
    <t>ESPAÑA. Madrid 14de junio. Tres cartas contestes de Paria con fecha de 26 del pasado decían , quo allí habla sorpreh urdido á iodos lá lle­ gada del rey José, y como esto fué poco después de haberse recibi­ do las noticias de la retirada de Massena,' y toma de S. Fernando de M'gueras por los españoles, se había conmovido aque…</t>
  </si>
  <si>
    <t>t!» .de Solis, ninguna..es p&gt; ra ■honrar si’apoyar á sn&gt;géfó fesín.©'-para hacer constar ea Qidíz que contraria!*iá -fas•hatoriduéM"■■eWtplétídos del rey José y partido francés. Estas son las frases há&amp;iiualés de que se sirven.^ . La oelebridad del día de S. José los precipitó á dar otra prueba deque mi juicio no se lia equiv…</t>
  </si>
  <si>
    <t>s autoridades , llevando todos u* rótulo con esta inscripción : A nuestro buen rey Joié Napoleón, viva, viva; y que gritasen mientras pasaba, viva el rey José. Todo fué executario con alegría, con entusiasmo y mejor de lo que yo esperaba. Yo había hecho colgar las calles por d ínula debía pasar S. M. ; todas las ventanas esta…</t>
  </si>
  <si>
    <t>reyno. Se compone hasta el día de ios señores D. Vicente García, nombrado viré-presidente, D. José López Juana Pitilla, intendente de la pro'vinera., D José E adio Garces, D. Lucas García Gutiérrez, D. Da­ mián A cocer, D. Joaquín Verdugo y D. Matías Sauca, nombrado secretario interino. Extracto del parle comunicado por el te…</t>
  </si>
  <si>
    <t>la Rejilla, D. Itadro del Yerro, IX Víctor R.?strebada y D. Francesco Doñas; subtenencias á Do» Miguel Villar, D. Sautiaíro Nryra, D. Ignacio Barros, D. José 1^ í~lo T-oloiTW^ - Antonio Sonto, D. Juan Garmon , D. Juan García y F ~ o*uk***£ v/wj Xiraenez ; subtenencia de bandera á D. Anselmo Tuna. CADIZ : EN LA IMPRENTA REAL</t>
  </si>
  <si>
    <t>Manuel de los Ríos, D. Pío Tona, D. Juan Medrana, D. Cristóbal Sánchez, D. Pssdro Alvares:,.D. Cipriano V'dal., .D. Salvador Mora, D. Tomas de Sindc, D. José fereyra , D. D’ego Blanco y D. José Delgado; subtenencia de bandera á D. José Muñoz. En el batallón de infantería. ligera de voluntarios de Gerona : el cte capitán prime…</t>
  </si>
  <si>
    <t>Jose</t>
  </si>
  <si>
    <t>to las Rio, D Luis Ciarg'illo , D. Aogel dv Irribarren, crecidas contribuciones y empréstitos forzados que D. Joan Larrieta , D. Martin de lrignyen , D. Jose han exigido de .los comerciantes de esta plaza sef del Diestro, D. Juan de Lustra y D. Andrés desde que principió nuestra revolución , y las gran­ Marzan. Los arbitrios …</t>
  </si>
  <si>
    <t>es de Villareal de Purullesa, D. Manuel Goicolea, D. Gaspar Aguado y D. Fran­ cisco Noguer; tenencias á D. Mauricio de L -rgacha, D. Jo é Per­ noto , D. José deGaiilenea, D. Esteban S. Miguel, D. José Anto­ nio Romero, D. Ram&amp;n de Larrieta, D. Manuel Sanz, D. Domin­ go Cierto, I). Antonio Vallaría© y D. Sebastian Peñasco; y s…</t>
  </si>
  <si>
    <t>D. Bernardo Gome , 20. D. Antonio Muño/. , 20. El señor marques viudo de las Hormazas , 2000. D. Francisco Demande Mputañs, 40 D. Tomas Casado , 20. D. José .María I’aniagua, 20. D. Loren o Ci-neros y Toledo , 0‘*&gt;. D. Nicolás Hernández, 60. X). Agustín Maestre, 40; D. Ignacio Salazar , i60. D. Aivrel José Soveron, 50). D 'Ca…</t>
  </si>
  <si>
    <t>d, que !e guarden y hagan guardar, cumplir y executar en todas sus partes. Teadréislo entoa■ 1 ” * ’ ' ’ A~ Gabriel Cis* permiso dr; las de 1811.—■ A D. José (langa Argüritos ’’ CADIZ ; EN LA IMPRENTA REAL.</t>
  </si>
  <si>
    <t>os con m lanza, matando al qus le hirió y á otro?. Ss disfeguisroa aimsismo el cabo prímaro Antonio Falces, el carabinero Francisco Peael distinguido D. José dslPozo,y ios soldados Vicente Nebat. B rnardo Mánchalo y Juan Palao, todos del regimiento de caballería del Principe. Estado mayar del sexto exércitoy 11 de noviembre. …</t>
  </si>
  <si>
    <t>, su esposa ^'hijós,'4000. D. Roqae Abdlcntc , D. Gregorio Saenz de Sicilia y D. Ra­ món Santos Valiente, 3000. El capitán D, Manuel Urquiaga, 1000. D. José</t>
  </si>
  <si>
    <t>zapadores: á subte­ nientes ¿ al graduado D. Gabriel de Lata , cadete de Cantabria , Don D ogo Peynado , cadete del batallón de cazadores de Carmena, D. José ds la Infanta, subteniente graduado y cadete de Ordenes millíares, D. Pedro Almcaya, cadete del segundo de Madrid; los cuatro alumnos de la academia militar de ia Ida de…</t>
  </si>
  <si>
    <t>José'Hartíey</t>
  </si>
  <si>
    <t>DE OFICIO. % - : . j ■ El Consejo de Regencia se ha servido conferir compañía en el regí miento de infantería de voluntarios distinguidos de Oídii} 6 D. José'Hartíey , teniente del mismo cuerpo; tenencia a D. Juan Antonio Aívarez Fcsrnandez ; y el empleo de subteniente argado ai referido rí gimisuío sin opcioa ¿ reemplazo.al …</t>
  </si>
  <si>
    <t>José, Doctor D</t>
  </si>
  <si>
    <t>Doctor D José</t>
  </si>
  <si>
    <t>lado, 50. Li comunidad de indios, 299. El alcalde migar D Pedro Estrada, 12. El recaudador de tributos D. Narciso.López do Neira , 12 — Pa»tipatu, El cura Doctor D José .TU ;nano Salas , por vecino principal , 23. Ev ayudante presbítero D Ma­ lí’.s de la Barda, 6. La com ínula l de i¡a líos , 233. El alcalde mayor jl Mariano …</t>
  </si>
  <si>
    <t>José, Juan</t>
  </si>
  <si>
    <t>Juan José</t>
  </si>
  <si>
    <t>licias disciplinadas , en cada año, 25. D. Juan José de Fierros , sargento mayor del batallón de milicias dis­ ciplinadas, á cuenta de su oferta, 42. D. Juan José de ia Valle , subtenien­ te del batallón de Castilla , por una vez, 50. D. Francisco Xavier de Agob­ iar , ayudante de la división de Pardos, 40. Don Mariano Antoni…</t>
  </si>
  <si>
    <t>sla, 1000. El obispo diocesano D. Juan Diaz de la Espada, 2000. El regidor D. Juan Crisóstomo Peñalver , por el pre.st de 5 soldados en 6 meses, 270. D. Juan José de. Sotolongo , por sí y su hijo D. Pió, cadete del regimiento de Puebla, 100. Doña María de la Cruz Morales, viuda y aíbacea de ]D. Gabriel de Castro Pa­ lomino, p…</t>
  </si>
  <si>
    <t>José-Jlnucheta</t>
  </si>
  <si>
    <t>El mismo Xiques , como apoderado de D. .luán y D. Simón Xiques , vecinos de dicha yilla Puerto príncipe', á nombro de estos , 50. El oidor honorario D. José-Jlnucheta, te­ niente gobernador de esta plaza, 10Q00. La oficialidad y tropa de las compa­ ñías dé infantería frxas de eifca plaza, 398 y 4 rs. El teniente coronel D. Ig…</t>
  </si>
  <si>
    <t>José-P</t>
  </si>
  <si>
    <t>1396 cí m^yor .crílsa y serenidad, acreditando en bizarría, los -artilleros voluntarios"distinguidos extramuros do esta plaza, D. José-P^ez, D. Manual Santa María, D.. Pudre Orozco, B.J aan Daran y D. Jasé de Varga?. Ei general en gef-5 Ies ha dado las gr&amp;sias, y el Clmsejo de H'jigi;ucia ha mandado igualmente que se les den en</t>
  </si>
  <si>
    <t>Josef</t>
  </si>
  <si>
    <t>de los hijos de los pobres de la» inmediacio­ tallón de la milicia cívica de Madrid. nes , y otra para los de los ricos. Su establecimien­ Carabene ( D. Josef) , capitán de caballería. to es visitado frecuentemente par viageros distin­ Carbonel (D. Juan Bautista), tirador de nuestra guidos de todos los países de la Europa» y …</t>
  </si>
  <si>
    <t>t Fotleo (D. Josef), subteniente del regimiento Luna ( D. Domingo ), sargento de húsares de nues­ de cazadores á caballo. tra guardia real. Fraquio (D. Manuel), fiscal de la junta criminal Lianza ( D. Rafael</t>
  </si>
  <si>
    <t>312. Pricturdo (D. Pedro de), oficial de lá «ecretaría Villalobos ( D. Josef), comisario ordenador dé del ministerio de Guerra. nuestros reales exércitos. Quesada (D. Pedro de), caballero que fue de la‘ Vilianueva (D. Juan de), intendente, honorario, órden de Cárlos</t>
  </si>
  <si>
    <t>RICAS. ra toda clase de sedas, y carecemos absolutamen­ te de este género. Si se hubiesen puesto en exe- Trieste 16 de febrero. cucion los planes del Emperador Josef, la Hun­ Las adnanas y portazgos se han puesto en estas gría tendría mucho tiempo há gusanos de seia, y provincias sobre el mismo pie que en Francia.--Se en el d…</t>
  </si>
  <si>
    <t>el gobierno francés. circulación los billetes del banco de Austria. El día 23 se celebró en la pa&gt;roquia de palacio TURQUIA. tm oficio solemne'por el Emperador Josef 11, al qual asistieron S. M. I., los archiduques , y toda Saltar i de Albania jo de enero. la corte. La víspera estuvieron cerrados los dos H ¡ce dos dias que no…</t>
  </si>
  <si>
    <t>teo), cabo del regimiento rí manifestar de una manera leal y auténtica á Real Extr.-ngero. V. M. I. y R. los principios y los sentimiento* Martínez ( D. Josef) , soldado de artillería. por los quales tomos guiados, y de los que es­ Mo reno (D. J ostf) , capitán det esquadroo de ca­ tamos resueltos á dar en todas circunstancia…</t>
  </si>
  <si>
    <t>vo adornado con la de montaña de cabañería de Madrid, capitán de mayor ostentac on. Esta extracción había atraído á la de Cuenca de la misma arma ; á D. Josef de la aquel sitio na gran número de espectadores, que Torre, sargento primero de la compañía de caza­ por lo general están mas contemos con las forma­ dores de montaña …</t>
  </si>
  <si>
    <t>tiguos como de tiempos modernos, Por decreto de 2 2 del corriente el R.EI se ha como nosotros ahora podemos lisonjearnos igualmente servido nombrar á D. Josef delToro y Aguilar jaez de tener en el señor Marchena quien nos traslade k quarto de la junta criminal de Xcrez de la Fron­ Moliere, y nos le manifieste, para decirlo as…</t>
  </si>
  <si>
    <t>treion del eitado; REI de las Espa­ se está construyendo el almacén general á prueba ña* y de las ludias. de bomba. „ Hadándose vacante por muerte de D. Josef ,,Se han señalado fondos para constrnir la con­ Hidalgo de Cáceres la sacristía de la partoqui í de cha de Terneuse, y se han principiado ya á abrir los Villares de la …</t>
  </si>
  <si>
    <t>nitas. perio. Para-el de la villa de Pruna , vacante por falle­ ,,Señores: el Cuerpo legislativo n® lia podido cimiento de D. Juan Agustín Romero , á D. Josef oir sin una viva emoción la exposición que acabais María Gutiérrez Diaz de Noriega, vicario perpe­ de presentarle sobre la situación próspera del im­ tuo, de X.rez de l…</t>
  </si>
  <si>
    <t>, fiscal del tribunal crimi­ ,,De este modo los enemigos no hm sacado de nal de Bilbao. ru última expedición á Extremadura y d.* mi ata­ Des-Essarts {D. Josef), canónigo de Santiago. que contra Badajoz otra cosa que la Vergii iiza de Echaniz (D. Antonio de), alcalde de Azpeitia. trabar emprendid» inútilmente estas dos operaci…</t>
  </si>
  <si>
    <t>encin­ D.Huís María Zavala, subteniente, A teniente tará la comedia antigua en tres actos de D. Pedro Cal­ de la déciiha compañía , en la vacante de D. Josef derón titulada ia Vida es sueño: seguirá d fandarv'; Garai. se cantará una buena tonadilla, y se finalizará con el Noveno batallón. sainete de D. Ramón de ia Cruz titula…</t>
  </si>
  <si>
    <t>osto. Gaiarza (D. Justo), presidente de la junta cri­ El REI se ha servido nombrar minal de Navarra. Gentileshombres de cámara con exefcicio Gambari (D. Josef), oficial de la compañía, de cazadores de montaña de. Badajoz. A los señores duque de M.hon, marques de la Gimbernat (D. Cirios), segundo director.del retí Vega barco o…</t>
  </si>
  <si>
    <t>os títulos y dignidades, que gozaban antes de Castilla, i.° de infantería ligera. del 18 de agosto de 1809 por concesión de los Re­ Virnésy Spinola ( D. Josef), mariscal de campó. yes de España nuestros augustos predecesores, las art. ii. Nuestro gran canciller y gran tesore­ personas siguientes : el marques de Valmediano, ro…</t>
  </si>
  <si>
    <t>cia.. 3 3 311.. 17 D. Vicente Anduaga.......... 10547..32 El patronato de D, Pedro D. Santiago Gavirati........... 3867..17 Sttarez de ToleJojr y Do­ D. Josef de Le- 7680 } ña Leonor de Estrado.... 34811..17 33655- 5 zameta....... 2,5975**53 D.Miguel Antonio de Oqu en­ do............................... . 1725 ry..13 Rs. vn...…</t>
  </si>
  <si>
    <t>z de Rozas, id-, resi­ te en id., por................................................. 2200 dente en Segovia , por........... .................. 3200 D. Josef de ia Peña , ex-dominico , lego, Rs. vn.... 179800 residente en Sta. María de Nieva, por.. 1 IOO D. Josef de Avila, ex-agustino, residente art. II. El tesoro público de…</t>
  </si>
  <si>
    <t>alborotos, ordinaria de Manzanares á D. Josef María Ga^ate, 6 impiden que se restablezca el orden. Todos los juez de la junta criminal de León ; y á D. Josef demas son súbditos leales y pacíficos ; los orangis­ Torres y Ligo, alcaide maj'or, juez de primera tas no lo son, porque el súbdito que es leal pro­ instancia de Ciudad…</t>
  </si>
  <si>
    <t>que anda­ parroquial de la villa de Azpeitia, en la provincia ban cruzando. Entre la división enemiga y la nues­ de Guipúzcoa, vacante por muerte de D. Josef tra había un banco estrecho, y vimos que todos Agustín Le Urdapilleta, al presbítero D. Manuel los barcos enemigos disparaban vaiLs andanadas de Iturbc. contra uno de nu…</t>
  </si>
  <si>
    <t>seada con’ansia por el propio Espoz! si vmd. sabe del tul asunto; y si na , le lleve mi respuesta ¡Qué franqueza, qué generosidad dtí parte del go­ á D. Josef, que será como desea. Bien sabe vmd. qu« bierno y de la diputación, y qué perfidia de parte de estas cosas no son de fiar a qnalesquiera, porque tan so­ Espoz 1 Alli to…</t>
  </si>
  <si>
    <t>evideo se ha rendido á las tropas de Buenos-Ai­ El hermoso palacio de la academia militar, que res. Pero no dicen quando salió este barco, ni tam­ el Emperador Josef u mandó construir en 178 5, se poco el dia en que se entregó la p! za ; por consi­ edificó con suma precipitación , sin cuidar de la so­ guiente esta noticia nec…</t>
  </si>
  <si>
    <t>tan dilatado, y qoe asombra m*$ y mas cada los vecinos de Ambéres empeñaron , por decirlo dia , á pesar de qne los prodigios que ha extrema­ asi, al Emperador Josef ix en una guerra contra do desde que reina debían ya habernos acostunlos holandeses; pero estaba reservado á otro mo­ brado á uo admirarnos de nada, narca mas pod…</t>
  </si>
  <si>
    <t>-29, pág, 1377, Para el de Ucero y su anexo Valdeavellano, va- donde dice; al ex- benedictino D. Bernardo Lo­ :cante por muerte? de D. Josef Frias, á D. Josef ca , debe decir Leca ; y;tn la pág. 1378 , donde Ahumada i cura de S. Martin de Rejas. dice*, al ex-carmelita descalzo D. DL'go Garúa Para el de Zaraves, vacante por ma…</t>
  </si>
  <si>
    <t>13*6 Don Joeef Napoleón por la gracia &lt;!■ Dios y Robles (D. Josef de) , maestreescuela de la cate­ por la constitución del estado, REI de las Espa­ dral de Granada. das y de las Indias. Romano (D. Ciríaco), teniente del regimiento 3.* Oído nuestro gran conse</t>
  </si>
  <si>
    <t>l discurso.siguiente: gón. = D. Pedro Gd de Bernabé. = D. Raimundo „ Señores: la justicia, primer atributo de la Ruiz. = D. Lorenzo González Viejo. = D. Josef «soberanía, conserva, en Iqs estados el buen orden, Martínez. = D. Pedro Dabadie. = D. Juan Moriar« y hace respetar las leyes con que sop goberna- ti. = D. Joset Cabrer…</t>
  </si>
  <si>
    <t>acia d,e Dios y Don Francisco de Pauta Valdivia , comandan­ por la constitución del estado, REI de las Espa- te de batallón, á mayor en la vacante de D. Josef fias y de las Indias. - Gavilanes. Visto el informe dé nuestro ministro de la art. v. En los batallones de la ciudad de Gnerra , hemos decretado y decretamos lo que Cór…</t>
  </si>
  <si>
    <t>tras cosas, que do S. M. promover en el regimiento t.° de caza­ todas prueban que son nuestros felices aliados. dores á caballo i D. Pedro Guldivar , D. Josef Do­ (10) Ei embaxador de Cádiz reconoce el poder co­ mínguez y D. Víctor Toledo de García, sargentos losal de la Francia, y va á prosternarse delante del ene­ primeros,…</t>
  </si>
  <si>
    <t>por promoción de Para el de la iglesia parroquial de Trevelez al D. Melchor Casanova al de Bagol, al ex-regular presbítero ex-regular de Sto. Domingo D. Josef franciscano D. Francisco Campos. Guerrero. Para el de Iznalloz, vacante por ascenso de Don Para el de Valor, vacante por promoción de Melchor de Cnerda al de Cogollos, …</t>
  </si>
  <si>
    <t>Josef, Cipriano</t>
  </si>
  <si>
    <t>Cipriano Josef</t>
  </si>
  <si>
    <t>ran canciller de la Orden duque do mayor del gobierno de Madrid. del Campo de Alange.” Salgado (D. Josef Claudio), canónigo de Sala­ manca. Salinero (D. Cipriano Josef), oficial de la secre­ taría del ministerio de Negocios eclesiásticos. PLAZA DE MADRID. BOLSA. Sansot (D. Josef), capitán de granaderos del regi­ DÍA. l8 DE MA…</t>
  </si>
  <si>
    <t>Josef, Felipe</t>
  </si>
  <si>
    <t>Felipe Josef</t>
  </si>
  <si>
    <t>Nútn. 161. GAZETA DE MADRID ' " ‘ V." r* ■r.fr DEL LUNES 10 DE JUNIO DE i8tt. •ítC* . SUECIA. de hacer el abogado Felipe Josef. &lt;J|Íli¿\por el qóú se prueba que aquella ciudad d¿st&amp;gda.-jpor • C^miEitockolmo a,S de abril* lo, y reedificada después, estaba smíáda á dos mi­ Hoí lia salido de aquí para la Pomrrania el</t>
  </si>
  <si>
    <t>Josef, Juan</t>
  </si>
  <si>
    <t>Juan Josef</t>
  </si>
  <si>
    <t>oleón. Galindo (D. Manuel), teniente de la milicia cí­ Maells ( D. Mariano) t nuestro primer pintor de vica de la villa de Fuentes.' cámara. Gandía ( D. Juan Josef de). Manzoni (D. Estéban), subteniente del tercer re­ García ( D. Juan ), sargento segundo del batallón gimiento de cazadores á caballo. franco de Guadalquivir. Ma…</t>
  </si>
  <si>
    <t>á las quatro y media de la larde, de caballería de cazadores de montaña de Ubeda. te cxccutará la comedia en tres actos titulada el Fénix Vildosola ( D. Juan Josef), teniente de navio re­ de los criados, ó María Teresa de Austria, una tonadi­ tirado. lla; y se finalizará con un sainete. Víllaiba (D. Antonio), capitán ayudante…</t>
  </si>
  <si>
    <t>z (D. Diego), juez de las juntas de S. M. = E1 gran canciller interino de la órden = Negocios contenciosos. Firmado=Mariano Luís de Urquijo.” Gómez ( D. Juan Josef), comisario de guerra de segunda clase. AVISO. González Yebra (D. Eustaquio), coutador gene­ El Sr. D. Juan Bautista Guitart, del consejo de ral de la provincia de…</t>
  </si>
  <si>
    <t>Josef, Pedro</t>
  </si>
  <si>
    <t>Pedro Josef</t>
  </si>
  <si>
    <t>cisco López García , i Para ti curato de la villa de Almonte, vacante D. Antonio Gameto, presbítero, ex-regular del óror moerte de D. Joan Millati, á D. Pedro Josef den de S. Francisco. E opez, presbítero, ex-regular del orden de San Para el de la de Castilbianca , vacante por muerte de D. Juan Francisco López Redondo, al Fra…</t>
  </si>
  <si>
    <t>Josef, Zacarías</t>
  </si>
  <si>
    <t>Zacarías Josef</t>
  </si>
  <si>
    <t>lardo (D. Tiburcio), corregidor de regimirtuo de tiradores de nuestra guardia real. Vizcaya. Martin (D. Nicolás), subteniente del regimiento Garrido (D. Zacarías Josef). de Toledo, 2.0 de infantería de línea. Gayarre ( D. Francisco), cabo de artillería. Martínez Tornamira (D. Antonio), comisario de Gimbernat (D. Antonio), mie…</t>
  </si>
  <si>
    <t>JosefCrespo</t>
  </si>
  <si>
    <t>que, provin­ por......................................................................... 2200 cia de la Mancha, residente en Toledo , por...... 2200 D. JosefCrespo, natural de Madrid, residente en D. Tomas de Consuegra, natural de Consuegra, de Toledo, por.......................................................... 2200 la mis…</t>
  </si>
  <si>
    <t>JosefCustodio</t>
  </si>
  <si>
    <t>villa de la Carlota y aldeas ad­ cinco actos titulada Blanca, ó los Venecianos, y el sai­ juntas se formarán tres compañías. nete el Duende fingido. D. JosefCustodio queda nombrado comandan­ te; D. Antonio Aguacil ayudante, y D. Antonio En el mismo teatro, á las siete de la noche, se eje­ Gutiérrez abanderado. cutará la comed…</t>
  </si>
  <si>
    <t>JosefGrumeta</t>
  </si>
  <si>
    <t>, sargento primero, á subte­ Cédulas hipotecarias........................ 951 n« niente de la sexta compañía. Certificaciones del tesoro público. 80$ D. JosefGrumeta, sargento primero, á sub­ Oro español contra plata.....;.......... lk teniente de la octava compañía. Quinto batallón. TRATEOS. D. Pedro Soler, teniente, á capit…</t>
  </si>
  <si>
    <t>Josefina, María Luisa</t>
  </si>
  <si>
    <t>María Luisa Josefina</t>
  </si>
  <si>
    <t>d« Se ásegara que se esta tratando de organizar en enero abadesa del cabildo de Santa Ana á la archi­ lá primavera próxima las guardias nacionales en duquesa María Luisa Josefina. las ciudades déí Tirol, báxo el mismo pie en que Se Bailan ya en tojas las demas ciudades del reino. GRAN DUCADO DE BADEN. GRAN DUCADO DE FRANCFORT…</t>
  </si>
  <si>
    <t>JóseFLdpez</t>
  </si>
  <si>
    <t>riba contra-la corriente pót-medio ’Crii y Cartagena, han 'rendido las armas , y pedido) de la bombi de fuego' ‘dé ’Watt y'Bonltón. Este *ü perdón.va D. JóseFLdpez , oficiáfj se ha some-a barco ha sido'construido en Baltimoíe.y tiene 1 jo tido en Berja cód\i8‘Hbthb¡rcí.s=Lb¿ gefes dé es* pies de largó .y '16 de'anchó. Un gran…</t>
  </si>
  <si>
    <t>JosefVasallo</t>
  </si>
  <si>
    <t>oscf Napoleón por la gracia de Dios y por D. 1 gnacio Antonio Velasco.................. 1384).. 6 la constitución del estado, REI de las Espadas y de D. JosefVasallo....................................... 132240..19 las Indias. Vista la consulta de la comisión de liquidación de Rs. vn... 372685..18 la deuda del estado, lo exp…</t>
  </si>
  <si>
    <t>JoséjAburrusa</t>
  </si>
  <si>
    <t>eron en este dia , y todo3 cuíq,plieeon con su deber; pero de aquellos , los que mas sobresalieren son los sargentos mayores ü. Buenaventura Tomasa y D. JoséjAburrusa. El comandante de tiradores de Cantabria D. Pablo Manual de Lassga; el capitán de cazadores del regimiento de Laredo D. B asnardo Gómez de Caso ; el capitán de …</t>
  </si>
  <si>
    <t>Josus</t>
  </si>
  <si>
    <t>de, se executará ia comedia trifaldina, á imita­ tros de la antigüedad, y nuestros artistas á imitar ción de las italianas de esta clase que escribió D. Josus modeios. Muchas de las obras de!aquel si­ sef Cañizares el año de 1714. Está adornada de másca­ glo fueron escritas en Italia, no en italiano, si­ ras, baile , magia y …</t>
  </si>
  <si>
    <t>Jourdan</t>
  </si>
  <si>
    <t>1124</t>
  </si>
  <si>
    <t>10 oficiales de va­ rias armas , y 10 empleados del cxército enemigo. Hoy han entrado á las 2 de la tarde 2000 hombres procedentes de Salamanca. — El mariscal Jourdan no ha llegado aun, ¿pesar de que hace 3 dias que se le aguarda. Crece la escasez de numerario, y pqr lo mismo se activa con el mayor rigor el cobro de la contri…</t>
  </si>
  <si>
    <t>. Dámaso de la Torre , á quien tenían entre ojos los ministros, porque durante el mando de Beiliard no hacia caso de ninguno de ellos. Ei 28 llegó el mariscal Jourdan con su hija, muger del conse­ jero de estado conde de S. Anastasio, 2 edecanes , el general Riperí, 19 oficiales superiores, ei comandante de Segovia Canapagno,…</t>
  </si>
  <si>
    <t>l Duero 27 de setiembre. — Extracto de diferentes noti­ cias de Castilla, Rioja y Alava, relativas á éste mes. La escolta con que entró en Vitoria el mariscal Jourdan á prin­ cipios del corriente,era de 1300 infantes y 400 caballos. Después lle­ garon á dicha ciudad 3500 infantes, que según dixeron ellos mis­ mos , .venían de…</t>
  </si>
  <si>
    <t>Jóven, Josef Ignacio</t>
  </si>
  <si>
    <t>Josef Ignacio Jóven</t>
  </si>
  <si>
    <t>o público, jeros de Estado D. Sebastian Piñuela, D. Pedro Ramón de Eche* importantes 1 1.258094 reales y 2 maravedís vellón, extraídas del vertía , y D. Josef Ignacio Jóven d« Salas para su cancelación; arca de tres llaves á presencia de los excelentísimos señores cocse- y son, 4 saber: Núms. Rs. vn. Núms. Rs. vn. Núms. Rs. v…</t>
  </si>
  <si>
    <t>Jover, Amador</t>
  </si>
  <si>
    <t>Amador Jover</t>
  </si>
  <si>
    <t>yen los obeliscos, que todavía se D. Fernando Díaz. conservan en pie después de tantos siglos. D. Migue! C^b.'zas. París 6 de marzo. D. Jo^et Roldan. D. Amador Jover. El señor Labouchere, comerciante de Amster- D. Rafael Ravé y Priego. datn, hi obtenido nn pasaporte de la policía para ir á Londres por asuntos de so comercio. …</t>
  </si>
  <si>
    <t>Jqsé</t>
  </si>
  <si>
    <t>140</t>
  </si>
  <si>
    <t>etar de las huestes del atroz Napoleón; es solicitado por sus generales con rue­ gos y(¡promesas que desprecia, y es temido en la corte del fabuloso .rey Jqsé, á,quien nq dexa un dia;de quietud en el usurpado y vaci. lante tronp de. donde con nuestros auxilios y los del gobierno le arro­ jará sin duda , dando lugar á nuestros…</t>
  </si>
  <si>
    <t>JranGamez</t>
  </si>
  <si>
    <t>mejo, D. Luis Puente, D. Aotolin Sigiienza, D Matías Te­ resa, D. Juan González , D Manuel Calvantes, D. Jé Mora, Don Juan Morgaez, D Alfonso Gírela, D. JranGamez , D. L *&gt;n Acnña, D. Esmeraido Acuña, D. José Correa Ioañez,D. Ramón Salas y Don Julián Retana. Buques que han recogido correspondencia en la administración de corr…</t>
  </si>
  <si>
    <t>Jsan</t>
  </si>
  <si>
    <t>y ha entregado 9-3 y 4 rs. J). Blas Valladares, segundo, por 6 meses de su oferta en cada uno, 30. I&gt;. Gerónimo Medina , tercero , por una vez , 30. D. Jsan de Dios Cen­ teno , quarío , por 10 nieges de su oferta , 20. D. José María de Echanove , quinto, por una vez, 13 y 4 rs. D. Miguel González de Rueda, agre­ gado , por 9 …</t>
  </si>
  <si>
    <t>Jtitsch</t>
  </si>
  <si>
    <t>llos el nuevo regimiento de en­ servaron su posición de Saotaten. sacas de á caballo, mandado por ei coronel Ni- Varias cartas de Lisboa dicen qne e! general Jtitsch, vinieron á reunirse con su exéretto. Drouer se ha reunido con Massena con 22© hom­ Fedefico ei Gfande se defendió el año 1760, bres. Creemos que el númeto de *&lt;…</t>
  </si>
  <si>
    <t>Juaa</t>
  </si>
  <si>
    <t>uado entre esta to de D. Diego Merino y Molano, al ex-benrdicciudad y la de Amersfett, para pasar revista á las tino D. Bernardo Loca, al ex-agustino D. Juaa</t>
  </si>
  <si>
    <t>Juan</t>
  </si>
  <si>
    <t>rado. En vista separar (a corteza de este antes de machacarlo y de de esto hice que diferentes personas, atacadas de ponerlo en infusión. = Firmado = D. Juan de Dios la misma enfermedad, entre otras los señores Du- Maclas/’ fond , Manceaux del Lamentin , é Hilario de SaintPierre, tomasen el mismo remedio, y todos han sido cur…</t>
  </si>
  <si>
    <t>ndante del destacamento de Penonorné , 100. D. Gabriel Guerrero , subteniente del regimiento de milicias blan­ cas disciplinadas de infantería , 100. D Juan de Dios de Avala, gobernador de Santiago de Veragua, 300. D. Pedro Ortiz, por recaudación hecha en el mismo Santiago de Veragua de varios individuos , 203. El Dr. D. Ma­ …</t>
  </si>
  <si>
    <t>a , qse conoce de! &lt; xpedientr p,-om'". ; o sobre su el proyecto. Un navio enn provisiones, constancia en paradero por la es- rib.mía de provincia de D. Juan nsivegar entre los paralelos en que no habia que temer Antonio Di ir N..riega; ¡os qu.des se pasaron en el año ni grandes trios ni calores excesivos, con esto solo es­ d…</t>
  </si>
  <si>
    <t>del re­ Cnbells ( D. Tadeo), capitap agregado at estado gimiento de Madrid, i.c de infantería delinea. mayor de la plaza de Madrid. Aivarez de Faria (D. Juan), mariscal de campo Cubero ( D. Juan) , tirador del regimiento de To­ de nuestros reales exércitos. ledo, a.° de infantería de línea. Andrade ( D. Serafín), tambor del r…</t>
  </si>
  <si>
    <t>nuestro primer pintor de vica de la villa de Fuentes.' cámara. Gandía ( D. Juan Josef de). Manzoni (D. Estéban), subteniente del tercer re­ García ( D. Juan ), sargento segundo del batallón gimiento de cazadores á caballo. franco de Guadalquivir. Manzoni (D. Josef), subteniente del de Toledo, García Fernandez (D. Domingo), di…</t>
  </si>
  <si>
    <t>( D. Josef), comisario ordenador dé del ministerio de Guerra. nuestros reales exércitos. Quesada (D. Pedro de), caballero que fue de la‘ Vilianueva (D. Juan de), intendente, honorario, órden de Cárlos m. y arquitecto mayor de nuestra real casa. Ramírez de Villalba (D. Pedro), teniente de la. Villaoquina (Conde de), ayudante p…</t>
  </si>
  <si>
    <t>l oficial mayor D. Manuel Ortiz , en cada un año , 80. El segundo D. Blas Valladares, en cada mes , 5. El tercero D. Gerónimo Medina . 30. El quai'to D. Juan de Dios Centeno , en cada mes, 2. El quinto D. José María Echanove, 12 y 4 rs. El oficial agregado D. Miguel González.Rueda, en cada més, 1. El guarda mayor D. Francisco…</t>
  </si>
  <si>
    <t>eambaro , y 2 defendiendo el paso del puente. A conseruenda dio órsien para que reunidas las guer­ rillas al mundo del capitán de dragones de México. D. Juan de Di as de Cos, y del teniente del regimiento de Toluca D. Francitco Amat, ata asen los puntos y artillería avanzada del enemigo $ el cual ebsirví trio este movimiento,…</t>
  </si>
  <si>
    <t>los barcos verttcalmente, empleando el agua como AVISO. contrapeso, 6 bien sirviéndose de este fluido paca En virtud de providencia judicial del Sr. D. Juan dar movimiento á las máquinas. Bautista Guitart, del consejo de S. M., juez en pri­ V Pero todos estos medios, cuyo objeto era su­ mera instancia, se ha mandado sacar í p…</t>
  </si>
  <si>
    <t>tenencia de granaderos á los agregados de fusileros D. José Broaini y D. Wenceslao conde de Petting: segundas tenencias de fusileros á los alféreces D. Juan de Dios Landáburu , de granaderos, D. Carlos Gon­ zález de Llanos, D. Juan Domingo Foxa, D. Mamerto Landáburu yr D. Carlos Orreyile barón de Clonkee, y al capitán segundo…</t>
  </si>
  <si>
    <t>eguidos tenientes D. José Brodoni, D. Wenceslao conde de P-raiir-g , y D. Car os González de .Llanos : segunda teatncia de granaderes a* de fusileros D. Juan de Dios Landáburu; y ssgusda tenencia de cazadores á D. J&lt; sé O agí er Fdiu, capitán de cazadores del regimienTo de las Ordenes militares. OAáJliá : EZ¡ LA IMPRENTA KEAL.</t>
  </si>
  <si>
    <t>abiendo sido herido e! teniente de navio D. Santiago OrtiZ de Zarate, comandan­ te del cañonero rúm 17 —Eí comandante de la Carraca, marcea! de campo D. Juan de Dios Topete, expresa en su parte que en eí citado dia h s guerrillas del Lastre se batieron bizarramente con el enemigo. Ei brigadier D. José La torre, refiriéndose á…</t>
  </si>
  <si>
    <t>. D. Luis Mén­ dez , 5. D. Antonio Calero, 5. D. Francisca Peralta , 6. Pedro Saboila, 4. X&gt; Ramón Totosans, 4. D. Juan Perez, 4. D. Valerio Grau , á D. Juan de Dios \randa, 8. D. Esteban Borom, 3. D. José García, 2. D Pedro Ferrer , 2. D. Domingo Marera , 1. D. José María Suarez , 2. Antonio Balao, 8. D. Francisco Armario, 4…</t>
  </si>
  <si>
    <t>..... 648 7776 rendados á D. Isidoro Xi- Otro de 288 celemines de id., meneayD. AntonioCadro. 800 ■ 9600 en la cañada de Galiana, guádix. arrendado á D. Juan de. Una huerta de ó fanegas de Dios Asien........................... 625 7500 tierra de riego en el pago PU RCH1L. de la Rambla y Cai y Can­ Sesenta y quairo fanegas de …</t>
  </si>
  <si>
    <t>6n dújar y con olivas de Don con t9gi cepas, algunas 24a 2904 Pedro Caridad y D. Juan piatas y 16 olivos............. Tomas del Marmol......... . 469.. 17 5634 Dos viñas, la una sitio del Carril ¿"Paderejas, de 6 Una tierra en término de di­ cuerdas, con 4630 cepas, y cha ciudad de Jaén, en el</t>
  </si>
  <si>
    <t>vantes, compuesta de fa- J" Otra en la calle de S. Miguel, nega, un almud, y 7 esta­ parroquia de las Angustias, dales, con alberca, noria, la habita D. Juan de Dios quadra y sobrado............... 1000 12000 Guadia.................................. 60o 4800 Otra , contigua á la anterior, PROVINCIA DE TOLEDO. arrendada á Luis…</t>
  </si>
  <si>
    <t>io Cosgaya, 50. D. Gregorio Marcad al, líX). D. Hipólito Olivera, vecino de Bacalar, 50. D. José Nicolás Guerra , 25. Dona Juana Felipa Romero , 100. D. Juan da Dios Cosgaya , subdelegado de la intendencia de esta provincia en ei par­ tido del camino real alto, por donativo que han hecho los vecinos de su partido, 2087 y 1 re…</t>
  </si>
  <si>
    <t>ines, cuyo dueño se ignora. mero 1 , venido con guia de Victoria de 3 de’ Núm. 103. Otro, marca E. S., que tam­ dicho, con cintas de terciopelo, para D. Juan bién se ignora su dueño por falta de guia, y Antonio Serrano de Granada. contiene libros. Núm. 36. Un paquete rotulado á D. An­ Núm. 103.. Otro, con rótulo á D. Henriton…</t>
  </si>
  <si>
    <t>de ios Ríos, con fe­ cha 8 del corriente, dice a! general en ge fe interino del cuarto exéreito lo siguiente.— Excavo. Sr. — Ei alteres de caballería D. Juan de .s_'Con ¡o;a k ,ih I; la partida de patricias de Retín, con fecha de ayer me da el parte siguiente : „Habiéndose quedado Francisco Andrade con 9 hombres en las inmedi…</t>
  </si>
  <si>
    <t>782</t>
  </si>
  <si>
    <t>iados de Veracruz para el registro y.envió directo y franco de derechos de los caudales, á manos de D. Bernardo Rie­ ga, I). Juan Faenado Caballero y D. Juan de Madrid Dávíla, en­ cargados principales del Empecinado en Cádiz. El exemplo de l®s dignos ciudadanos autores del pensamiento, la aprobación del Sr. virey, y ei Íntere…</t>
  </si>
  <si>
    <t>rón da la cruzada de A!burquer*]ue los capitanes D. Gabriel Corridhs y Doa Francisco Vitorino.” IZdacwn de las cantidades que kan entrado en poder de D. Juan lio* ívira Farinosa, como encargado de la recaudación del donativo patrié -. tico á favor del exordio de Cataluña, en virtud de ia circular de$ Exento. Sr. duque del Inf…</t>
  </si>
  <si>
    <t>r de Blancos , agregada al batallón de Morenos , por dos meses de su oferta mensual , 12. D. Juan Naranjo , sargento retirado, por oferta mensual, 7. D. Juan íbañez, comisario de guerra honorario, y secretario del gobierno y capitanía general por el prest de 4 soldados en dos meses , durante la guer­ ra, 72. D. Esteban Cambre…</t>
  </si>
  <si>
    <t>a un Peifi ___D. A. Yo, pobrveito de Granada 2¡ de julio. mí, le creí como si fuera un oráculo, ten í el olor Ayer falleció en esta ciudad elExcmo.Sr.D. Juan del cordel, dexo mi casa, abandono mi destino, y Manuel Moscoso y Peralta , caballero gran banda de me echo á correr por esos andurria'es____D. R, la Orden Real de Españ…</t>
  </si>
  <si>
    <t>a colegial de Vitoria. cha de granos de toda especie en todo el imperio. Dueña* y Vilches (D. Nereo), corregidor (fe Fuente-Ovejuna. ESPAÑA. Fallet ( D. Juan), cabo primero del regimiento Real Extrangero. .. ■ Madrid 14 de agosto. Gaiarza (D. Justo), presidente de la junta cri­ El REI se ha servido nombrar minal de Navarra. G…</t>
  </si>
  <si>
    <t>Bernardo), tirador del regimiento Don Josef Napoleón por la gracia de Dios y Real Irlandés. por la constitución del estado, REI de las Espa­ Tellez (D. Juan), soldado inválido de la compa­ ña* y de las Indias. . ñía de S. Ildefonso. Vistas las solicitudes que han hecho varias per­ •Teran ( D. Francisco), comisario real en Ext…</t>
  </si>
  <si>
    <t>ura délos mercenarios ilusos que mandaba. Nuestra pér­ dida en los expresadt s dias consistió en 3 b¿ribos, uno de ellos el alf?rez de tropas ligeras D. Juan de Dios Acosta , habiéndose obser­ vado por el rastro, caballos acuchillados y prendas que dexaban las partidas enemigas en su precipitada retirada, que la .suya fué mas…</t>
  </si>
  <si>
    <t>decreto. = Firmado = YO EL REI. = Por nillos.................................... 48 1780..22 S. M., el ministro secretario de Estado=FirD. Prudencio, D. Juan y mado = Mariano Luis de Urquijo.” Doña Josefa de Aguirre por su apoderado D. Lo­ Extracto de las minutas de la secretaría de renzo de Iruegas............... 23 5806..27…</t>
  </si>
  <si>
    <t>874</t>
  </si>
  <si>
    <t>'la hora. Por la mañana del día. sígu eme s.’ situaron en la Virgen et G .mino. ©asando los da Villanú. il'.n eí Eúa - , y dirig-endoie a Valenria de D. Juan. Día 28. La sección ai mando del brigadier D. Federico (Lata* ñon hoi salido á hacer ua reconocimiento, y situarse «obre el O:bi« go í las div «iones d«51.a derecha se s…</t>
  </si>
  <si>
    <t>e arrolla­ parcido entre los valencianos. ban las poblaciones con la celeridad del rayo? (2) Puede decirse inui bien qtie Tarragona no fu £1 sitio de D. Juan 11 parece el mas feliz de sido jamas conquistada, si se atiende á que de las trei quantcs hasta la presente guerra había sufrido Tar­ veces que se han apoderado de ella,…</t>
  </si>
  <si>
    <t>897 blgo y la Bañeza. Los enemigos están en dos cuerpos, el primero sobre León y el otro sobre Villamañan, ó mas bien sobre Valencia de D. Juan : este ha hecho movimiento eon un batallón sobre Toral de ¡os Guzmanes. En el puente de Castro Gonzalo se mantiene otro peqiiíño cuerpo. Nuestra segunda legión de Castilla, cuyo movim…</t>
  </si>
  <si>
    <t>alde de Zala­ Y á D. Estanislao de Laya para el de Paredes mea, y el fin de fiesta ios Hombres solos. Actores en del Monte , vacante por promoción de D. Juan la comedia. Señoras Maqueda , Torres y Vargas. Seño­ García al de la villa de Piñel de abaxo. res Maiquez , Infantes , Caprara, Avecilla, Suarcz, Nuestro ministro de Neg…</t>
  </si>
  <si>
    <t>ras tropas continúan sobre la línea del Orbigo.— Los enemigos , reforzados, hacen repetid s marchas y contramarchas de Benavente á León , Valencia-de D. Juan &amp;&lt;\ El 10 iiegaron á Mayorga algunos lanceros , procedentes de Ktoseco.—■ Diariamente se pasan saldados de las enemigos: áni-'S de ayer se presentó un tambor mayor, y en…</t>
  </si>
  <si>
    <t>partido del. Horcon , por oferta mensual durante la guerra, 10. D. Juan Naranjo/sargento retirado, en cada mes, 7. El comisario de guer­ ra honorario D. Juan íbañez , secretario del gobierno y capitanía general, par el prest de 4 soldados en un mes durante la guerra, 38. D. José Miguel Soler, oficial segundo de Ja misma, por …</t>
  </si>
  <si>
    <t>­ gado, y 8 cabos y soldados de caballería heridos, 3 caballos muer­ tos y 16 heridos : 2 de estos fueron los del coronel, comandante de tirado* ¿s , D. Juan .de_ Soto , y entre los muertos el que montaba D.-lga&amp;o. Uno' de les .'paisaucs, á quien los enemigos obligaron á sc-rvirics de guia, volvió á decir que su pérdida fué d…</t>
  </si>
  <si>
    <t>975 Bazo, nos fuirads á Corbsra, y de dicho liígar al del Palmar .de D. Juan.. Las tropas han padacido infinito' por la falta de subsis­ tencias. El dia 10 empremi irnos la radiada , llegamos el 15 á es le punto , y los saldados, que en 6 dias lian andado 37 leguas</t>
  </si>
  <si>
    <t>esta ciudad, y de ellas El día 22 de agosto último falleció en esta cor­ hemos hecho los extractos siguientes: te , y en el mismo solar donde nació, D. Juan de ,, Nunca ha sido el comercio ingles tan redu­ Villanueva , arquitecto mayor de S. M., é inspec­ cido como ahora, ni los negociantes han padecido tor general de obras, …</t>
  </si>
  <si>
    <t>nterior. corriente, que pOr 3 términos'se les concede , y el úl­ Desde entonces no hubo honor que no obtu­ timo pereno-rio, comparezcan ante el señor D. Juan viese; ni encargo de importancia que no se le con­ Bautista Guitart . del consejo de S. M- . juez de pri­ fiase, y en pocos artistas ha sido premiado el mé­ mera instanc…</t>
  </si>
  <si>
    <t>n el regimiento de infantería inmemorial del Jlcjr compañías á D. Felipe Marcenaro y á D. Antonio Sánchez; ayudantía á D. Ratael Miion ; tesei?cias á D. Juan.Amores, D. José Rico, D. Mateo Novoa, D. Juan MonterrosoD. Manuel Hernández, I). Dionisio Sií?c,h:s, D. Fe lio. Mariis Carnea, D. Rimon Vázquez y D. Ber­ nabé Fae-zsubte…</t>
  </si>
  <si>
    <t>Gaceta de Madrid n.º 272</t>
  </si>
  <si>
    <t>sé quau superiores son dí , en haberse puesto en tales manos. Pero hablemos « en esta parte sus ideas á las del vulgo. Asi pues solo claros, mi amigo D. Juan: sosiégúese vmd.; óigame «miraré la cuestión por la parte del interes, suponiéncon atención, y veremos luego si aprueba la conducta «dole en esta ocasión unido con la ju…</t>
  </si>
  <si>
    <t>ta que perder, y su .uno le vmd. ir á pedirle limosna! ■ no van mas que á ganar con it contusión y anarquía: Kn lin , dixo después de una Ive e pausa D. Juan, » los que viven con los abusos y'con ei m il de los otros, está visto que se han perdido á sí mismos, y que nos „ y que nada les importa que todo se sacrifique, como li…</t>
  </si>
  <si>
    <t>. D. Tomas Rodríguez, D Pedro García, D. Frutos Bo­ ros, D. Manuel Pias ncia y D. Fado Mera; los de subteniente á D. Martin García, D. Manuel Plaza , D Juan, Domínguez, Don Manuel Paez, D.'Rafael Pato, D. Juan Sánchez Bandito, D. Joré Birrientos, D. Joaquín Cárdeno, O. Calixto Ximenez B cerra y I). Valentín García Serrano; el…</t>
  </si>
  <si>
    <t>llero queda nombrada Capitanes. capitán, y D. Antonio Josef Zamora subteniente. D. Joan Manuel Barranco. art. ix. Nuestros ministros de lo Interior y D. Juan tía Lechuga. de la Guerra quedan encargados de la execucion de D. Fernando Rodriga, z. este decreto. = Firmado = YO EL REI — por S, M., el ministro secretario de Estados…</t>
  </si>
  <si>
    <t>Pablo Mojí! lo, segundo comandante general de la misma, tan distinguido por su valor y actividad, y ai coronel, comandante, de la Legión extremeña-, D. Juan ílow&amp;ie, que en cada ocasión da cuevas muestras de su búllante bizarría. , * ■ Los ayudantes generales de estado ,mayor D. José Espoleta, bri­ gadier de los reales exérei…</t>
  </si>
  <si>
    <t>compañía á dar funcione» extraordinarias Espinos ’...... ................................ 18000 en varios dias para mayor comodidad del público a las D. Juan Da.es................................ 360 quatro de la tarde, sin perjuicio de la diaria, que será, D. Jorge Si mi Iier............................ 3218 como hasta aquí,…</t>
  </si>
  <si>
    <t>303 y 5. D, Ense­ bio Gómez , 50. D Jaymc Kernati, 25. D Antonio Moreno,- 100. D. Antonio Comadira, 2.0. D. Andrés Moreno , 330. D Gerardo Bas.,‘300. D. Juan .Mar­ ti y Robus , 62 v 6 rs. D. José Ferrer, 75. IX Matias Rere/., 50. D. Gaspar Bavi , 50. D- Jaymc Pont, 50. I). Juan Plá , 35 y 5 rs. D. Santiago Parodi, 30. D. Domi…</t>
  </si>
  <si>
    <t>ular de su diócesis. res y Baus. Señores Ponce, Infantes, Caprara , Aveci­ Pedesclaux ( D. Hugo), cónsul en Burdeos. lla , Suarcz r Fabiani. Reuthi ( D. Juan) , capitán del regimiento suizo. En el de la Cruz, á lasquatro de la tarde, se eje­ Rio (D. Manuel del), comandante de batallón de cutará la comedia en tres actos titula…</t>
  </si>
  <si>
    <t>Merino........... 12150 el Marido sofocado. D. Juan Fnncisco Alvarez , y en Kn el de Ja Cruz, .á las quatro déla tarde, se exesu nombre sn apoderado D. Juan cutará la comedia en tres actos titulada Eduardo y Antonio de Aulete....................... 3607 13 Federica, con tonadilla y sainete. EN LA IMPRENTA REAL,</t>
  </si>
  <si>
    <t>..... 1173 8§ Doña Crispina Guches , herederos 6 D. Francisco de Paula Des-essart, por de D. Manuel Garué:..............-....... mano de su apoderado D. Juan. M34 8|l 3 D. Juan de Iriarte..-............................ 16335 üí Josef Gamboa.............. 6859 1 D. Gregorio de los Tueros......... . 1805 2 D. Juan Bautista Cond…</t>
  </si>
  <si>
    <t>enviaban llera, teniente., á ayudante del primer batallón: para el Empecinado, haciéndole el honor de nombrar­ D. Josef Caparrds, D. Joaquín Marques, D. Juan le su proveedor ó mayordomo, trocando asi las funcio­ del Mármol, D. Antonio Angulo , D. Cirios del nes de ambos; pues al fin el uno peleaba mientras el Castillo, D. And…</t>
  </si>
  <si>
    <t>ante por muerte D. Gaspar Juan Comino á un beneficio de Loza, de D. Fabian Roelas, al presbítero D. Josef An­ al presbítero ex-regular de S. Gerónimo D. Juan tonio Rodríguez. Josef García. Para el de Jayfena, vacante por promoción de Para el de la iglesia parroquial de Trevelez al D. Melchor Casanova al de Bagol, al ex-regula…</t>
  </si>
  <si>
    <t>Juan'Psu</t>
  </si>
  <si>
    <t>op:.z Salazar, D. Manuel BjUmonts, D. José Giiau-de., D. Gaspar Surianor, D. Pablo Lozano, D. Ciato.Eguimbái, y D. Fabián Mantilla; y subtenr notes á D. Juan'Psu*»!», D. J«&amp;é A ios'Ós , D. Pedro Lí/ó, D. Akonio Bereitgtier, D. «José- Cueva?, D. Jasé S&amp;rnpér, D. Aídolu» Forrar, D. Bjrnabó Vda, D. y ícen­ te N¿ñaz Cortes, O. Al…</t>
  </si>
  <si>
    <t>Juan, Cayetano</t>
  </si>
  <si>
    <t>Cayetano Juan</t>
  </si>
  <si>
    <t>ue el cavilan D. .Taan Ramos y el alférez D. Eus­ taquio Hernández con las ccmpi ñíf-s de carabineros, J s-'gunda deí quinto escuadrón , y el caoiran D. Cayetano Juan con otros SO ibfkutes ocupasen el hoyo d&lt;l Texar, por si venían á ia derecha dél rio ; con encargo de dar el golpe la tropa que ocupaba lc3 viñas ó la del hoyo,…</t>
  </si>
  <si>
    <t>Juan, José San</t>
  </si>
  <si>
    <t>José San Juan</t>
  </si>
  <si>
    <t>uel Gutiérrez del Corral, 15o0. D. Clemente Vciez, 1500. D, Francisco Mantilla é hijo, 600. D. Manuel Perez González, 600. I). Bernardo Salceda, 600. D. José San Juan, 600. D. Manuel Gutiérrez de Caballos, 600. D. Manuel de Olea, 500. Mozos de tas tiendas. — D Manuel González Plancho , 500. D. José Gó­ mez Soldado, 300. D. An…</t>
  </si>
  <si>
    <t>Juan-Castellanos</t>
  </si>
  <si>
    <t>o Novoa, D. Juan MonterrosoD. Manuel Hernández, I). Dionisio Sií?c,h:s, D. Fe lio. Mariis Carnea, D. Rimon Vázquez y D. Ber­ nabé Fae-zsubtenencias i D. Juan-Castellanos, D. Casimiro Fue­ llo , D. Miguel -DuranD. José Morales, D. Luis Valderas, Don Juan Extrémela , D. José Romas»nta , D. Diego Malfeito, D. Alon­ so Perez, D. …</t>
  </si>
  <si>
    <t>Juan-Mayvnó</t>
  </si>
  <si>
    <t>Carreras, 256 y 4. D, José Xavier de Aranzarnendi , 203 y 6. D. José Geipi , 38. D. Juan Soler, 30. Francisco Aguerra,# 80. D. Andrés Gonza’ez , 40. D. Juan-Mayvnó y compañía , 150. D. Antonio Escardó , 70. D, Francisco Puche , 50. D. ¡Miguei l’orrens, 100. D. Feliciano Válls, 40. D. Pascual Este vez , 44. José Aliguel Andino…</t>
  </si>
  <si>
    <t>Juao</t>
  </si>
  <si>
    <t>eodoro), capitán de caballería ligera Lamarre (D. Nicolás), soldado de caballería lige­ de nuestra guardia real. ra de nuestra guardia real. Oíoghin (D. Juao), ayudante mayor del regi­ Lanzi (D. Mariano), tirador del regimiento de miento de Madrid, t.° de infantería de línea. Toledo, a.° de infantería de línea. Ordoñez ( D. M…</t>
  </si>
  <si>
    <t>Juao, Juan Bautista</t>
  </si>
  <si>
    <t>Juan Bautista Juao</t>
  </si>
  <si>
    <t>todos han sido curados , y se hallan buenos y sanos qual AVISO. nunca. ,,Os remito la receta adjonta escrita por Don En virtud ds providencia del Sr. D. Juan Bautista Juao de Dios MacíaS, comerciante de Barcelona, Guitart, del consejo de S. M., juez de primera ins­ que tarobien.es uno de los que han sanado mila­ tancia, refre…</t>
  </si>
  <si>
    <t>Juárez, Bernabé</t>
  </si>
  <si>
    <t>Bernabé Juárez</t>
  </si>
  <si>
    <t>ositores á los curatos vacantes en el obispado de Falencia ; oido nuestro ministro de Negocios ecle­ París, efectivo. 15 f.‘ siásticos , nombramos: A D. Bernabé Juárez para el curato de la igle­ Efectos públicos. sia parroquial de S. Julián de la villa de Carrioa Vales reales................ ........................... P4i de…</t>
  </si>
  <si>
    <t>Juárez, Juan</t>
  </si>
  <si>
    <t>Juan Juárez</t>
  </si>
  <si>
    <t>de UVquidi , los de la columna de granaderos teniente D. Ignacio Urrutia y subteniente D. José Mariano Zavala , el del cuerpo de patriotas de S Luis D. Juan Juárez , los «de dragones de España y México a:fé ez D Ja é María Barfieri ..y „D- Ignacio Iberri; los de dragones de Qjeré car o , Puebla, S Luis y ¡Sfc C^rips, teniente…</t>
  </si>
  <si>
    <t>Toledo, resiliente Cu. iuj , resíllente en Toledo, por................. . 2200 en su pueblo, por................................................. üúo D. Juan Juárez, natural drl botillo de Labrada, EX-TR INI r ARIOS IIFS. ALZOS. provincia de Toledo , residente en su pueblo, D. Domint;o M aiiinez ilcOrdoñcz, natuial de Ma­ por…</t>
  </si>
  <si>
    <t>Juch</t>
  </si>
  <si>
    <t>Gaceta de Madrid n.º 259</t>
  </si>
  <si>
    <t>sido tan tolerante hasta ahora. Hace ya y tiene por mui fundado este descubrimiento. Ape­ mucho tiempo que estas asambleas, que falsamen­ nas supo el doctor Juch , profesor del instituio real te se dice son con ei único objeto de hacer repre­ de esta ciudad, estos experimentos, hizo el ensayo sentaciones, no eraa mas que para…</t>
  </si>
  <si>
    <t>Jul</t>
  </si>
  <si>
    <t>...................................... 2 200 de Torrijos, residente en Toledo , por............... 2200 D. Antonio Chacón y Gallego, natural de Palma D. Jul ian Gil, natural de Fuensalida, provincia de del Rio, provincia de Córdoba, residente en Toledo, residente en su pueblo, por................... 2200 Toledo hasta que pued…</t>
  </si>
  <si>
    <t>Julián</t>
  </si>
  <si>
    <t>n huido por uo encontrarse con so co­ Ya está Coimbra ea poder de Drouet. El coro­ tona. nel Trant ha visto que los enemigos eran mochos El cnerpo de D. Julián, que ocopaba hacia al­ tara 'él, y se ha retirado hácia Oporto. Los re- gún tiempo á Pusencia, ha sido arrojado dentro Jtierzos que Massena ha recibido ascienden á hom…</t>
  </si>
  <si>
    <t>a real. Manre (D. Pedro), soldado del regimiento de Ma­ Glutz Ruchts, antiguo landamann de la Suiza. drid, 1° de infantería de línea. González S.aez {D. Julián), capitán de la milicia Mena (D. Josef Fausto de). cívica de Madrid. Mellets (D. Gabriel), capitán agregado al estada González de Villalaz (D. Martín), alcalde de mayo…</t>
  </si>
  <si>
    <t>quedaba enfrente de la retaguardia; la ó faníería de D. Julián Sánchez se reunió á la séptima división en Freneda, al mismo tiempo que envié á dicho D. Julián con la caballería de su mandó á que hiciese lo posible para interceptar la comunicación d&lt; 1 enemigo con Ciudad-Rodrigo. Los esfuerzos del enemigo en el lado derecho de…</t>
  </si>
  <si>
    <t>...... 2200 en Toledo, por.................................................... 2200 FX-GI.KONIMOS. D. Siman Morales , presbítero, natural de la villa D Julián ríe la Concha, natural de Garcinarro, en de la Guardia , provincia de Toledo, resiliente Cu. iuj , resíllente en Toledo, por................. . 2200 en su pueblo, por..…</t>
  </si>
  <si>
    <t>a la tranquilidad de todos, y así encargaba al cabildo eclesiástico y ai ayuntamiento que atraxesen á su partido á Porlier, al Empecinado, á Espoz, á D. Julián y á otros, ¿ quienes emplearía en puestos elevados, pues de lo contrario la guerra seria interminable, y funesta á los españoles por hacerse en»su territorio. Del rest…</t>
  </si>
  <si>
    <t>Julián, Cristóbal</t>
  </si>
  <si>
    <t>Cristóbal Julián</t>
  </si>
  <si>
    <t>ancisco Rica Tillaren!, D. Marcelino Morales, D. Nerbsrto Flo­ res, D. Fernando dei R:o, D. Ramón Pi aillos y D. Antonio Pala­ cios; y subtenencias á D. Cristóbal Julián, D. Tomas de Torres, D. Juan Garasa, D. Lorenzo Martínez, D. José Ortiz, D. Juan B-AIido, y D. Calixto de Rozas. En el batallón de infantería ligera de volun…</t>
  </si>
  <si>
    <t>Juné</t>
  </si>
  <si>
    <t>612</t>
  </si>
  <si>
    <t>oso S. A. de dispensarles la protección y auxilios que justa­ mente recta.lian, les destina ia mitad del importe de los topacios que la adulación del mariscal Juné!destinaba á ía emperatriz'de la Fran­ cia, y i®3 ¡[piales ksn sido apresados por nuestras tropas'de Extrema dura.-—Con esta- tedia prevengo al tesorero general que…</t>
  </si>
  <si>
    <t>Junker</t>
  </si>
  <si>
    <t>250</t>
  </si>
  <si>
    <t>embre. PROVINCIAS ILÍRICAS'. Continuación del decreto de S. M. el Emperador de ¡os franceses inserto en la gazeta de ayer. Lttbiana 50 de octubre. El doctor Junker y los señores Wagner y Del modo de percetir las derechos debidos a la universi­ dad y de apremiar d ios deudores. • 'WanderSchotF, hacendados de Lubiana , han cons…</t>
  </si>
  <si>
    <t>Junot</t>
  </si>
  <si>
    <t>vimiento , empe­ tenia á su disposición el cuerpo del mariscal Nei ñándose lord Wellington contra Massena, quando compuesto de 26© hombres , y el del general Junot este se dirigía por Sardao y por el Camino de Opor­ compuesto de 2 2©. El segundo cuerpo, mandado por to á Coimbra. ' Regnier , y compuesto de 23© hombres, amenaza…</t>
  </si>
  <si>
    <t>Jurado, Antonio de Aguilar</t>
  </si>
  <si>
    <t>Antonio de Aguilar Jurado</t>
  </si>
  <si>
    <t>ormará un batalion y ur.a compañía de caballería. Ertracto de las minutas de la secretaría de Es­ Nombramos para «.omandante de este batallón tado. á D. Antonio de Aguilar Jurado; para ayudantes En nuestro palacio de Madrid á 26 de marzo á D. Miguel de Trillo y D. Diego Repiso y Toro, de iSr 1. y para abanderado á D. Francisc…</t>
  </si>
  <si>
    <t>Justiníani, Juan Cristóbal</t>
  </si>
  <si>
    <t>Juan Cristóbal Justiníani</t>
  </si>
  <si>
    <t>os lo tro secretario de Estado = Firmado = Mariano Luis siguiente: de Urquijo.” articulo 1. „Se declaran acreedores del es­ tado á. Rs« de vn. aiíRO. D. Juan Cristóbal Justiníani, mar­ Viage del sumo pontífice Pió vn á Francia. Con­ ques de Peñafiorida, por........... 142654. 25 tiene los pormenores acerca de la salida de S. …</t>
  </si>
  <si>
    <t>Justo</t>
  </si>
  <si>
    <t>(D. Nereo), corregidor (fe Fuente-Ovejuna. ESPAÑA. Fallet ( D. Juan), cabo primero del regimiento Real Extrangero. .. ■ Madrid 14 de agosto. Gaiarza (D. Justo), presidente de la junta cri­ El REI se ha servido nombrar minal de Navarra. Gentileshombres de cámara con exefcicio Gambari (D. Josef), oficial de la compañía, de caza…</t>
  </si>
  <si>
    <t>Jusú-Ufeiña</t>
  </si>
  <si>
    <t>conferir en Ies cuerpos de infas&gt;loria de! exército los empleos siguientes: ff-n «l regsrafertáo.dc infantería de voluntarios de Cádiz: rompañi.2R á -D. Jusú-Ufeiña, D. Andrés Perez, D. Francisco Mogollen y D. Pablo Senderos : ayudantía á D Jo -é Otero ; tenencias á D. Joan Rodríguez, D. Alfonso. Tercero, D. Tomas Manzanar-?,…</t>
  </si>
  <si>
    <t>JVellington</t>
  </si>
  <si>
    <t>nto.—Dios guarde á V." A. muchos anos. Áy amonte 6 de julio de 1811.— Sermo. Sr. — Joaquín Blake. — A S. A el Coi:}nejo de Regencia.” Oficio del lord vizconde JVellington al capitán general D. Joaauin Blake. ' ° Quinta de S. Juan 20 de junio de 1811. Cí Exorno. Sr. : Cuando llegó á Inglaterra la noticia de la reciente batalla…</t>
  </si>
  <si>
    <t>JVIoseati</t>
  </si>
  <si>
    <t>sición; pero contra esto ha¡ una tigas de extensión. También han hecho siembras objeción de gravísimo peso , y sin réplica alguna, de ella el senador conde JVIoseati y otros muchos y es que semejante tarea supone en el que la em­ hacendados. prende buen gusto , sanos principiosy mocho pul- • Ultimamente, muchos propietarios d…</t>
  </si>
  <si>
    <t>Jvourakin, Alexandro</t>
  </si>
  <si>
    <t>Alexandro Jvourakin</t>
  </si>
  <si>
    <t>es presentó este bilí, en nombre de la Del 15. comisión de telacioves exteriores, como acta adi­ ciona! á la de non intercoitrse, y fue adoptado á E! príncipe Alexandro Jvourakin, que se halla pluralidad de 77 votos contra 3&gt;. Indispuesto dos meses hace , ha conseguido permi­ so de S. M. para ir á restablecerse á sus hacienda…</t>
  </si>
  <si>
    <t>Jz, Amonio Román D</t>
  </si>
  <si>
    <t>Amonio Román D Jz</t>
  </si>
  <si>
    <t>tácense D. Bartolomé de Juzsue. Para el de la villa de Azilu , en la de A’avj, Extracto (Se los diarios publicados esta mañana. vacante por muerte de D. Amonio Román D Jz Las cartas particulares dicen que ha habida de Arcaya, al ex-regular D. Santiago de Sentirá. ana mutación repentina cu la enfermedad del Rei. Para el benefi…</t>
  </si>
  <si>
    <t>Kalstead</t>
  </si>
  <si>
    <t>ó que lo mejor sería hacerla dar ¿ la tán Gilí; el Belerofonte, de 74, contra-almirante costa para qáe nadie pereciese. En efecto, el quin-^ Ferrier, capitán Kalstead ; el Annibal, de 74, con­ todia por la mañana se desmanteló la embarcación, tra-almirante P. C. Durliam, capitán W. King; y todas las personas y municiones fuer…</t>
  </si>
  <si>
    <t>Kamcnski</t>
  </si>
  <si>
    <t>Si sucediese que alguno retirado hiyua Andrinópolis; pero que continúa tra­ de los hijos, menor de siete años , rehusase el bau­ tando de paz coa el conde Kamcnski. tismo , se examinará si es de su propi t voluiitid, ó por motivo de seducción; y en todo cato se le PRUSIA. instruirá por espacio de seis meses en la doct.hia cri…</t>
  </si>
  <si>
    <t>Kamemkoi</t>
  </si>
  <si>
    <t>?so que ritiere a estas particularidades y hablan de la guerra entre Rusia y Francia, como de cosa muy probable y próxima á suceder, añadiendo que el general Kamemkoi está nombrado para mandar el exérciio ruso de Polonia: no co/firman la voz que corrió diss pasados deque ea Colberg habían peleado las tropas prusianas y las de…</t>
  </si>
  <si>
    <t>Kamenski</t>
  </si>
  <si>
    <t>Nám. 10. 37 29BEBBHMI 3 GAZETA DE MADRID DEL JUEVES io DE ENERO DE i8n, RUSIA. conde Kamenski, general en gefe del exército ruso, el senado servio ba hecho saber al general CzerniArcdttgelo 2j&gt; de octubre de 1810. Jorge y á todos los desas comandantes servios Un práctico, que ha lle</t>
  </si>
  <si>
    <t>iembre ropa. Los españoles europeos que renden en Bue­ aseguran, á pesar de quanto se ha dicho, que el nos-Aires son enemigos de la junta establecida general Kamenski no lia querido acceder al armis­ al]¡ ; pero como son pocos&gt; no tienen tuerza bas­ ticio ilimitado propuesto por la Puerta , y que tante para destruirla; ademas…</t>
  </si>
  <si>
    <t>regulando á 250® torio. Desd® estp njpmento el curso se ha ido me­ francos el importe del cargamento de cada embar­ jorando.* cación usa con otra. El general Kamenski primero , hermano del ge­ Los boques confiscados que bai en Colberg, en neral en Refe, ha sido condecorado con la cruz de Sttetinyen Swinemupda importan casi ot…</t>
  </si>
  <si>
    <t>se adelanten por Rasgrad. Estos no rienea y las grandes acciones militares del general de in­ mas qne un cuerpo de vanguardia en Rasgrad, y fantería conde Kamenski, y con especialidad la sus fuerzas principales están acantonadas entre victoria alcanzada sobre los tarcos en Batin el 7 de Rudschuck y Nicópolis, y entre Rusdchuc…</t>
  </si>
  <si>
    <t>e esto creemos que el congreso se otra á la izquierda del exército ruso; pero el ge­ abrirá hoi , y que el meosage se leerá mañana; pe­ neral en gefe conde Kamenski quiere que sus tro­ ro no podremos tener noticia ninguna en esta ciu­ pas descansen de las fatigas de una campaña tan dad hasta ei lunes por la tarde. activa y ta…</t>
  </si>
  <si>
    <t>o 29 de diciembre de 18 ro ■ El mayor general Vertel ha vuelto á marchar BOHEMIA al exército del Danubio. El general de infantería Praga 14 de enero. conde Kamenski continúa todavía aquí. La regencia de Bohemia ha mandado poblicar DINAMARCA. la circular siguiente: ,, Aunque el comercio de vinos extrangeros se Copenhague 12 de…</t>
  </si>
  <si>
    <t>461</t>
  </si>
  <si>
    <t>y de Sofía. El proyecto del grao visir S legro para auxiliar á los turcos contra los rosos. El era rodear la ala derecha del exército ruso j pero el general Kamenski, luego que tuvo noticia del mo­ caimacan del grao visir Ies ha respondido que los turcos no soltarán la llave que les queda. Entonces vimiento del enemigo, salió…</t>
  </si>
  <si>
    <t>465</t>
  </si>
  <si>
    <t>estas no­ SUECIA. ticias lo qne sigue: ,, Acabamos de recibir en este mismo instante pjtockolmo j8 de marzo. noticias mui tristes sobre la salud del general Kamenski. El día ti {23 de febrero) estaba á los úl­ En un suplemento del periódico intitulado timos; y se había enviado á llamar al -teniente ge­ Correo se ha publicado …</t>
  </si>
  <si>
    <t>Kamenskí</t>
  </si>
  <si>
    <t>497</t>
  </si>
  <si>
    <t>os no es grande.” das hasta la pascua, y segua los preparativos serán magnificas. VALAQUIA. SUIZA. Euc/tares t j j de marzo. Soleare 2 8 de marzo. El conde Kamenskí, general en gefe del ejér­ S. E. el landamann de la Suiza ha comunicado cito ruso, debe su vida á la habilidad del médico por medio de una circular á todos los ca…</t>
  </si>
  <si>
    <t>a pasar libremente el fensiva ; y los rusos no han atacado por habérselo aire. Hai dos clases de alas ó dos partes en esta impedido la enfermedad del conde Kamenski, cu­ máquina; la una para subir, y la otra para baxar. ya salud va restableciéndose muí lentamente: al­ Las lengüetas de las unas están quietas quando las gunos d…</t>
  </si>
  <si>
    <t>TA DE MADRID v*V.T'p'"‘ - JSh DEL DOMINGO 26 DE MAYO DE 1811. gv"“ TURQUIA. debe mandar en gefe al exérdto, hasta qae te res­ tablezca enteramente el conde Kamenski. Constantinopla it de marzo. Todavia no ha ocurrido nada de particular ea Estos días haQ pasado por esta capital muchos la orilla derecha del Danubio; las tropas …</t>
  </si>
  <si>
    <t>abril• parte del palacio de Taxis para un personage de El señor general de Kutnsow, que sucede al distinción. Se asegura que quandoS. A. I. saiga de conde Kamenski en el mando del exército, llegó Faris pasará por aqui á Munich , y que te deten­ el día 7 por la tarde á Yassi &gt; y el 9 continuó su drá ajgunos días en la corte de…</t>
  </si>
  <si>
    <t>una gran placa de diamantes de la marchar, y no se sabe aun qnál será su destino. órden de S. Estéban, destinada para S. M. el Reí El día 5 salió el conde Kamenski para Odessa, de Roma. y según las noticias qae se recibieron ayer, en los Parece cierto que la mayor parte de los incen­ dias que llevaba de viage Se sentía mucho …</t>
  </si>
  <si>
    <t>IO DE 18 ti. — ---------- f RUSIA. brrano , y de su órden ~ Firmado = Carcoí Juan.” Odessa 18 de mayo. Esta ciudad ha ofrecido presentar 4.50 hom­ El conde Kamenski, general en gefe de los bres en lugar de los 400 reclutas que era el con­ ejércitos rusos de Turquía, parecía que iba resta­ tingente que le tocaba aprontar. S. M…</t>
  </si>
  <si>
    <t>Gaceta de Madrid n.º 201</t>
  </si>
  <si>
    <t>820</t>
  </si>
  <si>
    <t>820 das por el general Kamenski estaba acantonada rn y i una mejor vida á S. A. R. el Príncipe y señor las posiciones que cubren las inmediaciones de tas Carlos Federico, grao duque de Badén, duque de plazas fuertes ocupadas por guarniciones rusas en Zanchringen, n</t>
  </si>
  <si>
    <t>as autoridades locales informarán sobre los me­ cito, y en este número están comprehtndidos los dios de poaer en execacíon esta providencia. eneraíes conde Kamenski, MarJcow y St.-Priest. Se continúa el interrogatorio del asesino Sch- S 11 general Platow, gefe de los cosacos, ha vuelto meerfeeldt; pero á pesar de la impacienc…</t>
  </si>
  <si>
    <t>Kamenskl</t>
  </si>
  <si>
    <t>castillo de Gir* ocasionado ademas algunas inundaciones. xa y del lugar de Dscherembéck, que ocupaban. El puente de Neuburgo, construido sobre el El Conde Kamenskl el mayor, hermano del ge­ Duubio, se halla enteramente concluido, y el dia neral en gefe , ha vuelto á la Moldavia: se dice que 23 de este mes se celebró coa toda …</t>
  </si>
  <si>
    <t>Kamenskoi</t>
  </si>
  <si>
    <t>ia : fue preciso recurrirá Ja fuerza paTa apaciguar á los amotina­ dos , de quienes murieron 40, fueron heridos 130, y quedaron pre­ sos unos 200. El conde Kamenskoi, general en gefe de los exércitos rusos, mu­ rió de enfermedad en Odesa el 17 de mayo. La noticia que había corrido del incendio de la ciudad de P/esburgo en Hun…</t>
  </si>
  <si>
    <t>Kamenslci</t>
  </si>
  <si>
    <t>, de donde f lerot* Hace aicunos dics que el gr«.n visir envió do* juntos al almirantazgo, y despurs visitaron mucha* diputados de su e«t d&gt; mayor al conde Kamenslci secretarías y oficinas del gobierno. S. M. comió en para pedir un armi‘t¡c¡&lt;&gt;. El general ruso respon­ casa del marques en compañía del conde Harrow* dió que est…</t>
  </si>
  <si>
    <t>origen dé este apóstol , que se co del exército. Todavía no se halla enteramente' cree padecí5 el martirio en Meliapnur, en la e &lt;.ra restablecido el-conde Kamenslci; su convalecencia de Coromañdel. Esta Biblia no está escrita ct mó será mui larga, y se asegura qrie S. £. regresará los mahuscritos antiguos en rollos de pergam…</t>
  </si>
  <si>
    <t>Kamptz</t>
  </si>
  <si>
    <t>tas. El enemigo ha tratado de impedirlo muchas mente al puerto; pero nuestro comandante el se­ veces á viva fuerza, y con un fuego de artillería* ñor teniente coronel Kamptz, qoe ha recibido ór- que ha sido homicida. La constancia de los oficia­ den de echar i pique todos los buques ingieses que les de ingenieros y de nuestra…</t>
  </si>
  <si>
    <t>Karaenski</t>
  </si>
  <si>
    <t>nue­ En el gobierno de Simbirsk, donde no había vos refuerzos. Se espera en Bucharest at teniente antes mas que una fábrica de paños , hai en el dia general Karaenski, hermano del general en gefe. mas de 10 , que trabajan para el surtido del ejér­ viene de Petersburgo, y se dice que trae el plaU cito. de operaciones para la p…</t>
  </si>
  <si>
    <t>Karncoski</t>
  </si>
  <si>
    <t>con la Princesa de la Tour y Ta­ Si los plenipotenciarios otomanos no firman las xis , sobrina del Reí de Prusia. condiciones que les ha propuesto el general Karncoski , principiará con mas actividad que nunca BA VIERA. la campaña en este invierno. _ _ . , El du 8 de este mes se principió la venta pú­ Munich ay ite diciembre.…</t>
  </si>
  <si>
    <t>Karnenski</t>
  </si>
  <si>
    <t>ole inocente , ha mandado sobreseer eo honor que ban merecido en la última campana de el proceso que se le había formado. Finlandia á las órdenes del general Karnenski. Es­ tos valientes militares no pudieron contener sus lá­ SAXONIA. grimas por la muerte de su ilustre gefe , í quien pagaron de este modo el tributo de su reco…</t>
  </si>
  <si>
    <t>Karoeuski</t>
  </si>
  <si>
    <t>tas llanuras, da al lippópoils cerca de Lofesa con la vanguardia del desierto tal semejanza con el Océano &gt; que los ira» exército turco, sino el feld-mariscal Karoeuski. U1 bes le llaman mar sio agua. gran visir salióTiácia el 1 j del mes pasado de Uts montañas de Bulgaria, y se dirigió bácia PhilípTranik a 8 de febrera. pópo…</t>
  </si>
  <si>
    <t>Katnenski</t>
  </si>
  <si>
    <t>ones militares de los ru­ horas, se vio precisado el enemigo á retirarse ver­ sos c&lt;&gt;n motivo de la enfermedad del general en gonzosamente. •’ • gefe conde Katnenski. En Kabrowa se ha dexado PRUSÍA. * " 2 ver un cuerpo de cosacos; pero se ha retirado in­ mediatamente. Los torcos ocupan con grandes fuer­ Berlín *6de abril. t z…</t>
  </si>
  <si>
    <t>Kd, Pedro</t>
  </si>
  <si>
    <t>Pedro Kd</t>
  </si>
  <si>
    <t>Ra­ mos , 25. I). José Mayo , lOí). Antonio Castre-, 10. Gerardo González, 4. Ni­ colás Ruiz, 3. Nicolás de Rite ra, 3. Id. José Antonio Cruzado , 6. D. Pedro Kd'.irul! , 100. El administrador'de correos y demas empleados, 720. Don. Francisco Rimen ei , 25. I). Juan Rodríguez Calderón, 2Ó0. D. José Nicolás Costeros , 50. D. A…</t>
  </si>
  <si>
    <t>Kdtusosv</t>
  </si>
  <si>
    <t>las condicione? ligibles, en que está escrito, no son ni de una que deben servir de basa al tratado. misma mano, ni de un mismo tiempo. El otro maEl conde Kdtusosv ha llegado á Bucharest, nnscrito es la Biblia én siriaco de los cristianos lla­ donde ha sido recibido con la mayor solemnidad, mados de Santo Tomas, los quales se…</t>
  </si>
  <si>
    <t>Keating</t>
  </si>
  <si>
    <t>na se pnso en marcha "y atravesó el bosque sin mas oposición qae al­ gunas descargas de un piquete enemigo , de cuyas resultas quedaron he­ ridos el teniente coronel Keating, el teniente del regimiento núm. 12 Ath y varios soldados de la vanguardia. Después de haber descansado algunas horas, se puso en marcha el exército ante…</t>
  </si>
  <si>
    <t>Kelly</t>
  </si>
  <si>
    <t>ión en recordar en esta ocasión á V. E. la bizarra conducta del teniente coronel Williams, la de los coroneles Cameron , Cadpgan y M. Kinnon ; la del teniente coronel Kelly, del regimiento núm. 24 , y la de los diversos oficiales comandantes de los batallones de línea y de infantería ligera que auxiliaran las tropas en Fuente…</t>
  </si>
  <si>
    <t>Kenier</t>
  </si>
  <si>
    <t>tado de nues­ tuve el dolor de ver perecei á algunos de mis va­ tra operación: vi que todos ello* estaban llenos de lientes camaradas: finalmente, el general Kenier, cot fianza , y aun puedo decir que de entusiasmo. comandante del segundo cuerpo, hizo baxar algu­ Al obscurecer mandé que toda la guarnición to­ nas tropas hácia…</t>
  </si>
  <si>
    <t>Kens, Manuel</t>
  </si>
  <si>
    <t>Manuel Kens</t>
  </si>
  <si>
    <t>147a Asi tratan indistintamente esos malvados , á D. Manuel Kens. quienes la regencia de Cádiz provee de armas y de D. Pedro Chacón. medios de destrucción, á sos amigos, á sus aliados Subtenientes. y á sus enemigos, quando estos son poco numero­ D. Juan</t>
  </si>
  <si>
    <t>Kernan</t>
  </si>
  <si>
    <t>ondocir el 30 á puestos fixos la artillería de cam- comandante en gefe , coyas ideas son tan justas paña , los caxones &amp;c. como liberales. Gracias al consejero Kernan, y á Cada día van á mas los zelos de los Grenwí- los escritores irlandeses, cayos esfuerzos genero­ Uistas y Foxistas. Parece que en el nuevo sistema sos han ob…</t>
  </si>
  <si>
    <t>Kernati, Jaymc</t>
  </si>
  <si>
    <t>Jaymc Kernati</t>
  </si>
  <si>
    <t>44 y 4 rs Juan delaPiz, sargento de artillería , 30. Don Juan Fuertes , 75. D. José Batí le , hermanos y conpañía , 303 y 5. D, Ense­ bio Gómez , 50. D Jaymc Kernati, 25. D Antonio Moreno,- 100. D. Antonio Comadira, 2.0. D. Andrés Moreno , 330. D Gerardo Bas.,‘300. D. Juan .Mar­ ti y Robus , 62 v 6 rs. D. José Ferrer, 75. IX …</t>
  </si>
  <si>
    <t>Kiezabiterrantes</t>
  </si>
  <si>
    <t>n haya soña­ nueve bandidos fueron muertos, siete prisioneros, do ; peto estoi bien persuadido que estos caballeros y se les cogieron 20 caballos. El capitán Kiezabiterrantes hallarán algún ilustre campeón que salga ¡touski ha mostrado mucha inteligencia y activi­ en su defensa, y entonces yo rae daré con gusto dad en esta ex…</t>
  </si>
  <si>
    <t>Kiinkowstrom</t>
  </si>
  <si>
    <t>dad, y que los ministros son res­ el barón de Engerstroem, el conde de Oxensriem, ponsables de ella como pueden serlo de otra qu.ilel conde Brahe, el barón Kiinkowstrom , los con­ quiera.” des Ruth, Posse, Wietggles y Wachtmcistcr, el CAMARA BAXA. barón Rossembiad, consejero de Estado , el barón Flemming, presidente, el barón…</t>
  </si>
  <si>
    <t>Kitchen</t>
  </si>
  <si>
    <t>ha traido se sabe qne el Madrid ty de junio. *3 de marzo llegó á aquella isla el Mariner, man­ Manuel Peña, natural de Toledo, de edad d« dado por el capitán Kitchen/procedente de Liver­ 18 años , 4 meses y 22 dias, asaltó el 27 de ma—y pool. Este buque, estando á quatro Jegoas de la yo próximo pisado en el término de Caraban…</t>
  </si>
  <si>
    <t>Kliski</t>
  </si>
  <si>
    <t>ular de los freus de Ibiza, y el detall topo­ mandados por ei coronel Millet, todos tres á las gráfico de las islas. Su precio 20 rs. vn. órdenes del Coronel Kliski, componiendo el coronel Nueva carta, que compreliende todas las costas del Kosinouski con Jos fusileros del t.° del Vístala Seno Mexicano, ei golfo de Honduras, y…</t>
  </si>
  <si>
    <t>mover'Úrcompaston al comandante del bar­ chonoski , para desalojarlo de ellos. co ingles, parece,que le incomodaba demasiado, y En la oOcbe del 19 el coronel Kliski salió de 00 ha encontrado otro mejor medio para desemba­ Daroca con sus tropas; y tal fue la rapidez de su razarse de ellos que el echarlos en Ja costa, y movimie…</t>
  </si>
  <si>
    <t>Kmusow</t>
  </si>
  <si>
    <t>de aquel rio. Estos re­ donativo anual de otros i$®cu favor de aquel es­ ductos estarán defendidos coa mucha artillería. tablecimiento. Dicen que el conde Kmusow piensa permanecer Ha tall ecido en esta capital , á la edad de 8a en esta posición ha*ta que reciba de su corte la años, el célebre sabio irlandés Mr. J. Olasseu. ór…</t>
  </si>
  <si>
    <t>Kntasow</t>
  </si>
  <si>
    <t>Gaceta de Madrid n.º 234</t>
  </si>
  <si>
    <t>a niebla espesa nos imidtó distinguí' los ties navios de línea y los dos Constan ¡inopia j€ de junio. rieles que venían dándolos cazi. Creyendo yo El general Kntasow ha mandado reparar las que el enemigo no distinguiría tampoco nuestro* fortificaciones de Ibrail y de Email. buques, mudé de rumbo, dirigiéndome hácia el El día …</t>
  </si>
  <si>
    <t>Kntnsow</t>
  </si>
  <si>
    <t>ciaciones entre los torcos y los rusos á propuesta mejante. ' . de estos últimos. „Lo que se hace saber por. las presentes a to* Se ha notado que el general Kntnsow, coman­ das las autoridades judiciales del Austria superior dante en ge fe del exército rnso en Turquía, es el é inferior. para que se conformen en nn todo con ún…</t>
  </si>
  <si>
    <t>Koeppen</t>
  </si>
  <si>
    <t>a de positivo que no tendremos tan granizo, y aqbelía noche hizo un viento sumamen­ pronto la satisfacción de volver 3 vef á nuestro te impetuoso. El capitán Koeppen, comandante augusto Soberano, el qual se detendrá algo mas de la isla de Seyeroe , acompañado de algunos de de lo' qae se creía en Varsovia, y no regresará á sus…</t>
  </si>
  <si>
    <t>Koller</t>
  </si>
  <si>
    <t>aquí el general Krusemarck, en­ representó una pieza intitulada Hebe y Hércules, viado extraordinario de Prusia cerca de la corte de compuesta por el profesor Koller. Los príncipes Franeia, que viene de Berlín, y vuelve á París. honraron con su presencia esra función, y el pue­ Hoi ha llegado también el primer transporte blo …</t>
  </si>
  <si>
    <t>Konrakin, Alexandro</t>
  </si>
  <si>
    <t>Alexandro Konrakin</t>
  </si>
  <si>
    <t>igirle antes de so partida la carta si­ dadores merecen que se atieoda á sn actbal situa­ guiente: ción, para que puedan cumplir sus empeños y pa­ ,, Príncipe Alexandro Konrakin: habiendo te­ ra que el estado se sostenga: la prohibición de in­ nido á bien, en consideración de los motivos que troducir paños en Rusia asegura la…</t>
  </si>
  <si>
    <t>Koomanifestado</t>
  </si>
  <si>
    <t>do al de sobte- general Tolstoi, como también el general Tutsh— niente. S. M. I., en recompensa del valor que ha koff, viven retirados en Moskou. El- general Koomanifestado en la última acción de Rudschock » le wing ha dexado el servicio, y se ha retirado á su* ha perdonado enteramente sos faltas, te ba retira* haciendas de L…</t>
  </si>
  <si>
    <t>Kosinous</t>
  </si>
  <si>
    <t>la la comedia de fi­ madera, que por haberse roto, fue causa de que gurón en tres actos titulada el Domine Lucas, en la se ahogara un grao número. El coronel Kosinous­ que hará el figurón el señor Joaquín Suarez , y la ope­ reta el Secreto. Actores en la comedia: Señoras Ramos, ki había asimismo rechazado en la izquierda una …</t>
  </si>
  <si>
    <t>Kotasrw</t>
  </si>
  <si>
    <t>eras suecas» é hicierou algunas evoluciones en el cito inmediatamente que lo permita su salud. El Sund con el objeto de probar sus piezas de artille­ conde Kotasrw, que le ha reemplazado, consulta ría. También estuvieron maniobrando dos boques con él sobre todos los proyectos militares. Estos pequeños en el Sund entre Helsing…</t>
  </si>
  <si>
    <t>Kotusow</t>
  </si>
  <si>
    <t>Gaceta de Madrid n.º 241</t>
  </si>
  <si>
    <t>idos á la votación 45 miem­ eoconel Tibich habia llegado algunos dias antes con bros de ella qne son accionistas del banco, tratán­ otros pliegos del general Kotusow para el consejo dose de un negocio que tanto interesa al banco y servio y para el comandante ruso. á los accionistas. Desde ei año 1797, época en</t>
  </si>
  <si>
    <t>Kourakín</t>
  </si>
  <si>
    <t>tlATSOS. introducido por el grao maestro. En ella han sido presentados á S. M. En el del Príncipe» í las ocho de la noche, se re­ Por el Ex :mo. Sr. príncipe Kourakín, emba­ presentará por la compañía española la comedía en tres actos titulada las Esclavas amazonas, y el fin de fiesta jador de S- M. el Emperador de Rusia: los…</t>
  </si>
  <si>
    <t>Kowats</t>
  </si>
  <si>
    <t>arece mucho en la transparencia al nosticado el resultado cierto y necesario del deplo­ cuerno. rable sistema que se ha seguido para con este pds, El profesor Kowats, de Modern en Hungría, si no se verificaba prontamente alguna mutación, y ha intentado una acusación contra los cometas, si nuestros ministros no se resolvían á …</t>
  </si>
  <si>
    <t>Krnse</t>
  </si>
  <si>
    <t>cción de esta quadri- enemiga, á pesar de haber huido precipitadamen lla de bandoleros ba llenado de alegría á ios habi­ te, fue cortada por el señor coronel Krnse, quien tantes del pai», i quienes causaba mil vczacionet le mató 150 hombres, y le cogió 20 cazones de robándoles qaanto tenían. cartuchos. £1 coronel Dnpeircux fa…</t>
  </si>
  <si>
    <t>Krusc</t>
  </si>
  <si>
    <t>los caractéres ei de tal naturaleza é importancia dado muertos eo el campo de batalla. &lt;l.ue.se extienda á todas ias famiiia$,y que de con­ El señor coronel Krusc se dirigió el día f ha­ siguiente un método fundado en. la Consideración cia Helliu : Oiorio , á quien quería sorprehender de un solo principio está necesariamente …</t>
  </si>
  <si>
    <t>Kruse</t>
  </si>
  <si>
    <t>de la de Coria , vacante por muerte de D. Pedro Josef de Contreras, á i). Juan Francis­ co Martínez, cura beneficiado de la villa de Gelvea. El señor coronel Kruse fue enviado el dia 15 Para el tercer curato de la de Lebrija, vacante por el señor general Lorge , gobernador de la Man­ por fallecimiento de D. Antonio Vázquez Ci…</t>
  </si>
  <si>
    <t>Krusemarck</t>
  </si>
  <si>
    <t>que puede verse. Azúcar. EL Rei ha conferido la orden de la Aguila ro­ ' El 3 de abril el precio de! azúcar terciada era sa de primera clase al mayor general Krusemarck, de 43 shelines, 6 dineros y * el quintal (cada li­ enviado extraordinario de S. M. cerca de la corte bra de 14 onzas). de Francia. Hace mucho tiempo que el q…</t>
  </si>
  <si>
    <t>Esterhazi. Francfort jr de octubre. En celebridad de este acontecimiento se dió ayer una función magnífica en el teatro, donde se Ayer llegó aquí el general Krusemarck, en­ representó una pieza intitulada Hebe y Hércules, viado extraordinario de Prusia cerca de la corte de compuesta por el profesor Koller. Los príncipes Frane…</t>
  </si>
  <si>
    <t>Kuiz, Simón</t>
  </si>
  <si>
    <t>Simón Kuiz</t>
  </si>
  <si>
    <t>dis­ acreedores á la citada cata se presenten con ello, en la tribuido ya entre aquellos infelices habitantes al­ escribanía de provincia que excrcc D. Simón Kuiz para gunos socorros eo dinero * vestidos y géneros * que calificar su representación. se han apresurado á enviarles la ciudad de Laibach y otras varias ciudades de …</t>
  </si>
  <si>
    <t>Kurakin, Aíexandro</t>
  </si>
  <si>
    <t>Aíexandro Kurakin</t>
  </si>
  <si>
    <t>ancia hasta 28 de febrero. — Caulaincourt, embaxador de Bonaparte en Petersburgo, hi sido lla­ mado por su amo, y le reemplazará Mr. Lauriston. — XL\ príncipe Aíexandro Kurakin, hermano del embaxador ruso en Paris, ha obtenido su dimisión del ministerio de negocios interiores. El rey Cárlos de Suecia no ha accedido á los, des…</t>
  </si>
  <si>
    <t>Kuru</t>
  </si>
  <si>
    <t>car sobre Nos nir sus tropas y los refuerzos que le van llegando la bendición del cielo; se tocarán también en to­ de todas partes. Se asegura que el general Kuru- das partes las campanas en señal de luto durante Sow se ha quejado de que varios destacamentos los primeros ocho días después de la publicación turcos han com.tido…</t>
  </si>
  <si>
    <t>Kurusi</t>
  </si>
  <si>
    <t>e borg. Quando pasaron por delaote de nuestra r¿da mucho tiempo, y se estiman y aman mutuamente. Salió en una canoa un oficial de marina para cum­ El conde Kurusi w está actualmente ocupado plimentarlos. en la nueva organización del exército grande, del qual ha h echo cinco gra.-des cuerpos, quatro de Copenhague 18 de mayo. e…</t>
  </si>
  <si>
    <t>Kuschelew</t>
  </si>
  <si>
    <t>Núm. rar. 481 GAZETA DE MADRID DEL MIERCOLES i.° DE MAYO DE 18ix. B TURQUIA. cientes al mayor general Kuschelew, y según las partes constituyentes, ha juzgado qae son mai úti­ Trebisonda 23 de noviembre de ,18 ro. les para nn gran número de enfermedades. La ex­ La noticias de Erceram y de las inmedia</t>
  </si>
  <si>
    <t>Kutnsow</t>
  </si>
  <si>
    <t>superiores á so sexó. El cura de su pueblo le ha entregado en pre­ Constantino})la iS de junio. sencia de un gran concurso de gentes un hermoso coEl general Kutnsow , comandante en gefe del frecitocoo una placa de plata, que tiene la inscrip­ exército , no solauiente ha mandado trabajar con ción siguiente en lengua danesa : ,…</t>
  </si>
  <si>
    <t>s guarniciones mui considerables! Después de la evacuación y destruc­ GRAN BRETAÑA. ción de Rudschuck parece que el general ruso Londres 30 de julio. conde Kutnsow no piensa , al menos por ahora, hacer una gaerra ofensiva , sino esperar á los tur­ En los últimos diarios que hemos recibido de cos al otro lado dcl'Danubio. No s…</t>
  </si>
  <si>
    <t>1474</t>
  </si>
  <si>
    <t>nte en todos los capítulos de la acusación , des­ acción de gracias por la victoria conseguida por el pués de haber estado deliberando por espacio de general Kutnsow cerca de Rudschuek. Va á pu­ hora y inedia blicarse inmediatamente la relación de oficio. ,, El público ha oido la sentencia con los mas vivos aplausos , y algun…</t>
  </si>
  <si>
    <t>Kutosow</t>
  </si>
  <si>
    <t>un papel mui interésame sobre todos estos lado á la universidad dé Gottinga. También va fl puntos. construirse un nuevo ib.»ervatorio astronómico. El general Kutosow no había llegado todavía Los c tídriticos siguen tr. bi jando con el mayos &amp; Bucharest eí 2$ de marzo, y el general conde zeio , no salo en sus cursos respectivo…</t>
  </si>
  <si>
    <t>Kutu</t>
  </si>
  <si>
    <t>), les hermanos Mela batalla de Rndschuck , cuyos resultados se han yer , de Arau , hijos del célebre Rodolfo Meyer, anunciado ya. Habiendo sabido el general Kutu- autor del plan en relieve y del atlas de Suiza. No Sosv que el gran visir venia contra él con todo su hablaremos ni de los preparativos dei vi .ge, ni de exército …</t>
  </si>
  <si>
    <t>y efectos coloniales muy caros. Según, un' articulo de J?jssy, en Moldavia, de 19 de ‘octubre, las noticias del cuartel general ¿ol gañera! en gefe, conde Kutu^-ur, eran que en ía noche ¿el 13 el 14 de ectobie, ua cuerpo de 7000 rusos, Á lás ©«tenes del general Marcow, había pasado el Danuoio a algunas millas de Blohodse, y .…</t>
  </si>
  <si>
    <t>Kutusnw</t>
  </si>
  <si>
    <t>la Rusia B am a , ha llegado ha levantado el dia 14 d« este mes, y se ha diri­ i Wítpk.- y ha visitado los esub.cumiemos de gido hacia Giurgew^1. El general Kutusnw, co­ caridad y las cárceles. mandante en gefe, mirchó el 18 á Rudsihu. k ton tojo su quartcl general: el plenipotenciati &gt; ruso" Del 22. Italinrkí y el señor Font…</t>
  </si>
  <si>
    <t>Kütúso</t>
  </si>
  <si>
    <t>353</t>
  </si>
  <si>
    <t>'serviisla dé Slóbwdse. baral baxá,, ha pasado él rio por baxo de.Widdio| ,, Al mismo tiempo qué sucedía lo referido cer­ y le sigue mui de cerca. El general Kütúso# liá ca de Rüdfsehiick otros "cuerpos rusos pasaban el forzado al cuerpo tureó, que estaba apostado en lá Danubio 'por Várfos p’u'nrós. Uno se apoderó de orilla i…</t>
  </si>
  <si>
    <t>Kutusow</t>
  </si>
  <si>
    <t>de Wrede, general biváro. mui larga, annque parece que S. E. se halla ente— WURTEMBERG. -rameóte fuera de peligro. Se espera allí de un día á otro a! general Kutusow, que viene de Pcters- Stuttgardt 18 de abril. burgn. Luego que llegue le entregará'el conde Se ba señalado para el día 30 de este mes la ra* Langeron el mando de…</t>
  </si>
  <si>
    <t>819</t>
  </si>
  <si>
    <t>o. la diputación de los banqueros, á los negociantes Según cartas de Bucharest, de fecha díl 22, el por mayor, y á los comerciantes mas antiguos: los general Kutusow ha salido de aquella ciudad para amonestará severamente eo nombro de S. M. por Rudschuck, donde se detendrá algunos dias, y la baxa del cambio, causada porel inf…</t>
  </si>
  <si>
    <t>, grao duque de Badén, duque de plazas fuertes ocupadas por guarniciones rusas en Zanchringen, nuestro mui ilustre abuelo, á los 83 el Danubio t y el general Kutusow ha creído que años de edad, y á los 65 de su reinado; asi que, estas posiciones podian ser dobladas fácilmente; habiendo recaído por esto en Nos el gobierno de q…</t>
  </si>
  <si>
    <t>ecurrir á otra medida, y el parlamento no de­ Algunas cartas de Bucharest de 13 de junio be separarse antes de haberla adoptado. No ¡ni -dicen que el general Kutusow, comandante del oías que un medio que sea seguro y practicable;y exército ruso, sigue siempre en aquella ciudad, y es obligar al banco de Inglaterra á que no pon…</t>
  </si>
  <si>
    <t>a recibido el gobierno se hacia aque rio, y atacó con la m^yor impetuosi­ acaba de saber que una fragata inglesa y otras em­ dad al exército ruso. El general Kutusow rechazó barcaciones armadas de la misma nación andan cru­ á los turcos, causándoles una pérdida mui consi­ zando en el golfo de Bothnia. La fragata apresó el der…</t>
  </si>
  <si>
    <t>1085</t>
  </si>
  <si>
    <t>on todo sn exército: mi Hermanstadt go de julio. operanza no me salió vana: los turcos han sido completamente batidos en las llanuras de esta ciu­ El general Kutusow ha mandado pegar ípego dad , y han perdido 10 veces mas gente que no­ á los arrabales de Giurgewo, y abastecer la plaz? sotros. El enemigo se retiró á sus atrinc…</t>
  </si>
  <si>
    <t>a algunos particulares consrrnyen en sos par­ grado ha asegurado formalmente al senado servio ques templos griegos, pabellones chinos y calza­ que el general en gefe Kutusow empleará todos das romanas. Podría darse nn medio de conciliar U los medios queesten en sn mano para protegerá la economía pública con los deseos de los …</t>
  </si>
  <si>
    <t>spitales varios edifi­ KÓenigsberg 12 dt agosto. cios , 4 los qnales han sido trasladados los heridos. Hemos sabido coa grande admiración que cor- El general Kutusow va de tiempo en tiempo á (¡aa voces por todas partes de qne dexábamos en­ Bucharest; pero por lo regular sé detiene poco ea trar en nuestro puerto , en Pillas y …</t>
  </si>
  <si>
    <t>izquierda del Danubio, por haber enviado sus principales fuerzas a Polonia. Añaden que el exército del Gran-Visir, que es tres veces mayor que el del general Kutusow, daba muestras de querer pasar el Danubio, e invadir la Moldavia y Valaquia. . El redactor de la gaceta de AUona que inserto en 24 de mayo un artículo intitulado…</t>
  </si>
  <si>
    <t>-aaceremonial; y S. A. el archiduque .pasó con los qoistarlos. También se dice que han avisado d miembros de la dieta al palacio de los estados, don­ general Kutusow que va á formarse otro exército de se leyeton las proposiciones reales, de reserva en las fronteras de la Moldavia, con el objeto de reforzar el suyo quaudo las …</t>
  </si>
  <si>
    <t>287</t>
  </si>
  <si>
    <t>uinto el exército ramientas para construir el uúmero necesario de turco es en este momento tres veces mas numero­ pontones y de balsas. so qne el del general Kutusow. Ha llegado á VidEl mes pasado se calculaba qne el gran visir din el bei de Serás Ismail con un refuerzo de 30G tenia 50Q combatientes; pero desde entonces ha ho…</t>
  </si>
  <si>
    <t>tores de las nue­ Los turcos conservan la misma posición que ocopa­ vas fábricas. Estos han representado que habían ban el 12 de agosto. Noticioso el general Kutusow hecho grandes sacrificios para plantificar sus fabri­ de que mas allá de Silistria se está reuniendo un cas , las quales empezaban ya á prosperar; qne si gran ex…</t>
  </si>
  <si>
    <t>DE FRANCFORT. to ruso han desvanecido los cálculos de nuestro* políticos. Hace algunas semanas que nos habian di­ Francfort 4 de octubre. cho que el general Kutusow , noticioso de que el Lo» correos y las po'tas llamadas imperiales gran visir intentaba apoderarse de la Valaqnia, ha­ la Alemania formaban anres una de las prim …</t>
  </si>
  <si>
    <t>. mas los géneros, llega el caso de no haber quien ,,Las tropas que estaña las órdenes inmediatas los compre á ningún precio, y los especuladores del general Kutusow son mas que suficientes para se arruinan. Los ingleses que hai establecidos en' resistir al g-an visir, y para batirle en caso que esta ciudad , y que hasta ahor…</t>
  </si>
  <si>
    <t>Kutusrw</t>
  </si>
  <si>
    <t>se preparan á tomar á viva fuerza la plaza de RudiViena 14 de julio. chuck. S. M., antes de salir de Badén , ha tenido í Escriben de Valaqnia que el general Kutusrw bien conceder una audiencia particular á una di­ ha mandado reparar las fortificaciones de Ismailof putación de los propietarios de fábricas de esta y de Ibr.tito…</t>
  </si>
  <si>
    <t>Kvgaier</t>
  </si>
  <si>
    <t>a Ecp'aña. Ptvo los hachos hablan mejor que las palabras : pregunte Y. E. al regimiento 70 de línea que estuvo en Extremadura á las órdenes del s ñor general Kvgaier, y últimamente al coronel Le Jentre , ayudante de campo dtl principa Nuifehate!, que hecho prisionero por un i partida pa­ triótica con otros oficiales , encontr…</t>
  </si>
  <si>
    <t>L'inch, José</t>
  </si>
  <si>
    <t>José L'inch</t>
  </si>
  <si>
    <t>de Regencia conferir ks empleos sigulc.-nt.s : en el • batallón de infantería do línea extramuros do esta plaza, compañías á D. Jo:é de Hennsbalse y D. José L'inch, ayudantía á ü. José ds Castro y XJlioa, tenencias á D José Mma Brsque, D. Juan Berro­ cal, D.” Santiago de Riv&amp;s y D José Pared ? : y subtenencias &amp; Bou •Joaquín …</t>
  </si>
  <si>
    <t>L'ongueville, Pedro</t>
  </si>
  <si>
    <t>Pedro L'ongueville</t>
  </si>
  <si>
    <t>Be nito Antón, ,20, D. Francisco Perez, 10. I). Antonio Vaca, 50. D. José Antonio Saucedo, 20. D. José Angel Navarro, 10. D. José María Zambrano, 10. D. Pedro L'ongueville, 30. D. Félix Estrada, 10. D. Fran­ cisco Col jantes , 40. D. Rafael Cortes , 10. D. Juan José Zambrano, 10. El barón de Bastrop, 100. D. Pedro Giral, 50. …</t>
  </si>
  <si>
    <t>L, Antonio</t>
  </si>
  <si>
    <t>Antonio L</t>
  </si>
  <si>
    <t>el punto de Gogolludó con los dos ba­ tallones de voluntarios de Guadalaxara y tiradores de Sigit snza , á las órdenes de sus respectivos comandantes D. Antonio L arroya y O. Nicolás de Isidro, y 3 compañías de caballería á las dé D. Saturnino A Ibuir, comandante del primer escuadrón ,, en todo 900in­ fantes y 140 caballos, c…</t>
  </si>
  <si>
    <t>L, Frarrebeo</t>
  </si>
  <si>
    <t>Frarrebeo L</t>
  </si>
  <si>
    <t>o,-generalísimo. D. Müña’ao Ximenez, capitán general. D. Juan Aldama, teniente genera?. Don Pedro Anuida, mariscal.’ D. Manuel Sasta M-ría,.mariscal. D. Frarrebeo L^nzagorta, mariscal. D. Vicente Valencia, director de 'in­ genieros; D. Ouofré Póitugal, brigadier. D. Juan B iribú Carrasco, 'brigadier. D. José Salios Villa, coí…</t>
  </si>
  <si>
    <t>L, José</t>
  </si>
  <si>
    <t>José L</t>
  </si>
  <si>
    <t>e presbítero D Ma­ lí’.s de la Barda, 6. La com ínula l de i¡a líos , 233. El alcalde mayor jl Mariano Carbajal , 12. D,i)¡í Yiga!o, recaí la.lor, 12 D José L&gt;ay7.x, id, 12. Los mozos espabiles de Ptvil , 49.— L'mxtambo. El cura Dactor D. Lorenzo Nmega , ademas le lo que conuubtyó por mano de ■su prelado , como vecino princip…</t>
  </si>
  <si>
    <t>ntra é un cuerpo d- 600 i 700 enemigos que se hallaba á dos horas de distancia : entonces se retiro á Peñíscqla. El laúd S. Antonio, armado en corso, capitán José L’ché, que se dirigía á los Arques , arribó á las casas de Aicanar al amanecer del del corriente y atracó en su cala , donde lo atacaron 80 iufantes enemi­ gos que …</t>
  </si>
  <si>
    <t>v D. N. F x rdo, priores; del consulado de Cádiz, 50 pares de zapados. El'muestro p- rt ;g ;cs . vecino de Cádiz.., 12 pares de zapato? y lí güi ros. D José L n o ínciart-/, un par de pistolas y 2 fusiles. D. Pedro Angulo.2 pistolas y un euel&gt; lio. I). Pedro Martínez Moreno, 12 camisas. Doña M. G. B 4 camisas. .Ora TV.lipe de…</t>
  </si>
  <si>
    <t>L, José Ignacio</t>
  </si>
  <si>
    <t>José Ignacio L</t>
  </si>
  <si>
    <t>l juramento prescrito por las Cértes generales del reyno en su decreto sobre la libertad de la prensa. Se com­ pone del regente de la real audiencia, D José Ignacio L’orens, de D. Manuel Pazas y D. José Zaragozano , car óoigos de esta santa iglesia, y •de D. José Monrabi, abogado de esta misma ciudad. Del 16 de abril. El gene…</t>
  </si>
  <si>
    <t>L, Pidro</t>
  </si>
  <si>
    <t>Pidro L</t>
  </si>
  <si>
    <t>laico , ir!. D. Joan Ignacio ífc\mon , id. D. José Santos Villa , coro­ nel. D. Mutual Chica, coronel retirado. D. Pidro L’jon, mayor de plaza. D. Vicente Sildieraa, tenieata coronel retirado. D. José Mi­ guel Arroyo. D. A ¿toaio Alvarez Vega, sargento mayor retirado. D V ícente-A costa , sa'geato mayor. D. M vilan</t>
  </si>
  <si>
    <t>L, Valerio</t>
  </si>
  <si>
    <t>Valerio L</t>
  </si>
  <si>
    <t>cia compañía al capitán segundo D. Rara uu ele Trias ; empico de capites segundo al segundo ayudante D. Jacinto Inoza!; segunda ayudantía al teniente D. Valerio L«?on ; tenencia al subteniente D. Vicente Miranda; y subtenencias á D. Joaquín Ihur­ guen, cadete de la escuela militar del cuarto exérciío , y á D. Eussb o de Mmach…</t>
  </si>
  <si>
    <t>la Bar, Pedro de</t>
  </si>
  <si>
    <t>Pedro de la Bar</t>
  </si>
  <si>
    <t>.0 dé este principado al ge­ neral eñ gefe D. Nicolás Mahy , recomendándole los militares, que se­ gún las relaciones individuales de los brigadieres D. Pedro de la Bar­ cena, D. Juan Diaz Porlier y conde de Priegue, comandantes délas divisiones de suexército, se distinguieron en la acción de'Grado de 29 de noviembre. — En la…</t>
  </si>
  <si>
    <t>la Barrera, Antonio Josef de</t>
  </si>
  <si>
    <t>Antonio Josef de la Barrera</t>
  </si>
  <si>
    <t>t ciudad. Para el segundo de la misma parroquial, va­ PLAZA DE MADRID. BOLSA. cante por muerte de D. Cristóbal de Aguilar, á DIA 27 DE julio DE l8lt. D. Antonio Josef de la Barrera, presbítero, ex­ mercenario descalzo. ^ Efectos públicos. Para el segundo curato "Se la villa de Fuentes, vacante por muerte de D. Mateo de los Re…</t>
  </si>
  <si>
    <t>la Barrera, Lino de</t>
  </si>
  <si>
    <t>Lino de la Barrera</t>
  </si>
  <si>
    <t>ingenieros y comandante de esta plaza Don Antonio Bocarro , 200 El capitán D. José de Fábrega, comandante acci­ dental del castillo de Chagre , 200. D. Lino de la Barrera, 50. D. Fidel Martí en plata labrada 225. D. José Vandembrourke , ayudante de ja pla­ ta , Ion. El Dr. D. Isidro de Arroyo, 25. El comandante , oficiales, v…</t>
  </si>
  <si>
    <t>la Blanche, Domingo Bontoux de</t>
  </si>
  <si>
    <t>Domingo Bontoux de la Blanche</t>
  </si>
  <si>
    <t>co Manrique, oficial déla administración de- correos , 200. Doña María de la Luz Soto y Costoya, por el prest de 3 soldados en un año 324. El capitón D. Domingo Bontoux de la Blanche , por la de un soldado en 4 meses, 36. Doña Bárbara de Estrada, por "su oferta de la mitad de la pen­ sión que disfruta en el monte Pió militar'…</t>
  </si>
  <si>
    <t>la Bodega, Paulino de</t>
  </si>
  <si>
    <t>Paulino de la Bodega</t>
  </si>
  <si>
    <t>ríguez del Castillo á teniente en la D. Antonio Ortega, sargento primero, á «obte­ vacante de D. Ramón Aivarez Iturza, niente de la primera compañía. D. Paulino de la Bodega á teniente en reemplazo D. Josef de Vclasco, sargento primero, á abande­ de D. Mariano Sánchez Panadero. rado. D. Juan de Antuñano á teniente en la vacan…</t>
  </si>
  <si>
    <t>la Calle, Juan de</t>
  </si>
  <si>
    <t>Juan de la Calle</t>
  </si>
  <si>
    <t>s heridos . entre ellos de bala de fusil el capitán del regimien­ to de infantería de Ciudad-Real D. Juan Elida!go , y el te­ niente del mismo cuerpo D. Juan de la Calle: también lo ha sido levemente el teniente de navio D. Santiago Ortiz de Zarate , comandante del cañonero núm. 17.— El brigadier D. Antonio Begines de los Río…</t>
  </si>
  <si>
    <t>po no puedo menos de recomendar particularmente al capitán del regimiento de infantería de Ciudad-Real D. Juan Hiua go, al teniente del propio cuerpo D. Juan de la Calle; al cadete de la aca­ demia militar D. Pedro Cebalios, y al teniente de navio D. Santiago Ort’Z de Zarate, enmandante del cañonero núm. 17 &gt; heridos todos en…</t>
  </si>
  <si>
    <t>la Calle, Pascual de</t>
  </si>
  <si>
    <t>Pascual de la Calle</t>
  </si>
  <si>
    <t>dante á D. Francisco Fer­ nandez, y el de segundo á D. J ay rae Carrera; los de capitán segundo á D. J osé Carriezo, D. Juan Piñeiro, D. Publo Ibero, D. Pascual de la Calle, D. Ignacio Piñena y D. Angel García Salcedo; los de uniente á£&gt;. José Ramón Rodil*, D. Pascual Casal Aideo, D. An­</t>
  </si>
  <si>
    <t>la Carrera, Sebastian Martin de</t>
  </si>
  <si>
    <t>Sebastian Martin de la Carrera</t>
  </si>
  <si>
    <t>de extensión; después se vieron en el aire va­ dea nueva del Codonal, vacante por muerte de rias materias terreas y pedazos de roca, que calan en el D. Sebastian Martin de la Carrera , á D. Domin­ mar y sobrenadaban: salían como de entre las aguas go Ilcrranz, cura de Berinui de Zapardiel. otras rocas negruzcas, de las quales…</t>
  </si>
  <si>
    <t>la Castalia, Pedro de</t>
  </si>
  <si>
    <t>Pedro de la Castalia</t>
  </si>
  <si>
    <t>Ampliáis: á tenientes, á los subtenientes D. Franc s :o Pr-yricr y Moreno , graduado de teniente , D. José Seguido Iz­ quierdo, D. Pedro Colmenares, D. Pedro de la Castalia ,r D.'J&amp;cé Nicolás de Chimioni y D. Antonio Fernandez. :</t>
  </si>
  <si>
    <t>la Cavaleda, Mateo de</t>
  </si>
  <si>
    <t>Mateo de la Cavaleda</t>
  </si>
  <si>
    <t>. Benito Aguilera á subteniente en la vacante d« D. Gerónimo Sobrado, subteniente, á teniente de D. Pedro Rodríguez del Castillo. la quinta compañía. D. Mateo de la Cavaleda á subteniente et&gt; reem­ D. Mariano Fernandez del Canto, «obteniente, á plazo de D Juan Antonio Bracjos. teniente de la sexta compañía. art. v. En el bata…</t>
  </si>
  <si>
    <t>la Cerda, Josef de</t>
  </si>
  <si>
    <t>Josef de la Cerda</t>
  </si>
  <si>
    <t>ecoleto. queda encargado del cumplimiento de este de­ Para el de Mecina de Bonbaroo, vacante por creto. = Firmado= YO EL REI.rrPorS. M., el muerte de D. Josef de la Cerda , al presbítero Don ministro secretario de £stado=Firmado = ManaAntonio Lao. no Luis de Urquijo.” Para el de S. Miguel de Granada, vacante por promoción de …</t>
  </si>
  <si>
    <t>la Concha, Manuel de</t>
  </si>
  <si>
    <t>Manuel de la Concha</t>
  </si>
  <si>
    <t>1037</t>
  </si>
  <si>
    <t>ha dado el teniente coronel Tiuxillo de esta glo • ríos» acción, recomienda el distinguido mérito que contrax?ron en aquellas ocurrencias el previsor D. Manuel de la Concha, los pres­ bíteros Cenon y Castañedas, los prebendados Olivares y Ledos, y en general todos los de esta clase, cuidando con el mayor esmero do conservar l…</t>
  </si>
  <si>
    <t>la Concha, María Teresa de</t>
  </si>
  <si>
    <t>María Teresa de la Concha</t>
  </si>
  <si>
    <t>53 26 522 8 D. Manafel Garda de Montenegro. 28000 D. Sebastian de Otacgui................ 2689 23 D. Joaquin Calvo........................... 14035 6 Doña María Teresa de la Concha.. 1022 2 Doña Antonia Pascual Moreao..... 1201 6 D. Ramun Fernandez de Quiroga. 2593 20 D. Félix Ugarte................. ............ 3301 3 D. Il…</t>
  </si>
  <si>
    <t>la Costilla, Miguel Hidalgo de</t>
  </si>
  <si>
    <t>Miguel Hidalgo de la Costilla</t>
  </si>
  <si>
    <t>ESPAÑA. México 9 de noviembre.. A mediados del mes de setiembre se ma­ nifestó en los términos de la ciudad de Querétaro un levantamiento tramado por D. Miguel Hidalgo de la Costilla, cura de la población de Dolores , y por los capitanes del regimiento provincial de la Reyna D. Ignacio Allende y D. Juan Aldama. Algunas prisio…</t>
  </si>
  <si>
    <t>la Cruz, Bernardiuo de</t>
  </si>
  <si>
    <t>Bernardiuo de la Cruz</t>
  </si>
  <si>
    <t>as de Sta. Catalina dé Sena de aquella capital, 500. D. Santiago Goitia, 100. D. Cosme Dimian, gobernador de la parcialidad de S. Pabb» Tepemaxalco , D. Bernardiuo de la Cruz , los de­ mas gobernadores que han sido , los alcaldes , república y común de natu­ rales del curato de Calimaya , 58 marcos de plata quintada y 44 ps. …</t>
  </si>
  <si>
    <t>la Cruz, Félix de</t>
  </si>
  <si>
    <t>Félix de la Cruz</t>
  </si>
  <si>
    <t>al tesoro público residente en Toledo, por.................................... 2 200 Jo, ci-rceutares ipie se expresan á continuación por las canti­ D. Félix de la Cruz, lego, natural de Tarancon, dades que respectivamente se les designan, residente en Toledo, por............... tico D. Benito de Torres, natura! de Sis inte, …</t>
  </si>
  <si>
    <t>la Cruz, Ignacio Alvarez de</t>
  </si>
  <si>
    <t>Ignacio Alvarez de la Cruz</t>
  </si>
  <si>
    <t>de la Luz, por el prest de 2 soldados en 4 meses , 72. D. Domiñgo Foníanilla, capitán del partido de Managua, por el de un soldado en 3 me­ ses , 27. D. Ignacio Alvarez de la Cruz, director de labores de la real fábrica de tabacos , y D. Lorenzo García, 500. El intendente de exército y real ha­ cienda D. Juan de Aguiiar , los…</t>
  </si>
  <si>
    <t>la Cruz, José de</t>
  </si>
  <si>
    <t>José de la Cruz</t>
  </si>
  <si>
    <t>e noviembre ifltinoo ai regimiento de Toluca, 250 dragones del regimiento de España y de Quererro, can 2 piezas de artillería al mando del brigadier :D. José dé la Cruz. Habien­ do llegado estos el 20 al pueblo de Nopala, supieron que los revolto­ sos los esperaban, y así sin dar descansa salieron el dia siguiente para Huicha…</t>
  </si>
  <si>
    <t>la Cruz, Josef Antonio En el de</t>
  </si>
  <si>
    <t>Josef Antonio En el de la Cruz</t>
  </si>
  <si>
    <t>música el Triunfo de Jas mugeres, Subprefecto de la sobprefectura de Casarubios, y el lin de fiesta el Majo de repente. en la prefectura de Toledo, á D. Josef Antonio En el de la Cruz, á las quatro y media de la tarde, Barandalla, actual alcalde mayor de Parla. se executará 13 comedia de magia en tres actos titulada el Asombr…</t>
  </si>
  <si>
    <t>la Cruz, Mariano García de</t>
  </si>
  <si>
    <t>Mariano García de la Cruz</t>
  </si>
  <si>
    <t>rmados YO EL REI.= Por S. M. , el ministro teniente de la décima compañía. secretario de Estado = Firmado =Mar¡auo Luis de Urquijo.” Noveno batallan. D. Mariano García de la Cruz, subteniente, á teniente de la séptima compañía. D. Josef Manuel López Sanabria, subteniente, á PLAZA DE MADRID. BOLSA. teniente de la novena compañ…</t>
  </si>
  <si>
    <t>la Cruz, Ramea de</t>
  </si>
  <si>
    <t>Ramea de la Cruz</t>
  </si>
  <si>
    <t>hoi se trata en In­ cutará la comedia heroicá en tres actos del célebre Aleglaterra de hacer que dure el efecto, quando la tastasio, y traducida por D. Ramea de la Cruz, titu­ causa ha cesado, de restanrar su crédito quando lada el Triunfo de Teleisila, ó Ecio triunfante en Ro­ se está desplomando baxo la fuerza misma que lo …</t>
  </si>
  <si>
    <t>la Cruz, Ramón de</t>
  </si>
  <si>
    <t>Ramón de la Cruz</t>
  </si>
  <si>
    <t>la Cruz, á las seis de 1a- tarde, se eje­ te de la segunda compañía. cutará la comedia heroica en tres actos del célebre Metastasio, y traducida por D. Ramón de la Cruz , titu­ D. Mauricio Nieto, sargento primero , á sub­ lada el triunfo de Teleisila, ó Ecio triunfante en Roteniente de 1a tercera compañía. trr., adornada con …</t>
  </si>
  <si>
    <t>stantes de lo que es el arte de la Ave María; seguirá el bolero, y se concluirá con un milicia, ni á qué parte del mundo cae Caraban- buen sainete de D. Ramón de la Cruz. EN LA IMPRENTA REAL.</t>
  </si>
  <si>
    <t>un efecto ad­ concluida la comedia,, se bailará el bolero, y se dará mirable , y continuará siendo mui útil; ya en el fin con el chistoso saínete de D. Ramón de la Cruz ti­ dia ha producido el excelente resultado de reu­ tulado las Calceteras, que se representa á un tiempo en nir los católicos con los protestantes. Os aseguro…</t>
  </si>
  <si>
    <t>ierno tratase de ins­ maciones nuevas; se bailará el bolero, y se dan fin con truirle y de calmar sus inquietudes. En el núme­ el chistoso sainete dr D. Ramón de la Cruz titulado las ro 69 del Semanario patriótico se hacen sobre es­ Calceteras. Se cobrará de toda subida. EN LA IMPRENTA REAL.</t>
  </si>
  <si>
    <t>Gaceta de Madrid n.º 282</t>
  </si>
  <si>
    <t>1168</t>
  </si>
  <si>
    <t>ado el recibo. Sufría sin em­ vas ; se bailará el bolero, y se dará fin con el ch;stoso bargo con paciencia y resignación cristiana ; pero sainete de D. Ramón de la Cruz titulado las Calceteras. el caso está en que el sastre, el zapatero y otros Se cobrará de toda subida. EN LA IMPRENTA REAL.</t>
  </si>
  <si>
    <t>nsfOrmacu nes nue­ lós franceses eran duelos de él, y lo recibieron á vas ; se bailará el bolero, y se dará fin con ei chistoso fusilazos. sainete de D. Ramón de la Cruz titulado la» Calceteras. Esta expedición hace mucho honor al señor Se cobrará de toda subida. EN LA IMPRENTA REAL.</t>
  </si>
  <si>
    <t>184</t>
  </si>
  <si>
    <t>hallo aun mas número de rebeldes vas; se bailará el bolero, y se dará fin con el chistoso que hábia quando se contaban por cientos de mi­ sainete de D. Ramón de la Cruz titulado las Calcetera. les ea las batallas. Comenzando por la Nueva-Ga­ Se cobrará de toda subida. EN LA EMPRENTA REAL.</t>
  </si>
  <si>
    <t>n á la imprenta, auxi!io al comer­ vas; se bailará el bolero, y se dar fin con el chistoso cio , hallazgo para propagar las luces, y medio sainere de D. Ramón de la Cruz titulado las Calceteras. excelente para activar el giro mercantil. Se cobhará de tuda «ubida. EN LA IMPRENTA REAL.</t>
  </si>
  <si>
    <t>os síntomas del envenenamiento. vas ; se bailará el bolero , y se dará fin. con el chistoso De 9 personas que eran , 6 han muerto en medio sainete de D. Ramón de la Cruz titulado Las Calceteras. de agudísimos dolores. Se cobrará de toda subida. EN LA IMPRENTA REAL.</t>
  </si>
  <si>
    <t>apoleón por la gracia de Dios y vas; se bailará el bolero, y se dará fin con el chisto» por la constitución del estado, RÉ1 de las España* saínete de D. Ramón de la Cruz titulado las Calcetera y de lás Indias. Sv cobrará de toda subida. EN LA IMPRENTA REAL.</t>
  </si>
  <si>
    <t>a- preseñtárá por la compañía-española el drama cu cin­ 6ez;d,e- víveres . perjudicial á, los franceses , .debe co a'ctós', traducido del francés por D. Ramón de la Cruz; tiHilado la Eugenia, y el saínete los Usias contra­ sprvir de estimula á -lo* q,qe pueden recibir, del hechos. Actores en el drama. Señoras Rosario García, …</t>
  </si>
  <si>
    <t>S. 82 89046 En el del Paineipeá las dele :de la Ooqhc, se- repreíentsríl por la compañía española el drama en cinco actos, traducido delf francés por D. Ramón de la Cruz , tiifuláclo ja Eugenia , y e! sai,* Documentos de‘réditos de judos. Hete los Usías contrahechos. -’&amp;V-''.- I Documentos. . . En el de la Cruz, á Jas quatro …</t>
  </si>
  <si>
    <t>la Cruz, Ratnon de</t>
  </si>
  <si>
    <t>Ratnon de la Cruz</t>
  </si>
  <si>
    <t>..... . Eso sí, le con­ Ave María; seguirá el bolero, y se concluirá con un testé, é ¡rian todavía si su amo de vmd. tuviera que dar­ buen sainete de D. Ratnon de la Cruz. EN LA IMPRENTA REAL.</t>
  </si>
  <si>
    <t>la Cruz, Ruinen de</t>
  </si>
  <si>
    <t>Ruinen de la Cruz</t>
  </si>
  <si>
    <t>da. S. M. la Emperatriz saldrá vas; se bailará el bolero, y se dará fin con el chistes'’ pronto, según se ha anunciado, para el palacio de sainete de D. Ruinen de la Cruz titulado las Calceteras. Ljcken. Se cobrará de toda subida. EN LA IMPRENTA REAL.</t>
  </si>
  <si>
    <t>la Cruz, Salvador de</t>
  </si>
  <si>
    <t>Salvador de la Cruz</t>
  </si>
  <si>
    <t>el prest de 5 soldados en 5 meses , 225 p?. fy D. Pedro Gardillo, sindico del monasterio de Sta. Teresa, á cuenta de 1000 ps, que han ofrecido, 400. D. Salvador de la Cruz, á cuenta de 115 ps. que traxo de menos el donativo remitido de Mérida, y cantidad librada á su favor por los ministros de aquella provincia, 100. D. José …</t>
  </si>
  <si>
    <t>la Cuadra, Ambrosio de</t>
  </si>
  <si>
    <t>Ambrosio de la Cuadra</t>
  </si>
  <si>
    <t>postada en Tbc.'vr, observando el camino de Botada.' D os guarde á V. S. muchas «ñ *ts Puerto dc/Tíscár y agosto" 7 de 1811. — Lorenzo Ce­ rezo.— Sr. D. Ambrosio de la Cuadra. Nirn. 4.° Copia de un oficio del general en gefe. —- En vista de las noticias que V. S. me comunica, y de otras que yo tengo sobre ios movimientos de l…</t>
  </si>
  <si>
    <t>dia: pairo no por eso dexaré de -conducirla al-combate. Dk s guarde á V. S. muchos años. Cuevas de Zújar 8 de agosto de 1811. —-José O-Donnell. — Sr. D. Ambrosio de la Cuadra. Núm. 7.° Copia de un oficio dd misino. Sobre JnvrJcon en la orilla izquierda fiel rio Grande 9 de agesto ele 1811, á ks 6 deja ma­ ñana.— El señor gene…</t>
  </si>
  <si>
    <t>ue mis fuerzas serán inferiores en mucho, aun después de reunida la cábállsría que espero. — Dios gnarde á WS. mucho? año?. — Jo» sé O-Donnell. — Sr. D. Ambrosio de la Cuadra. — P. D. — Hs reci­ bido la carta que me escribió V. S. ayer i las ó do la tarde, pero han vuelto á mÍ3 manGs dos de las muchas que hs dirigido*—Ru­ bri…</t>
  </si>
  <si>
    <t>la Cuadra, Diego de</t>
  </si>
  <si>
    <t>Diego de la Cuadra</t>
  </si>
  <si>
    <t>miento. — Pedro de Agar, presi­ dente: ausente D. Joaquín Biabe con expreso permisode las Cortes.-L. Gabriel Ciscar.—En Cáoiz á de abril de 1811. — A:D. Diego de la Cuadra.” a Por providencia del real tribunal del consulado-de esta plaza de 24 de abril de este sñ j en los autos def concurso de acreedores i 1j^-sz Francisco de…</t>
  </si>
  <si>
    <t>la Cueba, Francisco de</t>
  </si>
  <si>
    <t>Francisco de la Cueba</t>
  </si>
  <si>
    <t>,' y subtenencia á D. Cayetano Mingorar.se, te­ niente , subteniente y cadete del mismo cuerpo; y ha reemplazado en el de Africa al teniente agregado D. Francisco de la Cueba. Igualmente se ha servido nombrar coroneles de los regimientos de infantería de Almansa, Gerona, Ultonia y Femando Vil, á D. José Antonio Cebollinotenie…</t>
  </si>
  <si>
    <t>la Cuesta, Feliciano de</t>
  </si>
  <si>
    <t>Feliciano de la Cuesta</t>
  </si>
  <si>
    <t>1540</t>
  </si>
  <si>
    <t>n de los‘enemigue y honor de las armas españolas. •— Dbs guarde ¿ V. E. mucho» uñes. — PuertoHano y octubre 19 de 1811. — Francisco Abad Chaleco.” De D. Feliciano de la Cuesta, comandante del escuadren de húsares fraíleos toledanos. “Exorno. Sr.: Habiendo pasado el Tajo el dia 11 en ía tarde can el designio de sorprehender 60…</t>
  </si>
  <si>
    <t>la Cuesta, Joaquina de</t>
  </si>
  <si>
    <t>Joaquina de la Cuesta</t>
  </si>
  <si>
    <t>-calaírava, franciscano, lego, residente en Peñal- residente en Almagro, por........................ 2200 ver, provincia de Guadalaxara, por.... XXOO Doña Joaquina de la Cuesta, id., residen­ D.Antonio Gómez de Rozas, id-, resi­ te en id., por................................................. 2200 dente en Segovia , por.......…</t>
  </si>
  <si>
    <t>la Cuesta, José Ignacio de</t>
  </si>
  <si>
    <t>José Ignacio de la Cuesta</t>
  </si>
  <si>
    <t>: el del regimiento de la Corona D. Juan de Urqui- . di : el teniente veterano de dragones de Puebla , D. José Mora : el al­ férez del propio cuerpo D. José Ignacio de la Cuesta : el subteniente de la columna de granaderos, D. José Mariano Zavaía 5 y el alférez de dragones de México, D. José Ignacio Iberri : quienes reunidos …</t>
  </si>
  <si>
    <t>la Cuesta, Pablo</t>
  </si>
  <si>
    <t>Pablo la Cuesta</t>
  </si>
  <si>
    <t>a de la Ua on; compañías á Don José María Freyre, D. Jóse García y D. Juan Astorga; ayudantía á D. Estanislao Gautier; tenencias á D. Manuel A!arcon, D Pablo la Cuesta, D. José Mariño, D. Juan Aguado, D. Manuel Diz &gt; Don Benito Yarela y D. Pablo del B J ; subtenencias á D. F ¿ruando Yara, D. Antonio Barbeira, D. Lorenzo Lema,…</t>
  </si>
  <si>
    <t>la Cuesta, PeJro de</t>
  </si>
  <si>
    <t>PeJro de la Cuesta</t>
  </si>
  <si>
    <t>Rocha. Valei reales.................. ..................... 95 D. Tomas Sacristán y Entero. Cédul is hipotecarias................................ tJ6 D. PeJro de la Cuesta. Certificaciones del tesoro público.. 8 2-| D. Luis Tomó de la Infanta. Oro español contra plata...................... Tenientes. Napoleones de oro........…</t>
  </si>
  <si>
    <t>la Cuesta, Tomas de</t>
  </si>
  <si>
    <t>Tomas de la Cuesta</t>
  </si>
  <si>
    <t>rall, 30Í). D. Manuel Ranees, 3000. Sres. Hoig yoFerrer, 2000. D. Fran*. cisco Puíg, 320. D. Francisco Fustegueras, 100. D. Juan Pedro Irigoyen, 500. D. Tomas de la Cuesta ,500. D. Antonio Coma y Fortet, 2000. Sres. Su­ birá y Forncs , 1000. D. Manuel Mícheo, 500. D. Lorenzo Camps, 500. Don. Juan Antonio Cobo y Tanderas, 100.…</t>
  </si>
  <si>
    <t>la Escalera, Joaquín de</t>
  </si>
  <si>
    <t>Joaquín de la Escalera</t>
  </si>
  <si>
    <t>que exige en su misma discusión la el consejo de prefectura de la prefectura d. Xerez mayor franqueza, y una libertad en la qual no de la Frontera: á D. Joaquín de la Escalera , Don pueda influir ninguna consideración ni respeto. No Manuel de Medina y Camino y D. Pedro Ro­ podemos menos de decir que los católicos dos pa­ dríg…</t>
  </si>
  <si>
    <t>la Escalera, Juan de</t>
  </si>
  <si>
    <t>Juan de la Escalera</t>
  </si>
  <si>
    <t>D. Francisco García Villar, natural de Villa- Salamanca, residente en su pueblo, por............. 2200 vendimio, prou’ncia de Toro, residente en di­ D. Juan de la Escalera, natural de la villa de Me­ cho pueblo, por.................................................... 2200 nas Albas, provincia de Toledo, residente en su D. Tom…</t>
  </si>
  <si>
    <t>la Espada, Manuel Muñoz de</t>
  </si>
  <si>
    <t>Manuel Muñoz de la Espada</t>
  </si>
  <si>
    <t>idente en Valdemoro, por.......... 2200 magro, por.................................................... 2200 ]). Ignacio Gamboa , id., lego, residente D. Manuel Muñoz de la Espada, id., re­ en Torrejon de Velasco , por—............. lio» sidente en Valdepeñas, por.................... 22oo P. Ramiro López, id. id., residente en…</t>
  </si>
  <si>
    <t>la Flor, Juan María de</t>
  </si>
  <si>
    <t>Juan María de la Flor</t>
  </si>
  <si>
    <t>nte yectado y puesto en execucion el gobierno para la por muerte de D. Joaquín Ximenez de Castro, á seguridad, para la felicidad y para La gloria del D. Juan María de la Flor, presbítero, cura bene­ estado. Hasta ahora causaba nuestra admiración el ficiado de la villa de Bornos. genio sublime que á un mismo tiempo fundaba un …</t>
  </si>
  <si>
    <t>la Fuente, Antonio Perez de</t>
  </si>
  <si>
    <t>Antonio Perez de la Fuente</t>
  </si>
  <si>
    <t>machos de estas dos clases. El número de ca­ art. n. Nombramos para comandante de este da una varia, sin embargo, en las diferentes nacio­ batallón á D. Antonio Perez de la Fuente; para nes , y en tiempos diversos. Yo tengo para mí que ayudante á D. Josef Quirós, y para abanderado hasta en esto influye el clima como en otras …</t>
  </si>
  <si>
    <t>la Fuente, Diego de</t>
  </si>
  <si>
    <t>Diego de la Fuente</t>
  </si>
  <si>
    <t>1088 D. Diego de la Fuente,y actualmente mandaba el sargento mayor D. Bsrnaké Cañalejo, y á una partida de caballería que se hallaba en esta previaciá de la tercera división volante del segundo exército en observació</t>
  </si>
  <si>
    <t>la Fuente, Diígo de</t>
  </si>
  <si>
    <t>Diígo de la Fuente</t>
  </si>
  <si>
    <t>r herido accidental­ mente un soldado i un compañero suyo porrinadvertencia ó eqai« vocación, originada de la obscuridad de la noche. Las partidas de D. Diígo de la Fuente (alias Puchas) y de Don José Rodríguez Va-des (abas el Cocinera) acometieron el día 11 de octubre, entre el otero de Herrera y la fonda de S. Rifad, k una …</t>
  </si>
  <si>
    <t>la Fuente, Fabiao Sánchez de</t>
  </si>
  <si>
    <t>Fabiao Sánchez de la Fuente</t>
  </si>
  <si>
    <t>Francisco Oiavarrieta y D. Josef Joaquín de nussi, canónigo. Santa Marta oidores de la audiencia de Sevilla ; y V, Venecia 12 de febrero de 1S11.” á D. Fabiao Sánchez de la Fuente, D. Miguel ^ Azrtar y D. Francisco X .vier Ctrestaño alcalde* Representación del cabildo de Macérala á S. A. T. del crimen del misino tribunal. Con…</t>
  </si>
  <si>
    <t>la Fuente, José Antonio de</t>
  </si>
  <si>
    <t>José Antonio de la Fuente</t>
  </si>
  <si>
    <t>s y soldados, 764. — Empica­ dos 7/ particulares. Villa de Monclova. D. TV&gt;mas Florez,60. D. Fer­ nando Bustillo, 20. D. Juan Ignacio de A rispe, 15. D. José Antonio dé la Fuente, 20. D. Francisco Barrera, 13. D. 'José- Mari i Suntds, 12. D.. Pablo García, Jó. D. Juan Antonio de Cárdenas , 13. D. José Camacho, 13. D. José Mig…</t>
  </si>
  <si>
    <t>la Fuente, José de</t>
  </si>
  <si>
    <t>José de la Fuente</t>
  </si>
  <si>
    <t>os Cienfuegos, que después de herido quedó prisionero , y á quien recomienda particularmente , así como al teniente D. Juan Pover, á ios subtenientes D. José de la Fuente , D. Francis­ co Zapico,D. Fernanda S. Martin¿ D; Ricardo Canal, D. Francisca Riesgo, D. Jo é Boldrini y D. Alonso Pabon$ ai citado Fonsbdía, comandante de …</t>
  </si>
  <si>
    <t>la Fuente, Juan de</t>
  </si>
  <si>
    <t>Juan de la Fuente</t>
  </si>
  <si>
    <t>infantería del exército los empleos siguientes: En el regimiento de infantería primero de la Princesa; ayudan­ tía á D. Miguel B\1 buena; tenencias á D. Juan de la Fuente, Don José Psreyra, D. Antonio T«rrer, D. Francisco Corrales, D. Fiancisco Lomban y á D, Antonio Pravía : subtenencias á D. Tomas Sal­ cedo, D. Ignacio Pined…</t>
  </si>
  <si>
    <t>la Fuente, Vicente de</t>
  </si>
  <si>
    <t>Vicente de la Fuente</t>
  </si>
  <si>
    <t>e, con la circunstancia de estar promoción de D. Joaquín Alonso de Ida á Quin­ á las resultas del expediente promovido sobre erec­ tana del Pidió , á D. Vicente de la Fuente , clé­ ción de su anexo Velilía en vicaría separada, á rigo de prima. D. Manuel Sanz, ex-franciscano. Para el de Morales, vacante por promoción de Para e…</t>
  </si>
  <si>
    <t>la G, José Antonio de</t>
  </si>
  <si>
    <t>José Antonio de la G</t>
  </si>
  <si>
    <t>Barrera, 40. D. Francisco de los Santos, 30. D. Fernando Baramendi, 30. D. Clemente Delgado, 10. D. Vicente Travieso, 10. I). Francisco de Arocha, 9. D. José Antonio de la G irza, 10. D. Víctor Blanco, 20. D. Apolinar de Marrnela, 40. D. Be nito Antón, ,20, D. Francisco Perez, 10. I). Antonio Vaca, 50. D. José Antonio Saucedo…</t>
  </si>
  <si>
    <t>la Gañín, Antonio de</t>
  </si>
  <si>
    <t>Antonio de la Gañín</t>
  </si>
  <si>
    <t>z................................... 14530 8-‘- 1 D. Tomas Mencndez................................ 1624 17 9 D.B1 as Sánchez Puertas , curador ad- 2 D. Antonio de la Gañín.................. . 3610 bona de D: Juan Mateo Xalraque- 3 D. Gregorio Imperial........................ 2436 25Í; mada.................. 6407 aj| 3 D. Cri…</t>
  </si>
  <si>
    <t>la Garza, Blas María de</t>
  </si>
  <si>
    <t>Blas María de la Garza</t>
  </si>
  <si>
    <t>Teniente D. Felipe dé la Garza,, 10Ó. Alférez ÍD. Isidro, de la GÍar/a, 50. La tropa, 438. Tercera id. Teniente D. Santiago, Tixefiná J ipO. Alférez. D. Blas María de la Garza , 50. La tropa , 482'. —'Qiiürtá id. Capítán^on José Agabo de Ayála, 250. Teniente JJ. Andrés Meñdibla , I0Ó.’ÁFdréz ■ *D. Juan Angel dé Ibarra, 50. La…</t>
  </si>
  <si>
    <t>la Garza, Felipe de</t>
  </si>
  <si>
    <t>Felipe de la Garza</t>
  </si>
  <si>
    <t>José María Muñoz , 5fy. .Alférez Ffánqi^corjÉsca.millat¿.5^0.. La , tropa de esta compañía, 485.■ ¡Segunda id.papitaiiP. Matías Cantu ,'200. Teniente D. Felipe dé la Garza,, 10Ó. Alférez ÍD. Isidro, de la GÍar/a, 50. La tropa, 438. Tercera id. Teniente D. Santiago, Tixefiná J ipO. Alférez. D. Blas María de la Garza , 50. La t…</t>
  </si>
  <si>
    <t>la Garza, José María de</t>
  </si>
  <si>
    <t>José María de la Garza</t>
  </si>
  <si>
    <t>nda del Alamo. D. Ig­ nacio Elizondo, 200. D. Nicolás Elizondo, 25. D. Vicente de los San­ tos , 25. D. Santiago Fernandez, 12. D. Juan Casimiro, 10. D. José María de la Garza, 10. D. José María Elizondo, 20. Varios indivi­ duos, 15.— Villa del Saltillo. D. Francisco Antonio Farias , 50. Don Cristóbal Rodríguez, 5. D. Juan Ba…</t>
  </si>
  <si>
    <t>la Garza, Juan Francisco de</t>
  </si>
  <si>
    <t>Juan Francisco de la Garza</t>
  </si>
  <si>
    <t>adena, 20. Don Miguel Sánchez, 35. D. Rafael Valle, 10.—Riogrande. D José le Je­ sús Rodríguez, 10.*D. José Barreda, 6. D. Juan Antonio ’Crtiaga, 25, D. Juan Francisco de la Garza, 15. Varios individuos , 30. El preben­ dado D. Miguel Sánchez Navarro , 500. El cura de Monclova, 100.— Hacienda de Encinas. T). José Mariano Vázq…</t>
  </si>
  <si>
    <t>la Garza, Manuel de</t>
  </si>
  <si>
    <t>Manuel de la Garza</t>
  </si>
  <si>
    <t>José Camacho, 13. D. José Miguel Sánchez, 10. D. Vicente Florez, 10. D. Juan Francisco Roxas, 6. D. José Antonio Villareál, 7. D. Berdírno Vela , 5. D. Manuel de la Garza, 6. Varios individuos, 15. — Parras. Don Juan Tágíe, 50. Don Juan Nava, 25. Don Francisco Antonio Gutiérrez, 50. D. Juan Antonio Paez, 12. D. Pedro España, …</t>
  </si>
  <si>
    <t>la Garza, Miguel Angel de</t>
  </si>
  <si>
    <t>Miguel Angel de la Garza</t>
  </si>
  <si>
    <t>o secre­ tario. — Sr. D. Xavier Castaños, Continúan los donativos de la provincia de Tejas. Segunda id. Capitán D. Juan Bautista Casas, 360. Teniente D. Miguel Angel de la Garza, 100. La tropa , 573.:—Tercera id. Capitán D. Pedro López Prieto, 100. Teniente D. José Antonio García, 35. Alférez D. José Antonio Cuellar, 3o. La t…</t>
  </si>
  <si>
    <t>la Guar, José Víctor de</t>
  </si>
  <si>
    <t>José Víctor de la Guar</t>
  </si>
  <si>
    <t>-&gt; , id. , 2. Varios ve­ cinos Ponobelo , 7'-7. Id. de la villa de los Santos 422 y G rs. $1 pueblo de Pcnononié por mano del alcalde may or de. Nata D. José Víctor de- la Guar­ dia , bS¿ ps. y 2 rs. iit pueblo de Calobre , ü3 El pueblo del Ciiírú , 22 y 3 y medio rs. E! de Parita , 9 J. El de Ocú , 23. CADIZ : EN LA IMPRENTA…</t>
  </si>
  <si>
    <t>la Guardia, Pablo de</t>
  </si>
  <si>
    <t>Pablo de la Guardia</t>
  </si>
  <si>
    <t>ón de un soldado, 9. D. Fernando de Oroe, oficial segundo, 3. D, Domingo de la Fierran , oficial terc.ero, 3. D, Gaspar Alvarez , oficial quinto , 1. D. Pablo de la Guardia, oficial sexto , 3. D. Antonio Marcelino García , oficial séptimo, 1 y 4 rs. D. Juan Bautista Ríos , oficial octavo, 1. D. José Alvarez , escri­ biente pr…</t>
  </si>
  <si>
    <t>la Horra, Pedro</t>
  </si>
  <si>
    <t>Pedro la Horra</t>
  </si>
  <si>
    <t>el de Aldea el Pozo y Valdegeña su ane­ de D. Manuel Bahun, al ex-dominico D. Agustín xo, vacante por muerte de D. Juan Ignacio BorFolgnera. degé, á D. Pedro la Horra, ex-franciscano. Para el de Terradillos, vacante por muerte de Para el de Valcavado, vacante por promoción D- Juan García, al cx-reguiar del mismo árdea de D. L…</t>
  </si>
  <si>
    <t>la Huerta, Carolina López de</t>
  </si>
  <si>
    <t>Carolina López de la Huerta</t>
  </si>
  <si>
    <t>........... ..................... 43Jo de Novales....................................... 1263 17 3 4500 1 D. Lope García Salazar de Mazarredo. 2700 2 Doña Carolina López de la Huerta.. 13 53 25-*- 10 D. Matías Bayo................................... 3 D. Santos Ortiz.................................. 361 I7486 21 15 Doña Caro…</t>
  </si>
  <si>
    <t>la Huerta, Francisco Gutiérrez de</t>
  </si>
  <si>
    <t>Francisco Gutiérrez de la Huerta</t>
  </si>
  <si>
    <t>han sido elegidos, para presidente el Sr. D. Antonio Fer­ nandez Perez, diputado propietario por la Puebla de los Angeles; para vicepresidente el Sr. D. Francisco Gutiérrez de la Huerta, di­ putado suplente por la* provincia de Burgos; y pava secretario el Sr. I). Vicente Tomas Traver, diputado propietario por el rey no de Va…</t>
  </si>
  <si>
    <t>la Infanta, Luis Tomó de</t>
  </si>
  <si>
    <t>Luis Tomó de la Infanta</t>
  </si>
  <si>
    <t>Tomas Sacristán y Entero. Cédul is hipotecarias................................ tJ6 D. PeJro de la Cuesta. Certificaciones del tesoro público.. 8 2-| D. Luis Tomó de la Infanta. Oro español contra plata...................... Tenientes. Napoleones de oro............................... D. Tomas García. D. Tidoro Gómez. THATTtOS…</t>
  </si>
  <si>
    <t>la Lana, Cayetano de</t>
  </si>
  <si>
    <t>Cayetano de la Lana</t>
  </si>
  <si>
    <t>é Doña María Antonia, Viliena.......................................... 100454 ni Junco.................. .......... ................ 70444 *8 7 por D. Cayetano de la Lana, por sí, 1 D. Domingo. Fernandez del Campo. 18410 32 y en virtud de poder de D. Jo­ I D. Diego Tcnidesiiias, su apoderado sef de Taló...... ...............…</t>
  </si>
  <si>
    <t>la Luz, Francisco de Paula de</t>
  </si>
  <si>
    <t>Francisco de Paula de la Luz</t>
  </si>
  <si>
    <t>el de 3 id. , 81. El regidor fiel executor D, José de Genes , por igual oferta, 81. El regidor D. Joaquín de Herrera, por el de 5 id., 135. El cadete D. Francisco de Paula de la Luz, 9. D. Manuel Abren y Casañas, 17. I). Juan Naranjo, sargento retirado, por dos meses de su oferta, á 7 en cada uno , 14. El comisario de guerra …</t>
  </si>
  <si>
    <t>Inocencio, prest de 5 soldados en un mes durante la guerra , 45. Doña Manuela Teresa Cabal ero , por sí y su hijo el cadete de milicias de infantería D. Francisco de Paula de la Luz, por el prest de 2 soldados cu un mes durante la guerra, 18. El teniente coro­ nel I). Lucas Alvarez , por su oferta mensual, 9. Doña Bárbara de …</t>
  </si>
  <si>
    <t>o apoderado y á nombre del Dr. D José Nicolás Veranes , canónigo de Cuba, 90. Doña Ma­ nuela Teresa Caballero, por sí y á nombre de su hijo el cadete D. Francisco de Paula de la Luz, por el prest de 2 soldados en 4 meses , 72. D. Domiñgo Foníanilla, capitán del partido de Managua, por el de un soldado en 3 me­ ses , 27. D. Ig…</t>
  </si>
  <si>
    <t>la M, Agapiío de</t>
  </si>
  <si>
    <t>Agapiío de la M</t>
  </si>
  <si>
    <t>ell: en el de Oviedo la tenencia coronela• á D. Ramón de Gregorio y la co­ mandancia á D. Vicente Puig : en el de Santiago , la tenencia coro­ nela í D. Agapiío de la M&amp;ta y la sargentía mayor á B. José Muñoz de Toro : en el de Monterey , ia comandancia á D. José Frijó y ia sargentía mayor á D. Francisco Xavier Martínez : en …</t>
  </si>
  <si>
    <t>la Oliva, Antonio</t>
  </si>
  <si>
    <t>Antonio la Oliva</t>
  </si>
  <si>
    <t>dio de prontas operaciones, reunió á sus fuerzas las partidas de D. Francisco Mon¿ tardit, y D. Anselmo Alegre, alias el Cantarero, y disponiendo que D. Antonio La Oliva átacase á Graus , marchó en seguida sobre Be­ nabarre , que defendían 53 infantes y 57 caballos. Los enemigos, co­ nociendo de antemano quanto podía perjudic…</t>
  </si>
  <si>
    <t>la Parra, Jacinto García de</t>
  </si>
  <si>
    <t>Jacinto García de la Parra</t>
  </si>
  <si>
    <t>no de D. León de Galarza.. 180.. 17 D. Josef Vázquez Espinosa.................... 1684..31 D. Anselmo Revenga............................... 180.. 17 D. Jacinto García de la Parra............... 561..2X D. Josef Amezcua.................................... 270.-251 D. Santiago Sedaño.................................... 247*-. …</t>
  </si>
  <si>
    <t>la Pczuela, Ignacio de</t>
  </si>
  <si>
    <t>Ignacio de la Pczuela</t>
  </si>
  <si>
    <t>briel de. Ciscar, preAdeat^. -1— Ausente ,j). jpaquiti-Éla ke^ coa penn'so 'do las ' C'Vftés, -— 'pedro de Agay.—La C^díz ¿ 19 de agosto de 1811. -—A D. Ignacio de la Pczuela. Obras pertenecientes al depósito de, Ifidrografm que se hallan de venta-en el despache} de la imprenta Real — Aim&amp;tadk..náutico y efe­ mérides astronóm…</t>
  </si>
  <si>
    <t>la Peña, Francisco Martin de</t>
  </si>
  <si>
    <t>Francisco Martin de la Peña</t>
  </si>
  <si>
    <t>.... 22CO tlno, residente en santa Cruz de Camp. Manuel Fiz Gayoso,id., por................ 2200 P'.zu , provincia de Avila , por............... 2200 D. Francisco Martin de la Peña , id., por 2200 D. J uan Morales, ex gerónimo, tesidenteen D. Antonio Lozano, ex-trinitario descal­ el campo de Criptana en la Mancha, por 2200 zo…</t>
  </si>
  <si>
    <t>la Peña, Francisco Pablo de</t>
  </si>
  <si>
    <t>Francisco Pablo de la Peña</t>
  </si>
  <si>
    <t>a Ba­ lanza: : los de ayudanrts primeros á D. Francisco del Rey , D. S.n* tos de Allende, D. Eraclio A:aiz &gt; D. Manuel de Tena, D. Emeteriu Velar de, D. Francisco Pablo de la Peña, D. Juan Morales y</t>
  </si>
  <si>
    <t>la Peña, José Padrón de</t>
  </si>
  <si>
    <t>José Padrón de la Peña</t>
  </si>
  <si>
    <t>a, 300, JO. José Joaquín fie Sola, por el de 3 soldadlas en un mes durante la guerra, 27. Doña Desalía Penal,ver, por el de 5 soldados en un mes, 45. D. José Padrón de la Peña, capitán de la segunda compiupín urbana de naturales de islas Canarias, por sí y á nombre de ios dernas indiY itluos que ía forman,076. El teniente cor…</t>
  </si>
  <si>
    <t>la Peña, Ramón de</t>
  </si>
  <si>
    <t>Ramón de la Peña</t>
  </si>
  <si>
    <t>ompañía. D. Manuel Notario. D. Francisco Sinz Ruiz, teniente, á capitán D. Pedro Miguel de tuque. de la tercera compañía. Tenientes. Quarto batallón. D. Ramón de la Peña. D. Gregorio Alfonso de Choya, ayudante, á D. Rafael Laguae*. capitán de la primera compañía. D. Lorenzo Cuenca Romero. Quinto batallón. D. Felipe Gutiérrez …</t>
  </si>
  <si>
    <t>la Piada, Manuel García de</t>
  </si>
  <si>
    <t>Manuel García de la Piada</t>
  </si>
  <si>
    <t>de varias comandancias, y que han llegado ya algunas: se ignora el objeto. Del 1.® de octubre. El 27 del pasado faé nombrado corregidor de esta villa D. Manuel García de la Piada, pasando á prefecto de Gu adala xara D. Dámaso de la Torre , á quien tenían entre ojos los ministros, porque durante el mando de Beiliard no hacia c…</t>
  </si>
  <si>
    <t>la Planche, Domingo Bontoux de</t>
  </si>
  <si>
    <t>Domingo Bontoux de la Planche</t>
  </si>
  <si>
    <t>t de un soldado en un mes durante la guerra , 9. El regidor I). Carlos Pee!roso, por el de 3 soldados en tres meses durante la guerra, SI. El capotan D. Domingo Bontoux de la Planche , por el de un soldado- en un mes , g. D. Joaquín Gasquo, ayudante mayor de las brigadas del real cuerpo de 'artillería, por oferta de las compa…</t>
  </si>
  <si>
    <t>la Plaza, Benito de</t>
  </si>
  <si>
    <t>Benito de la Plaza</t>
  </si>
  <si>
    <t>, embaxador extra­ ordinario y ministro plenipotenciario en esta corte, 4 saber : Fusiles con sus bayonetas , 1000. Fornituras , 1000.— Sables , 600. D. Benito de la Plaza, á mas de los 600 rs. ya anunciados, ha dado una ca­ misa , un par de botas y un par de medias. h¿/veréion de los caudales. — Por el coste de 400 vestuario…</t>
  </si>
  <si>
    <t>). G. Z., 120. D, Juan Bautista Tamarit, 200. Duque del Infan­ tado , 4000. D. Sebastian Antonio Guernica, 1000. D, Esteban Fernandez de León , 2000. D. Benito de la Plaza, 600. D. N. Piedra-Blanca , 40. D. Pedro de la Rosa, presbítero de S Juan de Dios, 200. D. Luis Bertrán de Lis, 3000. P- Juan Rovira Fonnosa , 4000. D. Ben…</t>
  </si>
  <si>
    <t>la Plaza, Josef Gabriel de</t>
  </si>
  <si>
    <t>Josef Gabriel de la Plaza</t>
  </si>
  <si>
    <t>e en nuel y Doña María dei Carmen Carras­ Arganda , po 120438 2200 co....................................................................... 1788..16 D. Josef Gabriel de la Plaza, ex-premos- D. Santiago Gutiérrez de Arintero............. 24390..33 tratense, residente en Ajalvir , por....... 2200 D. Fermín de Üria Nafarrondo..…</t>
  </si>
  <si>
    <t>la Plaza, Pedro de</t>
  </si>
  <si>
    <t>Pedro de la Plaza</t>
  </si>
  <si>
    <t>ora, por mano del citado Iribarren. 124830.. 4 zado, residente en Valdemoro, por.... 2200 D. Mauuel Sánchez Toscano......................... 14I34-io D. Pedro de la Plaza, ex carmelita des­ D„ Nicolás María Guendica, por mano de calzo, residente en Cobeña , por........... 2200 D. Martin Antonio de Huici..................... 3…</t>
  </si>
  <si>
    <t>la Potnona, Lan</t>
  </si>
  <si>
    <t>Lan la Potnona</t>
  </si>
  <si>
    <t>socorrer á U cito ruso; el general Essen la ala derecha, cuyo tripulación , y conseguir que no pereciese nadie. qu^rtcl general está en Crajowa, y el general Lan- La Potnona, qne era una de las mas hermosas fra­ geron manda la ala izquierda, la qual está recon­ gatas , quedará probablemente inservible. Ha traí­ centrada en Ob…</t>
  </si>
  <si>
    <t>la Prada, Manuel García de</t>
  </si>
  <si>
    <t>Manuel García de la Prada</t>
  </si>
  <si>
    <t>del corriente el REI ha tas del presidente. nombrado í D. Dámaso de la Torre prefecto de Boston 22 de julio. Hai algunas personas que Guadalaxara : á D. Manuel García de la Prada creen que los buques americanos que han sido con­ corregidor de Madrid: é D. Nicolás García Caba­ ducidos á Francia desde i.° de noviembre acá, se­ …</t>
  </si>
  <si>
    <t>la Presilla, Ramón de</t>
  </si>
  <si>
    <t>Ramón de la Presilla</t>
  </si>
  <si>
    <t>perder ÍO hoaAjies muertos ó prisioneros : el enemigo sufrió igual suerte,, tejiendo im oficial muerto á cuchilladas por el teniente de Lü sitan i a D Ramón de la Presilla, que se batió con él particularmente. — No descubriendo el enemigo el todo de su caballería, me convencí de que ocultaba al­ gún movimiento sobre mi flanco…</t>
  </si>
  <si>
    <t>la Ptzuela, Ignacio de</t>
  </si>
  <si>
    <t>Ignacio de la Ptzuela</t>
  </si>
  <si>
    <t>plimiento.—Gabrid Ciscar, presidente.—r Ausente D. Joaquín Blake coa per­ miso de las Cortés. — Pedro de Agar. — En Cádiz á 25 de agosto de 1811. — A D. Ignacio de la Ptzuela.</t>
  </si>
  <si>
    <t>la Puente, D Cayetano de</t>
  </si>
  <si>
    <t>D Cayetano de la Puente</t>
  </si>
  <si>
    <t>e había manifestado al gefe del estado mayor para conocimien­ to del comandante general, acordé cen el comandante de la caba­ llería de la legión, el teniente coronel D Cayetano de la Puente, observar con partidas los puntes de Mansilla, Valencia de D. Juan y Leop, ocupados por fuerzas enemigas, ocultando el resto de la cabal…</t>
  </si>
  <si>
    <t>la Quadm, Diego de</t>
  </si>
  <si>
    <t>Diego de la Quadm</t>
  </si>
  <si>
    <t>. — Ptdr@ Agar, presidente. — Au­ sente D. Joaquín Blake, con expreso permiso de las Cortes. — Ga­ briel Ciscar. — Eu Cádiz á 28 de mayo de 1811. — A D. Diego de la Quadm,” Siendo constantes y continuas las pruebas de acendrado patrio­ tismo y fírme adhesión á nuestra justa causa que dan los fieles cas­ tellanos , y de manten…</t>
  </si>
  <si>
    <t>la Quintana, Gregorio de</t>
  </si>
  <si>
    <t>Gregorio de la Quintana</t>
  </si>
  <si>
    <t>23. D Manuel Alarcon , 25 El presbítero D. Marianb Castro , 12. D. Juan García de los Ríos*, 16. D. Lorenzo Miranda , 12. D José de la Quintana, 12. D. Gregorio de la Quintana , 13. D Miriano Pinto , 12 D. Antonio Alfaro y José María legarte , 12. D. Isidro Dábalos y D. Domingo León , 12. E&gt;. Ignacio Martínez' y P. Juan 'Otaz…</t>
  </si>
  <si>
    <t>la Quintana, José de</t>
  </si>
  <si>
    <t>José de la Quintana</t>
  </si>
  <si>
    <t>D J osé Antonio Berraondo , 23. D Manuel Alarcon , 25 El presbítero D. Marianb Castro , 12. D. Juan García de los Ríos*, 16. D. Lorenzo Miranda , 12. D José de la Quintana, 12. D. Gregorio de la Quintana , 13. D Miriano Pinto , 12 D. Antonio Alfaro y José María legarte , 12. D. Isidro Dábalos y D. Domingo León , 12. E&gt;. Ignac…</t>
  </si>
  <si>
    <t>la Rejilla, Santiago</t>
  </si>
  <si>
    <t>Santiago la Rejilla</t>
  </si>
  <si>
    <t>par y Barca ; subtenencia de bandera á D. Rafael de *¡ftj.ova, rt «* En el regimiento de infantería de L?on: ayudantía á D. Santiago fritaron: cías á D. Santiago la Rejilla, D. Itadro del Yerro, IX Víctor R.?strebada y D. Francesco Doñas; subtenencias á Do» Miguel Villar, D. Sautiaíro Nryra, D. Ignacio Barros, D. José 1^ í~lo…</t>
  </si>
  <si>
    <t>la Rion, Pedro Celestino de</t>
  </si>
  <si>
    <t>Pedro Celestino de la Rion</t>
  </si>
  <si>
    <t>....... 2200 D. Francisco Ignacio Muxica , por mano D. Vicente Diaz Alonso, id., por./,........ 2200 de D. Juan Bautista de Iribarren....... 4ÓQ2..2¡ D. Pedro Celestino de la Rion, ex-mer- Doña María Josefa Vildosoia , por mano cenario descalzo, residente en Chinchón, del misino Iribarren....................í................ …</t>
  </si>
  <si>
    <t>la Riva, Pedro de</t>
  </si>
  <si>
    <t>Pedro de la Riva</t>
  </si>
  <si>
    <t>, D. Fernando 'Tostado,' D. Miguel Bravo , B. Fraucise© Bolaño?. D. Valentín Navarro, y D. Manuel Sai? Roznan: y subtenencias á D. Disgaio Hernández, D. Pedro de la Riva, 0. Pedro da Torres, D. A to ni©. Castellanos ,' D. Frustiso Pansa, B. Jasé María Ptrvz, 1). José Carrón, D. Saturnino Viyanco, D. Pedro Chiega y D. Do­ ming…</t>
  </si>
  <si>
    <t>la Rocha, Francisco Darán de</t>
  </si>
  <si>
    <t>Francisco Darán de la Rocha</t>
  </si>
  <si>
    <t>ios. y oficia’es de las 4 compañías de este batallón 4 los !S o ds. 6 o dt. )t h. individuos siguientes: r....... — iS 8 Capitanes, Eftctos públicos. D. Francisco Darán de la Rocha. Valei reales.................. ..................... 95 D. Tomas Sacristán y Entero. Cédul is hipotecarias................................ tJ6 D.…</t>
  </si>
  <si>
    <t>la Ropera, Pedro Ca de</t>
  </si>
  <si>
    <t>Pedro Ca de la Ropera</t>
  </si>
  <si>
    <t>.......... 10908 9°9 Las tierras de la capel.aula va­ Otro, de 2 jo pies en el mismo cante, que en el mismo tér­ término üc Andújar, sitio mino fundó D. Pedro Ca­ de la Ropera ; liúda cm olíllejón , y consisten en 7 vas de D. Miguel Cañete, y aranzadas de olivar viejo, y de D. Miguel ValcnzUela.. 60» 7200 2 fanegas de tierra …</t>
  </si>
  <si>
    <t>la Roque, Luis</t>
  </si>
  <si>
    <t>Luis la Roque</t>
  </si>
  <si>
    <t>comandancia ú D. Domingo Laodábum y la sargentía mayor á D. Jasé Saravjt : en ei baíalbm de ca­ balleros ca lotes dsl mismo íxércHo la comandancia ú D. Luis la Roque y la sargentía mayor ¿ D. José Mana Rubio ; y ks sargen­ tías rasyares de ios de infantería ligera da voluntarios de Sa&amp;iirgo y cazadores clel R y, como también …</t>
  </si>
  <si>
    <t>la Rosa, José de</t>
  </si>
  <si>
    <t>José de la Rosa</t>
  </si>
  <si>
    <t>nuel de Oroe , id. ¡segundo , 1. D. Miguel Nu­ dez , id. tercero, 1. D. Tomas González Camero, oficial agregado , 1. D. Mi­ guel Román , portero , 1. D. José de la Rosa , oficial primero de la tesorería, 2. D. Matias de Castro Palomino , oficial segundo, 1. D. Francisco Alvarez, reconocedor primero, 3. D. Nicolás Ceca, id. se…</t>
  </si>
  <si>
    <t>la Rosa, Pedro de</t>
  </si>
  <si>
    <t>Pedro de la Rosa</t>
  </si>
  <si>
    <t>a­ sé Villamil y D. Ignacio Millas.; al de dragones de México D. José Mantilla; al teniente de Querétaro D. Manuel Prñañ &gt;ri: al tenien­ te de Puebla D. Pedro de la Rosa, y los alféreces de Méx¡co y Qvic­ ié taro D. Miguel Malo y D. Joaquín Ormaechea: á D. Jo é de Can* ]:Ioo de teniente de dragones de Paztcuaro; al teniente c…</t>
  </si>
  <si>
    <t>l Infan­ tado , 4000. D. Sebastian Antonio Guernica, 1000. D, Esteban Fernandez de León , 2000. D. Benito de la Plaza, 600. D. N. Piedra-Blanca , 40. D. Pedro de la Rosa, presbítero de S Juan de Dios, 200. D. Luis Bertrán de Lis, 3000. P- Juan Rovira Fonnosa , 4000. D. Benito de la Plaza, 200. Total, 180,850. JSn drogas y med…</t>
  </si>
  <si>
    <t>la Sendeja, José Leandro de</t>
  </si>
  <si>
    <t>José Leandro de la Sendeja</t>
  </si>
  <si>
    <t>saldados milicianos , acuartelados, y.no acuartelados , 203. El, guarda-almacén D Francisco Br*vo de Rueda, 80 y 7. EÍ guardarnl maceré del Callao , D. José Leandro de la Sendeja, por el importe ¡do su sueldo -anégl, que ofrece no percibir ínterin dure la guerra, 1455 y 7. D; Francisco Rue­ da , individuo político , 40 y 3; D…</t>
  </si>
  <si>
    <t>la Serna, Joaquín Gómez de</t>
  </si>
  <si>
    <t>Joaquín Gómez de la Serna</t>
  </si>
  <si>
    <t>rente sus parapetos; di orden «? I conaa dante de i hatdiait de Molina D. Pedro Laynez , y si coronel del regí niecto i ..f latería segundo de Soria, D. Joaquín Gómez de la Serna , de lo que ckbiaa hacer par la izquierda; y al teniente corenel D Ram ya de L" y i, coman­ dante del regimiento infantería segundo de la Princesa, …</t>
  </si>
  <si>
    <t>la Serna, Pedro de</t>
  </si>
  <si>
    <t>Pedro de la Serna</t>
  </si>
  <si>
    <t>. 1460 D. Juan Duat.................................. 3600 Doña Bernarda Diaz........................ atyo D. Josef Clemente de Luja............ 3360 D. Pedro de la Serna....................... 8100 D- Josef Antonio Rodríguez......... 720 D. Antonio Ruiz de C-stilIa......... 433 17 D. Juan Andureo............................ …</t>
  </si>
  <si>
    <t>la Sima, Francisco de</t>
  </si>
  <si>
    <t>Francisco de la Sima</t>
  </si>
  <si>
    <t>4 último, salieron electos - para presidente el Sr. D. Ramón Giraldo, diputado propietario por la provincia de la Mancha; para ▼ice-presidente el Sr. D. Francisco de la Sima, diputado suplente por Avila, y para secretario el Sr. D. Juan de Valle3 diputado pro­ pietario por el principado de Cataluña. El capitán general D. Fran…</t>
  </si>
  <si>
    <t>la T, Juan Rodríguez de</t>
  </si>
  <si>
    <t>Juan Rodríguez de la T</t>
  </si>
  <si>
    <t>mérito da los coroneles, ayudantes priraeros de estado mayor, Manpoey y Mi chilena, la actividad de mis ayu­ dantes i&gt; Bernardo Sánchez Val verde, y D. Juan Rodríguez de la T^rre , y el subteniente D. Cirios Tomas B-uieti ; á los gafes, oficia­ les y trepa que aparees de la neta que acompaña , y son ios que inas se han distin…</t>
  </si>
  <si>
    <t>la Torre, Dámaso de</t>
  </si>
  <si>
    <t>Dámaso de la Torre</t>
  </si>
  <si>
    <t>refectura de Guadalaxara. do probablemente quien habrá dictado las respues­ Por decretos de ¿ó del corriente el REI ha tas del presidente. nombrado í D. Dámaso de la Torre prefecto de Boston 22 de julio. Hai algunas personas que Guadalaxara : á D. Manuel García de la Prada creen que los buques americanos que han sido con­ cor…</t>
  </si>
  <si>
    <t>la Torre, Felipe de</t>
  </si>
  <si>
    <t>Felipe de la Torre</t>
  </si>
  <si>
    <t>Don D. Cándido Nuñez, ex-frantiscano, re­ Josef Antonio Rendon................................. 9929-25 sidente en Miraflores de la Sierra, por 2200 D. Felipe de la Torre , por mano de Don D. Juan Manuel González, ex-bernardo, Pedro Antonio de Ursueguia.................... 17797..17 residente en Morata, por...................…</t>
  </si>
  <si>
    <t>la Torre, Francisco de</t>
  </si>
  <si>
    <t>Francisco de la Torre</t>
  </si>
  <si>
    <t>se forma­ D. Rafael Perez. rán en los pueblos que á continuación se expresan D. N ¡colas de Avila. los batallones y compañías de miliqia cívica que á D. Francisco de la Torre. cada uno se detallan. D. Antonio Ximenez Castellanos* art. u. Eo la ciudad de Córdoba se aumen­ tará un batallón, que con el ya formado, com­ Tenientes…</t>
  </si>
  <si>
    <t>la Torre, Ildefonso de</t>
  </si>
  <si>
    <t>Ildefonso de la Torre</t>
  </si>
  <si>
    <t>es mégaaos están trabajando cerca de 600 hombres para dexar expeditos los fuegos de los baluartes. Querétaro 9 de febrero. El 6 del corriente derrotó D. Ildefonso de la Torre, en S. Pedro Tcliman , á 3000 revoltosos, mandados por les cabecillas Verde y Victoriano Escobar. L* acción duró 6 horas,y en ella perdieron los enemigo…</t>
  </si>
  <si>
    <t>la Torre, Joan de</t>
  </si>
  <si>
    <t>Joan de la Torre</t>
  </si>
  <si>
    <t>oras Concepción Lledó , López y Cabo. Señores Muñoz , Fernandez y Justo Mas. D. Antonio Qiu-vedo, En el de la Cruz, á las qnatro y media ó' h: ' tA-, D. Joan de la Torre. se cxeeut¿irá la comedia antiesn en tres actos &gt;tr r ■ el D. Melchor Velasen. Negro más prodigioso, de D Juan JJmtJ-ia Psim i1' v’l D. Francisco Vil):.verde…</t>
  </si>
  <si>
    <t>la Torre, Josef de</t>
  </si>
  <si>
    <t>Josef de la Torre</t>
  </si>
  <si>
    <t>...... 7942 12 Dona María Nicolasa Perez Díaz, da­ 10 D. Alexandro Silva.............................. 9295 2 5 f- dos á favor deD. Dámaso Puertas, 1 D. Josef de la Torre........................... 1083 su marido.................................... ..... 4 Doña lgnacía de la Concha........ . 677 I2307 17 2 D. Fausto Ibañez...…</t>
  </si>
  <si>
    <t>la Torre, Lorenzo de</t>
  </si>
  <si>
    <t>Lorenzo de la Torre</t>
  </si>
  <si>
    <t>r de 5 céntimas por fran­ Munarriz, y regidores de aquella municipalidad á co. Al capital de la contribución de puertas y ven­ D. Martin de Astoreca, D. Lorenzo de la Torre, tanas se añadirá 10 céntimas para gastos de recau­ D. Fernaudo Sabugo, D. Pedro Larralde, D. To­ dación. mas Martin, D. Pascual Zamora y D. Agustín Las p…</t>
  </si>
  <si>
    <t>la Torre, Manuel de</t>
  </si>
  <si>
    <t>Manuel de la Torre</t>
  </si>
  <si>
    <t>Octavo, D. Hilario Rayas Salmón, vicecónsul de España, D. J. jM; Gandasequi, director de la compañía de Fili .iñas, el coronel Sir Roberto Wilson , y D. Manuel de la Torre, co­ misario de guerra, espa ño1. Noveno, D B. Liziur, ex director de la Compañía de Filipinas. Décimo, D. J. García, D. J. de la Sotilla y Mr. F. de Taste…</t>
  </si>
  <si>
    <t>García Rodríguez, 2000. D. Esteban García é hijo , 2000. D. Francisco del Corral, 2000. I). Jo­ sé de Teran , 2000. D. Pedro de Mier y Teran , 2000, D. Manuel de la Torre, 1500. D. Antonio y D. Manuel Gutiérrez del Corral, 15o0. D. Clemente Vciez, 1500. D, Francisco Mantilla é hijo, 600. D. Manuel Perez González, 600. I). Ber…</t>
  </si>
  <si>
    <t>la Torre, Pedro Martin de</t>
  </si>
  <si>
    <t>Pedro Martin de la Torre</t>
  </si>
  <si>
    <t>............................. 2200 D. Vicente González, natural de Piedrabuena, EX CATUCHINO. provincia de la Mancha, residente alli , por...... a200 D. Pedro Martin de la Torre, natural de Cerverj, D. Josef Fernandez Ballesteros , natural de Alcázar residente en Toledo, por........................................ 2200 de S, …</t>
  </si>
  <si>
    <t>la Ve, Francisco de</t>
  </si>
  <si>
    <t>Francisco de la Ve</t>
  </si>
  <si>
    <t>100. D. Mateo Rodríguez, 100. D. José Pedrosa, 100. D. José Rasilla, 60. D. Eugenio Gutiérrez, 100. D. Antonio Ortegon, 100. D. Manuel Sánchez , 100. D. Francisco de la Ve­ ga, 100. D. Manuel Velez Campa, 100. D. Santiago García, 100. D. José García del Barrio , 100, D. Alexaudro Marina , lOÍ). D. Juan García del Barno , 100.…</t>
  </si>
  <si>
    <t>la Vega, Antonio Laso de</t>
  </si>
  <si>
    <t>Antonio Laso de la Vega</t>
  </si>
  <si>
    <t>y una yegua que era de su comandante. Fueron perseguidos por las guerrillas de infantería y la de carchiw-eros ríales mandada por el bizarro oficial D. Antonio Laso de la Vega, hasta usa legua</t>
  </si>
  <si>
    <t>la Vega, Francisco de</t>
  </si>
  <si>
    <t>Francisco de la Vega</t>
  </si>
  <si>
    <t>n para satisfacción de todos sus habitantes. D. Mariano Palacios, asesor del partido, 25.— Pueblo de Anta. La comunidad de indios y de su anexo, 730. D. Francisco de la Vega, alcalde mayor, 12. D. Mar­ tin Olivera, id., 12. El coronel de exército D. Mateo Pumneahua, 20. I). Andrés dé. Lira , 12. O. Patricio Sisa raso ,12. D. …</t>
  </si>
  <si>
    <t>la Vega, José de</t>
  </si>
  <si>
    <t>José de la Vega</t>
  </si>
  <si>
    <t>é María Guadiana, 60.. £).aSamupLDayimpor, 50. D., Guillermo Bar , 50. D. Bernardo Dortoían, 12. D. ^jr^j^inio^Qiiiriíio.^ 10. D. Jo­ sé Florez, ,10. D. José de la Vega 9x .12. Varios,^pdfyicluos Lo$ vecinos de Bayupier, 27 y 2 rs. Los de la Concepción , J2. Losfnáturales de la misión de S. Juan, c18 y .4 rs. — Ademas del don…</t>
  </si>
  <si>
    <t>la Vega, José Laso de</t>
  </si>
  <si>
    <t>José Laso de la Vega</t>
  </si>
  <si>
    <t>2 y medio rs. D. Juan Domingo de Iturralde en plata labrada, 4190, 7 y un quarto rs. ; y en plata fuerte 1000.' El administrador principal de tabacos D. José Laso de la Vega, por sí, su esposa y 10 hijos, en oro en polvo. 15q0, y ademas GSfi y 6 rs. que cede de su sueldo. El mismo administrador principal á nombre de los tabaq…</t>
  </si>
  <si>
    <t>la Vil, José</t>
  </si>
  <si>
    <t>José la Vil</t>
  </si>
  <si>
    <t>ento mayor al coronel D. Pedro Cortesa, sargento mayor agregado al de volunta­ rios de Madrid: en el de Irlanda, compañía al teniente de granade­ ros D. José la Vil!a¿ tenencias al subteniente D. José Lasi, y sub­ tenencias al sargento primero, graduado de subteniente, D. José Taeyo, y al alumno de la escuela militar de este …</t>
  </si>
  <si>
    <t>la Viña, Agustín de</t>
  </si>
  <si>
    <t>Agustín de la Viña</t>
  </si>
  <si>
    <t>que se me. reuniesen el: primer batallón ele la columna de granaderos al mando de su comandante él coronel J). José María Jalón y su sar­ gento mayor D. Agustín de la Viña, y la caballería de la derecha, del cargo del teniente coronel D. Miguel del Campo , compuesta deb escuadrón de dragones de España y del.regvmiento.de S. C…</t>
  </si>
  <si>
    <t>La-Garde, Antonio</t>
  </si>
  <si>
    <t>Antonio La-Garde</t>
  </si>
  <si>
    <t>n....... ......................... 109 ' Mensualmente. Excmo. ir. marques de Muzquiz............ 109 Rs. vn&gt; Sr. D. Marcos Antonio Michel por una Sr. D. Antonio La-Garde.......... 80 vez............................................................ écp Timoi. En el de la Cruz, ¿ las quatro de la tarde, se en­ En el del Principe…</t>
  </si>
  <si>
    <t>La-Motee</t>
  </si>
  <si>
    <t>ando aquella baterías y parapetos, y ciaban al púS ico sus per odíeos ; y, recordando el formando estos paralelas, caminos cubiertos, ra­ exemplo del general La-Motee, trataban de vana y males y zapas, hasta poner la cosa en tal estado, temeraria (a empresa del gobernador de Aragón. Es que el ló por la mañana $4 piezas comenz…</t>
  </si>
  <si>
    <t>Labastida, Angel Buendia</t>
  </si>
  <si>
    <t>Angel Buendia Labastida</t>
  </si>
  <si>
    <t>e habia hecho para enviar un mensage á la D. Manuel Calvo, subteniente, á teniente de cámara baxa ; y fue adoptada unánimemente. la primera compañía. D. Angel Buendia Labastida , sargento punte­ ESPAÑA. ro, á subteniente de la segunda compañía. D. Pedro María Serrano, sargento primero, á Madrid g r de agosto. subteniente de l…</t>
  </si>
  <si>
    <t>Laboijssaye</t>
  </si>
  <si>
    <t>da con una inteligencia digna de los mayores diferentes provincias del exército del centro. El elogios. También ha tapuesto su vida a los mayo­ señor general Laboijssaye acaba de ir, de acuerdo res peligros en el paso del Agueda, puyo rio hai con el señor general Hug.i, al alcance del Empe­ tenido que atravesar á nado. Pido p…</t>
  </si>
  <si>
    <t>Labrada, Benito</t>
  </si>
  <si>
    <t>Benito Labrada</t>
  </si>
  <si>
    <t>gel CAbalo, B. Juan Genaro Viñuela, D. Vicente Gomtz, Doq Bírnardino López, D. Santiago Ncvoa, D. Felipe López, D. Ni­ colás Rodríguez de Mejorada, y D. Benito Labrada; el de subte­ niente de bandera á 1). Juan Maceda. . Ei el batallón de infantería ligera de voluntarios de ía Victo­ ria : los de caoitan primero á D. Miguel D…</t>
  </si>
  <si>
    <t>Lacasaña</t>
  </si>
  <si>
    <t>no.— Por los prisioneros he sabido que la$ tropas que han atacado ayer y hoy á este pueblo , son las que ántes habia en él , viniendo mandadas por su general Lacasaña, quien reci­ bió en la noche orden para emprender el, segundoataque • ascendiendo su fuerza, según todas las noticias , á mas de I ooo hombres dé infan­ tería ,…</t>
  </si>
  <si>
    <t>Lacrorts, Josef</t>
  </si>
  <si>
    <t>Josef Lacrorts</t>
  </si>
  <si>
    <t>48 25 D. J o«ef Ignacio de McoÜia........... 9538 21 D. Luis Antonio Treviño*............... 8340 8 La duques, de M hon....*.............. 50799 33 • D. Josef Lacrorts............ ............... »555é 5 D- Juan Vázquez Gcvallos........... 57999 33 -- ------------ --------------Doña Rosa VillauoeVa................... 12099 33…</t>
  </si>
  <si>
    <t>Lacv, Luis</t>
  </si>
  <si>
    <t>Luis Lacv</t>
  </si>
  <si>
    <t>; y solo digo ¿ V. S., que ta*.to en el número de la guarnición como en los depósitos de víveres, es ma­ cho mas de lo que creíalos. — Eróles. — Sr. D. Luis Lacv.” IV. “Excme. Sr.: El mariscal de campo barón de Eróles, se­ guido comsuidaníe general de este excrcito, coa fecha de 14 del ac­ tual dühdc Bellpuig, rao dice lo que…</t>
  </si>
  <si>
    <t>Lacy</t>
  </si>
  <si>
    <t>stó , salió de ella hacía las alturas dé la espalda, camino de Medina, después de tirar al­ gunos cañonazos. Fué á reconocerle con el estado mayor el general Lacy, su gefe ; y dispuso qué mientras el general XVitinghain , con la mayor par­ te dé la caballería daba por la derecha la vuelta necesaria para envolverle, uYi escuad…</t>
  </si>
  <si>
    <t>cia Chiclana sin en­ contrar enemigos.ir Los generales marcharon inmediatamente hacíala vanguardia , que se advertia empeñada , haciendo adelantar el general Lacy , gefe del estado mayor del exército , á la compañía de escopeteros de Getares y. al regimiento de la Reyna , que destinó con .4 piezas á sostener la interesante al…</t>
  </si>
  <si>
    <t>893</t>
  </si>
  <si>
    <t>s dé Sucliet, y estos méritos han valido á su gefe el bastón de mariscal de Francia. Pero los catalanes no han desmayado en la desgracia. Mientras el general Lacy trataba de reunir tes rea-, tos de nuestro excrcíío, de remediarles males producidos por la insubordinación, y de proveer las plazrs fuertes que nos quedan; nales t…</t>
  </si>
  <si>
    <t>895</t>
  </si>
  <si>
    <t>dencia de la guerra , ce­ sen las tropelías y atentados de nuestros pérfidos y alevosos enemi­ gos. — Llobregat 12 de julio de 1811. — José Manso” El general Lacy, presidente de lá junta superior , ha publica­ do con fecha del 15 otra proclama llena de expresiones del mas su­ blime y acendrado patriotismo. “Catalanes, dice : …</t>
  </si>
  <si>
    <t>Lácy</t>
  </si>
  <si>
    <t>igo ,hú evaCnádoá León. - •'* ’* “ •’:.,r ; "Cádiz; -2 dé setiembre. Varias cártás recibidas últimamente de Cataluña refieren que habiendo entrado el general Lácy en territo­ rio de Francia , acudi6 parte de las tropas que asediaban el castillo dé S. Fernsndó jdé Figuéras; y que drbilitááo con esta ccasion* él bloqueo j él br…</t>
  </si>
  <si>
    <t>1245</t>
  </si>
  <si>
    <t>sus soldados á ia de­ serción , se nos han pasado ya muchos, que anuncian la venida de otros muchos mas. Tenemos noticias favorables de Cataluña. El general Lacy sorprehendió en Igualada al enemigo, quien se retiró á un córvenlo fortificado, abanAerando sus caballos, armas, municiones &amp;o., y perdiendo unos 200 hombres entre m…</t>
  </si>
  <si>
    <t>E.tí Cataluña sigue el mismo escena contra los franceses: los so­ matenes y gente armada les hacen cruda guerra donde quiera que los encuentran; y el general Lacy y su segundo el barón de Ere­ los han obtenido ventajea de gran coosideraeioa en Igualada, Chi­ vera, BeUpuig y Pulgcerdé, persiguiendo ñl enemigo basta las cer­ ca…</t>
  </si>
  <si>
    <t>Lacy, Luis</t>
  </si>
  <si>
    <t>Luis Lacy</t>
  </si>
  <si>
    <t>podrán libremente contemplarle los infelices que han experimentado tan ¡¡ceibo castigo. — Discile iustitiam moniti el non ternnere divos. les. — Sr. D. Luis Lacy.” Certera 11 de octubre de 1811, á las 8 y media déla noche.— a La guarnición de Cerrera ha capitulado ya, mañana sakirá para Carioaa, á no ser qus V. S. disponga ot…</t>
  </si>
  <si>
    <t>1531</t>
  </si>
  <si>
    <t>1 «fe Caries V no k&amp;b’.an píacdo tropas eípfc ño?a?. D'ojj guarde á V. S. muchos aña?. — Gales l.° de noviembre de 181 í .-—Ei barón de Frotes. — Sf. D. Luis Lacy.” Del brigadier D. Francisco Miians al mismo. &lt;£La madrugada del 13 del corriente» s-a me d¡ó c¿;£ f+i«a noticia,, de los enora'gp* r f.u númeío de 4000 in fa ites …</t>
  </si>
  <si>
    <t>desde Montgat, y se proseotó á su cuer­ po. Dios guarde á V. E. mucho? año».—Atens del MAr 16 de no. viembre de 1811. — Francisco Miians.—Excmo. Sr. D. Luis Lacy.” El Conseje de Regencia se ha servado-conferir en el regimiento de infantería dé Ordenes Militares, el empleo de sargento mayor al coronel D. Pedro Cortesa, sargent…</t>
  </si>
  <si>
    <t>1347 D i3s guarde á y. E. muchos añ®?. Graus 28 de ectubre do 1811. —*• Excmo. Sr. —&gt;Jesé de Muro. — Ex«mt. S?. D. Luis Lacy.” Cádiz 9 de diciembre. .De ía Coiuña eseúhm ton fecha del 25 que allí corría ?« noticia de una nueva ventaja de ceusidexacicxi, co*8Ígaid£.pey Espoz y Misa en Alcona, cerca del célebre men</t>
  </si>
  <si>
    <t>Ladorini</t>
  </si>
  <si>
    <t>La maestranza de la Carraca, que casi con ta , en donde piensan pasar gran parte del invierno. igual atraso está empleada baxo los fuegos del ene­ £1 capitán Ladorini ha vuelto á repetir el ex­ migo; y últimamente los enfermos del real hospi­ perimento de su capa hidras ¡ática con un éxito tal de esta plaza, qne por no estar …</t>
  </si>
  <si>
    <t>correo que ha llegado esta tarde ha traído la consecuencia de esto nuestros periódicos aconsejan novicia do qne ia debilidad de S. M. era cada vez al capitán Ladorini quiera Ingar de darse por in­ mucho mayor. ventor, trate de dar á su capa hidrostática la per­ No esperábamos ai Príncipe Regente hasta el fección que tenia la …</t>
  </si>
  <si>
    <t>Ladrón, Josef</t>
  </si>
  <si>
    <t>Josef Ladrón</t>
  </si>
  <si>
    <t>s. doba ; para ayudantes D. Josef Vázquez y D. Ra­ fael Fernandez , y para abanderados á D. Vicente D. Mariano Pineda. Fernande z y D. Manuel Aragón. D. Josef Ladrón. Admismo quedan nombrados para capitanes y D. Josef Cisneros. oficiales de las doce compañías, inclusos los que D. Gerónimo Castellano. lo estaban para el primer…</t>
  </si>
  <si>
    <t>Laerran, Joaquín</t>
  </si>
  <si>
    <t>Joaquín Laerran</t>
  </si>
  <si>
    <t>parte la pérdida entre muertos y heridas no llega á 300 hombreé, con un oficial muerto, que lo es el teniente de cazadores del regimiento de Galicia D. Joaquín Laerran, y heridos el ayudan­ te y teniente del mismo cuerpo D. Domingo M&amp;drazo y D. Juan An­ iel , y el teniente coronel D. Alfonso Gallego , capitán de granaderos de…</t>
  </si>
  <si>
    <t>Lafíite</t>
  </si>
  <si>
    <t>bido mandaba el convoy , tuvo un ca­ ballo herido y otro muerto; igualmente han sido muertos y heridos laucho» o Sacíales. Han quedado en mi poder el coronel Lafíite que iba en el coche, 7 oficiales, 3 cirujanos, algunos sargentos y 109. soldados reas. En los carros iban variss mugeres que pasaban &amp; F¿unda, á quienes he dado …</t>
  </si>
  <si>
    <t>Lafitre</t>
  </si>
  <si>
    <t>se nt'ró no pensaba enviar al Báltico una flota considera­ vergonzosamente á Tas sierras. ble. Ahora se. dice que esta flota se compondrá dé El señor coronel Lafitre, comandante' de Ta—. 23 navios de línea, y que la mandará sir James lavera , noticioso dé Jos movimientos de! brigadier Sar.rn.irez; y* que saldrá en brev.e. Imp…</t>
  </si>
  <si>
    <t>Lafitte</t>
  </si>
  <si>
    <t>pitán , el del buque y su porte, como también el Este movirriieñto tuvo un resultado feliz. Elpuerto del Báltico donde'haya caí-gado. Si es un Stñor coronel Lafitte sorprehendió á las tres de lapuerto al Este del Oder, los buques deben salir rtiañana del dia ri en Menasalbas al enemigo * á sin convoi, y los puntos de reunión …</t>
  </si>
  <si>
    <t>Lagerheim</t>
  </si>
  <si>
    <t>os con­ quiera.” des Ruth, Posse, Wietggles y Wachtmcistcr, el CAMARA BAXA. barón Rossembiad, consejero de Estado , el barón Flemming, presidente, el barón Lagerheim , el ma­ Sesión del t¡ de junio. yor general barón de Bennet , el obispo Win- Habiendo propuesto el canciller del echiquier gard &amp;c. &amp;c. que se votase un crédito…</t>
  </si>
  <si>
    <t>Laguae, Rafael</t>
  </si>
  <si>
    <t>Rafael Laguae</t>
  </si>
  <si>
    <t>capitán D. Pedro Miguel de tuque. de la tercera compañía. Tenientes. Quarto batallón. D. Ramón de la Peña. D. Gregorio Alfonso de Choya, ayudante, á D. Rafael Laguae*. capitán de la primera compañía. D. Lorenzo Cuenca Romero. Quinto batallón. D. Felipe Gutiérrez de Qaevedo. D. Agustín Tavira, ayudante segundo, á ca­ Subtenien…</t>
  </si>
  <si>
    <t>Laguidain, Simen</t>
  </si>
  <si>
    <t>Simen Laguidain</t>
  </si>
  <si>
    <t>ante;, pero la ¡desemejada suerre que le cupo me llena de tristeza, y apenas ¿cierto á cSnunicar á V E el siguiente parte que el ayudante dei mis­ mo D. Simen -Laguidain me ha pasado: Cí Mi corohery señor: Habiendo llegado á este pueblo, baxó nues­ tro comandante á observarlas inmediaciones de la carrerera; notó quevenia una …</t>
  </si>
  <si>
    <t>Lah</t>
  </si>
  <si>
    <t>eros del regimiento 75.0 de iufatitcm de Ciudad-Real, armado con nn trabuco, y asociado linea. de otro compañero, robó A media legua de Dai- El señor general Lah.misaye avanzó entoncos mid una porción de fanegas de cebada y otros va­ con todas sus fuerzas; alcanzó á los insurgentes cin­ rios t fecros, que por disposición de s…</t>
  </si>
  <si>
    <t>Lahoiíssaye</t>
  </si>
  <si>
    <t>177</t>
  </si>
  <si>
    <t>y aban­ donado.— Nuestro exéreito mantiene abierta la comunicación de. la plaza con Portugal, y ha salido de ella mucha gente en especial mügeres. El general Lahoiíssaye , gobernador francés de la provincia de To­ ledo , había recogido unos 2500 infantes y 500 caballos de sus guarni­ ciones y b jado á Extremadura , sin duda p…</t>
  </si>
  <si>
    <t>Lahonssaye</t>
  </si>
  <si>
    <t>ron pe mino de Baüecas 300 hombres del regimiento 75 con tm cauoz y un obús, y hoy han salido también con eí mismo objeto algunas tropas al cargo del general Lahonssaye.— La guardia real que escoltó á ¿c* sé, y el cuerpo que acompaña á M&amp;ssena y oiros generales que p.» san á Francia, volverán á reforzar esta guarnición. Ufa d…</t>
  </si>
  <si>
    <t>Lahonsssye</t>
  </si>
  <si>
    <t>á Y. M., que el eueargi se diríja sobre el Tajo, y con mas razón que haga la locura de pasar o: no obstan­ te estoy reuniendo algunas tropas, y ya el general Lahonsssye ha llegado á Madrid con un batallón del 75, y el regiisi.mt# 10 de dragones; pero es cosa triste, Señor, el verse en la necesidad de desnudar á un santo para …</t>
  </si>
  <si>
    <t>Lahoossaye</t>
  </si>
  <si>
    <t>heridos, qu* han sido conducidos fuentcs , encargó al marques de Z.yas que tomase á Taraocon. el mando de las tropas que el Empecinado habia El señor general Lahoossaye hace los mayo­ organizado. res elogios del señor coronel Saint-Genies, co­ El marques de Ziyas llegó 5 Sigiienza á prin­ mandante del regimiento I9.°de dragon…</t>
  </si>
  <si>
    <t>Lahoussaye</t>
  </si>
  <si>
    <t>perdió 25 hombres, que quedaron muertos, y se le cogieron ademas TEATROS. seis caballos. En el del Príncipe, á las siete de la noche, se re­ El señor general Lahoussaye, que se habla di­ presentará por la compañía española la comedia en cin­ rigido á Mérda para abrir comunicación con las co actos titulada el Hipócrita , y el …</t>
  </si>
  <si>
    <t>nes del noveno cuer­ po. No se dice que estos despachos hablen de apa­ Madrid 8 de marzo. riencias de batalla. Nuestro exército ha hecho mo­ El señor general Lahoussaye, gobernador d* vimiento hácia la izquierda de Cartaxó, y se ha la provincia de Toledo, acaba de hacer un recono­ adelantado hasta Tremez. cimiento hasta Alcán…</t>
  </si>
  <si>
    <t>e­ capaz de sacarlos de su pereza y desidia natural; garon á la vista de Cuenca codas las tropas del y yo estol bien persuadido de que la mayor parre general Lahoussaye. ae ia nación portuguesa se inquieta mui poco de El enemigo estaba situado detras de sos atrin­ que su pais esté ocupado por franceses ó por in­ cheramientos …</t>
  </si>
  <si>
    <t>645</t>
  </si>
  <si>
    <t>nacioraies y reclutas para enviaT á España. Las cartas de la R'oja hablan de baxar desde Burgos algunas tro­ pas ¿ aquel punto. Ha salido de aquí el general Lahoussaye, yes muy probable que Belliard dispone algun movimiento contra Cuenca. A las 9 de la mañana del día 1.° llegó aquí un tai G alaben, edecán despachado por Soult…</t>
  </si>
  <si>
    <t>783</t>
  </si>
  <si>
    <t>otivo del movimiento hecho per has tropas de Jadiracrj©, de cu a recibió aviso B iliard el 11 por la mañana temprano, se despachó «tiro i Tarancon al general Lahoussaye, quien llegó aquí e¡. 12 con l®s acostumbrados robos de gallinas, tocino y trigo. Al mismo tiempo que se avisó á este general, se enviaron órdenes á varios de…</t>
  </si>
  <si>
    <t>ron 21 jurados ds caballería. — El 16 por la mañana entraron 24 prisioneros ele lee tira­ dores de Cuenca escoltados por 109 infantes, y con ellos el general Lahoussaye, el cual volvió á partir Mcia Taran con, para donde des­ filaron unos 2000 hombros desde Alcalá con 4 callonas y 2 obuses. Asi­ mismo recibieron repentinament…</t>
  </si>
  <si>
    <t>uedas noticias que reciben son poco lisonjeras. .De/.21. A consecuencia, de un aviso de Bolliard despachado'. &amp; las 12 del dia, vino á las 2 horas el general Lahoussaye, dexando siv caballería en Vicálvaro y B-aliecas. A poco rato le envió Exiliare? la é/den de salir al momento , pero no io realizó hasta después de avis* t :?…</t>
  </si>
  <si>
    <t>unto. Dia 21. Se ha hecho uq,grande embargo de carros para un con­ voy que debe salir mañana con dirección á Talayera. — Por la tar­ de ha llegado el general Lahoussaye sin ningún aparato. — Se han recibido varios aviaos de Cistilla, entre elies el de haber ocupado loa españoles el dia 15 á Santander, y haber salido las tropa…</t>
  </si>
  <si>
    <t>Laina, Luis</t>
  </si>
  <si>
    <t>Luis Laina</t>
  </si>
  <si>
    <t>rimeros tiempos de tu fundación. deo Oríiz; para teniente á D. Manuel Laina, y Las declaraciones pues de las iglesias de Irada son para subteniente á D. Luis Laina. unos documentos preciosos que acredir.o que la art. in. En la villa dé Paradas sé aumentarán nuestra ha seguido constantemente, y se ha con­ dos compañías á rnas …</t>
  </si>
  <si>
    <t>Laina, Manuel</t>
  </si>
  <si>
    <t>Manuel Laina</t>
  </si>
  <si>
    <t>o pura la doctrina qne apren­ Para capitán de ia tercera compañía á D. Ta— dió desde ios primeros tiempos de tu fundación. deo Oríiz; para teniente á D. Manuel Laina, y Las declaraciones pues de las iglesias de Irada son para subteniente á D. Luis Laina. unos documentos preciosos que acredir.o que la art. in. En la villa dé P…</t>
  </si>
  <si>
    <t>Laíre, Manuel</t>
  </si>
  <si>
    <t>Manuel Laíre</t>
  </si>
  <si>
    <t>os años, bs Torre de R dz. octubre 4 de 1811. — Carlos Hato,—Exorno. Sr. presidente y vocales de la justa superior de Asturias.” Utiel 16 de octubre. D. Manuel Laíre, capitán del segundo ba­ tallón de Aragón , que con una partida se hallaba cosiimpaadc en el partido de Aícañiz, tuvo noticia de que ea ía villa de Miniesa ha­ b…</t>
  </si>
  <si>
    <t>LaJumssaye</t>
  </si>
  <si>
    <t>salido de Paienda - Cira,partida de guerrilla ha. .causado poco ha al enemigo conside abies perjuicios en el Puente .del Arzobispo ; y se dice que el general LaJumssaye fue muerto-en la acción que hube en aquel parag?. — El enemi­ go no ha hecho movimiento de importancia en el frente de efte exercíto desde que envíe á V. E. m…</t>
  </si>
  <si>
    <t>Lalfitte</t>
  </si>
  <si>
    <t>Gaceta de Madrid n.º 60</t>
  </si>
  <si>
    <t>y fiada en este apoyo, s= cree con derecho para de las guerrillas que se retiren á sus h. g res. levantar la voz, y echarnos bravatas y amenazas. fil coronel Lalfitte continúa persiguiendo á to­ Mientras estaba negociando con los señoes firskine das las quadrillas que andaban por los alrededores y J.ckson, no dixo una palabra…</t>
  </si>
  <si>
    <t>Laloge</t>
  </si>
  <si>
    <t>ibó uoa porción de hombres y ca ba­ que mas se han distinguido ; y cita al exército los jíos, é hizo retroceder toda la coiuna , quedando nombres del capitán Laloge, del regimiento 114.0; herido y prisionero el coronel de dragones de la del subteniente de húsares Pilot y Bonnecar.se ; del Reina. Los enemigos atacaron al mismo…</t>
  </si>
  <si>
    <t>Lam</t>
  </si>
  <si>
    <t>por tierra y por agua, y se pro­ constelación de la Ursa mayor. pone realizar el gran proyecto de unir el SennLsel ,, Las repetidas observaciones del doctor Lam­ «oo el Obi por medio de los ríos intermedios. Se­ berti establecen los siguientes hechos : que este co­ mejante empresa exige grandes gastos, mucho tiem­ meta se des…</t>
  </si>
  <si>
    <t>Lamaríiniere</t>
  </si>
  <si>
    <t>712 ' De BeUiard á José Bonaparle. Señor, — Después del último parte ¿el general Lamaríiniere que tuve la honra de enviar á V. M. no he sabido nada de él. D¿be estar los movimientos del cuenco de 5000 hombres , que según los prime­ ros avisos se. hallaba en Tnixüio r J araicejo, lo qu^ probaría que el enemigo no s</t>
  </si>
  <si>
    <t>Lambert</t>
  </si>
  <si>
    <t>tenientes, á quien eucontré en ,, El 29 á las once de ia mañc.na recibí la respuesta tierra quando volví. V. E. verá por estas pocas pa­ adjunta del capitán Lambert, comandante de la labras que la 3 dona y la Minerva, tenianpor cier­ Ifigenia (3) , con las piezas A , B, C , D , que con­ ta la victoria. Dice así: ,,La Nereida …</t>
  </si>
  <si>
    <t>Lamberti</t>
  </si>
  <si>
    <t>linación de su curso no corte H ut le ha reconocido por ur&gt; cometa qué permite á este comete acercarse tamo á la tierra sale de los rayos solares. El doctor Lamberti ha como pretenden ios primeros, y temen los *«fizado sn posición en 149o 9" dé elevación perpen­ guados.” dicular, yen 33a49"su declinación.septentrional. DINAMA…</t>
  </si>
  <si>
    <t>Lamorendiere</t>
  </si>
  <si>
    <t>. y los demas han sido perdonados. Los volteadores y el primer batallón del yj.*, ,, Quebranta el corazón el ver la miseria de los al mando del señor coronel Lamorendiere , ataca­ infelices portugueses, qne han abandonado sus ca­ ron la derecha , y se apoderaron á bayoneta calada sas en virtud de las órdenes y amenazas de nue…</t>
  </si>
  <si>
    <t>Lana, Marco</t>
  </si>
  <si>
    <t>Marco Lana</t>
  </si>
  <si>
    <t>s, á ser pasados por las armas , i excepción üel tambor, á quien su cor­ ta edad libertó de esta pena. Los prisioneros restantes fueron co­ gidos por D. Marco» Lana , comandante de una partida de la mis­ ma diviaioa de Soria, que perseguido por la guarnición francesa de Tarazotta, se situó ventajosamente, aprovechándose de su…</t>
  </si>
  <si>
    <t>Lana, Marcos</t>
  </si>
  <si>
    <t>Marcos Lana</t>
  </si>
  <si>
    <t>s oficíales y soldados, me permitió emprender la m cha Risía dar vísta á Tarazóla antes de la hora que tenia dispuesta. Ya h :^ía Aecho adelantarse á D. Marcos Lana, adviniéndole que látiro que rompiese ci día, se aproxímase á la ciudad y tirase algunos tiros.</t>
  </si>
  <si>
    <t>Lances</t>
  </si>
  <si>
    <t>s loa movimientos que hacen tanto nues­ tras partidas como las enemigas estas para extraer víveres del país y taUrlo , y aquellas p?.ra impedirlo. El general Lances que manda en Velez-rubio, pasó d día 16 á Lumbreras , despojó ds sus espadas y tercerolas á los españoles juramentados que allí había, y los envió á Granada. Gon …</t>
  </si>
  <si>
    <t>Lanctoy, Ramón</t>
  </si>
  <si>
    <t>Ramón Lanctoy</t>
  </si>
  <si>
    <t>te­ nencias á D. Blas María Sola, D. Jo?é Carrasco, D. Nmroírío Cor­ vino, D. Biitoiomé Wüitt, D. José Wüitt, D. Manuel Vago, Don Simón d&amp; la Greta, D. Ramón Lanctoy, D. José Andalo, D. José García, D. Francisco Gómez, B. Antonio Díaz, D. Juan Sánchez y D. Gregorio Vázquez; y subtenencias á D. Francisco Rafael, D. Manuel Taqu…</t>
  </si>
  <si>
    <t>Landáburu, Mamerto</t>
  </si>
  <si>
    <t>Mamerto Landáburu</t>
  </si>
  <si>
    <t>ing: segundas tenencias de fusileros á los alféreces D. Juan de Dios Landáburu , de granaderos, D. Carlos Gon­ zález de Llanos, D. Juan Domingo Foxa, D. Mamerto Landáburu yr D. Carlos Orreyile barón de Clonkee, y al capitán segundo del ba­ tallón de voluntarios, segundo de Barcelona, D. Pedro Morell: empleo de segundo ayudant…</t>
  </si>
  <si>
    <t>Landrieux</t>
  </si>
  <si>
    <t>er, y la compañía escogida del mismo regimien­ jo ds. 6 o ds. $0 ¿t. to , capitán Lasalle. La compañía escogida del a7.* de cazadores, mandada por el capitán Landrieux, Taris........ efectivo. "*s104*s y dirigida por el coronel duque d’ArcmSerg; y el Hamburgo, efectivo. 4.0 de cazadores españoles &amp; caballo , mandado por el ma…</t>
  </si>
  <si>
    <t>Lang</t>
  </si>
  <si>
    <t>sa se les obliga , como se ha hecho ya con va­ ligeros , en Santa Olalla y Barbaren». , rios, á entrar en Montevideo, en vez de proseguir Brigada,del general Lang: i.° de húsares ale­ su viage por el río, resultarán de aquí á ellos y á manes, 11.* de dragones ligeros,' en Villaviciosa sus propietarios gravísimos ¡nctrbvenient…</t>
  </si>
  <si>
    <t>Langa, Francisco</t>
  </si>
  <si>
    <t>Francisco Langa</t>
  </si>
  <si>
    <t>acer en Burgos , y se había trasladado ya á aquella ciudad. — Se asegura deba acompañar i Batieres el general de división Serás. El famoso partidario D. Francisco Langa, con fecha de 3 de este mes, comunica al señor comandante general las noticias siguientes. “José Bonaparte entró en Vitoria en la tarde del 30 de junio últi­ …</t>
  </si>
  <si>
    <t>Langeron</t>
  </si>
  <si>
    <t>to es la Biblia én siriaco de los cristianos lla­ donde ha sido recibido con la mayor solemnidad, mados de Santo Tomas, los quales según sus le­ y el conde Langeron le entregó en seguida el man­ yendas traen su origen dé este apóstol , que se co del exército. Todavía no se halla enteramente' cree padecí5 el martirio en Meliap…</t>
  </si>
  <si>
    <t>yen su consecuencia han sido detenidos inme­ do. Este exército estará al mando del teniente ge­ diatamente por los aduaneros algunos buques que neral conde Langeron. El quartel general del con­ han llegado de Inglaterra á llueva-Yorck y á otros de Kutusow , general en gefe , permanecerá en puertos. Bucharest. También se ha da…</t>
  </si>
  <si>
    <t>10 veces mas gente que no­ á los arrabales de Giurgewo, y abastecer la plaz? sotros. El enemigo se retiró á sus atrincheramien­ para muchos meses. El general Langeron manda tos cerca de Kadikioi, y dorante ana semana no los cuerpos que están destinados á defender la Vase atrevió á tirar no fusilazo contra nuestras avan­ laqui…</t>
  </si>
  <si>
    <t>Langeror</t>
  </si>
  <si>
    <t>oraciones prescritas por el atcoran. El Ahora -e dice que quien se apoderó de bilispueblo habia llegado á perder toda idea de un cul­ tria no fue el general Langeror» , si 10 el general to exterior. La corte de Constantinopla envió por Galohef. No llevaba.nías que uua pieza de á 6 de motivos políticos, después de la paz del a…</t>
  </si>
  <si>
    <t>Lannes</t>
  </si>
  <si>
    <t>la casa de ios locos: 80 Wíndsof 27 de enero. al ministro Putsch, en el Petit-Jena, que en t8c6 ,,S. M. sigue en el mismo estado.” sirvió de gula al mariscal Lannes: 20 al consejero Extracto de una carta particular. Stark ,?que ha hfeho los mayores servicios al hos­ pital francés de Jena: 3© á la viuda del escribano Lisboa 10…</t>
  </si>
  <si>
    <t>Lanskoronski</t>
  </si>
  <si>
    <t>llegue á Botzen será confiscado. Solo se per­ necesita.de cuidado y vigilancia en su execucion. mitirá el paso á los géneros colooiales que vayan Él conde Lanskoronski y el conde de Traon, dipu­ acompañados de certificados franceses ó italianos. tados de la Gallitzia y del Austria ¡oferior, han he­ La sal y el tabaco serán ta…</t>
  </si>
  <si>
    <t>Lanz, Josef</t>
  </si>
  <si>
    <t>Josef Lanz</t>
  </si>
  <si>
    <t>Gaceta de Madrid n.º 6</t>
  </si>
  <si>
    <t>á que está de dicho plano ; pero se­ era desconocida enteram.eute en España, hasta que ria preciso que esta altura se diese en valores abso­ en 1803 D. Josef Lanz ia enseñó por la primera lutos, y por consiguiente no se podría decir que vez en L escuela de caminos y canales, y se im­ haciendo tal ó tal construcción gráfica , …</t>
  </si>
  <si>
    <t>parte que faltaba á las arres para estre­ coloniales, entró ayer en este puerto. charlas mas y mas con las ciencias, lo ha consegui­ do completamente D. Josef Lanz, en el dia gefe de división del ministerio de lo Ioterior, en sil Obra , que modestamente llama ensayo sobre let Reflexiones sobre la geometría descriptiva, sus co…</t>
  </si>
  <si>
    <t>que la expresión de la voluntad del lord Liverpool? Ensayo sobre la. composición de las máquinas por Air. W’iLborforce defendí® fuertemente las re­ -D. Josef Lanz, gefe de la primera división soluciones propuestas por el ministro: insistió en del ministerio de lo Interior. que se tomasen las mismas providencias que en el PRIM…</t>
  </si>
  <si>
    <t>stía verdaderamente Ja podrá mudar en rectilíneo alternativo, en circu­ invención. lar continuo en circular alternativo en ooa f#ry , Asi pues quando D. Josef Lanz, en el año de va dada continuo, eu una curva dada alternati­ 1805 , en cuya época era profesor de la' escuela de vo ¡; y si á estos añadimos la combinación consigo…</t>
  </si>
  <si>
    <t>bra está escrita con tino, y ademas de las Una de lss muchas ventajas que ocasionará la obra investigaciones de que abunda, refiere gran número de de D. Josef Lanz será desterrar la distinción tan per­ hechos que prueban que su autor es un médico observa­ judicial de teóricos y prácticos, y destruir su rivalidad, dor y estudi…</t>
  </si>
  <si>
    <t>Lanz, Miguel</t>
  </si>
  <si>
    <t>Miguel Lanz</t>
  </si>
  <si>
    <t>. Pedro Delgado, 50. D. D iego Ríos Carta, 50. D. Martin Yerobi, 50. D. Juan Bautista Yerobi, 50. D. Francisco Batllé , 50. D. Cristóbal Sansón , 50. D. Miguel Lanz, 40. D. Rafael Bailester, 25. D. Gaspar Machín , 25. D. Isidro Arecha,25. D. Nicolás Soriano, 25. D. Pedro í«opea , 35. D. Ignacio Cantarcy , 25. D. Bartolomé Rus…</t>
  </si>
  <si>
    <t>Lanza, Manuel María</t>
  </si>
  <si>
    <t>Manuel María Lanza</t>
  </si>
  <si>
    <t>uín Xiinanez. D. Teodoro C3iab;U. D. Francisco Pastor. D. José Mari* Canal. D. Vicente. Fría». D. Pedro Taboada. D. Juan Echáis. D. Sebaptiun Conejo. D. Manuel María Lanza sorta. Lie. D. Jcsé Marín Chicc. D. Luis Msrcles. Lie. D. José María Letona. D. Jacoho A rctdo, teniente coronel. D. Luis Malo, coronel. D. José María Segu…</t>
  </si>
  <si>
    <t>Lanza, Rimon</t>
  </si>
  <si>
    <t>Rimon Lanza</t>
  </si>
  <si>
    <t>1191 tires Lima, D, Jáan Antonio Gil, D. Salvador PJau , D. José Manri£b&gt;, D. Rimon Lanza, D. Agustín Magi Domenec, D. Juan Ma­ nuel Suero y D. Isidro' Parrado; los de subteniente á D. Bernardo Cohniro, D J mn La*o Policarpo, D. Juan Corvera, D. Manuel T-boada, D. Nicolás Pardo,</t>
  </si>
  <si>
    <t>Laodábum, Domingo</t>
  </si>
  <si>
    <t>Domingo Laodábum</t>
  </si>
  <si>
    <t>ia comandancia á D. José Frijó y ia sargentía mayor á D. Francisco Xavier Martínez : en ia legión ex­ tranjera dei sexto ejército , la comandancia ú D. Domingo Laodábum y la sargentía mayor á D. Jasé Saravjt : en ei baíalbm de ca­ balleros ca lotes dsl mismo íxércHo la comandancia ú D. Luis la Roque y la sargentía mayor ¿ D. …</t>
  </si>
  <si>
    <t>Laogeron</t>
  </si>
  <si>
    <t>ué americano, sueco ni otro ninguno cargado de gewo hai un cuerpo de cerca de 18® hombres al géneros coloniales ó de mercancías fabricadas. maodo del general Laogeron. El general Woioof sé ha reunido én Karabat con el cuerpo ruso que AUSTRIA. ha venido de las inmediaciones de Varna. Se dice qüe ios' torcos han vuelto á entrar…</t>
  </si>
  <si>
    <t>Lapeña</t>
  </si>
  <si>
    <t>odos los países de esta monarquía. Ha­ ta de un papel ó relación impsesa, que me ense­ ce mas de 40 años que ,1a Emperatriz María Te­ ñaron ayer, del general Lapeña, el qual me echa resa fomentó esta producción indígena, y mandó á mí la cuipa, á lo menos de una manera implíci­ propagar en sus estados las instrucciones necesar…</t>
  </si>
  <si>
    <t>Lapena, Manuel</t>
  </si>
  <si>
    <t>Manuel Lapena</t>
  </si>
  <si>
    <t>migos. Dios guarde á V. E. muCliós años. Cuartel general de Medina-Sidonia 8 de marzo de 1811. — Excmo. Sr.Antonia JBegines da los Ríos. — Excmo. Sr. D. Manuel Lapena.*1 . ¿&amp;.0 ft Excmo. Sr. -- A las dos horas de haber llegado á esta ciudad con las tropas de mi mando., avisaron laa avanzadas de que por el ca* miño viejo de CH…</t>
  </si>
  <si>
    <t>Lapeña, Manuel</t>
  </si>
  <si>
    <t>Manuel Lapeña</t>
  </si>
  <si>
    <t>o^ — Dios guarde á V. E. muchos años. Cuartel general de Medina-Sidonia 8 de marzo de 18ri■ ~ Excino. Sr. — An­ tonio Begines de los Ríos.—Excmo. Sr. D. Manuel Lapeña.^ 5.’ “Excmo.. Sr. : A las 3 de la mañana de hoy volvieron los ene­ migos á repetir elataque por el capjmQ jile££¡hiclanu, rompiendo un vivo fuego sohrei nuestr…</t>
  </si>
  <si>
    <t>lc».—Dios .guarde á V. E. muchos años. Cuartel general' de Mediuá-Sidoma $ de marzo de 1811.—Excmo. Sr. —Antonio Begi~ ncs de los Ríos, — Exczno. Sr. D. Manuel Lapena.” CADIZ : EN LA IMPRENTA REAL*</t>
  </si>
  <si>
    <t>Laplace</t>
  </si>
  <si>
    <t>caudal ce los teatros de Madrid, de con­ ,, Visto y sellado. El canciller del sena-dotas tribuir á su mejora, y de trabajar eu ios adelanta­ Firmado Conde Laplace.” : mientos del aite. . .Concluida esta audiencia, el Emperador, ba­ - art. n. Nuestro ministro de lo Interior qaeso de.su trono, recibió al cuerpo diplomático, da …</t>
  </si>
  <si>
    <t>Laprña</t>
  </si>
  <si>
    <t>entró bizarramente y á viva fuerza en la villa de Ara ha 1 á pesar de la resistencia que le opu­ sieron los cívicos de ella , fixó las proclamas del general Laprña, mandó que se presentasen los dispersos , y recogió sobre la mar« cha 4 ó 6 caballos. En seguida se apostó sobre el rio de Sevilla, y á fuerza de armas detuvo, abo…</t>
  </si>
  <si>
    <t>Laque, Joan</t>
  </si>
  <si>
    <t>Joan Laque</t>
  </si>
  <si>
    <t>i438 . , y que ha sido'diputado cerca de nuestra corte, 6 D. Joan Laque...... ............................. quien dice que las desavenencias entre Montevideo 63*7 17 3 D. Lorenzo Iruegas............................ J1191 y Buenos-Aires no estaban todavía arregl</t>
  </si>
  <si>
    <t>Lara, Francisco de Paula</t>
  </si>
  <si>
    <t>Francisco de Paula Lara</t>
  </si>
  <si>
    <t>órdoba. íubreniente de ía octava comp nía. art. xiv. Nuestros miuistros de lo Interior y Subtenientes; de la Guerra quedan encargados de la execucioo D. Francisco de Paula Lara. de eitc decreto. e= Firmado = YO EL REI. = Por D. Manuei Espinosa de los Monteros. S. M., el ministro secretario de Estado as Firma­ art. vi. En la v…</t>
  </si>
  <si>
    <t>Lara, Luis</t>
  </si>
  <si>
    <t>Luis Lara</t>
  </si>
  <si>
    <t>é María Letona. D. Jacoho A rctdo, teniente coronel. D. Luis Malo, coronel. D. José María Segura, car» . genio-mayor. D. Francisco Mmacarenascoronel. D. Luis Lara, te­ nis nte coronel Nú-ja. 2.° Ra zon de la artillería tomada á los insurgentes en la derrota que padecieron el 21 de marzo de 1811. Veinte y quatro cañones de á 4…</t>
  </si>
  <si>
    <t>Laranaga, Macedonio</t>
  </si>
  <si>
    <t>Macedonio Laranaga</t>
  </si>
  <si>
    <t>, 10. Varios individuos, 8G y 2 rs. — S. Ignacio. El subde­ legado D, Francisco Figueroa, G. D. Juan Luis Elizarde , 25. Doña Manuela Elizarde , 25. D. Macedonio Laranaga, 10. D. Juan José Padilla, 25. D. Xa­ vier Manj arres , 10. D. Ignacio Ramírez, 10. 1). Urbano Ibarra , 10. Va­ rios individuos, 84 y 5 rs. — S. Xavier de C…</t>
  </si>
  <si>
    <t>Laraz, Ramón</t>
  </si>
  <si>
    <t>Ramón Laraz</t>
  </si>
  <si>
    <t>Bolea , D, Francisco García y D. José Quin­ tana : ayudantía á D. Jmé Aguado: tenencias á D. R araos Nave-, Ha, D. Vicente Jasen, D. Fernando María, D. Ramón Laraz, D;*n Fatiga, D. Nícoiafí Franco y D. Joaquín Fuentes: en @1 de "Ba­ dajoz, compañías £' D. Manuel .Brayo, D. Raílolomé Berris, Don Manuel Gata y D, José Mesia y M…</t>
  </si>
  <si>
    <t>LardiVtena</t>
  </si>
  <si>
    <t>á la* alturas de Barrosa, á distancia de quatro millas al AUSTRIA. sod del rio de S. Pedro. Habiendo atacado la van­ guardia española, mandada por el general LardiVtena a o de marzo. zaval, la espalda de la línea enemiga cerca del ex­ Se han aumentado aqni los derechos del sello presado rio , el general español, que hacia de …</t>
  </si>
  <si>
    <t>Lardizabal</t>
  </si>
  <si>
    <t>ierta la comunicación del exército de ia Isla , y conseguidas las ventajas anteriormente indicadas. Tal era el importante obje­ to que debía leñar el brigadier Lardizabal con sus tropas. . 0. o^enera ^ con mas de 4000 infantes de los regimientos núnt. 27, , . o , un e Guadion , 2 cañones y un(\»bu3 defendían aquella posición …</t>
  </si>
  <si>
    <t>e artillería. Aquí sé trabó una acción reñidísima y sangrienta , en que á pesar de los esfuerzos de nuestras tropas , de*la presencia y serenidad del brigadier Lardizabal, hubie­ ran sido arrolladas por la fuerza; é ímpetu de.los enemigos , si el bizarro.regi­ miento de Murcia .del mando del coronerí). Juan-Mavía Muñoz no los…</t>
  </si>
  <si>
    <t>ó parte desde Alcantarilla, en la huerta de Murcia, di­ ciendo esperaba en aquel cuartel general al día siguiente á la pri­ mera división, y á la del general Lardizabal, y aguardaba la llega­ da á la mayor brevedad de la segunda y tercera, según aviso del ge fe de estado mayor; todas con alguna basa de fuerza, no por dis­ per…</t>
  </si>
  <si>
    <t>Lardizabal, Domingo Ignacio</t>
  </si>
  <si>
    <t>Domingo Ignacio Lardizabal</t>
  </si>
  <si>
    <t>Ramón Cevallos, 1500. El conde de la Cortina por sí y por sus tres hijos D. José , D. Mariano y D. Joaquín , 12000. D. Tomas Domingo de Adía, liOOO. D. Domingo Ignacio Lardizabal , 2000. El comisario de guiara honorarío D. Pedro González Moriega, varias piezas de plata.baxilla y dos pares de hebillas de oro que produxeron 452…</t>
  </si>
  <si>
    <t>Largement</t>
  </si>
  <si>
    <t>uido esta guerra de diez años, rías ; pero ha entrado con felicidad en el puerto. encendida por esta segunda Elena. La Nueva sociedad, mandada por el general Largement, que iba de Burdeos á Redron , ha enca­ SUIZA. llado en la costa. El Intrépido, mandado por el capitán Legalhe, destinado para Aurai con un car­ Zurich 15 de a…</t>
  </si>
  <si>
    <t>Lariboissiere</t>
  </si>
  <si>
    <t>uiente cesan nuestras obli­ ga-. io-.es como aliados. En e‘ hecho mismo de unir­ Tolon 2 de octubre. se Fernando con la Francia reconoce á Jo^quin El general Lariboissiere, primer inspector ge­ por Rei le las Dos-Sicilias , puesto que este es el neral de artillería, se halla en esta ciudad un mes único Reí reconocido por la F…</t>
  </si>
  <si>
    <t>Larraiozar, Rafael</t>
  </si>
  <si>
    <t>Rafael Larraiozar</t>
  </si>
  <si>
    <t>ario, ar­ lan á( moles el SS. Sacramento de las manca, determinó acometerlos con las Iropas de su mando, aumentadas con algunas fuerzas al man­ do de D Rafael Larraiozar. Dos leguas árdea del Cardonal los ha­ lló el 22 de abril ea número de unos 6000 feonbres, ocupando el ca­ mino y alturas délos lados; y habiend» hecho rompe…</t>
  </si>
  <si>
    <t>Larralde, Pedro</t>
  </si>
  <si>
    <t>Pedro Larralde</t>
  </si>
  <si>
    <t>contribución de puertas y ven­ D. Martin de Astoreca, D. Lorenzo de la Torre, tanas se añadirá 10 céntimas para gastos de recau­ D. Fernaudo Sabugo, D. Pedro Larralde, D. To­ dación. mas Martin, D. Pascual Zamora y D. Agustín Las patentes se expedirán en les mismos tér­ Toribio González. minos que en Francia. Por decreto de 1…</t>
  </si>
  <si>
    <t>Larrea, Miguel Sancho</t>
  </si>
  <si>
    <t>Miguel Sancho Larrea</t>
  </si>
  <si>
    <t>Lomhida.......... 17S8 16 D. Mígael Mari» de Gortázar...... 13947 4 Juan Felipe Gui de Paroi....... 80000 D. M;nuel Francisco dé Goiri..... 130560 X D. Miguel Sancho Larrea........ ........ 1JCOO D. Pedro Fatira ...:........ ................ 3245 ai Los procuradores síndicos generaD. Josef de Carranza...................... 11…</t>
  </si>
  <si>
    <t>Larriela, Paulo</t>
  </si>
  <si>
    <t>Paulo Larriela</t>
  </si>
  <si>
    <t>, 300. D. Claudio Itoioero, 500, D. Ramón Romero, ¿00. D. Juan Antonio de Criarte, 500. I). Juan Ma­ ría de Inarte , 500. D. José Romero Campo, 400. D. Paulo Larriela y corn•jjanía , 500.IX Antonio y D. Juan Víctor, 500. D Pedro Sorela, 200. D. An­ tonio Faxas , 500. D .Joíé Moda , 300. 1). Pedro Perato, lOoO. D. Bernardo• A'…</t>
  </si>
  <si>
    <t>Larrieta, Joan</t>
  </si>
  <si>
    <t>Joan Larrieta</t>
  </si>
  <si>
    <t>s provincias disidentes. Agrégase i todo esto las Rio, D Luis Ciarg'illo , D. Aogel dv Irribarren, crecidas contribuciones y empréstitos forzados que D. Joan Larrieta , D. Martin de lrignyen , D. Jose han exigido de .los comerciantes de esta plaza sef del Diestro, D. Juan de Lustra y D. Andrés desde que principió nuestra revo…</t>
  </si>
  <si>
    <t>las Barcenas, Miguel Gómez de</t>
  </si>
  <si>
    <t>Miguel Gómez de las Barcenas</t>
  </si>
  <si>
    <t>iño, á D. Manuel de Quevedo, re­ sidente en Cádiz. D. Joaquin Gómez , 500 pesos fuertes. D. Francisco del Campo Isla , 34. IX José de San Juan , 200. D. Miguel Gómez de las Barcenas, 102. D. To­ mas de lá Higuera, 17. D Bartolomé Martínez , 17. D. Andrés García, 25. IX Francisco Villegas, 17. IX Juan Sánchez, 17. IX Antonio C…</t>
  </si>
  <si>
    <t>las Casas, Pedro Gamez y</t>
  </si>
  <si>
    <t>Pedro Gamez y las Casas</t>
  </si>
  <si>
    <t>tención le la ayu iantí'-t, y á los segundos te­ nientes D José Martí y D M. nu l de la Vera : empleo de segun­ do anudante mayor al segundo teniente D. Pedro Gamez y las Casas; s ganda tenencia a1, a? fe reí D Rimon de Melgarejo : empleo &lt;te al­ férez de cazadores, ai de fusileros D. Luis Monteroj y empleos de al­ féreces de…</t>
  </si>
  <si>
    <t>las Casas, Pedro Gómez y</t>
  </si>
  <si>
    <t>Pedro Gómez y las Casas</t>
  </si>
  <si>
    <t>os de fusilerosD. Mariano López y D José Sergeant; segundas tenencias de fu ñeros á las agregados D. Enrique y D. Pedro Zuloaga , y á los al­ féreces D Pedro Gómez y las Casas, de granaderos, D. José Gon­ zález de Rivera, de cazadores, D. Juan Snaith-y D. Pedro Magarófa; empleo de alférez de granaderos al de, fusileros D. Jo …</t>
  </si>
  <si>
    <t>las Cuevas, María Josefa de</t>
  </si>
  <si>
    <t>María Josefa de las Cuevas</t>
  </si>
  <si>
    <t>1092 Continúan los donativos de la isla de Cuba. El presbítero D. Nicolás Ambrosio Mancebo, apoderado de Doña María Josefa de las Cuevas , por !a tercera parte de la pensión que esta disfruta, y que ha cedido para las urgencias de la presente guerra, 166 ps. y 5 rs. D. Juan Pártales, teniente de milicias de infantería, por el</t>
  </si>
  <si>
    <t>las Hera, José de</t>
  </si>
  <si>
    <t>José de las Hera</t>
  </si>
  <si>
    <t>iz, D. Tomas Sacz, D. Juan Dañoso, D. Pedro Pascual Casales, D. Romualdo Cortazar y D. José Alguacil Car­ rasco; los de teniente á D. Ramón Herveila, D. José de las Hera?, D. AN’xandro Rab’ej, D. Celestino' Cuella , D. Andre» Abollo, Don José Cubilar, D. Anselmo Muiré, D. José María Garza, í). «Fosé Navajas y D. Verdura Mosqu…</t>
  </si>
  <si>
    <t>las Meras, Miguel de</t>
  </si>
  <si>
    <t>Miguel de las Meras</t>
  </si>
  <si>
    <t>Vargas y ü. Joan Dow.de Brizo; y subtenencias á D. Diego Pacheco, Don Ramón Sancho, D. Juan Estraus, D. Máximo - Reynoso, D. Agus­ tín O e ti veros, D. Miguel de las Meras, y D. -Joaquín Robín. Tarnbien se ha dignado Goacedcr los eraplaofi ele ayudantes se­ gundos en el esta la mayor de! exércií© á D Juan Nepomuce&amp;o Sirern y …</t>
  </si>
  <si>
    <t>las Monjas, Pedro de</t>
  </si>
  <si>
    <t>Pedro de las Monjas</t>
  </si>
  <si>
    <t>villa de Mora, EX CARMHI n AS DESCAI ZOS. provincia de Toledo, residente en su pueblo, por 2 loo IX Josef Abialdes , n.ituiai de Rivacialiia, provin­ D. Pedro de las Monjas, lego, natural de Valda- cia de Orense, residente en su pueblo, por........ 22CQ raeete, provincia de Toledo,- residente en su D. Juan Gallego, natural de…</t>
  </si>
  <si>
    <t>Lasa, Francisco</t>
  </si>
  <si>
    <t>Francisco Lasa</t>
  </si>
  <si>
    <t>ra, í. Fa-no' Varela, D. Toma?/ Rea!, D. Pedro Benito Gárrulo, Don Faínian Blanco, D. Filioe Uíloa, D. Leandro García, D. Antonio G.:.t. ? Herraros y D. Francisco Lasa; subtenencia de bandera k i). P tal Mido®. Ea el regimiento de infantería de Toledo ; compañías á D. José Cta.5, O. Cirios S-Jdos y D. Alberto Urbiaa; ayudantí…</t>
  </si>
  <si>
    <t>Lasalle</t>
  </si>
  <si>
    <t>de cazadores, m.o¡d*do por el g fe de esquadron Mu- Curso dt los cambios. ller, y la compañía escogida del mismo regimien­ jo ds. 6 o ds. $0 ¿t. to , capitán Lasalle. La compañía escogida del a7.* de cazadores, mandada por el capitán Landrieux, Taris........ efectivo. "*s104*s y dirigida por el coronel duque d’ArcmSerg; y el …</t>
  </si>
  <si>
    <t>Lasáuca, Isidro</t>
  </si>
  <si>
    <t>Isidro Lasáuca</t>
  </si>
  <si>
    <t>ara decano de dicho tribunal á Don Jayme Alvarez Mendieta , oidor déla la real audiencia de Cataluña ; para oidores á D. José Fernandez de Córdova, y D. Isidro Lasáuca, ministros de la misma audiencia , d D. Ildefonso Crespo Manj&amp;n y D. Francisco Alfonso Tuero , el pri­ mero ministro de la chancillería de Granada , y el segun…</t>
  </si>
  <si>
    <t>Laserna</t>
  </si>
  <si>
    <t>fueron mandadas examinar por las cortes p ira ría general. Es también a.- r par.,r que o s ñor castigo de ¡os culpables de estas- desgracias , si en diputado Laserna hizo una p .&gt;p &gt;ac;on ci 23 de efecto los había? ¿ Quál es el resultado de estos mayo para que el ministro de Ilicienda .lies- cuan­ exámenes? ; Ií.d ó no culpab…</t>
  </si>
  <si>
    <t>Lasi, José</t>
  </si>
  <si>
    <t>José Lasi</t>
  </si>
  <si>
    <t>gento mayor agregado al de volunta­ rios de Madrid: en el de Irlanda, compañía al teniente de granade­ ros D. José la Vil!a¿ tenencias al subteniente D. José Lasi, y sub­ tenencias al sargento primero, graduado de subteniente, D. José Taeyo, y al alumno de la escuela militar de este cuarto exórcito, Don Antonio Aguado, cadete…</t>
  </si>
  <si>
    <t>Lasíiri, Miguel González</t>
  </si>
  <si>
    <t>Miguel González Lasíiri</t>
  </si>
  <si>
    <t>go magistral de aquella iglesia. De Veracruz : el Sr. D. Joaquín Manían , contador general de la renta (leí tabaco. De Mtrida de Yucatán : el Sr. Dr. D. Miguel González Lasíiri. De Gua­ nal unto : el Sr. D. Octaviano Obregon , oidor honorario de la real audiencia de México, residente en España. De S. Luis Potosí; el Sr. D. Ja…</t>
  </si>
  <si>
    <t>Laso, Fiancisoo</t>
  </si>
  <si>
    <t>Fiancisoo Laso</t>
  </si>
  <si>
    <t>Sf. : Ya dkxe á V. E. coa fecha de 13 del que rige, oe■9 por los partes convocatoria que habla dirigido á io?; corsead actos D. Alexandro Fernandez, D. Fiancisoo Laso de i» V ga, D. Juan Guatee y la partida de i presbítero D. Fernando C.a izares. ce me habían reunido , el primero ecn la fueiza de 50. caballos disponibles, el …</t>
  </si>
  <si>
    <t>Laso, Francisco</t>
  </si>
  <si>
    <t>Francisco Laso</t>
  </si>
  <si>
    <t>cha y parte superior, saliendo de él por un sitio que llaman calle del Arco de Almagro, y dirigiéndose, según informó la tropa dei teniente co­ ronel D. Francisco Laso que al efaeto tenia situada en aquel y va­ rios otros puntos, á temar la retaguardia de mis columnas: io que me obligó , per ignorar el número y operaciones de…</t>
  </si>
  <si>
    <t>Laso, Rafael</t>
  </si>
  <si>
    <t>Rafael Laso</t>
  </si>
  <si>
    <t>D. Pedro Antonio Zamora, capitán de la segunda compañía de voluntarios del i*eyno de Galicia , á nom­ bre de los individuos de dicha compañía, 2136. D. Rafael Laso, teniente ayudante , habilitado del batallón de Morenos milicias disciplinadas, á nom­ bre de su plana mayor y dornas individuos , 822 y medio. D. Carlos Pedroso, …</t>
  </si>
  <si>
    <t>Latonr-Maubonrg</t>
  </si>
  <si>
    <t>os divisio- dia antes, y de la resistencia que se le hizo. nes de sccorto entraron en Badajoz. El dia 9 hizo salir su caballería por b ^‘fda El señor general Latonr-Maubonrg recibió , el derecha, y sus dós divisiones de in&amp;né,'i:rl3 fiue ^adia 6 la orden de marchar adelante» y de hacer lo blan venido de Lisboa;. yf,,**yn ^ si…</t>
  </si>
  <si>
    <t>Latoor</t>
  </si>
  <si>
    <t>e se han distingui­ fue acercando su línea á la nueitra» y el com­ do particularmente; pero como no he recibido aoá bate fue de los mas terribles. El general Latoor- todas las relaciones particulares, me veo precisada Maubonrg mandó que acometiesen Jos regimientos i diferir para otros pliegos el hacer mencioo de lá a.° de bis…</t>
  </si>
  <si>
    <t>Latour</t>
  </si>
  <si>
    <t>as ni la buena dirección de la piaza de artillería habían pedido decidir al enemigo á capitular ; y ¿o/ue por otra parte icaria que el movimiento del general Latour, de que.acababa ds tener noti­ cia , obrando en combinación coa los eaezuigos do Lérida y B Ja­ guer, no malograse el fruto de cafa- trabajos, me ha determinado a…</t>
  </si>
  <si>
    <t>Latour-Maubourg</t>
  </si>
  <si>
    <t>l estado mayor general. f por el gefe de batallón Camus, se. distinguieron Durante este tiempo la caballería de reserva» por su valor. mandada por el general Latour-Maubourg, hizo El general en gefe habia encargado al general una incursión eo Portagal, y se presentó .alterna­ de diviriop Gazan , gefe del estado mayor general,…</t>
  </si>
  <si>
    <t>que debo al gene­ de Cañaveres entm gos, y cogimos ademas un buen ral de división Gazau » gefe del estado mayor ge­ «úmero de prisioneros. neral. Et general Latour-Maubourg la merece igual­ ,,Entonces avaozó la segunda línea enemiga , y mente por las buenas disposiciones qoe ha toma— elobló considerablemente la nuestra. Habie…</t>
  </si>
  <si>
    <t>Latout-Maubourg</t>
  </si>
  <si>
    <t>todos con su deber, y dirigido los ataques ,,La división de caballería de reserva , mandada con un acierto y tino extraordinarios. Asi en este por el general Latout-Maubourg , no ha tenido sitio como en el de Olivenza el general de división después de la batalla dei Gébora ningún ataque Leri ha adquirido nuevos derechos á las…</t>
  </si>
  <si>
    <t>Latreiturne, Juan</t>
  </si>
  <si>
    <t>Juan Latreiturne</t>
  </si>
  <si>
    <t>00 Meneos.......................................... 89829 D. Pedio Metnendao............. ........ 3269 30 D. Juan Fermín de Ezcnrru........... 43 5® D. Juan Latreiturne....................... 12060 Doña María Nicolasa Villaoucva D. Fernando Perez Rico................ 6600 y Morrreai....... ............................ 1460 D…</t>
  </si>
  <si>
    <t>Lauden</t>
  </si>
  <si>
    <t>e iba al frente de los marineros. litar delante de la casa del consejo en, la misma „ Sio embarga nuestras tropas avanzaron; pero plaza donde el fcld mariscal Lauden- habla esta-r habiéndose encontrado con un foso mui profundo, blecido su gran guardia en la gqcfra de íqs austria-r y no podiendo pasarle, se vieron precisadas á…</t>
  </si>
  <si>
    <t>Lauderdale</t>
  </si>
  <si>
    <t>uitos de los aldeanos, rueba: por el contrario, los discursos de! lord ha mnidado al gobernador de ia provincia que se S .ing, del lord Ilolland, del conde Lauderdale y de oponga con todo esfuerzo á semejantes abusos, y Grenville son otras tantas demostraciones tan cia­ que le informe sin dilación de los uombres de los ras, t…</t>
  </si>
  <si>
    <t>Lauderdale, Je</t>
  </si>
  <si>
    <t>Je Lauderdale</t>
  </si>
  <si>
    <t>Gaceta de Madrid n.º 215</t>
  </si>
  <si>
    <t>resen­ de su proyecto. Asi se cxecutó. {Dd Aifred.) tado pedirá, por via de enmienda, que se difiera tu discusión por tiempo indeterminado. SUIZA. El conde Je Lauderdale no aprueba los moti­ vos que obligan al secretario de Estado á oponerse JBasilea 2j&gt; de junio. al proyecto presentado por su Doble amigo. El descrédito de lo…</t>
  </si>
  <si>
    <t>Laurance</t>
  </si>
  <si>
    <t>nhaven las fra­ gatas de los Estados- U.’.idns Presidente , conmd- PRUSIA. doro Rodgers , y Estadas Unidos, corunódoro Decatur, y el bcick el Argos , capitán Laurance, Berlín ¡o de agosto. y el m.ércoles próximo se harán á la vela. Escriben de Koenigsberg que en la noche del 3 de este mes se llenaron de sobresalto los habitan…</t>
  </si>
  <si>
    <t>Lauris</t>
  </si>
  <si>
    <t>795</t>
  </si>
  <si>
    <t>ce que el nuévo monial que se ha observado en la primera audien­ gran visir se ha puesto en marcha de Schumla con cia que ha tenido de S. M. el señor conde Lauris- un cuerpo de exército de 5c© hombres (jJ para ha­ ton, nuevo embaxador de Francia , y en la audien­ cer un reconocimiento hasta Rudschuck. cia de despedida de su p…</t>
  </si>
  <si>
    <t>Lauriston</t>
  </si>
  <si>
    <t>Los edictos -que- publica ahora el gobierno ei- Augs burgo 12 de enero. tan concebidos en términos tan claros y sencillos, Escriben de Trieste que el general Lauriston, que todo el miítido puede entenderlos fácilmente; edecán del Emperador, tiene el encargo de tomar y es que se quiéte convencer al público de la sabi­ todas la…</t>
  </si>
  <si>
    <t>a á 60© hombres, y eo todo et mes que viene salud. se aumentarán acaso otro tanto. Génova 3 de enero. Mortier va á sitiar á Badajoz, y Sojólt debe El general Lauriston, edecán de S. M. el Em­ sostenerlo. Ei brigadier Maiden y lo$ generales perador y Reí, llegó aquí antes de ayer de las M ndizabal y Ballesteros son ios que deb…</t>
  </si>
  <si>
    <t>el parabién te de Cádiz, no podemos menos de declarar fran­ por este mismo fe iz acontecimiento. camente que tememos qtie su resaltado no sea fe­ El conde Lauriston , emhiXrdor de S. M. cer­ liz , quando consideramos con qo¿ gentes debe ca de S, M. el Emperador de Rusia, ha tenido hoi cooperar el general Graham Bien podrá ser…</t>
  </si>
  <si>
    <t>Gaceta de Madrid n.º 174</t>
  </si>
  <si>
    <t>e el gobierno del C.-ucaso y la Cabardía) una Ayer á medio día llego"áqui el Exctnc. Sr. ge­ gran reunión de las familias principales de la Ca­ neral conde Lauriston, embalador de S. M. el bardía en número de 1500, montadas sobre her­ Emperador de los franceses cerca de la corre de mosos caballos tscherkases, y los gefes vest…</t>
  </si>
  <si>
    <t>Gaceta de Madrid n.º 184</t>
  </si>
  <si>
    <t>jubourg dio parte á todos loá El dia 11 de este mes tuvo la primer audien­ ministros y á todos ios franceses é italianos» y se­ cia de S. M. el señor conde Lauriston, nuevo em­ ñaló el dia siguiente', que era domingo, para la baxador de Francia cerca de nuestra corte. Su pre­ ceremonia del Te Detttn en ia iglesia de San Luis.…</t>
  </si>
  <si>
    <t>princesa heredera de Wurrefnberg, que ha­ sidentes cerca de las cortes extranjeras, que S, E„ bla venino a Munich á visitar á su familia , sal.tf el conde Lauriston, embaxador de Francia en Ru­ también ayer p»ra Saltzburgo á ver á su hermauát sia , le había renovado de parte de su corte las pro­ el príncipe heredero de B.vier…</t>
  </si>
  <si>
    <t>Lautineshausen</t>
  </si>
  <si>
    <t>fo Hamilton, gentilhombre En e! de la Cruz, á las quatro de la tarde, se ex«de cámara, cutará la comedia en cinco actos en prosa titulada el El señor conde Lautineshausen, capitán de Amor y la Intriga; se bailará el bolero, y se concluirá guardias. con un buen fin de fiesta EN LA IMPRENTA REAL.</t>
  </si>
  <si>
    <t>Laval</t>
  </si>
  <si>
    <t>50</t>
  </si>
  <si>
    <t>que cada vecino dé una relacia» jurada de sus bienes y rentas, al parecer para imponer nuevas contribuciones. Dia 27. El 22 llegó el nombramiento del general Laval para su­ ceder ¿ Ssbasíiani, quien se dice pasa á Francia á restablecer su salud, y con efecto salió antes de ayer para Madrid. Ayer recibió pliegos de Sevilla el …</t>
  </si>
  <si>
    <t>de junio. Ai irismo tiempo que unos dicen que vie­ ne la d.visión alemana de la Mancha á reforzar este cuerpo de t xército, dicen oíros que el nuevo general Laval trata de retirarse á Aiidujar ; pero que esto no será hasta ver el resultado de los suce­ sos militares en Extremadura. Del 26. Las guerrillas de ía división del co…</t>
  </si>
  <si>
    <t>Lawrence</t>
  </si>
  <si>
    <t>asado. Brtcks. Mr. Giles dixo qoe los fabricantes de sombre­ La Sirena, capitán TarL-tt. ros y de otras obras de p.ja le ha» entregado una El Argos , capitán Lawrence. representación , en que se quejan del perjuicio que El Hornet, capitán Ilunt. les cansa la concmrencia de los prisioneros de El Vixen , teniente Brambidge. goe…</t>
  </si>
  <si>
    <t>Layard</t>
  </si>
  <si>
    <t>l Raven, de 16, capitán Lennock; el embarcaciones apresadas por este último se li dia­ PrSspero, de 14 , capitán Golboi; el Kite, de 16, ban el mayor general Layard, que fue últimamen­ capitán Crispin; el Parthian, de i6, capitán Tom- te gobernador de Curazao: ,Mr. Vanderspiegel, kiruon; t\ Drake, de 1 o , capitan Brrwel; el …</t>
  </si>
  <si>
    <t>Laynez, Pedro</t>
  </si>
  <si>
    <t>Pedro Laynez</t>
  </si>
  <si>
    <t>ida de ios enemigos las fuerzas del brigadier, que 1 s mias ataca­ sen por el frente sus parapetos; di orden «? I conaa dante de i hatdiait de Molina D. Pedro Laynez , y si coronel del regí niecto i ..f latería segundo de Soria, D. Joaquín Gómez de la Serna , de lo que ckbiaa hacer par la izquierda; y al teniente corenel D Ra…</t>
  </si>
  <si>
    <t>Layseca, Francisco</t>
  </si>
  <si>
    <t>Francisco Layseca</t>
  </si>
  <si>
    <t>00. D. José María de Allende , 4. D. Juan de la Cruz Ríos, 4. D. Rafael Cueto, 0, y D. Francisco Eusebio González Tixero, 17, naturales de la Habana. D. Francisco Layseca, de Alava, 100. D. Juan José de Sangroniz , de Vizcaya, 34. D. Valentín y IX Basilio Martínez, de Medina de Pomar, 68. D. José Carrera, 50. D. Juan Fernande…</t>
  </si>
  <si>
    <t>Lazameta, Josef</t>
  </si>
  <si>
    <t>Josef Lazameta</t>
  </si>
  <si>
    <t>s ele consolidación contra la casta de descuentos 1 D. Felipe Moreno y D. Tomas Recio. 1500 procedentes del préstamo'de 20 millones, con que sirvió 2 D. Josef Lazameta................ ............ 90240 al Rei el comercia de Madrid en 1805. I Doña Juana Pintor, por real orden libranzas. de 6 dé octubre de 1804, por vía de lim…</t>
  </si>
  <si>
    <t>Lázaro, Francisco</t>
  </si>
  <si>
    <t>Francisco Lázaro</t>
  </si>
  <si>
    <t>Excmo. Sr. O. Joaquín B;ake , que en la madrugada del día 8 del presente , estando emboscado con su parti­ da y la del lugar de Gátova ai n.anclo de D. Francisco Lázaro, ob­ servó que uros 100 infantes y 200 caballos enemigos, tomando las alturas de Eativeiía, descendieron al saqueo del pueblo y se retira­ ron concluido este …</t>
  </si>
  <si>
    <t>Lázaro, Josef</t>
  </si>
  <si>
    <t>Josef Lázaro</t>
  </si>
  <si>
    <t>on­ D. G regorio Pamo, idetn........................................ 2300 de res d1 , por....................................................... 2100 D. Josef Lázaro, natural de [.¡lio, provincia de D. Blas Gui/.ilez , natural de Ludia, en Guada- Toledo, residente en sil pueblo, por.................. 2300 laxar.1 , residente …</t>
  </si>
  <si>
    <t>Lázaro, Manuel</t>
  </si>
  <si>
    <t>Manuel Lázaro</t>
  </si>
  <si>
    <t>y tutor de Doña MaDoña Margarita Miqaelini, por rea­ ría Lnba................ *............. ............ 4539 n les órdemius se la concedió 25 rs. 3 D. Manuel Lázaro, presbítero.......... 9767 25 diarios .p«nr vía de pensión............... 4575 10 D- Lope García Salazar de M^zarreDoña Josttfj y Dona BóuifacL Gon­ do, su apod…</t>
  </si>
  <si>
    <t>Lbwinski</t>
  </si>
  <si>
    <t>347</t>
  </si>
  <si>
    <t>rno, la qual no se con­ toda sn confianza. Es de advertir que en el tal cas­ cedería sino á un súbdito ingles interesado en el tillo vive su dueño el conde Lbwinski con su hija cargamento. Eiiska, portento de discreción y de hermosura,de Creen los negociantes por cartas que han reci­ quien el Rei se ha enamorado, y de quien d…</t>
  </si>
  <si>
    <t>Lcnga, Francisco</t>
  </si>
  <si>
    <t>Francisco Lcnga</t>
  </si>
  <si>
    <t>do ocupaban ¿ Vslíavicioaa las■ tropas • del general M diza ;al, y ei brigadier Porlier so dirigía ai latíoste. El mismo día se hallaba el partidario D. Francisco Lcnga en S. Vicente dc Aaranzo, distante 6 leguas «le Santas-der, con 2000 ílUíúis ■; y en Al ceda, á medía legua de S. Vicente, habla 50® caballos.eon • orden del …</t>
  </si>
  <si>
    <t>Lcval</t>
  </si>
  <si>
    <t>timas operacioaes sobre la Campiña alar* asaron do tal modo al enemigo, que con decidida intención de des­ truirme puso en movimiento las fuerzas del general Lcval, que esta­ ban en el reyno de Granada, las del general Barroís, que ocupaban á Vülamartin y Bornes , y parte de las del sitio de Cidiz, compo­ niendo un total dp 1…</t>
  </si>
  <si>
    <t>Lcxandro, A</t>
  </si>
  <si>
    <t>A Lcxandro</t>
  </si>
  <si>
    <t>e burgo con fecha de 3 da este mes que el gene­ ral Lauriston , nuevo embajador de Bonapa te en aquella corte, tie­ ne frecuentes col/ciencias con el emperador A Lcxandro, relativas, según se decía, a la restitución de los estados del duque «le Oldcinburgo, que actualmente se hallan ocupados por los f a iceses. Lrs diarios de…</t>
  </si>
  <si>
    <t>le Jarro, José Fray</t>
  </si>
  <si>
    <t>José Fray le Jarro</t>
  </si>
  <si>
    <t>rio Cortijo, en 4 resguardos de intereses de vales, 1444 jr 2 pistolas. D. Diego García Pinto y D. Felipe de los Meros , 400. 1) Tomas rieming , 200. D. José Fray le Jarro , 12 0. Varios emigrados, 122. Un ma­ drileño , GO. D. Juan Antonio Llórente, 1000. D. Martin de Ujueta, 3tX). D. Antonio Castaño, 100. D. Juan Manuel de G…</t>
  </si>
  <si>
    <t>le Je, José</t>
  </si>
  <si>
    <t>José le Je</t>
  </si>
  <si>
    <t>ncisco del Prado, 30. D. Melchor Velarde, SO. D. Antonio Muñiz, SO. D. José María Cadena, 20. Don Miguel Sánchez, 35. D. Rafael Valle, 10.—Riogrande. D José le Je­ sús Rodríguez, 10.*D. José Barreda, 6. D. Juan Antonio ’Crtiaga, 25, D. Juan Francisco de la Garza, 15. Varios individuos , 30. El preben­ dado D. Miguel Sánchez N…</t>
  </si>
  <si>
    <t>Le-Normant</t>
  </si>
  <si>
    <t>ser del exército del centro, mandadas por el general D’Armagxac, le escribo también para que se ponga en marcha á iucorpcrarse con Y. E. Contesto al capitán Le-Normant, y le digo que habiéndose uni­ do al exército el mayor D’Anbarsac, se corresponda coa Y. E. Lo doy orden de juntar muc has provisiones, y de escoltarlas para q…</t>
  </si>
  <si>
    <t>Leal, Angel Gutiérrez</t>
  </si>
  <si>
    <t>Angel Gutiérrez Leal</t>
  </si>
  <si>
    <t>rbón-, 4000. La Sra. condesa de Chinchón , 2000. El Sr. D. Nicolás María de Sierra, 320. Una patriota de Madrid , 40. Varios sacerdotes pobres , 800. D. Angel Gutiérrez Leal , 1000. D. A. P., 100. D. Antonia García , 100. Doña J. C. P., 500. D. .Domingo</t>
  </si>
  <si>
    <t>Lebuei, Josef</t>
  </si>
  <si>
    <t>Josef Lebuei</t>
  </si>
  <si>
    <t>aña, vacan­ D. Rnfino Ballesteri, subteniente, á teniente te por muerte de D. Diego González V al , á Don de la rercera compañía. Fernando Aferruche. D. Josef Lebuei, sargento primero, á subte­ P^ra el de FueocemiPao, vacante por ascenso niente de la octava compañía. de D. Jasel Celedonio de Cea al de Valhermoso, k D. Antonio…</t>
  </si>
  <si>
    <t>Lechado, Salvador</t>
  </si>
  <si>
    <t>Salvador Lechado</t>
  </si>
  <si>
    <t>44 minutos , y á su extremo un ángulo Antonio Velazquez , ex- fr.-nchcano. de 80 grados-, y que la velocidad del extremo de la Para la de Albondon á D. Salvador Lechado, ala debe de ser á Ja del viento como -2. es á 1. También cx-lranciscano descalzo. 4 Para la de la iglesia de nuestra señora de Titej se puede consultar una m…</t>
  </si>
  <si>
    <t>Lechuga, Francisco María</t>
  </si>
  <si>
    <t>Francisco María Lechuga</t>
  </si>
  <si>
    <t>de Cabra se formará UQ D. Miguel Gírela Vizcaíno. batallón. D. Josef Mana Conde. Queda nombrado para comandante de este ba­ D. Antonio Pineda. tallón D. Francisco María Lechuga; para ayudan­ tes D. Carlos Buil y D. Francisco A nropio Queve'Tenientes. do, y para abanderado D. Pedro Oxin.tgaD. Bartolomé Arando. Asimismo qiíedan…</t>
  </si>
  <si>
    <t>Ledro</t>
  </si>
  <si>
    <t>on del presente decreto. = las 6 de la mañana pasó revista á la división de in­ Firmado = YO EL REI. = Por S. M., el minis­ fantería , mandada por el general Ledro. A medio tro secretario de Estado= Firmado = Mariano Luis dia se embarcó S, .M. para visitar la flotilla, y fne de Urquijo.” por mar á ver los puertos de Vimereux …</t>
  </si>
  <si>
    <t>Lee</t>
  </si>
  <si>
    <t>amp­ inaniciones qae se habían "salvado. ” bell; el leseo, de 74* capitán Prowse; ei Mo­ Los mares de las Indias occidentales están cu­ narca, de 74, capitán Lee;el Vanguard, de 74, biertos ds corsarios franceses. Su sistema es «rger capitán Llin; la Belena, de 74, capitán Doogt .s; todo lo qce tiene algún valor de los b-reos…</t>
  </si>
  <si>
    <t>Leen, Pedro</t>
  </si>
  <si>
    <t>Pedro Leen</t>
  </si>
  <si>
    <t>. D. Vicente Valencia, director de 'in­ genieros; D. Ouofré Póitugal, brigadier. D. Juan B iribú Carrasco, 'brigadier. D. José Salios Villa, coíenel. D. Pedro Leen, m^yor de plaza. D. Ignacio Garuargo, mariscal. U. Mariano Hidalgo. D. Agus­ tín Marroquin. D. Mariano Abáselo, mariscal. I&gt;. Luis Merelts, csroncl • :</t>
  </si>
  <si>
    <t>Lefebvre</t>
  </si>
  <si>
    <t>a haya venido por conducto Del j de marzo. auténtico. El gobierno ingles ha convenido en entregar al El 17 de febrero hemos recibido noticias de Lis­ general Lefebvre, que fue hecho prisionero ai prin­ boa por la via de Guernesci; el 18 las tuvimos direc­ cipio de la retirada del general Moore, por el lord tas por el navio la…</t>
  </si>
  <si>
    <t>ndante de Ja portuguesa, los oficiales y soldados, todos son acreedores á mi reconocimiento. Los 4 cañones de la artillería de á caballo al mUndo del capitán Lefebvre hicieron gran destrozo en la caballería del enemigo, y una brigada de arti­ llería española (la única que hubo en el campo) vi que también fué bien y bizarramen…</t>
  </si>
  <si>
    <t>y de Portugal. Ei 11 en­ traron aquí muchísimos heridos , y entre ellos los 3 general, s de ca­ ballería Legré, Mocau y Fournier con 9 coroneles. Eí coronel Lefebvre ha perdido sus 2 piernas , y ellos nvsmos dicen que está fue­ ra de combate mas de una tercera parte de su exército. L03 muertos han sido muchos, y no guardan pr…</t>
  </si>
  <si>
    <t>Lefebvre, Francisco</t>
  </si>
  <si>
    <t>Francisco Lefebvre</t>
  </si>
  <si>
    <t>compañías los individuos de esta capital quedan promovidos los iudividaos que siguen : siguientes: Capitanes. Tercer batallón. D. Antonio de Várgas._ D. Francisco Lefebvre, ayudante segundo, á D. Antonio Andrés Galiano. «apitan de la segunda compañía. D. Manuel Notario. D. Francisco Sinz Ruiz, teniente, á capitán D. Pedro Mig…</t>
  </si>
  <si>
    <t>Lefevre</t>
  </si>
  <si>
    <t>os, sino que los tropas que persiguieron 4 Mina, han salido ya para el Norte : las franceses están persuadidos de la guerra de Rusia, y añaden que el general Lefevre está organizando un exército de resuva en .Alemania; sin embargo no se sabe que haya declaración alguna , ni acio de hosti­ lidad.— Una carta recibida de Madrid …</t>
  </si>
  <si>
    <t>de dragones ligeros ; del mayor Weston, comandante del 3 de drago­ nes de las guardias (por estar enfermo ©n Villafiranca sir G amby Calerarí) y del capitán Lefevre, de la artillería de á caballo, así co­ mo de iodo * los oficiales y soldados por la prontitud y firmeza coa que ejecutaron todos los movimiento!, aun los retroba…</t>
  </si>
  <si>
    <t>Legalhe</t>
  </si>
  <si>
    <t>a. La Nueva sociedad, mandada por el general Largement, que iba de Burdeos á Redron , ha enca­ SUIZA. llado en la costa. El Intrépido, mandado por el capitán Legalhe, destinado para Aurai con un car­ Zurich 15 de abril. gamento de vino y de aguardiente, y la AlariaE! gobierno de nuestro cantón ha encargado al na, cargada de v…</t>
  </si>
  <si>
    <t>Leguei, Pedro</t>
  </si>
  <si>
    <t>Pedro Leguei</t>
  </si>
  <si>
    <t>e los modos D. Simón Dufur, sargento primero, á subte­ siguientes: niente de Ía quinta compañía. . i.° Un cilindro que gira sobre su exe, y una cuer­ D. Pedro Leguei, sargento primero, á subte­ da que se enrrolla en su superficie, dan la solución ge­ niente de la novena compañía. neral del problema y del recíproco; esto es, d…</t>
  </si>
  <si>
    <t>Lehous</t>
  </si>
  <si>
    <t>ecen al noveno cuerpo áe exárcito , quí sigua afirman los franceses, marcha Ijá socorrer á Soidt, alargándose aigur\o3 á decir que tomará su mando el general Lehous * saya, gobernador de Teledo, como mas práctico en el terreno®: pero es mas de creer que viene á refoizii este exército del centro, disainnido extraordinariamente…</t>
  </si>
  <si>
    <t>Leiguarda, Juan Antonio</t>
  </si>
  <si>
    <t>Juan Antonio Leiguarda</t>
  </si>
  <si>
    <t>argas, comandante el terreno,, se espera verlo concluido dentro de de batallón del real cuerpo de artillería , mayor del pocos meses. mismo cuerpo; á D. Juan Antonio Leiguarda, sub­ Milán 18 de abril f* teniente de infantería , uniente de la misma arma; Esta mañana ha salido para Paris la diputación á D. Josef Forles y D. Est…</t>
  </si>
  <si>
    <t>Leiral, Antonio</t>
  </si>
  <si>
    <t>Antonio Leiral</t>
  </si>
  <si>
    <t>.......................... 192413 D. Francisco González............................. 1909..20 I D. Francisco Gorbea y sobrinos........... 125718.. 8f D. Antonio Leiral......... ............................ 1291..26 Los mismos.................................................. 27&gt;7y3-I7 D. Benito Navarro..................... ..…</t>
  </si>
  <si>
    <t>Leite</t>
  </si>
  <si>
    <t>a bien el fuego déla plaza, y que de las seis piezas de batir que tenia el enemigo, una había sido desmontada en aquel dia mismo. — El 9 manifestó al general Leite que quedaba enterado de mi aviso. Aquel dia no hubo fuego hasta la tar­ de, y el 10 (en lugar del 11, como yo suponía) capituló la plaza. En el artículo ©ctavo de …</t>
  </si>
  <si>
    <t>respec­ el qual se había ofrecido í esto voluntariamente; pero tivas. el enemigo había quitado todos los escombros de deba,, Estoi mui reconocido al general Leite, goberna­ xo de la escarpa; y asi aunque nuestros soldados lleva­ dor del Alentejo y de Yelves, por el modo con que ban escalas, no pudieron llegar á la brecha, y t…</t>
  </si>
  <si>
    <t>Leith</t>
  </si>
  <si>
    <t>rtaxó. seis meses á esta parte; que si se hace algún co- ,, La división de sir Breut Spencer y la del juercio es un comercio de pérdidas; que el cam­ general Leith (quinta división de infantería) lían bio va pendiendo, mas cada dia; que los convoyes seguido los movimientos de ia vanguardia. del Báltico cuestan á ias compañías…</t>
  </si>
  <si>
    <t>Lejcusne, Pedro</t>
  </si>
  <si>
    <t>Pedro Lejcusne</t>
  </si>
  <si>
    <t>sario. Asistieron prosa: su autor Mr. Gecsner, traducido al castellano, á esta sesión el señor presidente Totochi, el sena­ y aumentado con notas por D. Pedro Lejcusne, tenien­ dor secretario Mttcana , lo* seoadores Roma &gt; La- te de caballería retirado: un tomo en 8.°_Quando se razzia , St flfanizzi, Sordina y Mclichi. public…</t>
  </si>
  <si>
    <t>Lejetisnc, Pedro</t>
  </si>
  <si>
    <t>Pedro Lejetisnc</t>
  </si>
  <si>
    <t>1304</t>
  </si>
  <si>
    <t>o una batalla zado': pociria en prosa: a romos en 8 o: su autor Mr. mui sangrienta, en que la Francia ba sido bati­ Betaube: traducido al español por D. Pedro Lejetisnc, da {3), de cuyas remitas ;0 prisioneros españo­ teniente de cabañería retirado. No h..¡ clase de perso­ les que servían al exército francés se han pasado á n…</t>
  </si>
  <si>
    <t>Lejeusne, Pedro</t>
  </si>
  <si>
    <t>Pedro Lejeusne</t>
  </si>
  <si>
    <t>al procuraban reunirse los que ha­ Mr. Bilaubé: traducido al castellano, y aumentado con bían sido ya batidos. Aprovéchase el general Mus- notas, por D. Pedro Lejeusne, teniente de caballería nier de este momento, y se dirige con los corace­ retirado. No hai clase de personas que no pueda sacar ros, húsares, el regimiento 14.…</t>
  </si>
  <si>
    <t>Lelas</t>
  </si>
  <si>
    <t>ad habia quedado en e! batel. Dimos gra­ y nos fuésemos á bordo del naví. americano la Co~ cias á Dios de que nos enviase este mantenimiento; tumbía, capitán Lelas , que era el único que ha­ bebimos su Sangie, y su carne nos sirvió de ali­ bía eu la rada. Después de algunas palabras tuve mento hasta el 4 de julio. Entonces no…</t>
  </si>
  <si>
    <t>Lema, Lorenzo</t>
  </si>
  <si>
    <t>Lorenzo Lema</t>
  </si>
  <si>
    <t>Cuesta, D. José Mariño, D. Juan Aguado, D. Manuel Diz &gt; Don Benito Yarela y D. Pablo del B J ; subtenencias á D. F ¿ruando Yara, D. Antonio Barbeira, D. Lorenzo Lema, D. Juan Duran, D. Luis Antonio Freise, D, Julián Alvarez, D. Dirgo Fragoso, Don Vicente María López, D. Víctor Urquiza, D. José Cameiro., Doa Manuel Cid, D. Ans…</t>
  </si>
  <si>
    <t>Lemmi, Luis</t>
  </si>
  <si>
    <t>Luis Lemmi</t>
  </si>
  <si>
    <t>están en España los indi­ siguientes: viduos de estas dos clases. Sí eotnr.ces llegase á Capitanes. descubrirse que son muchos mas los de la segunda D. Luis Lemmi que los de la primera, se seguirla indagar quales D. Ventura Saín. ion las causas de esta diferencia respecto de lai D. Pedro Sacristán. otras naciones. Puede ser q…</t>
  </si>
  <si>
    <t>Lenard, Josef</t>
  </si>
  <si>
    <t>Josef Lenard</t>
  </si>
  <si>
    <t>e D. Clemente Villalba. Santander............. efectivo. ■ Quarto batallón. San Sebastian.......... efectivo.j Valladolid.............. efectivo. I 2 D. Josef Lenard , teniente , á capitán de la se­ Córdoba.................... efectivo. | 2 gunda compañía, en reemplazo del marques de Efectos públicos. Campo Vi lar. D. Temas G…</t>
  </si>
  <si>
    <t>Lennock</t>
  </si>
  <si>
    <t>antas presas como el Duque de 18 | capitán Phillat ; el Osprei, de .18, capitán Dantzick y el Marengo. A bordo de una de ¡as Cliueh; el Raven, de 16, capitán Lennock; el embarcaciones apresadas por este último se li dia­ PrSspero, de 14 , capitán Golboi; el Kite, de 16, ban el mayor general Layard, que fue últimamen­ capitán …</t>
  </si>
  <si>
    <t>Leño, Juan Francisco</t>
  </si>
  <si>
    <t>Juan Francisco Leño</t>
  </si>
  <si>
    <t>able antigüedad , rr ñau hecho Pastor; para teniente á D. Cristóbal González, y otra cosa que imitarla, defender sus legítimos de­ para subteniente á D. Juan Francisco Leño. recho! , y sostener unas libertades que eran comu­ Para capitán de lá tercera compañía á D. Joa- nes á todas las iglesias originariamente. quin González …</t>
  </si>
  <si>
    <t>Lenz</t>
  </si>
  <si>
    <t>publicación del volu­ co. Siebeiis ha publicado los fragmentos de Filo- men segundo de la Australia del señor Zimtnercoro de Atenas, recogidos por el profesor Lenz, mann. Este compendio de todos los descubrimien­ deGotha: por último, los escolios de los dosTze- tos hechos en el grande Océano, dirigido por ona zas sobre Licofr…</t>
  </si>
  <si>
    <t>Leoa, M</t>
  </si>
  <si>
    <t>M Leoa</t>
  </si>
  <si>
    <t>bién por la falta de agua, me vi precisado á situarme en el molino de. pólvora á unas 5 millas de la ciudad. ' A la madrugada si­ guiente destaqué al teniente coronel M1 Leoa con su brigada á que se apoderase de las baterías del Sepulcro y de la Tortuga, á fin de ase­ gurar mi comunicación con-la escuadra que debía abastecerm…</t>
  </si>
  <si>
    <t>Leoaeli, Gabriel</t>
  </si>
  <si>
    <t>Gabriel Leoaeli</t>
  </si>
  <si>
    <t>994 nes que pueden exigirse de un valor representati­ Noveno batallan. vo destinado á reguiar todos los demas valores; ha D. Gabriel Leoaeli, subteniente ¡ á ten lente ds podido pues decir, y lo vuelve á repetir, que la la tercera compañía. Opinión de que el oro por sí solo se puede tmplear D. Santiago Agustin de Amposta , sarge</t>
  </si>
  <si>
    <t>León, Casimiro</t>
  </si>
  <si>
    <t>Casimiro León</t>
  </si>
  <si>
    <t>fantería teniente corone! D. Manuel de Ja Sota-Riva con sus ayudantes D. Esteban Munusra, capitán de dragones de Pue­ bla y el teniente del Pii. c»pe D. Casimiro León, el capitán de la Co­ rona D. Juan Cósio, que sacó :una herida contusa en el pie izquierdo en el ataque del cerro de la Higuera, y el -de la mistm clase ayudan­…</t>
  </si>
  <si>
    <t>León, Francisco</t>
  </si>
  <si>
    <t>Francisco León</t>
  </si>
  <si>
    <t>renzo Víctor de la), capitán apresó en aquellas aguas dos buque* pequeños» de ingenieros. uno de Finalc en lastre, y otro de Savon* cargado Bendicho (D. Francisco León), oidor y goberna­ de electos mi,¡tares. Et capitán del xabeque mer­ dor de la sala del crimen de Granada. cante la Ciudad de Porto-Moriztj , «oficioso de Bied…</t>
  </si>
  <si>
    <t>León, Ignacio</t>
  </si>
  <si>
    <t>Ignacio León</t>
  </si>
  <si>
    <t>0. El alférez D. José Mena , 10, Don José María Sopeña, 25. D. Antonio Andrade , 5. D. Manuel Rodríguez, G. D. José Buelna , 20. D. Xavier Díaz , 25. D. Ignacio León , 25. D. Ignacio Serrano, 10. D. Tomas Valencia, 10. D. José López, 20. D. Ignacio Noriega , 8. D. Manuel Bailo , tesorero interino de la real caxa de Cósala, 12…</t>
  </si>
  <si>
    <t>León, Julián</t>
  </si>
  <si>
    <t>Julián León</t>
  </si>
  <si>
    <t>de ■su prelado , como vecino principal , 23. E! ayudante presbítero O. Francis­ co Flores Calero , 12 E! presbítero D Francisco José Calejo, 13. Id , D. Julián León, 12. La coniniiil de i i líos y de su ant» , 2 id. E' aU cal le mtyor D. José - Santos-', 13. E! del anexo D José Carrillo , 12 El recaudador de tributos D. Luis …</t>
  </si>
  <si>
    <t>León, Nicolás</t>
  </si>
  <si>
    <t>Nicolás León</t>
  </si>
  <si>
    <t>. da'de S. E. D. Pascual Muñoz. Se cantó despoes una misa, á la que siguió on D. Pedro Pablo Ibarra. solemne Te Deum, y concluido se retiró S. E. con D. Nicolás León. el misino acompañamiento. D. Fernando Miguel del Corral. S. E. tuvo después una vistosa parada, en la Subtenientes. que dio el primer lugar i la milicia cívica;…</t>
  </si>
  <si>
    <t>Leopoldo</t>
  </si>
  <si>
    <t>tas con mucha frecuencia; al príncipe heredero de 'Hesse-Hombourg , y la pero hasta ahora no se ha publicado nada de sus gran cruz del Águila roxa al príncipe Leopoldo de deliberaciones. Se asegura que sus operaciones se Cobourg y al príncipe Felipe de Hes*e-Hom- retardan por la lentitud con que se procede en la bourg. fabric…</t>
  </si>
  <si>
    <t>S. M. ha hecho dq viage á Copnick para ver demarcación de las fronteras del ducado de Co­ el magnifico palacio del conde de Schmettan , que bourg. El príncipe Leopoldo pasará inmediatamen­ está de venta , y los habitantes de aquella población te á Inspruck para visitar á sn parieota la prince­ se lisonjean que le comprará alg…</t>
  </si>
  <si>
    <t>Lepe, Peregrino</t>
  </si>
  <si>
    <t>Peregrino Lepe</t>
  </si>
  <si>
    <t>Tenientes. filero con sos certificaciones á la dirección general D. Manuel Miranda. de bienes nacionales , én la que déspucs da hecha D. Peregrino Lepe. la debida comprobación de su legitimidad por lis­ Subtenientes, tas y demás pormenores de su procedencia , su D. Santos Sabugo. expedirá á favor del tesoro público la corresp…</t>
  </si>
  <si>
    <t>Lequerica, Sebastian</t>
  </si>
  <si>
    <t>Sebastian Lequerica</t>
  </si>
  <si>
    <t>tanes. de una hora,, t D. Josef Castañeda. yyindsor 4 ae febrero. Mr. Perceval, acom­ D. Josef Caro. pañado de Mr. Yorcke , se presentó esta mañana í D. Sebastian Lequerica. cosa de las 11 en el quarto de la Reina, y tuvo uná Tenientes. consulta con los médicos que asisteD á $. M., y en D. Fernando Lugo. seguida se dirigieron…</t>
  </si>
  <si>
    <t>Letona, José María</t>
  </si>
  <si>
    <t>José María Letona</t>
  </si>
  <si>
    <t>. Vicente. Fría». D. Pedro Taboada. D. Juan Echáis. D. Sebaptiun Conejo. D. Manuel María Lanza sorta. Lie. D. Jcsé Marín Chicc. D. Luis Msrcles. Lie. D. José María Letona. D. Jacoho A rctdo, teniente coronel. D. Luis Malo, coronel. D. José María Segura, car» . genio-mayor. D. Francisco Mmacarenascoronel. D. Luis Lara, te­ nis…</t>
  </si>
  <si>
    <t>Letona, Román</t>
  </si>
  <si>
    <t>Román Letona</t>
  </si>
  <si>
    <t>o Aguirre, 15. D. Pedro Valdes, 10. Eos veci­ nos pobres de toda la jurisdicción , 186 y 5 rs. D. Francisco Pereyra, 50. D. José Lobo y su yerno, 40. D. Román Letona, 25. D. Teodo­ ro Carrillo, 50. D. Martin del Rio y D. Pedro de la Fuente , J.3, JD. Pedro Velez Cosío, 80» (Se continuará.) CADIZ : EN LA IMPRENTA REAL.</t>
  </si>
  <si>
    <t>Leval</t>
  </si>
  <si>
    <t>o de ellas, y dispuso otras que se están executando con una celeridad increible. El general Viccor permanece con su cuartel general en Ghiciana, y el general Leval, que está á sus órdenes, en Puerto Real. Los regimientos están todos completos, y hay abundancia ¿e víveres (12). Parece que en Cádiz hay desavenencias entre españ…</t>
  </si>
  <si>
    <t>tinua. dido resistir á tantos esfuerzos combinados. ,, Inmediatamente que llegó la artillería dirigí ,, Estoi sumamente satisfecho de mis ayudan­ al general Leval contra la izquierda de los ingleses tes de campo, principalmente de mi primer ayu­ y contra la derecha de los españoles, teniendo á dante el coronel Chataux. Pero p…</t>
  </si>
  <si>
    <t>...... 21 horror! 7 a En 11 de mayo................ 14 Sevilla 6" de diciembre. 8. a En j.° de junio..................................... 21 El señor general Leval llego á S. Roque el 37 9. a En 22 Ídem........................................... 21 de noviembre, pasando el rio Guadiato. Su van­ 10. a En 13 de juiir...........…</t>
  </si>
  <si>
    <t>Lezaeta, Joaquín</t>
  </si>
  <si>
    <t>Joaquín Lezaeta</t>
  </si>
  <si>
    <t>l combinada, dictada mas bien por el te­ D. Baltasar Valles, fiscal nombrado para Lean; mor que por la prudencia. No tenemos sistemafi­ y para jaeces D. Joaquín Lezaeta, D. Segundo sco , y sin él nos perderemos. (El Revisor políti­ Boada y Alomo, D. Eugenio Velez y D. ladeo co jutm. &lt;S.) Rico. Del 3&lt;T. art. 11. Nuestro minist…</t>
  </si>
  <si>
    <t>Lgmaur, Francisco</t>
  </si>
  <si>
    <t>Francisco Lgmaur</t>
  </si>
  <si>
    <t>ra!, per el de dos soldados en un mes durante la guerra , 30. IX José de Potros, á nombre de D. Juan Francisco Manrique, oficial de correos , 100. El teniente coronel Francisco Lgmaur, 150. Los ocho re­ gidores que. siguen, diputados para la recolección en esta ciudad de los ■donativos, entregaron, D. José Ignacio Echegoyen ,…</t>
  </si>
  <si>
    <t>Lí, Pedro</t>
  </si>
  <si>
    <t>Pedro Lí</t>
  </si>
  <si>
    <t>. José Giiau-de., D. Gaspar Surianor, D. Pablo Lozano, D. Ciato.Eguimbái, y D. Fabián Mantilla; y subtenr notes á D. Juan'Psu*»!», D. J«&amp;é A ios'Ós , D. Pedro Lí/ó, D. Akonio Bereitgtier, D. «José- Cueva?, D. Jasé S&amp;rnpér, D. Aídolu» Forrar, D. Bjrnabó Vda, D. y ícen­ te N¿ñaz Cortes, O. Alfonso • C Jbach* * D. José QaFós Lóp…</t>
  </si>
  <si>
    <t>Li, Santiago</t>
  </si>
  <si>
    <t>Santiago Li</t>
  </si>
  <si>
    <t>Uuidos acaba de á la capital. La junta les formó inmediatamente el enviar Jos expediciones por mar y por tierra. La proceso, y los declaró culpables. D. Santiago Li- primera se ha dirigido hacia el Mediodía con el de­ niers, el coronel Alende, el gobernador de Cór­ signio de doblar el cabo de Hornos, atravesar el doba Concha,…</t>
  </si>
  <si>
    <t>Liberay, Guillermo</t>
  </si>
  <si>
    <t>Guillermo Liberay</t>
  </si>
  <si>
    <t>mpuesta de los regimientos Provincial de León ai mando de su teniente coronel D. Antonio Alonso y Ortega , ei de Cangas de T;nea al de su co­ ro icl -D. Guillermo Liberay , el 4e Castropol al de su coronel i). Pe­ dro Gisteiú , y el del ínfhsto al de su coronel D. Diego Clarck , des­ tacando sobre I03 flancos y frente tres co…</t>
  </si>
  <si>
    <t>Lichtensiein</t>
  </si>
  <si>
    <t>Rusia, que viene de Venecia. Prusia una rica colección de objetos zoológicos del El gobierno ha dirigidó una circular exhortan­ Africa, hecha por el profesor Lichtensiein, bien do á todos los hacendados del reino al cultivo de conocido por sus viages al Africa, .y que se halla la remolacha, y al establecimiento de fábricas pa…</t>
  </si>
  <si>
    <t>Lichtenstein</t>
  </si>
  <si>
    <t>ir de Varna, con el objeto de tomar la ofensiva , y falia estuvieron iluminadas toda la noche. de continuar las operaciones militares por la costa El doctor Lichtenstein, profesor de historia del mar Negro, y obligar á los rusos á dividir sus natural en esta un iversidad , ha regalado al museo fuerzas. de zoología una colecci…</t>
  </si>
  <si>
    <t>Lid</t>
  </si>
  <si>
    <t>D. Vicente Fernandez, natural de Toledo, en don­ Et-ACUSTINOS CALZADOS. de reside, por........................................................ 2 300 D. Lid ro Alcaide, natural de Carbajales , partido EX-DO.lL IV ICOS. de Zamrra , residente en Toledo, por................ 2200 D. Valentín Colorado, natural de Toledo, en don­ D.…</t>
  </si>
  <si>
    <t>Linade, Benito de la Mata</t>
  </si>
  <si>
    <t>Benito de la Mata Linade</t>
  </si>
  <si>
    <t>lanes de1 enetn go. Si debe­ art. ii. Nombramos individuos de la comisico mos servicios á, la Inglaterra, tenemos otros medios al consejero de E.tado D. Benito de la Mata Linade recompensarlos; y el comercio tiene presente el res, á D. Gregorio Alario , cura párroco de S. Jus­ acta de navegación de los ingleses, t.iti favorab…</t>
  </si>
  <si>
    <t>Linares</t>
  </si>
  <si>
    <t>e se hallaba atacado el puesto clel Po­ niente , donde mandaba el capitán D. Ventura Mora con dos piezas de artillería. Con esta noticia , dexando al capitán Linares en aquel punto, salió con una compañía de voluntarios de Cslaya, á que se reunió la del capitán Concha, y juntas con una partida ele drago­ nes de España á cargo…</t>
  </si>
  <si>
    <t>Linares, Antonio</t>
  </si>
  <si>
    <t>Antonio Linares</t>
  </si>
  <si>
    <t>ampo quedó cubierto de cadáveres, sia haber habido en las tropas del Rey mas pérdida que la de un herido de gravedad y algunos contusos. Eí mismo dia D. Antonio Linares, comandante de un desfá­ menlo de 300 caballos, 25 infantes y 2 cañones, acometió en la Cíenegmlla, junto á Quéretaro, á un cuerpo de 2000 revoltosos, que á p…</t>
  </si>
  <si>
    <t>Linares, Benito de la Mata</t>
  </si>
  <si>
    <t>Benito de la Mata Linares</t>
  </si>
  <si>
    <t>gir la enmienda---- Hasta aquí el London- Sr. D. Manuel de Aguirre, plazuela de Celenque. chmnkle. Excus mos advertencias sobre este artí­ Excmo. Sr. D. Benito de la Mata Linares, calle culo, porque es bastante obvio lo qne hai en él de ■ de Bordadores. cierto ó exagerado. (Diario mercantil del 2_p.) D. Juan Bíutista Saiasere…</t>
  </si>
  <si>
    <t>Linch, Enrique</t>
  </si>
  <si>
    <t>Enrique Linch</t>
  </si>
  <si>
    <t>828 Continúan los donativos a favor del exército de Cataluña. D. Santiago Iienette, 390 rs. D, Hugo Mucdermot, 500» D. Enrique Linch, 900. Ei Etnuio. cardenal de Borbon , 3000. D. Agustín de Sorondo , 500. Don E. B. 300. D. Victor Soret, 500. D. Francisco de Berrio, 500. D. Luis Fran­ cisco de Gardea/abal, 200. D. Juan S</t>
  </si>
  <si>
    <t>Linzoain, Antonio</t>
  </si>
  <si>
    <t>Antonio Linzoain</t>
  </si>
  <si>
    <t>on­ Idem.............................................. D. Francisco Azcarate. cepto en este punto. Idem.............................................. D. Antonio Linzoain. Reciba vmd. mi palabra de honor en fianza de lo Con estos, quantos soldados llevo en mi compañía; que haya vmd. convenido con D. Joaquín Navarro ; ha­ pero …</t>
  </si>
  <si>
    <t>Lira, Manuel</t>
  </si>
  <si>
    <t>Manuel Lira</t>
  </si>
  <si>
    <t>Chiriqui , 513. y 7 medio rs. El teniente D. Luis Paredes 50. El tenien­ te D. Antonio García , 10. D. Juan de Dios Perez, cura intetino de Pacora ,8 D. Manuel Lira , cura de Yáviza,10. (Se continuaran.) CADIZ : EN LA IMPRENTA REAL.</t>
  </si>
  <si>
    <t>Lira, ViUarnil José</t>
  </si>
  <si>
    <t>ViUarnil José Lira</t>
  </si>
  <si>
    <t>nsa particular, el tirador de húsares de Cataluña Francisco Marios, que por si solo mató i 2 húsares franceses, é hizo huir ¿ 5 mas; el ordenanza del coronel ViUarnil José Lira, que ma­ té -otro húsar, moliéndose solo entre su guerrilla de caballería, y el tirador Mateo Gran, que después de haber recibido un sablazo, mato de …</t>
  </si>
  <si>
    <t>Lisperguer, Ambrosio López</t>
  </si>
  <si>
    <t>Ambrosio López Lisperguer</t>
  </si>
  <si>
    <t>te de ca­ zadores al de fusileros D. José González de Rivera; el de segundo teniente al alférez D. Juar* Manuel de Coghei; y esta resulta al ca­ dete D. Ambrosio López Lisperguer. ¿ Igualmente ha conferí ¿ó S. A. el empleo de alférez en el regi­ miento de reales guardias w alo ñas, á D José Calles y Montredoa, 'teniente del d…</t>
  </si>
  <si>
    <t>Lisperguer, Francisco López</t>
  </si>
  <si>
    <t>Francisco López Lisperguer</t>
  </si>
  <si>
    <t>libranzas. de 6 dé octubre de 1804, por vía de limosna............... ........................ 768 1 D. Juan Antonio Medina......... . ; 4661 1S. 1 1 D. Francisco López Lisperguer, por l D. Domingo de Urrotia............ ........ 5242 16 sus sueldos en diferentes destinos;. . 18049 5 9904 t Doña Antonia Andrés, por real or­ d…</t>
  </si>
  <si>
    <t>Lista, Alberto</t>
  </si>
  <si>
    <t>Alberto Lista</t>
  </si>
  <si>
    <t>y media de la mañana hi­ acompañado de los señores D. Antonio Cabrera, zo su entrada en esta capital el Exento. Sr. mariscal subprefecto de Sevilla; D. Alberto Lista, pro­ duque de Dalmacia , general en gefe del exército im­ catedrático de humanidades de esta universidad; perial del mediodía, concluida ía segunda campa­ D. Fe…</t>
  </si>
  <si>
    <t>Lita, Constanza</t>
  </si>
  <si>
    <t>Constanza Lita</t>
  </si>
  <si>
    <t>144® dictembwe de 1803 obtuvo por vía González Arnao....... «....... .............. 6951 8 de viudedad de j rs. diarios.......... 610 3 Doña Constanza Lita, como madre, D- Ignacio» Agudo y Andrade, corno tiutora y curadora de D. Francisco ‘, apoderado de Doña Nicolasa Rcn- - ■ Opizotji, su apoderado D. Vicen­ queret,, por rea…</t>
  </si>
  <si>
    <t>Liverpool</t>
  </si>
  <si>
    <t>nn de amortiza­ Downing-Street 29 de ehero. ción de los IjUletes de h. tico' ha averiguado que sb total asciende á tojo millones, y que inmediata­ El conde Liverpool ha recibido el parte siguíeute del lord Wcliington. mente se va á publicar un resulten- de sús opera­ ciones. Los billetes que entran en tesorería se que­ Cartax…</t>
  </si>
  <si>
    <t>resante. (Thr Times.) La gaceta del gobierno dél 2 de este snef'éon- Dowuing-Street 9 de febrero. tiene on reglameuto p.ra reunir en un estableci­ El conde Liverpool ha recibido los pliegos si­ miento general las diferentes sociedades de asegu­ guientes del lord WeUiogton. ../ radores corma tos incendios. Las personas que en­…</t>
  </si>
  <si>
    <t>333</t>
  </si>
  <si>
    <t>a en el. El conde de Moira se levantó y dixo que es­ palacio de Dublin á 12 de febrero de 1811. taba persuadido que todos los nobles lores habían, El conde Liverpool d.xo que no se oponía de tomado parte en la emoción y sorpresa que él mis- ningún diodo á que se presentase la carta de Mr. 0 había experimentado al leer la circ…</t>
  </si>
  <si>
    <t>s bagages pertene­ Dmoning-Street ti de marzo. cen á oficiales y soldados enfermos, ¡osquales han sido conducidos ¿ la retaguardia del .ejército.” El conde Liverpool ha recibido los pliegos si­ guientes del lord Wellington: Cartaxó 2 de marzo de 1S11. „No ha ocurrido nada de importante' desde Cartaxó 16 de febrero de iSí r. q…</t>
  </si>
  <si>
    <t>esacreditado su- valor primitivo.- El noble á lo ntíRO- en parte las miras que se' proponía; pe­ lord apoyó esto mismo con el exemplo de lo que ro el conde Liverpool piensa que el legislador no ha sucedido en América y err Fr.ncia. Es pues de ' debe intervenir para nada, sino en el caso de una la mayor importancia impedir , s…</t>
  </si>
  <si>
    <t>Lizagarra, Lorenzo</t>
  </si>
  <si>
    <t>Lorenzo Lizagarra</t>
  </si>
  <si>
    <t>ura, 49 y 1 rs. — S. Sebastian, El subdelegado D. Ignacio Guerrero , 10. D. Miguel Arrieta , 150. D. Juan Ortigosa , 50. D. Antonio Inchauitegui, 10. D. Lorenzo Lizagarra, 10. D. Manuel Tirado, IG. D. Ig­ nacio Fletes, 20. D. Joaquín de Osuna, 10. D. Pedro Chiquete, 40. Don Vicente Osuna , 10. Varios individuos, 8G y 2 rs. — …</t>
  </si>
  <si>
    <t>Lizurra, Antonio</t>
  </si>
  <si>
    <t>Antonio Lizurra</t>
  </si>
  <si>
    <t>te vez , 44. José Aliguel Andino, 502. D. Manuel González , 30 y 2. D. Juan Manuel Fe.ixoo , 60. D. Manuel Carambó , 76 y 2. D. Francisco Gómez , 80. D. Antonio Lizurra , *50. Varios vecinos del par­ tido de Toa-baxa, 193. Id. del partido de Toa-alta, 800 y 4. Id. del partido de Guainabo ,210. Id de la Moca, 427. D. Pedro Sol…</t>
  </si>
  <si>
    <t>Llana, Ramón</t>
  </si>
  <si>
    <t>Ramón Llana</t>
  </si>
  <si>
    <t>onde, que presentó q prisioneros, al ayu­ dante general de ía división D. Carlos Emilio ; á D Francisco Válvery D. Ignacio Ventura, y á los oficiales D Ramón Llana, herido, y D. Nicolás Santiago y D. Manuel Reguenga , prisioneros. Confirma fel general Losada que la pérdida del enemigo en la expresada" acción ide Grado' 6*4 de…</t>
  </si>
  <si>
    <t>Llano, Nemesio</t>
  </si>
  <si>
    <t>Nemesio Llano</t>
  </si>
  <si>
    <t>ería, y se dirigió por caminos desusados al O¿cajo y puente de Cortes, donde Ulloa tenia una ardía avanzada de 16 caballos mandada por el subteniente D. Nemesio Llano, quien los recibió el 23 haciéndoles fuego, y se fué retirando á Víanos. Ulloa fonnó er&gt; los punios mas ventajosos sus &amp; diados, que se reduelan á 250 in fantes…</t>
  </si>
  <si>
    <t>Llanos</t>
  </si>
  <si>
    <t>sin armas, re­ franceses.. chazaron en la noche del 5 al 6 de noviembre las quadrillas de bandidos mandadas por Diaz y Gor- OÓ cr. TtSATROS dillo. El comandante Llanos derrote) e! 3 de este En el del Príncipe, á las quiltro de la tarda , se re­ mes en las Alpuj.irras, en las cercanías de Berchul, presentará por la compañía es…</t>
  </si>
  <si>
    <t>Llaterior, Eugenio</t>
  </si>
  <si>
    <t>Eugenio Llaterior</t>
  </si>
  <si>
    <t>e los de^ David, ó A talla, compuesta en francés por Juan siglos ; pero solo en lo que toca á la disciplina ex­ Racine, y traducida al castellano por D. Eugenio Llaterior, según las necesidades de los pueblos y las guno y Amírola. Actores en la tragedia. Señoras Ma­ ría García, Virg, Rosario García, Lledó, Lpreto Gar­ circuns…</t>
  </si>
  <si>
    <t>Llauder, Manuel</t>
  </si>
  <si>
    <t>Manuel Llauder</t>
  </si>
  <si>
    <t>Roten, capitán del de Almería: á D. Bruno Gómez, capitán del de Améri­ ca : al coronel D. Pió Falces, capitán del de Iliberia: al teniente co­ ronel D. Manuel Llauder, capitán del extinguido batallón de voluntarios distinguidos de Uitonia: al teniente coronel D. Juan Pulgar del Pulgar, capitán del de Almería; y al teniente co…</t>
  </si>
  <si>
    <t>Llin</t>
  </si>
  <si>
    <t>Mo­ Los mares de las Indias occidentales están cu­ narca, de 74, capitán Lee;el Vanguard, de 74, biertos ds corsarios franceses. Su sistema es «rger capitán Llin; la Belena, de 74, capitán Doogt .s; todo lo qce tiene algún valor de los b-reos que «1 Marte, de 74, capitán Rapper; el Nerge, de apresan, y después quemarlos ó reg…</t>
  </si>
  <si>
    <t>Llinas, Benito</t>
  </si>
  <si>
    <t>Benito Llinas</t>
  </si>
  <si>
    <t>u­ sileros D. Pedro Moreli; ídem de cazadores á D. Justo Salafranca, te­ niente de fragata de la real armada, idem de fusilaros á D. Joaquín Morales, D. Benito Llinas, D. Eduardo de Silva, D. José Clemente de Buerens y D. Antonio de Fort, alféreces del mismo cuerpo , á Don Manuel Cortabarria, capitán del regimiento de volunta…</t>
  </si>
  <si>
    <t>Llórente, Juan Antonio</t>
  </si>
  <si>
    <t>Juan Antonio Llórente</t>
  </si>
  <si>
    <t>Diego García Pinto y D. Felipe de los Meros , 400. 1) Tomas rieming , 200. D. José Fray le Jarro , 12 0. Varios emigrados, 122. Un ma­ drileño , GO. D. Juan Antonio Llórente, 1000. D. Martin de Ujueta, 3tX). D. Antonio Castaño, 100. D. Juan Manuel de Gandasegui , &gt;000. I). Isidoro Sartorio , 300. Dos Sras. viudas, de Madrid ,…</t>
  </si>
  <si>
    <t>idos con el momo entusiasmo Ei Sr. D. Antonio Cibat................................ 150 que en Amsterdan y en la H.&lt;ya. Todas Ls calles Ei Excmo. Sr. D. Juan Antonio Llórente.. 3C0 de la carrera estaban adornadas con guirnaldas, El Sr. D.................. Semiliier......................... 50 festones y banderas. ¡ El Sr. D. …</t>
  </si>
  <si>
    <t>Llórente, M-gínio Antonio</t>
  </si>
  <si>
    <t>M-gínio Antonio Llórente</t>
  </si>
  <si>
    <t>¿e publicar D. José Flore» su memoria, la presentó al Co srj* de Regencia, y S. A., enterado por lea ensayes hechos ¿« su arde® ñor loa profesor**.» D. M-gínio Antonio Llórente , D. Juan Manuel ds Aléjala y D. Rafael Costa, da les buenos efectos y ven­ tajas de e*'íe nuevo método, mandó que se 1« diesen la 3 gracias p?r su de…</t>
  </si>
  <si>
    <t>Llórente, Manuel</t>
  </si>
  <si>
    <t>Manuel Llórente</t>
  </si>
  <si>
    <t>...... 1291..26 Los mismos.................................................. 27&gt;7y3-I7 D. Benito Navarro..................... ............... 2471- 7 D. Manuel Llórente.................................. D. Juan Teran............................ ............... 1188.. 7 , D. Carlos Menche................ ................. :9o.…</t>
  </si>
  <si>
    <t>Llórente, Manuel de San</t>
  </si>
  <si>
    <t>Manuel de San Llórente</t>
  </si>
  <si>
    <t>D. Juan Velarde yRoxas, subtenien­ te de infantería ccn sueldo de tal, y á los cadetes del mismo regi­ miento de guardias Españolas D. Manuel Barry, D. Manuel de San Llórente , D. Joaquin María Escribá , D. Ambrosio María Salazar y P, Francisco López Pinto. El Consejo de Regencia se ha servido conceder los empleos de ayu­ dan…</t>
  </si>
  <si>
    <t>Llórente, Ramón</t>
  </si>
  <si>
    <t>Ramón Llórente</t>
  </si>
  <si>
    <t>de Sebastian , presbítero ex-fran- Clérigo de prima. ciscano. Para el de Alcozar, vacante por muerte de Para el de Vilfanueva de Gumi I, vacante por D. Ramón Llórente, con la circunstancia de estar promoción de D. Joaquín Alonso de Ida á Quin­ á las resultas del expediente promovido sobre erec­ tana del Pidió , á D. Vicente d…</t>
  </si>
  <si>
    <t>Llovera, Esteban</t>
  </si>
  <si>
    <t>Esteban Llovera</t>
  </si>
  <si>
    <t>14 de febrero refiere el diario de Manresa que una guerrilla de almugábaces habla entrado en el Ampurdan y cogido al enemigo -8 bueyes y 11 caballos. D. Esteban Llovera, comandante de algunas partidas patrióticas en el Ampurdan, avisa desde Olor con fecha de 17 de febrero, que el 14 del mismo dispuso hacer un reconocimiento s…</t>
  </si>
  <si>
    <t>Lnmberg</t>
  </si>
  <si>
    <t>de la historia filosófica del ción por los Wates entre las expresadas islas y señor Tennemann. costas. j.° Se cuentan ademas 117 romances nuevo», El teniente coronel Lnmberg ha sido nombra­ entre los que se distinguen algunos del feuuado</t>
  </si>
  <si>
    <t>Lnsz</t>
  </si>
  <si>
    <t>otra $ que no carecía de víveres y de muni danés ; y finalmente que se hallaba en buen es­ tado , y era probable que aun podría resistir un mes. - El general Lnsz, ofi:ial de igual reputación á la del difunto gobernador, le su­ cedió en el mando, y en éí se teníala mayor confianza $ pero la rin­ dió ai enemigo al dia siguient…</t>
  </si>
  <si>
    <t>Lo, Bernardo</t>
  </si>
  <si>
    <t>Bernardo Lo</t>
  </si>
  <si>
    <t>t— cano D. Agustín Martínez. Nota. En la gazeta de ayer -29, pág, 1377, Para el de Ucero y su anexo Valdeavellano, va- donde dice; al ex- benedictino D. Bernardo Lo­ :cante por muerte? de D. Josef Frias, á D. Josef ca , debe decir Leca ; y;tn la pág. 1378 , donde Ahumada i cura de S. Martin de Rejas. dice*, al ex-carmelita de…</t>
  </si>
  <si>
    <t>Ló, Francisco de Paula</t>
  </si>
  <si>
    <t>Francisco de Paula Ló</t>
  </si>
  <si>
    <t>as y huérfanos de los dignos pa­ tricios que murieron en la defensa dé taragoza, 1000. D^. Marcos Balmaseda, ltK). D ula Ines de Castro Palomino, 40. D. Francisco de Paula Ló­ pez Oanzuza , subteniente y habilitado del.regimiento de milicias de infan­ tería, ¿Enombre de los gefes, oficiales y tropa de dicho regimiento , 4471 …</t>
  </si>
  <si>
    <t>Loaces, Domingo</t>
  </si>
  <si>
    <t>Domingo Loaces</t>
  </si>
  <si>
    <t>ria.5 Ultonia, Fernando VII, Almería 5 Baza , Palma y Gerona , al coro* nel D. Manuel Fernandez Villamil, comandante agregado al de Fer­ nando VII: á D Domingo Loaces, comandante agregado al de Amé­ rica: á D. Dominga Díaz Perez , sargento mayor del propio cuerpo : al corcnei D. Manuel Perales, sargento mayor del de Alman­ ta…</t>
  </si>
  <si>
    <t>Loadla</t>
  </si>
  <si>
    <t>rros, solo se hizo una pequeña rrrist*lucía, pira ccuitar lo proyectado disponiendo el brigadier T.- tvjano la retirada de las tropas de tu mando. Ei general Loadla, que con el regimiento de Monterrey s® había dirigido, la mañana del 5f de Oviedo á Saníullano, habiéndole re­ unido eos la mayor parte ús las fuerz-s ds la segun…</t>
  </si>
  <si>
    <t>Loaiza, Joaquín</t>
  </si>
  <si>
    <t>Joaquín Loaiza</t>
  </si>
  <si>
    <t>l Lu­ na , que se distinguió también en las partidas avanzadas , á loa capi­ tanes ele Toluca D. Angel Casa val y D. Joaquín Mondragon; al ayu­ dante D. Joaquín Loaiza ; á I03 tenientes D. Francisco A cal, D. Jo­ sé de Tejada, D. Luis Aguirre y D. Joaquín Suarez, ytá los subte­ nientes D. José Tabeada y D. Manuel Capetillo: a…</t>
  </si>
  <si>
    <t>Loba, Mateo</t>
  </si>
  <si>
    <t>Mateo Loba</t>
  </si>
  <si>
    <t>X). Diego DuíR cónsul de S, M. B., 10000, Conde d-* Maulé , 4-00. 1). Juan P&amp;’an , 500. Don Juan Pión , 1.00. D. Jo. é Angftala y Címtaloseda , 1000, D. Mateo Loba, 400. Id. Juan Manuel de Aa'ibialde, 100. D. Nicolás.Baüester y Flotáis. 1000 Se­ ñores. F. íl., 100. D. Joaquín Sapera, 100. IX Antonio Rarceló y Prats, 200. I), …</t>
  </si>
  <si>
    <t>Lobada</t>
  </si>
  <si>
    <t>r* cit ••. — Las tropas que se h&amp;drábsiú' en el I : tiesto 11?garó?» la noche de i 5 i Oi’ktío: estas • debían incorporarse i?;medifu&amp;rasftt.) con ei general Lobada: pero aquella mirjua ncr.h* tuvieres o?dín de pusjvnder tu marcha, ia que practicaron al. dia siguiente al puente ¿íe Peñ. flor, f-cc*1» mil idos por ei g* te doi…</t>
  </si>
  <si>
    <t>Lobaton, Jcsé</t>
  </si>
  <si>
    <t>Jcsé Lobaton</t>
  </si>
  <si>
    <t>Gazeta de la Regencia de España e Indias n.º 51</t>
  </si>
  <si>
    <t>incendiarlo, como lo verificó. A Jas nueve de Ja mañana del dia 6 se adelantaron las fuerzas sutiles de Gal iineras, al mando del espitan de fragata D. Jcsé Lobaton , y se introduxeron per Jos caños que conducen á Caiclana para operar, y proteger el ataque del exército aliado que se disponía á emprenderlo sobre el enemigo que…</t>
  </si>
  <si>
    <t>Lobbers</t>
  </si>
  <si>
    <t>to al ambas violan en la realidad los derechos mas evi­ Capitán su cargamento particular. dentes de los Estados-Unidos como nación neo* La Christina, capitán Lobbers. Este barco, tral. Ea este est.do tan extraordinario de cosas, con pabellón de Mecklemburgo, venia cargado de queriendo el cuerpo legislativo evitar la guerra,es…</t>
  </si>
  <si>
    <t>Lobeau</t>
  </si>
  <si>
    <t>1246</t>
  </si>
  <si>
    <t>, y se paseó por el hermoso paseo en un barco pescador con el duque de VLenza, del Parque: detras del birlocho de S. M. iban su caballerizo mayor, el conde Lobeau, uno de otros dos. Atravesó despacio las grandes calles del sus edecanes, y a cazadores de la guardia. Dos Parque, hs quales estaban liguas de un gentío in­ pobres …</t>
  </si>
  <si>
    <t>Lobera, Mariano</t>
  </si>
  <si>
    <t>Mariano Lobera</t>
  </si>
  <si>
    <t>or América, 2000. D. José Co!í, 1000. Don Ignacio Garceran , 200. D. Pascual Moreno de. Mora, 200. D. Antonio Cortes y Coll, 300. D. Félix Pulí, 200. D. Mariano Lobera, 400. D. José Solernou, 200. D. J. L. F., 150. D. José Ignacio Inciartc, 100. D. Luís de Córdoba, 100. Sres. Viuda de Roberts y compañía, 500. D. Antonio Valia…</t>
  </si>
  <si>
    <t>Lobillo</t>
  </si>
  <si>
    <t>de las principales guerrillas de patriotas de Andalucía.— El escuadrón franco de Ubrique. El escuadrón de la Romana. La par­ tida de Clavijo. La del cura Lobillo. La de López. La de Gómez9 alias PanchÜo. La de Santaella. La de Valderrama. La de D. Anto • nio de Laque. La del capitán I). Antonio Caballero. La de Rodríguez, La …</t>
  </si>
  <si>
    <t>Lobo, José</t>
  </si>
  <si>
    <t>José Lobo</t>
  </si>
  <si>
    <t>Domín­ guez , 25. D. Francisco Aguirre, 15. D. Pedro Valdes, 10. Eos veci­ nos pobres de toda la jurisdicción , 186 y 5 rs. D. Francisco Pereyra, 50. D. José Lobo y su yerno, 40. D. Román Letona, 25. D. Teodo­ ro Carrillo, 50. D. Martin del Rio y D. Pedro de la Fuente , J.3, JD. Pedro Velez Cosío, 80» (Se continuará.) CADIZ :…</t>
  </si>
  <si>
    <t>Loca, Bernardo</t>
  </si>
  <si>
    <t>Bernardo Loca</t>
  </si>
  <si>
    <t>hora, y luego fue á Broyeres, situado entre esta to de D. Diego Merino y Molano, al ex-benrdicciudad y la de Amersfett, para pasar revista á las tino D. Bernardo Loca, al ex-agustino D. Juaa</t>
  </si>
  <si>
    <t>Locano, Tomas</t>
  </si>
  <si>
    <t>Tomas Locano</t>
  </si>
  <si>
    <t>D. Cristóbal Pesquero. paredes; la armonía de dos soberbios coros de mú­ D. Manael Iturriaga. sica, y la elegancia de los trages de mas de 30a D. Tomas Locano. señoras que' asistieron, hicieron de este espectácu­ D. Antonio Ramírez y Mena. lo uno de los mas brillantes qae pueden verse. Para la compañía de caballería. Durante …</t>
  </si>
  <si>
    <t>Loche, Sebastian</t>
  </si>
  <si>
    <t>Sebastian Loche</t>
  </si>
  <si>
    <t>D.''Manuel Ríaza , sargento primero, i subteniente Madrid 2.7 de febrero. de la décima compañía. Extracto de las minutas de la secretaría de Estado. D. Sebastian Loche, subteniente, á teniente de ls sexta compañía. En nuestro palacio de Madrid á 26 de febrero de .i8rr. Décimo batallón. "D -&gt;n Josef Napoleón por la gracia de D…</t>
  </si>
  <si>
    <t>de Sola......................... 44 IQ 1 D. Josef Catnacho............................... • 90 8| 4 Doña María Micaela Girard..............- l8l8 16 D. Sebastian Loche............................. - 15342 17 2 D. Josef Miguel de Vázquez...... 2 D. Joaquín Martínez.......................... 4ji 8 3000 9 Sor Isabel María de Jes…</t>
  </si>
  <si>
    <t>Lodo, Antonio</t>
  </si>
  <si>
    <t>Antonio Lodo</t>
  </si>
  <si>
    <t>as hojas, que son un de Málaga, vacante por fallecimiento de su poj- excelente alimento para el ganado, y de excavar seedor, al ex-carmelita descalzo D. Antonio Lodo y las raices hasta una, dos ó tres pulgadas para que Molina , que la está interinamente sirviendo; ob­ esten expuestas á los rayos del sol; dcspocs se sa­ serván…</t>
  </si>
  <si>
    <t>Lohman</t>
  </si>
  <si>
    <t>el de exponer la vi;.Ta del público Sahutz (autor de un drama intitulado el Conde de los abusos y Ja necesidad de aplicarh-s remedios. G Lidien) y el consejero Lohman, que habia in­ En vano se querrá impedir el descrédito con actas tentado sublevar á los vecinos de su círculo. del parí, mentó, porque ninguna lei sobre el valo…</t>
  </si>
  <si>
    <t>Loison</t>
  </si>
  <si>
    <t>des de guerra. En la incertidum­ de disponer y enviar sus destacamentos á distancia bre de lo que serian, continuamos nuestro rumbo de 100 millas. E! general Loison, desputs de haber hasta ías tres y quarto de ¡a rn.:ñ ¡na, .i cuya hora hecho un reconocimiento con su división en las descubrimos enfrente de nosotros las idas d…</t>
  </si>
  <si>
    <t>ontinuó con todo el enemigo su marcha ltácia el Mondego, llevando al mismo tiempo por el catni-io del Espinhal el segundo cuer­ po , j i división del general Loison por el de Ascicoa, y el resto del exéícito por el camino que se dirige á la villa de Pi.mbal ? estas úl­ timas fuerzas fueron seguidas y nunca perdí Jas de vista …</t>
  </si>
  <si>
    <t>C adad*Rodrigo en fbbrerj de 1810, y vinieron dos di­ visional de Francia, compuestas de los conscriptos suplementarios, una de ellas mandada por ei general Loison, era bastante numerosa TV.vi­ mos «na lista moyexa.ta, -impresa en Salamanca, de la fuerza de e?ts cuerpo á principios de mayo.de 1810, oseo antes del sido de C -i…</t>
  </si>
  <si>
    <t>Loma, Pedro de Moray</t>
  </si>
  <si>
    <t>Pedro de Moray Loma</t>
  </si>
  <si>
    <t>REI. = Por S. M., el ministro secretario de EstadostFirmadossMariano Luis de Urquijo.” Continúa la lista de los subscriptores en favor da Exento. Sr. D. Pedro de Moray Loma!. loo la comisión de beneficencia para socorrer los ve­ Sr. D. Luis Colbert............................... . 12 f cino« menos pudientes de esta corte, est…</t>
  </si>
  <si>
    <t>Lomban, Fiancisco</t>
  </si>
  <si>
    <t>Fiancisco Lomban</t>
  </si>
  <si>
    <t>mero de la Princesa; ayudan­ tía á D. Miguel B\1 buena; tenencias á D. Juan de la Fuente, Don José Psreyra, D. Antonio T«rrer, D. Francisco Corrales, D. Fiancisco Lomban y á D, Antonio Pravía : subtenencias á D. Tomas Sal­ cedo, D. Ignacio Pinedo, D. Ignacio Chamuia, D, José Rahamonde,' D. Mariano Cadles, D. José María' Monte…</t>
  </si>
  <si>
    <t>Lombardo, Pedro Moreno</t>
  </si>
  <si>
    <t>Pedro Moreno Lombardo</t>
  </si>
  <si>
    <t>o........... •13563 1 D. Pedro llnañez................ 894 8 por Doña Francisca Xaviera de Osma.. 2 ico I D. Salvador Rodríguez Palómeqae.. 596 5 por D. Pedro Moreno Lombardo, tu­ t x D. Salvador Rodríguez Paiomeque, tor de Doña Polooia Moreno como apooderado de D. Benito Al* Díaz.................. .......... ................…</t>
  </si>
  <si>
    <t>Londonderri</t>
  </si>
  <si>
    <t>s de transporte á Inglaterra. La revocación de ( Siguen las firmas hasta e! número de 15.) Jas órdenes del consejo nos, reconcilatía al instante „ Ai conde Londonderri &amp;c. Stc. gobernador con el gobierno americano, en vez de que nuestra del condado de Down. =r Downpatrick 15 de no­ perseverancia en mantenerlas no puede menos …</t>
  </si>
  <si>
    <t>Londres, Antonio</t>
  </si>
  <si>
    <t>Antonio Londres</t>
  </si>
  <si>
    <t>tres compañías: Para comandante de éstas compañías queda GRAN BRETAÑA. nombrado D. Felipe Gómez; para ayudante Don Rafael Campana, y para abanderado D. Antonio Londres 6 de febrero. Villaroel. Tenemos la satisfacción de comunicar á nues­ Asimismo quedan nombrados para capitanes y tros lectores una carta escrita en Windsor, en…</t>
  </si>
  <si>
    <t>Lóndres, Gers</t>
  </si>
  <si>
    <t>Gers Lóndres</t>
  </si>
  <si>
    <t>Silistria. ma de 48® florines, que le ha asignado sobre su tssoreiL. SAXONIA. GRAN BRETAÑA. Leipsick j 8 de julio. El Reí ha dirigido una circuíar al general Gers- Lóndres 2 6~ de julio. dorfif, manifestándole su satisfacción particular por El papel siguiente, impreso en los diario» de la nueva otganizacion del exército que s…</t>
  </si>
  <si>
    <t>Long</t>
  </si>
  <si>
    <t>tercero’ d« dragon03 de las guardias por la derecha,-y un movimiento delquaitotde’dirag©n.es, dirigido hábilmente al mis?no tiempo por el brigadier • general Long peí la izquierda, donde yo le habla dbho qué se mantuviese* deciábvríni la refriega. El enemigo, que ya vacilaba á lites de que núest-a. caballo! ¡, lo alcanzase, f…</t>
  </si>
  <si>
    <t>tisfecho del coronel Di -Grey, comandante de la brigada británica de caba­ llería , y del coronel Oiwai de la.portuguesa, mandados por el bri­ gadier general Long; del coronel lord. Eduardo Somerset,. coman­ dante del 4 de diagones; del coronel Hwad , comandante del 13 de dragones ligeros ; del mayor Weston, comandante del 3 …</t>
  </si>
  <si>
    <t>Lope, Antonio</t>
  </si>
  <si>
    <t>Antonio Lope</t>
  </si>
  <si>
    <t>do García Cid, 100. Los oficiales de la secretaría del con­ sejo y cámara de Castilla ,513. D.. Manuel Chasco , 60. La condesa viuda de Lcrena , o30. D. Antonio Lope/. Quintana, 20. D. Bernardo Gome , 20. D. Antonio Muño/. , 20. El señor marques viudo de las Hormazas , 2000. D. Francisco Demande Mputañs, 40 D. Tomas Casado , …</t>
  </si>
  <si>
    <t>Lopes, Juan</t>
  </si>
  <si>
    <t>Juan Lopes</t>
  </si>
  <si>
    <t>a compañía de voluntarios de Cslaya, á que se reunió la del capitán Concha, y juntas con una partida ele drago­ nes de España á cargo del subteniente D. Juan Lopes, atacaron con tal impetuosidad al cuerpo opuesto de enemigos,-que. .sin.dar», les lugar para dispara; las dos piezas que tenían cargadas y prontas', los rompieron …</t>
  </si>
  <si>
    <t>López, Alonso</t>
  </si>
  <si>
    <t>Alonso López</t>
  </si>
  <si>
    <t>, Tomas Orte, Antonio Hernández, Isidoro D:cz:. ^-* Los individuos precedentes fueron los que atacaron y tomaron el puente y el castillo.—Caballería. D. Alonso López, s.íferez : Romualdo Mszo, sargento ; y Jo é Rindes, carabinero. — Estos tres faetón Iqs primeros que se árrojaron por la mañana á las filas enemigas.—Duran.” 2.…</t>
  </si>
  <si>
    <t>el mismo cwrpo D. Rufo Mi ñaño, el subte­ niente del batallón de Rioja D. Antonio Aznal, y los alféreces Don Rodrigo Castañon, mi ayudante de campo y D. Alonso López, este de consideración. La perdida de los enemigos ha consistido en SO prisioneros, inclusos 2oficiales, 78 muertes, entre ellos un capitán, y unes 100 heridos q…</t>
  </si>
  <si>
    <t>López, Antonio</t>
  </si>
  <si>
    <t>Antonio López</t>
  </si>
  <si>
    <t>ente en su pueblo, por....................... 2200 Toledo, por.......................................................... 2200 KX—AGUSTINO* RECOLETOS. D. Antonio López , lego , natural de Toledo, don­ D. Juan Rodríguez , natural de la villa de Jarandi­ de reside , por.......................................... '........... nao …</t>
  </si>
  <si>
    <t>López, Bernabé</t>
  </si>
  <si>
    <t>Bernabé López</t>
  </si>
  <si>
    <t>507</t>
  </si>
  <si>
    <t>n tanta inteligencia y acierto este geie , desplegó- en ba­ talla y mandó echar pie á tiera. Ertvió 40 cab illos de ia R.ipa , si mando-,del teniente D. Bernabé López,, sobre la altura que da vista á Asaaga para observar ia posición del enemigo: al mismo tiempo</t>
  </si>
  <si>
    <t>López, Felipe</t>
  </si>
  <si>
    <t>Felipe López</t>
  </si>
  <si>
    <t>ález Amigo, D. José Montes, D. Miguel Revor^do, D. An­ gel CAbalo, B. Juan Genaro Viñuela, D. Vicente Gomtz, Doq Bírnardino López, D. Santiago Ncvoa, D. Felipe López, D. Ni­ colás Rodríguez de Mejorada, y D. Benito Labrada; el de subte­ niente de bandera á 1). Juan Maceda. . Ei el batallón de infantería ligera de voluntarios …</t>
  </si>
  <si>
    <t>López, Fernando</t>
  </si>
  <si>
    <t>Fernando López</t>
  </si>
  <si>
    <t>alumnos D. José OJriozola, subteniente del regimiento de infante­ ría de ía Patria , D. Atanajio Navas, D. C ndido María Bozada, O. Manuel Rodríguez, D. Fernando López, D Faustino Navarro* D. Santiago Pereyra , D. Pedro González , D J í^n Ssnovilla , D Ig­ nacio Carrasco, D. Pedro Giménez, D. J?.yme Qjirós, D. Sabas Ma­ rín ,…</t>
  </si>
  <si>
    <t>López, Florentino</t>
  </si>
  <si>
    <t>Florentino López</t>
  </si>
  <si>
    <t>ento primero , á subte­ Se continúan cada dia con mayor actividad las niente de la tercera compañía. excavaciones y desmonte de los tnouementos anti­ D. Florentino López de £aro , sargento primero, guos baxo la dirección del señor Canora , director á subteniente de la octava compañía. general de los museos. Las excavaciones q…</t>
  </si>
  <si>
    <t>López, Francisco Navarro</t>
  </si>
  <si>
    <t>Francisco Navarro López</t>
  </si>
  <si>
    <t>ividuos pitán de la octava compañía. siguientes : .1Capitanes. Séptimo batallan. D. Pedro Coca Cueliar. D. Nicolás J‘ *ndei. sarpecro primero, á sub­ D. Francisco Navarro López. teniente de la ottav* comp: nía. Tenientes. Noveno batallón. D. Juau de Coca Torres. D. Calixto Ruiz Funes, sargento primero, á D. Joaquín de Córdoba…</t>
  </si>
  <si>
    <t>López, Gregorio</t>
  </si>
  <si>
    <t>Gregorio López</t>
  </si>
  <si>
    <t>. Doña Sebastiana Guzman , 100. D. Luís Peset, 25. D. Bartolomé Ballester, 50. D. Ventura Martínez, 10. D. Pedro Bonet, 25. D. Bartolomé Cabrera, 10. D. Gregorio López , 10. D. Lope Menendez, 25. D¡* Silvestre Rodríguez, 10. D. José Martínez , 10. D. Jo­ sé María Godoy , 10. Don Angel Alfaro, 10. Don José Palmer, 25. Nicolás …</t>
  </si>
  <si>
    <t>López, Jacobo</t>
  </si>
  <si>
    <t>Jacobo López</t>
  </si>
  <si>
    <t>de infantería primero de Sahoya, compañías á D. Esteban Sayró, y D. Vicente Sancho: ayudantía á D. José García: tenencias á D. Ji'sé Lopes y Angulo , D. Jacobo López, B. Miguel Salazar, D. Temas Moreno, D. Juan Julián da Tomás, D. Isidro Rebollo,. D. Saturnino García, D. Abdon Ruis y Camón, D. Ventura Mol­ ió.; D. Francisco d…</t>
  </si>
  <si>
    <t>López, Jasé María</t>
  </si>
  <si>
    <t>Jasé María López</t>
  </si>
  <si>
    <t>os baxo ía düeec'on de D: Cirios Francisco A nsller , gcfe del' establecí* miento, con ssis-ercia de los maestros consultores del mismo, di­ sertando D Jasé María López sobre "el galbáí.ismo y la electricidad, como-caui.as de la excitabilidad$ y D. Vicenta Gómez sobre los pre­ ceptos de-la higiene, aplicados-i ia educación fí…</t>
  </si>
  <si>
    <t>López, Joaquín</t>
  </si>
  <si>
    <t>Joaquín López</t>
  </si>
  <si>
    <t>de la guardia gurosa justicia al capitán. Barclai, el qual no ha de honor de Sevilla queda promovido perdonado cuidado ni esmero, ni tiempo, ni gas­ D. Joaquín López á ayudante en reemplazo tos, ni víages p.ara perfeccionar los talentos y Ja de D. Josef María Escudero. fuerza de su ahijado. aut. 11. En la milicia cívica de la…</t>
  </si>
  <si>
    <t>López, José</t>
  </si>
  <si>
    <t>José López</t>
  </si>
  <si>
    <t>o Andrade , 5. D. Manuel Rodríguez, G. D. José Buelna , 20. D. Xavier Díaz , 25. D. Ignacio León , 25. D. Ignacio Serrano, 10. D. Tomas Valencia, 10. D. José López, 20. D. Ignacio Noriega , 8. D. Manuel Bailo , tesorero interino de la real caxa de Cósala, 120. D. Martin Vázquez Franco, 80. D. Bernabé Escobosa, 20. D. Fran­ ci…</t>
  </si>
  <si>
    <t>Continúan los donativos de las j^rovincias internas de Nueva-España* COAGUILA. El gobernador coronel D. Antonio Cordero , 500. El ayudante inspector D. José López , 130. — Compañías presidíales.—Monclova. Teniente primero D. José María Guadiana, 60. Id. segundo D. Franciscoddam, 60. Alférez primero D. Juan José JSlguczabal, 5…</t>
  </si>
  <si>
    <t>rke , ayudante de ja pla­ ta , Ion. El Dr. D. Isidro de Arroyo, 25. El comandante , oficiales, vete­ ranos y voluntarios del batallón de Pardos, 159. D. José López , 20. Don José Henriquez de Guzman , administrador de la renta cíe aguardientes, 60. El capitán del batallón ñxo D. Nicolás Remen , 500. D; Florencio Reyna, tenien…</t>
  </si>
  <si>
    <t>López, José Francisco</t>
  </si>
  <si>
    <t>José Francisco López</t>
  </si>
  <si>
    <t>justicia, D. José Francisco Subori, D. José Santander, D. Francisco Solis, D. Pedro Zsvala, D. Juan Romero, D. Ignacio Hsrrera, D. Miguel EscarníHa, D. José Francisco López , D. José Francisco Hernández , Don Manuel Güemes, y el indio Juan Lázaro , que tuvo una parte con­ siderable en esta gloriosa empresa , habiendo consegui…</t>
  </si>
  <si>
    <t>López, José María</t>
  </si>
  <si>
    <t>José María López</t>
  </si>
  <si>
    <t>el arma, fueron ios asuntos de I03 exá­ menes , en que bridó tanto el aprovechamiento de los discípulos, co­ mo el crio do loa maestros , el capilar* D. José María López , ri te­ niente I). J••íaqutn de ía Cámara y el alférez D. Rafael Alescn. E1 ía tarde del 20 hubo ejercicio general, cuya perfecta execuciou correspondió al …</t>
  </si>
  <si>
    <t>López, José QaFós</t>
  </si>
  <si>
    <t>José QaFós López</t>
  </si>
  <si>
    <t>í/ó, D. Akonio Bereitgtier, D. «José- Cueva?, D. Jasé S&amp;rnpér, D. Aídolu» Forrar, D. Bjrnabó Vda, D. y ícen­ te N¿ñaz Cortes, O. Alfonso • C Jbach* * D. José QaFós López, D. JáL&amp;íi Pardo i D. Francisco López, D. Carlos Ls.iréu, D. José Palomino, D. Juüao M-tTiíaez, D. José Toas, D. Mnmié! Lnaif, D. jLmon P*sl, D. Fauetia© Vid…</t>
  </si>
  <si>
    <t>López, Josef</t>
  </si>
  <si>
    <t>Josef López</t>
  </si>
  <si>
    <t>quedan encargados de la execute en id., por................................................. 2200 ciou del presente decreto. = Firmado = YO EL REI.ss D. Josef López , ex-tnercenario calzado, Por S. M., el ministro Secretario de Estado = Firmados' residente en id., por..................................... 2200 Mariano Luis de …</t>
  </si>
  <si>
    <t>López, Josef Isidro</t>
  </si>
  <si>
    <t>Josef Isidro López</t>
  </si>
  <si>
    <t>e cocos. Estaba yo persuadido de que aquella drid; al licenciado D. Manuel de Huelo; ai doc­ isla estaba desierta; pero el 26 volvió mi lancha, y tor D. Josef Isidro López, del gremio y claustro me traxo 2 criollos de la Isla de Francia, por los qua- de la universidad de Sai..manca , y para fiscal al fes supe que había 40 año…</t>
  </si>
  <si>
    <t>López, Juan Antonio</t>
  </si>
  <si>
    <t>Juan Antonio López</t>
  </si>
  <si>
    <t>s, de 8 fan., 3 cel. y 11 est. á 70® rs. Otra Para el de Paterna, vacante por fallecimiento que enfrenta con la antecedente, de 4 fan., 5 cel. y 9 de D. Juan Antonio López, al presbítero ex-re­ ,cst. á 700 rs. Otra donde dicen las Serriilas, de 6 fan. gular D. Antonio Cano. y 8 cel. 'á 800 rs. Otra donde dicen las Viveras, de…</t>
  </si>
  <si>
    <t>López, Manuel</t>
  </si>
  <si>
    <t>Manuel López</t>
  </si>
  <si>
    <t>cer batallón. D. Domingo Renedo , sargento primero, á sub­ REINO DE ITALIA. teniente de la décima compañía. Venecia aj de diciembre. Quarto batallón. D. Manuel López, subteniente, á teniente de Un SDgeto que merece ia mayor confianza, y la octava compañía.</t>
  </si>
  <si>
    <t>oldados heridos, igualmente 20 ca­ ballos entre muertes y heridos. „ Con fecha del mismo 18, «i capitán de caballería D. Miguel Alvarez y el teniente D. Manuel López , me dan parte de haber ata­ cado en el pueblo de Faentesauco á 80 caball@3 enemigos con 60 de les nuestros, escoltando aquellos un convoy que se dirigía de Sala…</t>
  </si>
  <si>
    <t>López, Miguel</t>
  </si>
  <si>
    <t>Miguel López</t>
  </si>
  <si>
    <t>Lucía de Rivas y Maqueda y Torre». Señores Maiquez, Poncc , Caprara, Beruz................. ......................... 750 Avecilla, Suarez y Fabiani. D. Miguel López............................ 14999 3* Hota. Con superior permiso desde mañana viernes Los herederos de D. Manuel de empezará esta compañía á dar funcione» extraor…</t>
  </si>
  <si>
    <t>López, Pedro</t>
  </si>
  <si>
    <t>Pedro López</t>
  </si>
  <si>
    <t>D, Miguel Félix de Velasco....... 3333 ^n2 D. Juan Francisco Martínez................. 4Í¡‘- 8j D. Bernardo Meruendano........................ 3456J D. Pedro López................................... . 156 .17 D. F rancisco Meruendano....................... 18000 P-Josef Canosa........................... ............. &gt; 3í3-a5…</t>
  </si>
  <si>
    <t>López, Simón</t>
  </si>
  <si>
    <t>Simón López</t>
  </si>
  <si>
    <t>en Madrid, te en Consuegra , por................................... 2200 por.................................................................... 3200 D. Simón López, id., residente en id. , por 2200 D. Francisco Salgado, ex-agonizante, re­ D. SUverio Ramos, id., residente en la sidente en esta corte, por......................…</t>
  </si>
  <si>
    <t>López, Tomas</t>
  </si>
  <si>
    <t>Tomas López</t>
  </si>
  <si>
    <t>tes de las dotaciones y fundaciones de escuela de niños y granero que en S. Juan de I.ep, La economía política no ha sido ciencia desco­ mandó fundar D. Tomas López, y á los de la testa­ nocida tn España, ai creo que pueda serlo en nin­ mentaría de la señora marquesa de Aitona , á quien pa­ guna nación que se tenga por culta.…</t>
  </si>
  <si>
    <t>teen D. Antonio Lozano, ex-trinitario descal­ el campo de Criptana en la Mancha, por 2200 zo, por............................................... 2200 D. Tomas López, id. , residente en Ca­ D. Leandro Díaz , ex-benedictino , por... 2200 bezuela en Extremadura, por.................. 2200 B. Manuel Sánchez, cx~capuchino, por 22c…</t>
  </si>
  <si>
    <t>López, Toribio</t>
  </si>
  <si>
    <t>Toribio López</t>
  </si>
  <si>
    <t>............. 3000 en Chinchón, por....................................... 2200 D. Mariano Agustín.......................................... 1192..10 D. Toribio López, ex-gerónimo, residen­ Doña Ma.ia del Carmen Herranz, por sí te en Cienpozuelos, por............................. 2 200. y por .-.us tres hijos D. Xavier , D. M…</t>
  </si>
  <si>
    <t>López, Venceslao</t>
  </si>
  <si>
    <t>Venceslao López</t>
  </si>
  <si>
    <t>. José Carrasco, D. . Ra r on González y D. Ra­ món Novoa; los de subteniente á D. Juan Rosales y D. Ramón González; y el de subteniente de bandera á D. Venceslao López. . En consideración al distinguido mérito que contra xs ron en las ac­ ciones del sexto exército, ocurridas en los dias 25,26 y 27 de ages­ to último, el brig…</t>
  </si>
  <si>
    <t>Loque, Joan</t>
  </si>
  <si>
    <t>Joan Loque</t>
  </si>
  <si>
    <t>nes. ■ desa de Mora, su apoderado Don ■ Heorique Antonio Agilitar.......... 1403x5 14 4 lib. Dona María Petra Pastor................. 395030 13 icert.D. Joan Loque...................... 11503 28 47_____ 174576 21 1 id. D. Sebastian Loche..... ........... 23C.07 22 I id. D. Joan Manuel Soriand y Soria...... 45615 11 Certificac…</t>
  </si>
  <si>
    <t>Lore</t>
  </si>
  <si>
    <t>rio de Cascajosa. Acaba de entrar en la concha de este puerto la Para ei d- Fresno, vacante por muerte de embarcación americana Catalina Rai, mandada D. Lore: z• Oruz, á D. Diego Muñoz jMinguez, por el capitau Puntine, y procedente de Nueva- ■cura de Valoepr^lJa. Yorck, con 59 pasageros á bordo, sin ninguna P«r* el d.- Zayas …</t>
  </si>
  <si>
    <t>Loredo, Antonio</t>
  </si>
  <si>
    <t>Antonio Loredo</t>
  </si>
  <si>
    <t>os indivi­ de 1810. duos siguientes: En su consecuencia sofrió la pena de muerte Primer batallón. de garrote el dia 5 de este mes, llevando al supli­ D. Antonio Loredo, subteniente, á teniente de cio pendiente del cuello nn letrero qóe anunció la quinta compañía. ........... al público sas delitos. D. Agustín del Callejo, sar…</t>
  </si>
  <si>
    <t>Loren</t>
  </si>
  <si>
    <t>onio Muño/. , 20. El señor marques viudo de las Hormazas , 2000. D. Francisco Demande Mputañs, 40 D. Tomas Casado , 20. D. José .María I’aniagua, 20. D. Loren o Ci-neros y Toledo , 0‘*&gt;. D. Nicolás Hernández, 60. X). Agustín Maestre, 40; D. Ignacio Salazar , i60. D. Aivrel José Soveron, 50). D 'Carlos Gira1 Jo, 60. D. Nlcoas …</t>
  </si>
  <si>
    <t>Lorenza</t>
  </si>
  <si>
    <t>s. La pérdida dé ios ingleses en una y otra ha M.rtinez ( D. J 'Sef), cónsul en Dunquerqae. sido de 8® hombres por lo menos de sus propias Martínez ( D. Lorenza). tropas: lo* portugueses han perdido de 3 á 4® Maz.or.-do (D. Santiago), teniente de fragata. hombres, y otros tantos los españoles, asegurando M ezcorti {D. Marian …</t>
  </si>
  <si>
    <t>Lorenzo</t>
  </si>
  <si>
    <t>residente en Morata, por....................... 2200 D. Francisco de Paula Tovar , conde de D. Josef Gómez Rodríguez, ex-merec- Camelada, por mano de D. Lorenzo nario calzado, lego,residente en el Bur­ Barreda............................................................. 21294..17 go de Osma, por...............................…</t>
  </si>
  <si>
    <t>Lorenzo, Cristóbal</t>
  </si>
  <si>
    <t>Cristóbal Lorenzo</t>
  </si>
  <si>
    <t>ha es- D. Ignacio Baena. t. do illas expuesto que el resto de ia Italia á esta D. Teodoro Sánchez. suerte .de acontecimientos. Esta ciudad no ha pa­ D Cristóbal Lorenzo.' decido nnnc3 grandes pérdidas de resaltas de los D. Pedro Muradas. terremotos, y tenemos ia prueba de esto en las D. Iñigo Fonseca. adunas antiguas yen los …</t>
  </si>
  <si>
    <t>Lorenzo, José Espuche</t>
  </si>
  <si>
    <t>José Espuche Lorenzo</t>
  </si>
  <si>
    <t>ello acreedores al renombre de legítimos hijos y defensores de la patria, y á que V. E. eleve á S. M. su mérito, y principalmente el délos oficiales, D. José Espuche Lorenzo á quien tocó la suerte feliz de romper el cerco, ma­ tando con su espada 2 centinelas , y los 2 valientes oficiales que se hallan heridos. — Dios guarde …</t>
  </si>
  <si>
    <t>Loreote, Fabián</t>
  </si>
  <si>
    <t>Fabián Loreote</t>
  </si>
  <si>
    <t>de OrJuieis á D. Aatoaio Lorenza M-.ttínez d i Pozo: para la-de losBirrios, campo de Gibraitaf/á I) Joa­ quín María Eguigaren: para la de CTatayud á D. Fabián Loreote, y para el corregimiento de Molina de Aragón á D. Gregorio La redo. Buques que han recogido corresponderéis es la administración de correos de Cádiz durante la …</t>
  </si>
  <si>
    <t>Lorge</t>
  </si>
  <si>
    <t>e Kruse acaba de terminar una Idem............... .... ......vales. nueva expedición, de que le habia encargado el se­ Genova.......... efectivo. ñor general Lorge: los resultados fe.ices que lia Rajbia............. tenido se ueben a su habilidad , y al valor de las Lisboa............. ..... efectivo. tropas qae mandaba. Camb…</t>
  </si>
  <si>
    <t>arguye para esto denes de Velasoo *e ha entregado,toda entera ,con con una iirtruccion que dimos á un almirante nues­ sus caballos y armas, al señor general Lorge, go­ tro en las Indias occidentales concerniente al blo­ bernador de Manzanares. . queo de la Martinica y de ia Guadalupe ; y quiere Los oficiales y soldados han pr…</t>
  </si>
  <si>
    <t>ez, cura beneficiado de la villa de Gelvea. El señor coronel Kruse fue enviado el dia 15 Para el tercer curato de la de Lebrija, vacante por el señor general Lorge , gobernador de la Man­ por fallecimiento de D. Antonio Vázquez Cisne- cha, en busca del gefe de partida el médico Mo­ ros, á D. Josef Calero y Zirco, presbitció ,…</t>
  </si>
  <si>
    <t>regia gen mi se ha señando ’a misma pena á todos los que incurran &amp;a *guul delito. Toledo .14 de agosto. El 10 por la mañana entró en esta ciudad el general Lorge, gobernador que era de Manzanares, con una es-</t>
  </si>
  <si>
    <t>Loriga, Francisco</t>
  </si>
  <si>
    <t>Francisco Loriga</t>
  </si>
  <si>
    <t>112</t>
  </si>
  <si>
    <t>N&amp;m. 133. 112!) GACETA DE LA REGENCIA DE ESPAÑA E INDIAS DEL SABADO 19 DE OCTUBRE DE 1811. ' i ESPAÑA. Viüacadima 23 de agosto. El partidario D. Francisco Loriga lia sido perseguido con el mayor empeño por un cuerpo de 4000 fran­ ceses que para este efecto salieron de Burgos ; pero ha sabiio bur­ larse de ellos, sin salir del…</t>
  </si>
  <si>
    <t>los Ancos, Antonio de</t>
  </si>
  <si>
    <t>Antonio de los Ancos</t>
  </si>
  <si>
    <t>...................... 18 D. Juan Rubio..................................... 124454 25! 43562 28 18 D. Pedro García y pinillos............... 31500 ; D. Antonio de los Ancos.................... 7942 12 Dona María Nicolasa Perez Díaz, da­ 10 D. Alexandro Silva.............................. 9295 2 5 f- dos á favor deD. Dámaso P…</t>
  </si>
  <si>
    <t>los Arcos, Pedro Celestino de</t>
  </si>
  <si>
    <t>Pedro Celestino de los Arcos</t>
  </si>
  <si>
    <t>jo de Dios: por D, M. P. Véndese mes se ha servido S. M. nombrar á D. Josef Anto­ en las librerías de Perez, calle de las Carretas; Minunio Connesa , D. Pedro Celestino de los Arcos , Don tria , calle de Toledo, y Villa , plazuela de Santo Do­ Antonio María Cortés y D. Alfonso Girard co­ mingo, suelta á real; puesta en música…</t>
  </si>
  <si>
    <t>los He-ros, Nicolás de</t>
  </si>
  <si>
    <t>Nicolás de los He-ros</t>
  </si>
  <si>
    <t>18 pozuelos........................................ 28548 D. Guillermo Pcironer.................. 6450 24 D. Fernando Antonio Moran......... 2923 22 D. Nicolás de los He-ros........• 8750 D. Mariano Herran....... ,,............... 930 33 D. Fernando Bernardo de Quiios. 12472 2 Doña María del Carmen Herran... 930 33 D. Jaime C…</t>
  </si>
  <si>
    <t>los I, Joaquín de</t>
  </si>
  <si>
    <t>Joaquín de los I</t>
  </si>
  <si>
    <t>le Ancha, núra. 72; en casa de D. Roque Aguado, frente ei León de las des Castillas : en la calle de S. Francisco nú«n. 56, tienda de instrumentos de D. Joaquín de los I!, yes. y ort la isla de- León en los puestos ó casas donde -e venden papeles públicos. CADIZ : EN LA IMPRENTA.REAL.</t>
  </si>
  <si>
    <t>los Jtav'js, José de</t>
  </si>
  <si>
    <t>José de los Jtav'js</t>
  </si>
  <si>
    <t>ra ; compañías é D. Vicante Casado, D. Horm'jnegiido- Mancebo y D, Antonio Marga­ do; ayudantía á D D o Asió de Arce ; tenencias á D. José Viiiaroel, D. José de los Jtav'js, D. Francisco Puebla, D. Antonio Nieto, D. Franc'seo Or iuda? D.-Francisco de Ibarra, D. Manuel Caba­ llero, D Juan Magollo D. José D:az y D P^dro Peynado…</t>
  </si>
  <si>
    <t>los Monteros, Manuei Espinosa de</t>
  </si>
  <si>
    <t>Manuei Espinosa de los Monteros</t>
  </si>
  <si>
    <t>lo Interior y Subtenientes; de la Guerra quedan encargados de la execucioo D. Francisco de Paula Lara. de eitc decreto. e= Firmado = YO EL REI. = Por D. Manuei Espinosa de los Monteros. S. M., el ministro secretario de Estado as Firma­ art. vi. En la villa de Carcabuei se formará do = Mariano Luis de Urquijo.” Una compañía. Q…</t>
  </si>
  <si>
    <t>los Re, Ramón de</t>
  </si>
  <si>
    <t>Ramón de los Re</t>
  </si>
  <si>
    <t>oficiales de las tres compañías : En el de la Cruz, á las quatro de la tarde, se'exeCapitanes. cutará la comedia de magia trágico-heroica en tres ac­ D. Ramón de los Re&gt;es. tos titulada la Crueldad y sinrazón la vence auxilio y D. Francisco Aritonio Rot. valor, Magencio y Constantino, adornada con todas D. Josef Carvajal. sus…</t>
  </si>
  <si>
    <t>los Reyes, Enrique de</t>
  </si>
  <si>
    <t>Enrique de los Reyes</t>
  </si>
  <si>
    <t>z para los gastos de la presente guerra, 1000. El administrador general de rentas de tierra , á nombre de varios de sus em­ pleados subalternos, 306. D. Enrique de los Reyes, 30. D. Francisco Her­ nández , capitán de la primera compañía urbana de naturales de Galicia, á nombre de los individuos que la forman, 3187. D. Pedro J…</t>
  </si>
  <si>
    <t>los Reyes, Mateo de</t>
  </si>
  <si>
    <t>Mateo de los Reyes</t>
  </si>
  <si>
    <t>o Josef de la Barrera, presbítero, ex­ mercenario descalzo. ^ Efectos públicos. Para el segundo curato "Se la villa de Fuentes, vacante por muerte de D. Mateo de los Reyes, al Vales reales.......................................... 93* a 94 n. Cédulas hipotecarias........................... 94i n* diácono D. Rafael Muñoz Carra…</t>
  </si>
  <si>
    <t>los Ríos, Antonio de</t>
  </si>
  <si>
    <t>Antonio de los Ríos</t>
  </si>
  <si>
    <t>1154</t>
  </si>
  <si>
    <t>igas se adelantaban en fuerza, y que cus avanzadas se es­ taban ya tiroteando.'Ea ei momento di orden á la columna dsi man­ do .del teniente colon (A D. Antonio de los Ríos para que adelantase ■bu marcha, ¿ fia da. sostenerle y perseguir al enemigo, si su fuerza lo permitía; y la de estar prontos á los restantes cuerpos. A la…</t>
  </si>
  <si>
    <t>los Ríos, Antonio García de</t>
  </si>
  <si>
    <t>Antonio García de los Ríos</t>
  </si>
  <si>
    <t>a misma clase D. Cásiós O -Donnsil, cuj o .tener es el sigiiieute: • UL¿ íKcasiflad de «ostese? á la columna volante del mando del te­ niente cotonei D. Antonio García de los Ríos, que en virtud, de las •órdenes- del Excaro. Sr. general en gafe habla salido de Segó? be en la Lwañ?».n&amp; dei SO del mes anterior, y las coustáes a…</t>
  </si>
  <si>
    <t>los Ríos, Bagines de</t>
  </si>
  <si>
    <t>Bagines de los Ríos</t>
  </si>
  <si>
    <t>endo accedido el gobernador i la intimación que se le había hecho de rendirse, se empezaban á tomar disposiciones para el asalto. ‘ . La división del brigadier Bagines de los Ríos ha conseguido el 3 de cst«‘mes una ventaja importante á Moron, destruyendo un bata­ llen de pclaccs que se dirima «í Rosda. Ef. exéfeito que baso L…</t>
  </si>
  <si>
    <t>los Ríos, Bernardo García de</t>
  </si>
  <si>
    <t>Bernardo García de los Ríos</t>
  </si>
  <si>
    <t>onio Diaz Tagle, 160. D. Antonio González de Columbres, 160. D. José Antonio de la forre , 120. D. Antonio García Tcraa, 120. D. Pedro de Teran, 120. D. Bernardo García de los Ríos, 120. I). Tomas del Corral, 130. D. Manuel Tornero y D. Antonio Hidalgo, 140. I). Juan Antonio Díaz de Celis, 100. D. José Santiago Palacios , 109…</t>
  </si>
  <si>
    <t>los Ríos, Diego de</t>
  </si>
  <si>
    <t>Diego de los Ríos</t>
  </si>
  <si>
    <t>30. D. Manuel Tornero y D. Antonio Hidalgo, 140. I). Juan Antonio Díaz de Celis, 100. D. José Santiago Palacios , 109. I). Pe­ dro de Cabiedes , 100. D. Diego de los Ríos , 100. D. Francisco Eugenio del Corral, 100. D. Pedro de Hoyos, 100. D. Ildefonso del Corral , lOU. D. José González de Rueda , 60. D. Juan Diaz Cosío. 10Q.…</t>
  </si>
  <si>
    <t>los Ríos, Francisco Rodríguez de</t>
  </si>
  <si>
    <t>Francisco Rodríguez de los Ríos</t>
  </si>
  <si>
    <t>ez 5 100. D. Francisco Fernandez, 100. D. Antonio Arrí, 100, D. Pedro Ganzalez , 100. D. Manuel Sánchez Cal­ derón, 100. D. Agustín del Piélago, 100. D. Francisco Rodríguez de los Ríos, 100. I). José Gutiérrez y D. Pedro Hidalgo, 100. D. Francisco Fernandez, 100. D Marcos de los Ríos , 100. D Juan Perez , 100. D. Mateo Rodríg…</t>
  </si>
  <si>
    <t>los Ríos, Joaquio de</t>
  </si>
  <si>
    <t>Joaquio de los Ríos</t>
  </si>
  <si>
    <t>ecocer las velas, son otros tantos problemas, lla , ex-carmclita descalzo. que han llamado la atención de los sabios y de los ar­ Para la de Fondon á D. Joaquio de los Ríos, tistas de todos tiempos. ex-mercenario calzado. ■ Se pueden consultar las obras siguientes: Para la de Pitres á D. Eugenio Josef Chanfo’i, Descripción Je…</t>
  </si>
  <si>
    <t>los Ríos, Juan García de</t>
  </si>
  <si>
    <t>Juan García de los Ríos</t>
  </si>
  <si>
    <t>tonio Gu'invez, 12. Doña M iría del C armen Ocampo „ 109. D J osé Antonio Berraondo , 23. D Manuel Alarcon , 25 El presbítero D. Marianb Castro , 12. D. Juan García de los Ríos*, 16. D. Lorenzo Miranda , 12. D José de la Quintana, 12. D. Gregorio de la Quintana , 13. D Miriano Pinto , 12 D. Antonio Alfaro y José María legarte…</t>
  </si>
  <si>
    <t>los Ríos, Lnis de</t>
  </si>
  <si>
    <t>Lnis de los Ríos</t>
  </si>
  <si>
    <t>mico deberá arreglarse á lo prevenido en Don Ignacio Iglesias , teniente , á capitán en la nuestro decreto de 31 de marzo de, 18I0 , y re­ vacante de D. Lnis de los Ríos. glamento de 23 de octubre de! mismo. Don Antonio Gómez á teniente en reemplazo art. ii. Servirá de pie para la formación de de D. Ignacio Iglesias. este esq…</t>
  </si>
  <si>
    <t>los Ríos, Luis de</t>
  </si>
  <si>
    <t>Luis de los Ríos</t>
  </si>
  <si>
    <t>no, y para subteniente D. Pedro Serrano DIA 30 DE MARZO DE l8ll. Reyes. art. vii. Eq la villa de Ptñ.flor. se formará una compañía. Efectos públicos. D. Luis de los Ríos queda nombrado capitin; Vales reales........................................ 9* P1D. Ignacio Iglesias teniente , y D. Antonio Parias Cédulas hipotecarias....…</t>
  </si>
  <si>
    <t>los Ríos, Manuel de</t>
  </si>
  <si>
    <t>Manuel de los Ríos</t>
  </si>
  <si>
    <t>uan Amar, D. Francisco García, Dan Mu» tía Arrute ? D Juan García, D. Antonio Salgado. D. Pascual Be caria, v ÍJ. José Y^zquez Yarela; subtenencias á D. Manuel de los Ríos, D. Pío Tona, D. Juan Medrana, D. Cristóbal Sánchez, D. Pssdro Alvares:,.D. Cipriano V'dal., .D. Salvador Mora, D. Tomas de Sindc, D. José fereyra , D. D’e…</t>
  </si>
  <si>
    <t>los Ríos, Marcos de</t>
  </si>
  <si>
    <t>Marcos de los Ríos</t>
  </si>
  <si>
    <t>, 100. D. Agustín del Piélago, 100. D. Francisco Rodríguez de los Ríos, 100. I). José Gutiérrez y D. Pedro Hidalgo, 100. D. Francisco Fernandez, 100. D Marcos de los Ríos , 100. D Juan Perez , 100. D. Mateo Rodríguez, 100. D. José Pedrosa, 100. D. José Rasilla, 60. D. Eugenio Gutiérrez, 100. D. Antonio Ortegon, 100. D. Manuel…</t>
  </si>
  <si>
    <t>D. Félix García , IO0. D. Pe­ dro García dejos Ríos, 100. D. Manuel Mancina, 100. D. José Perez, 100. L. Manuel Rodríguez, 100. D. José Alonso, 100. D. Marcos de los Ríos, 100. L. Antonio Gómez de la Madrid, 100. D. Estanislao de Hoyos , 100. L. Juan</t>
  </si>
  <si>
    <t>los Ríos, Matías Mur de</t>
  </si>
  <si>
    <t>Matías Mur de los Ríos</t>
  </si>
  <si>
    <t>riente S. M. se ha Campo de Murviedro 0.6de octubre de iSir for servido nombrar á D. Leandro Fernandez de Mola tarde. ratin su bibliotecario mayor; á D. Matías Mur de los Ríos secretario de la interpretación de lenguas; Soldados: ,,El general en gefe B'ake, usando y al presbítero D. Josef Lope González adminis­ de los grandes…</t>
  </si>
  <si>
    <t>los San, Vicente de</t>
  </si>
  <si>
    <t>Vicente de los San</t>
  </si>
  <si>
    <t>riano Vázquez, 50. D. Atanasio Bor­ rego , 50. Varios individuos, 38 y 4 rs.—Hacienda del Alamo. D. Ig­ nacio Elizondo, 200. D. Nicolás Elizondo, 25. D. Vicente de los San­ tos , 25. D. Santiago Fernandez, 12. D. Juan Casimiro, 10. D. José María de la Garza, 10. D. José María Elizondo, 20. Varios indivi­ duos, 15.— Villa del …</t>
  </si>
  <si>
    <t>los Santos, Bartolomé de</t>
  </si>
  <si>
    <t>Bartolomé de los Santos</t>
  </si>
  <si>
    <t>Josef María Garrido. Jas circunstancias actuales , que no se necesitarian D. Juan Josef Iturriaga. mas que otros dos ó tres de su especie para arrui­ D. Bartolomé de los Santos. nar todo el poder marítimo de la Inglaterra , y ha­ art. ni. En la villa de Benamegí, de la üjÍS- cer ver que los pies de este coloso eran de barro. …</t>
  </si>
  <si>
    <t>los Santos, Francisco de</t>
  </si>
  <si>
    <t>Francisco de los Santos</t>
  </si>
  <si>
    <t>2iía de Lampazos. El capellán D.. Cipriano Garza, 50. La tropa, 491. — JScxar. D. Ignacio Pcrez, 200. D. Francisco Montes, 50. D. Manuel Barrera, 40. D. Francisco de los Santos, 30. D. Fernando Baramendi, 30. D. Clemente Delgado, 10. D. Vicente Travieso, 10. I). Francisco de Arocha, 9. D. José Antonio de la G irza, 10. D. Víc…</t>
  </si>
  <si>
    <t>los Tueros, Gregorio de</t>
  </si>
  <si>
    <t>Gregorio de los Tueros</t>
  </si>
  <si>
    <t>........-....... mano de su apoderado D. Juan. M34 8|l 3 D. Juan de Iriarte..-............................ 16335 üí Josef Gamboa.............. 6859 1 D. Gregorio de los Tueros......... . 1805 2 D. Juan Bautista Condestable........... 545 17 1 Doña Angela Imperial........................ 18c j 1 Doña Alfonsa Chavarría.........…</t>
  </si>
  <si>
    <t>Losad, Francisco Xavier</t>
  </si>
  <si>
    <t>Francisco Xavier Losad</t>
  </si>
  <si>
    <t>ebiendo aprontar­ se» loa re»tapiz» en pocos filar. Dia 13. El «©mandante general dfd pn acipado de Asturias y de la Tsrimero, división del exérciio, D. Francisco Xavier Losad?, da paste al general *m gtfe interino -del exército a&lt;¿ haber sisma­ do «os enemigos el 6 dei corriente al amanecer con una f«*«;te columna de infante…</t>
  </si>
  <si>
    <t>Losada</t>
  </si>
  <si>
    <t>ncbiembre ele i8iO: — Federico Castañon. ”. ‘ El brigadier D Juan Díaz Porlier, Comandante general de la di vi sion cántabra , ha dirigido al misrno general Losada el parte que sigue: J C{Para verificar el ataque propuesto contra la línea enemiga que ccu-, pá la rivera opuesta de la . ría » 400 hombies del primero de Cantabri…</t>
  </si>
  <si>
    <t>Francisco Válvery D. Ignacio Ventura, y á los oficiales D Ramón Llana, herido, y D. Nicolás Santiago y D. Manuel Reguenga , prisioneros. Confirma fel general Losada que la pérdida del enemigo en la expresada" acción ide Grado' 6*4 de 45^ á 500 hombres, y "¿qu_e la nuestra no llegó á ■ 200, parte de ellos dispersos que no se h…</t>
  </si>
  <si>
    <t>GACETA DE LA REGENCIA DE ESPAÑA É INDIAS DEL JUEVES 21 DE FEBRERO DE 1811. ESPAÑA. ^ &lt;■ Castropol 11 de enero. — "Parte del general Losada al general en -gefe D. Nicolás Mahí. &gt; • Cuartel general de Llamas de..abaxo 30 de diciembre de 1810. cc El brigadier D. Pedro de la Bárccna en oficio de 26 del corriente me noticia , que …</t>
  </si>
  <si>
    <t>enemigos los húsares cántabros, que con las ordenanzas y el brigadier D. Juan Diaz Portier arrollaron va-t varias veces á la caballería enemiga.' El general Losada recomienda muy particularmente á este briga­ dier , tropa y oficiales de caballería, cuyos nombres se dan a’ público para que. en tedo tiempo conste quienes son lo…</t>
  </si>
  <si>
    <t>destacada en Sto. Miliario, hizo fuego á los franceses, les obligó í¡ retirarse á Mieres, y les mató 5 soldados, hiriendo gravemente á ua oficial. El general Losada comunicó desde Sta. María de Giandas con fecha de 11 de abril, que el capitán de tiradores de Asturias D. J uau del Basto, peleando arrojadamente con su tropa á p…</t>
  </si>
  <si>
    <t>8? tos y heridos, la mayor parte de la primera división mandada po? el general Losada, señor de Pul, que fué la que estuvo mas empeña­ da. Este pueblo acreditó en aquella ocasión su patrio isreo, llevando los vecinos al hospital de sangre cuantos efectos útiles para la cura­</t>
  </si>
  <si>
    <t>eUington á bsx&amp;r á Castilla, di© lugar á que te destaca­ sen, por lo* puerfc « de Pajares y Ventana, gruesos.cuerpos á ocupar á Asturias. E tetado el general Losada de la superioridad d® las fuerzas enem gris, y de que el objeto de la columna de 4 á 5000 hombro, que habí» penetrad© por Ventana, era impedirle su retira­ da á l…</t>
  </si>
  <si>
    <t>uta* al exército y red hacienda, se embarcaron en este puerto con el mayor órden y sia preeipk&amp;cion, i benefíde de las an­ ticipadas dispeeicíoms d 1 general Losada. El gafe dei estad# mayor, que se mantuvo en Oviedo ¿esnúes de kab®r salido Enastas iiopes, dispuso que las partidas comisionadas al efecto, no penaiiíssea se que…</t>
  </si>
  <si>
    <t>1401</t>
  </si>
  <si>
    <t>de del 23 ss di© sepultura al R. obispo da Leen. . Escriben del principado de Asturias, que los-oficiales pagados que se presentaron pocos días ha al general Losada,^ son un teniente y un alférez del regimiento 118. Estos han asegurado que Bonnet tiene 6rden de -mantener la posesión del principado, -micntias 1.a ssa posible ;…</t>
  </si>
  <si>
    <t>Losada, Francisco Xavier</t>
  </si>
  <si>
    <t>Francisco Xavier Losada</t>
  </si>
  <si>
    <t>dú núa*. 120, Gauiier, llegó el 12 á Tineo. Las tropas de fe primera división del exército en des eaiarauRs, á la» ór¿enrs de los nariio&amp;U* éú campo D. Francisco Xavier Losada y ©su Pádro Bfeotna, situadas opcstnií.aiueiito_, e&amp;psraron ú los enemigos, sin que estes se había :#a adelantado ni odLíriáo novedad hasta este di . —…</t>
  </si>
  <si>
    <t>Loteen</t>
  </si>
  <si>
    <t>recía que era francés, y se le ha condenado vo de la nación. Viendo que no lo reclamaban. ,, Nadie ignora que el comercio de los Esta­ La Wilhelmina, capitán Loteen. Este barco» dos-Unidos se halla impedido y molestado por le* con pabellón dinamarqués, venia cargado de ceba­ edictos de las potencias beligerantes, las qualci d…</t>
  </si>
  <si>
    <t>Loweudal, Ferte</t>
  </si>
  <si>
    <t>Ferte Loweudal</t>
  </si>
  <si>
    <t>tinguieron per­ , .Conde de Brem: , presidente; el duque ■, de fectamente el estrépito, y lo mismo sucedió eiT Lodi, primer r«.nú¡hombre; Capeara, el conde Ferte- Loweudal. Mosctzti, Carlotti, Alessandri, Feliei, Vaha, Las gentes formaron míl conjeturas shbre qué Lambcrti, Barisatt, Bruti, Came rata , Armaseria esto; pero á p…</t>
  </si>
  <si>
    <t>Lowimki</t>
  </si>
  <si>
    <t>ficaciones del tesoro piiblico...., 78 á » peles están sacrificados los demas de la comedia, Oro español Contra plata.............. li incluso el del conde Lowimki, por mas esfuerzos que el autor, conociendo sin duda este defecto, TBaTKOS. hizo para que fuese chistoso. Con el carácter qu» En el del Príncipe, á las siete de la…</t>
  </si>
  <si>
    <t>Loy</t>
  </si>
  <si>
    <t>a direccisnt-s, sí la opsrueicn pedia combinaren ; u-cro dudo íuu-.ír^qne esto pusda combinarse como yo quisiera. — No longo notician hasta ahora 0-ú brigadier Loy, pero lo hago buscar pac tovas partes.. Sis su c&amp;bqiloría cu este llano , y con una mentada inferios ea mucho á la ds! enemigo, ese veré, en ía necesidad de pasar …</t>
  </si>
  <si>
    <t>Loy, Dan Casimiro</t>
  </si>
  <si>
    <t>Dan Casimiro Loy</t>
  </si>
  <si>
    <t>nso retirarme hasta que no eos háyamos batido, que, por aquí es regular sr a- mafeyia, deba V. S. juntar toda la cuarta división y. la eab&amp;IIeria del brigadier Dan Casimiro Loy , é impedir á toda costa que los enemigos se adelan­ ten por esa parte ,, en términos que pudieran llegar í Cúllar ó Da­ za, y tomarme asi la retaguar…</t>
  </si>
  <si>
    <t>Loynás, Francisco</t>
  </si>
  <si>
    <t>Francisco Loynás</t>
  </si>
  <si>
    <t>162. D. Luis Caballero, por igual oferta y tiempo , 162. Joan Faore, j ara el socorro de las viudas y huérfanos de los que murieron en taragoza, 1/. D. Francisco Loynás, regidor, por el prest de S soldados en 9 meses, 243. - ’ ' • ■ V- (Se concluirá») | lili ,, . ■i ■ — —— CADIZ: ÉN LA IMPRENTA REAL.</t>
  </si>
  <si>
    <t>Lozano, Antonio</t>
  </si>
  <si>
    <t>Antonio Lozano</t>
  </si>
  <si>
    <t>. 2200 P'.zu , provincia de Avila , por............... 2200 D. Francisco Martin de la Peña , id., por 2200 D. J uan Morales, ex gerónimo, tesidenteen D. Antonio Lozano, ex-trinitario descal­ el campo de Criptana en la Mancha, por 2200 zo, por............................................... 2200 D. Tomas López, id. , residente …</t>
  </si>
  <si>
    <t>Lozano, Mariano</t>
  </si>
  <si>
    <t>Mariano Lozano</t>
  </si>
  <si>
    <t>aron 20 caballos de dragones del Bey, é igual númcTo de la compañía de fianqueadores de Nunuuicia á las órdenes del teniente de la expresada compañía D. Mariano Lozano. Este oficial se emboscó antes de amanecer con el fin de no ser visto por los enemigos. Así que aclaió el dia, se vió la descubierta enemiga que se dirigía por…</t>
  </si>
  <si>
    <t>Lozano, Pablo</t>
  </si>
  <si>
    <t>Pablo Lozano</t>
  </si>
  <si>
    <t>asnardo Gómez de Caso ; el capitán de tiradores de Cantabria D. Ma­ nuel B arraza, y el teniente de la compañía de caz adore? del prime­ ro cántabro D. Pablo Lozano. El coronel D. Juan Ugaríemeudía fué contuso , y murieron do3 oficíales de raudas esperanzas, el te­ niente dettercero de Mnrina el valiente Sanjuijo , y el de la…</t>
  </si>
  <si>
    <t>uan de Dios Lasa!», D. F«iip5 Ma varíete, D. Jo&amp;quin Gomez, D. F:ranr?ísco Lop:.z Salazar, D. Manuel BjUmonts, D. José Giiau-de., D. Gaspar Surianor, D. Pablo Lozano, D. Ciato.Eguimbái, y D. Fabián Mantilla; y subtenr notes á D. Juan'Psu*»!», D. J«&amp;é A ios'Ós , D. Pedro Lí/ó, D. Akonio Bereitgtier, D. «José- Cueva?, D. Jasé S…</t>
  </si>
  <si>
    <t>Lozano, Vicente</t>
  </si>
  <si>
    <t>Vicente Lozano</t>
  </si>
  <si>
    <t>moi la conducta de los convencionislas ó católi­ D. Juan Jo'ef Bel. cos Si sos asambleas estaban prohibidas por Ja lei, Teniente agregado D. Vicente Lozano. es inexcusable su ohsrinaciún. Si la prohibición era art. iv. Nuestros ministros de lo Interior dudosa , la prudencia dictaba que no empleasen y de la Guerra quedan encar…</t>
  </si>
  <si>
    <t>Lozuriaga, Ignacio</t>
  </si>
  <si>
    <t>Ignacio Lozuriaga</t>
  </si>
  <si>
    <t>e Bordadores. cierto ó exagerado. (Diario mercantil del 2_p.) D. Juan Bíutista Saiasere, calle de Atocha , casa de Portago. León _9 de noviembre. Sr. D. Ignacio Lozuriaga, carrera de S. Geró­ nimo. Por carta del general cu gef« del exército del Sr. D. Joan Bautista Paroisse, plazuela del Corcorre se sabe que el 6 de este mes …</t>
  </si>
  <si>
    <t>Ls, Carlos</t>
  </si>
  <si>
    <t>Carlos Ls</t>
  </si>
  <si>
    <t>ér, D. Aídolu» Forrar, D. Bjrnabó Vda, D. y ícen­ te N¿ñaz Cortes, O. Alfonso • C Jbach* * D. José QaFós López, D. JáL&amp;íi Pardo i D. Francisco López, D. Carlos Ls.iréu, D. José Palomino, D. Juüao M-tTiíaez, D. José Toas, D. Mnmié! Lnaif, D. jLmon P*sl, D. Fauetia© Vidal, D Juan Murcio, D. Pascual'</t>
  </si>
  <si>
    <t>Lsuriston</t>
  </si>
  <si>
    <t>ñire na­ vios , fragatas y corbí.fes, y 40 barcas cañoneras que se han cons­ truido el invierno pasado eo Coubtavtmopfa. Eí 5 do mayo llegó á Ríg&gt; el general Lsuriston, embajador de Francia cerca de la corte de P.Aer¿burgo, y al día siguiente conti­ nuó su vi. ge á aquella ciudad. . ■ May noticias de quo el 24 -:1c abril se a…</t>
  </si>
  <si>
    <t>Lu, Rafael</t>
  </si>
  <si>
    <t>Rafael Lu</t>
  </si>
  <si>
    <t>o asistió á su puesto, sino que continuó á píe persiguiendo al enemigo las 4 leguas que hay hasta Zamora, como todos los demas ; ai teniente de navio D. Rafael Lu­ na , que se distinguió también en las partidas avanzadas , á loa capi­ tanes ele Toluca D. Angel Casa val y D. Joaquín Mondragon; al ayu­ dante D. Joaquín Loaiza ;…</t>
  </si>
  <si>
    <t>Luamortización</t>
  </si>
  <si>
    <t>tropas suizas en Francia. Se presentara á la di ta un i ¡forme mui No circulan todavía los nuevos billetes de circunstanciado acerca de la misión del coronel Luamortización , por el mocho tr«b,jo y tiempo que terman cerca del prú cipe de Neufchatel, coronel' exige su fabricación, y por las muchas precaucio­ general de U*&gt; t&gt;o…</t>
  </si>
  <si>
    <t>Lucas</t>
  </si>
  <si>
    <t>z, capellán del monasterio de Sta. Catalina, 30, Alónso de Vera, sargento retirado ., 10. El teniente coronel I). Iracas Al vares, * por sí y su lujo D. Lucas, 100. El. regidor marques de Casa-Penal ver, por el prest de quince soldados en 6 meses durante la guerra, 810. Don Juan lumano, 100. Doña Dolores Otañez, 1. Lie. D. Ju…</t>
  </si>
  <si>
    <t>Lucas, Juan</t>
  </si>
  <si>
    <t>Juan Lucas</t>
  </si>
  <si>
    <t>....... 16440 D. Juan Pablo.Imbrea........................... 154-50 El marques de Muzquiz............................... 44866..19 D. Jaime Felipe , D. Juan Lucas, D. Jo­ D. Gregorio Pereira y Pacheco................ 11000 sef María y D. Hipólito Durazo........... 52500 Doña Eugenia Pahvicini............................... 8…</t>
  </si>
  <si>
    <t>Lucas-Gorriz</t>
  </si>
  <si>
    <t>iD infantes solos y 120 caballas, qu&lt; al man­ do del segundo comandante D, Gregorio Erochaga, acompañado de fa mitad del terca- batallón ai manió de D Lucas-Gorriz, su-coman­ dante i debían hacer señal de fuego , situados en los inmediatos cerros y</t>
  </si>
  <si>
    <t>Luce, Antonio</t>
  </si>
  <si>
    <t>Antonio Luce</t>
  </si>
  <si>
    <t>stencia y ayuda de S. Lorenzo de Sevilla , vacante por fallecimiento la infantería, se habría acabado con el médico Mo­ de D. Francisco Maria Ruiz, á D. Antonio Luce- rillo, y su partida hubiera sido aniquilada. na y Anoes , presbítero , cura natural de la de Santa Cruz de la miíint ciudad. Para el segundo de la misma parroqu…</t>
  </si>
  <si>
    <t>Lucia</t>
  </si>
  <si>
    <t>inta id. Capitán D. Juan Manuel Lores, i00. Alférez D. Gregorio Amador, 50. La tropa, 551. -— hexta idr Capitán D. Miguel de los Arcos, 400. Teniente D. Lucia3ío García, 100. La tropa, 504. — Séptima id. Alférez D. Miguel Alanis , 50. La tropa , 490.— Octava id. Capitán D. Juan Martin de Echavarria, 200. Teniente D. Antonio S…</t>
  </si>
  <si>
    <t>Luengo, Felipe</t>
  </si>
  <si>
    <t>Felipe Luengo</t>
  </si>
  <si>
    <t>.: Mateo Galludo y Ximenez, sargento m ;yor del de volun­ tarios de España.- Asimismo á tenientes coroneles del real cuerpo de arüleáa á ks capitanes D. Felipe Luengo, graduado de teniente coro­ nel, D. José Saravía, ídem, y D. J-faquín ce Góngora: á capitanes á los tenientes D. Manuel Várela y Ulloa., graduado de capitán, D.…</t>
  </si>
  <si>
    <t>Lugo, Fernando</t>
  </si>
  <si>
    <t>Fernando Lugo</t>
  </si>
  <si>
    <t>ta mañana í D. Sebastian Lequerica. cosa de las 11 en el quarto de la Reina, y tuvo uná Tenientes. consulta con los médicos que asisteD á $. M., y en D. Fernando Lugo. seguida se dirigieron ios dos al palacio, y han sido D. Cayetano Saravia. admitidos á la audiencia de S. M., con quien han D. Fiaocisco Caro Velero. tenido nna…</t>
  </si>
  <si>
    <t>Lui</t>
  </si>
  <si>
    <t>. S*nz , cura de Vi laciervillos. Para el de Torra&gt;ba y so anexo Valde^billo, Rochela 30 de octubre. vacaite por muerte de D, Francisco Ruiz Gallo, í D. Lui. A ton , cura vn rio de Cascajosa. Acaba de entrar en la concha de este puerto la Para ei d- Fresno, vacante por muerte de embarcación americana Catalina Rai, mandada D. …</t>
  </si>
  <si>
    <t>Luidle</t>
  </si>
  <si>
    <t>s vivo agradecimiento. Yo rae di­ rigí á reconocer el co;.he á pesar de! tenib'e fuego del enemigo; intimé la rendición á los que iban en él, pero el coronel Luidle y teniente coronel francesas tuvieron la osadía de defenderse con sus sables , que no les valieron , quedando muerto el tendente coronel, y prisionero y herido La…</t>
  </si>
  <si>
    <t>Luis</t>
  </si>
  <si>
    <t>. BJgrano ( D. Miguel de), comisario de guerra de Ducer (D. Ratnon), comandante .de batallón del segunda clase. regimiento Josef Napoleón. Bermudez ( D. Luis), individuo de nuestra guar­ Dubreuii ( D. Jorge), capitán del regimiento Real dia de honor de Sevilla. Extrangero. Bidekavis (D. Conrado), tambor del regimiento Dupui (…</t>
  </si>
  <si>
    <t>o), cabo del regimiento de Tole­ Gutiérrez de Santa Clara (D. Angel), canóaigo do, 2.0 de infantería de línea. de S. Isidro el Reai de Madrid. Molas (D. Luis), sargento primero.del Real ExGuzman (D. Cirios Tomas), capita» retirado, trangero. caballero que fue de la orden de Santiago. Muñoz ( D. Nicolás), capitán de la milicia…</t>
  </si>
  <si>
    <t>ilicia corresponde, quedan encargados de la exeeiteion cívica de la villa de Fuentes. del pre*eiite decreto. =sFirmado = YO EL REÍ. = Saibi M-toleon (D. Luis), mayor y gefe del esta­ Por S. M., el gran canciller de la Orden duque do mayor del gobierno de Madrid. del Campo de Alange.” Salgado (D. Josef Claudio), canónigo de Sa…</t>
  </si>
  <si>
    <t>cesaria en todos momentos, tanto 1 Ja Riffi ( D Tnrti is) , teniente coronel de ingenieros. iglesia como ü los fieles, no se acaba jamas quan— Rogg ( D. Luis) , teniente del regimiento Real do vacan las sedes ; y qoe en el instante en que Extranjero. estas vacan, la jurisdicción pasa toda entera y de Schemit ( D..............…</t>
  </si>
  <si>
    <t>greso en Ja Valaquia, y tener La princesa Luisa Cariota Amalia de Anhaleparte en las negociaciones de paz entabladas con el Gothen, viuda del difunto príncipe Luis, é hija gran visir y el reis-effendi. de S. A. R. el gran duque de Hcsse, ha fallecido Hace algún tiempo que los servios han comen­ pocos dias hace en Gothen á la …</t>
  </si>
  <si>
    <t>Luís</t>
  </si>
  <si>
    <t>os durante la do aquí, á s.ibe4v.el de caballería ligera, mandado dieta, no han dexado estos de tener motivo para por el príncipe Henrique , y el del príncipe Luís. estar satisfechos de la confianza y de la bondad También se ha pasado Jipi revista al regimiento de con que S. M. ha oido la opioion y dictamen de infantería del …</t>
  </si>
  <si>
    <t>a Ximenez del Olmo y mil ochocientos ochenta y dos reales y veinte y siete Alarcon y D. Gabriel Alcaraz................ 1086..26 maravedís de vellón. D. Luis.de Elizalde................ -.«V.............. art. ii. Se entregarán las correspondientes cédalas D. Miguel Antonio de Oquendoftí........ . - 56250 hipotecarlas á estos…</t>
  </si>
  <si>
    <t>orres ( £&gt;. Santiago ) , secretario general de la pre­ rio de Hacienda. fectura de Málaga. Benitez { D. Josef), capitán del regimiento de To­ Urbioa (D. Luis de), coronel del regimiento 3.0 ledo, 2.° de infantería de línea. de cazadores á caballo. Brun ( D. Aatonio), comandante de batallón de Urquíjo (D. Rafael de) , encargad…</t>
  </si>
  <si>
    <t>Luis, Juan</t>
  </si>
  <si>
    <t>Juan Luis</t>
  </si>
  <si>
    <t>n {D. Ignacio), soldado del regimiento de fusilero* de id. Toledo , 2.° de infantería de líoea. Delgado (D. Fernando), capitán de la compañía Beaud ( D. Juan Luis), capitán del Real Extrau- de ceibal ería de cazadores de montaña de Uoeda. gero. Delgado ( D. Juan), teniente de la de Jaén. BJgrano ( D. Miguel de), comisario de …</t>
  </si>
  <si>
    <t>Luisa</t>
  </si>
  <si>
    <t>ión del enemigo, si las te con una gran pompa en el palacio de Louisbour- xeDtas y los gastos no están en equilibrio, y si ¡os go el casamiento de la princesa Luisa, sobrina de ministros necesitan de un nuevo subsidio, ¿por qué S. M. el llei de Wurtemberg, con el príncipe S. M. no ha condescendido, como siempre io ha Augusto …</t>
  </si>
  <si>
    <t>Luisa, María</t>
  </si>
  <si>
    <t>María Luisa</t>
  </si>
  <si>
    <t>incipales trabas que impiden hacer mu­ carta confirma la agradable noticia de la preñez de chos negocios que pudieran ser ventajosos á nues­ S. M. la Emperatriz María Luisa, que se halla en tros comerciantes. el quinto mes de su embarazo. Dicese qoe el divan ha consentido en ceder las * WESTFAL1A. provincias situadas en la or…</t>
  </si>
  <si>
    <t>o regimiento 24.0 de S. M brit-.nica, que iba desde en la Isla de Francia los dias de uaestra augnsta el Cabo con destino á la India, ha quedado pri­ Emperatriz María Luisa. sionero de guerra. . ,,E¡ 26 por la mañana llegó á la vísta del Puer­ 6.° Han quedado igualmente prisioneros el ge­ to Imperial la corbeta la Emprendedor…</t>
  </si>
  <si>
    <t>Sin embargo , muchos individuos de los cabilPocos días há que se haa enviado de aqai ¿ os y de otras corporaciones, reconocidos generalParís para la Emperatriz María Luisa tres grandes Ítente por amantes de la patria, han declarado floreros trabajados en nuestra fábrica de porce­ abiertamente que subscribían, como ciudadanos …</t>
  </si>
  <si>
    <t>eau, gefe de esquadron al servicio de Francia, Lesiua 14 de marzo de 1811. que habia ido á Viena con la noticia del feliz alum­ bramiento de S. M. la Emperatriz María Luisa. El Serenísimo Señor: mismo día pasaron el conde Schusvaloff, teniente ,,En conformidad de las órdenes de V. A. R., general ruso , y el señor RakischaicíF…</t>
  </si>
  <si>
    <t>cla­ tendido , que todo esto cesará y será nulo si la maciones de viva el Emperador Napoleón, viva Gran Bretaña ha revocado ó modificado sus edic­ la Emperatriz María Luisa , viva el Rei de Ro­ tos en la época y del modo que se ha expresa­ stía. La función duró hasta «I dia siguiente por la do arriba. Igualmente han resuelto …</t>
  </si>
  <si>
    <t>Lumley</t>
  </si>
  <si>
    <t>ortugal desfiló del Termes el 3 del corriente. y su primera marcha fué con dirección á los pasos del Tajo. — Ti ellingtoñ.” Extracto de un -parte del general Lumley al mariscal Beresford. íC Campo al pie de Usagre 26 de mayo. Habiendo desalojado de</t>
  </si>
  <si>
    <t>Lunar, Pedro</t>
  </si>
  <si>
    <t>Pedro Lunar</t>
  </si>
  <si>
    <t>Lumbrefaa- Ea la misma mañana el teniente coronel D. Bernardo Márquez, comandante de las guerrillas de la derecha del tercer exército, y el téniénté D. Pedro Lunar, comandante de una de las partidas del capitán Villalobos, sorpre hendieron entre la3 villas de Velez-el blanco y Velez-e!-rubio á 80 artilleros franceses que baxa…</t>
  </si>
  <si>
    <t>Lunar, Toncas</t>
  </si>
  <si>
    <t>Toncas Lunar</t>
  </si>
  <si>
    <t>ución.— Hasta 22 de abril de este año. — Por gastos de los electos embarcados en da fragata Prueba , 889. A D. Manuel Cano, por 3 cana! los, 3800.. A D. Toncas Lunar,, por 52 sillas 4- 320 reales, 16640. A B Domingo González,) por 50 4 300) 15000. AI). Manuel de Roxas, por R. 2-v á.84A) 8160. Por compostura y limpia de fusile…</t>
  </si>
  <si>
    <t>Lundemberg</t>
  </si>
  <si>
    <t>de Giurgewo que el exército torco El tribunal de Itocoue ha declarado libres a los ha salido de Rudsohuek, después de haber dexado buques Jacthn, su capitán Lundemberg, y al allí una guarniei &gt;n mui numerosa j pero no se sabe Ame lia-Sofía, su capitán O Molander, con sus precisamente la dirección que seguir 1, aunque se carga…</t>
  </si>
  <si>
    <t>Luron, Manuel</t>
  </si>
  <si>
    <t>Manuel Luron</t>
  </si>
  <si>
    <t>3r7 *7 rado D. Andrés Abrisguieta.......... 1444 1 D. Domingo Antonio de Herrero...,,. - 180 17 2 Doña Manuela Ibarrola...................... 433 2 i D. Manuel Luron.................. .............. 3Ó1</t>
  </si>
  <si>
    <t>Luzariaga, Joaquín</t>
  </si>
  <si>
    <t>Joaquín Luzariaga</t>
  </si>
  <si>
    <t>D. Agustín Marqueii; á sargento mayor de brigada al capitán graduado de teniente coronel D. Mariano Genaro Sehtmanat; y á capitanes á Ies tenien­ tes D. Joaquín Luzariaga, y D. José Díaz, aquel graduado de capitán. El consejo d© Regencia se ha servido conferir en el regimiento de infantería de línea de voluntarios distinguido…</t>
  </si>
  <si>
    <t>Luzmiaga, Ignacio</t>
  </si>
  <si>
    <t>Ignacio Luzmiaga</t>
  </si>
  <si>
    <t>tiene presente el res, á D. Gregorio Alario , cura párroco de S. Jus­ acta de navegación de los ingleses, t.iti favorable to, á D. Pedro Sainsere , á D. Ignacio Luzmiaga, 4 sus iutereses mercantiles , como distante del de y á D. Juan Bautista Paroiste. los demás pueblos. E¡ nombre de los americanos se art. m. Autorízanos á nu…</t>
  </si>
  <si>
    <t>Luzon</t>
  </si>
  <si>
    <t>a la suya, que no había podido llegar ántes por las grandes dificultades que hubo para habilitar el puente de Pareja, según le acababa de informar el teniente coronel Luzon, á quien labia hecho tomar aquella dilección para caer por la espalda del pueblo de Auñon, donde ya se hallaba 5 que se podría atacar aquel punto, no obát…</t>
  </si>
  <si>
    <t>Luzon, Gerónimo</t>
  </si>
  <si>
    <t>Gerónimo Luzon</t>
  </si>
  <si>
    <t>se engañaron, porque al mo­ mento entendí y penetre (y lo mismo le pmeció al teniente corone!, comandante del bata'Ion’de voluntariosas Guada laxara, D. Gerónimo Luzon), que por el camino de C ñabe as solo h-cian una llamada ó ataque falso, y que el principal le h bian de dirigir, como en efecto se verificó,por el de Vilíacon…</t>
  </si>
  <si>
    <t>M'aden</t>
  </si>
  <si>
    <t>Gaceta de Madrid n.º 262</t>
  </si>
  <si>
    <t>262</t>
  </si>
  <si>
    <t>de guerra , desertan mu­ para la cómision católica. chos , y no se atreven á usar de rigor con ellos. Los católicos han recibido 20 declaraciones El general M'aden, qne manda provisionalmente fórmales de otros tantos magistrados que no quie­ el campo de Ddigrado, se queja de que los re­ ren prestar su asenso á la proclama, ni…</t>
  </si>
  <si>
    <t>M'Hu</t>
  </si>
  <si>
    <t>os y soldados heridos, y 11 prisioneros del batallón de volu'-tarirs de Guad&amp;Jaxara. Entre los muertos se cuenta el cadete del regimiento de Cariñena D. M'Hu.l Aguiíar , joven de 16 ¿nao, quien per su acreditado vaLr, serenidad y arrejo, superior á todo elogio , se habla adqui ido el ju-to 3 precio de sus g’f?s : los dos efi …</t>
  </si>
  <si>
    <t>M, Aatoaio Lorenza</t>
  </si>
  <si>
    <t>Aatoaio Lorenza M</t>
  </si>
  <si>
    <t>ele la ciudad de Cádiz á I) Joaquín Joro de Aguílar: para la vara ds alcalde mayor de Cartagena .á' D.'«Joa­ quín López Olivas: para la de OrJuieis á D. Aatoaio Lorenza M-.ttínez d i Pozo: para la-de losBirrios, campo de Gibraitaf/á I) Joa­ quín María Eguigaren: para la de CTatayud á D. Fabián Loreote, y para el corregimiento…</t>
  </si>
  <si>
    <t>M, Angel</t>
  </si>
  <si>
    <t>Angel M</t>
  </si>
  <si>
    <t>artínez j los alféreces JD. Lucas Molbaedo, D. Ju n Caníbn, Don José Rodríguez , y D. Juan Alvarez, los porta-estindartes , D. Hilario Echevarría , y D. Angel M:riño, el padre capellán D. Domingo Guvsal, el sargento primero Juan Seroquel, el cabo primero Manuel Saua , y el espitan de artillería D, Matías de Arauco. Concluye e…</t>
  </si>
  <si>
    <t>M, Antonio</t>
  </si>
  <si>
    <t>Antonio M</t>
  </si>
  <si>
    <t>521</t>
  </si>
  <si>
    <t>30 hombres , ya se hati presentado 7: se hallan en esta hasta 14 heridos , contándose entre ellos ei comandante D. Rafael Oron­ do , y el subteniente D. Antonio M írtiv-ez.” ( S gue el elogio de los gefes y oficiales del regimiento de dragones deí Rey. ) II. Benicarló 14 de abril. “Acabo de recibir aviso de Tortosa de hab’r c…</t>
  </si>
  <si>
    <t>Sanche# , 600. D. Juan Rodríguez Sánchez , 272. D. José Climen , 132. D. José Salinas, 224. D. Pedro Robles , 3G7. D. Feli­ pe Rafael de Robles, 938. D. Antonio M azuco y Chazari, 500. D. José Mon­ tano, 52. D. Manuel Portillo, 64. D. José Mergarejo , 132. D. Juan Ayllon, 32. Doña Ana Rabel , viuda de Conturie , 100. D. Mateo…</t>
  </si>
  <si>
    <t>M, Cándido</t>
  </si>
  <si>
    <t>Cándido M</t>
  </si>
  <si>
    <t>adornan. Nuestros refundido­ es empresa algo mas que atrevida, é imposible de res , al contrario, han ido eligiendo justamente las lograr. Asi es que D. Cándido M^ría Tiigueros composiciones mas desatinadas , como esmerándose al transformar la Estrella de Sevilla, coinedia en sacar del olvido únicamente lo malo de nuestros de…</t>
  </si>
  <si>
    <t>M, Domingo</t>
  </si>
  <si>
    <t>Domingo M</t>
  </si>
  <si>
    <t>oficial muerto, que lo es el teniente de cazadores del regimiento de Galicia D. Joaquín Laerran, y heridos el ayudan­ te y teniente del mismo cuerpo D. Domingo M&amp;drazo y D. Juan An­ iel , y el teniente coronel D. Alfonso Gallego , capitán de granaderos del regimiento de infantería de Sigüsnza, cuyos oficiales y tropa re­ comi…</t>
  </si>
  <si>
    <t>M, Jasé</t>
  </si>
  <si>
    <t>Jasé M</t>
  </si>
  <si>
    <t>fecha de 27 de abril ea B.-ieña, remite al general en gafe interino ei parte del comandante del segundo escuadren de caballería ligara de G&amp;adalaxura D. Jasé M •mdedou, redu?ido en sustancia, á que dirigiéndose de orden del expresado brigadier hacia Alcalá da H mares para provocar la guar­ ní con de esta ciudad, encontré el 2…</t>
  </si>
  <si>
    <t>M, Joief</t>
  </si>
  <si>
    <t>Joief M</t>
  </si>
  <si>
    <t>y ar­ 26 de mayo ú timo , en la que logré el principal cediano de la colegiata de Vitoria. objeto que me h.bia propuesto , que era «I de hs- Salazar (D Joief M»r-ciño), comandante de Ma­ cer ana diversión en favor de B.djoz, y poner la rina en Castro de Ur fíales. plaza an estado de prolongir su resistencia. En el Valdes ( D.…</t>
  </si>
  <si>
    <t>M, José</t>
  </si>
  <si>
    <t>José M</t>
  </si>
  <si>
    <t>Herrera , 12. D Juan Ibas , 10. D Francisco Pé­ rez Díaz , 10 D. José Cabrera , G. D. Francisco Púa , 6. D. Roque Beyroa , G. D Venancio Ramírez , 6. D. José M-.irí i Sevilla, G. D. Luis Mén­ dez , 5. D. Antonio Calero, 5. D. Francisca Peralta , 6. Pedro Saboila, 4. X&gt; Ramón Totosans, 4. D. Juan Perez, 4. D. Valerio Grau , á …</t>
  </si>
  <si>
    <t>M, José Martí y D</t>
  </si>
  <si>
    <t>José Martí y D M</t>
  </si>
  <si>
    <t>laros; primeras tenencias de fhfileros al segundo ayudante mayor D. Luis Fernando M)h, con retención le la ayu iantí'-t, y á los segundos te­ nientes D José Martí y D M. nu l de la Vera : empleo de segun­ do anudante mayor al segundo teniente D. Pedro Gamez y las Casas; s ganda tenencia a1, a? fe reí D Rimon de Melgarejo : em…</t>
  </si>
  <si>
    <t>M, Juan</t>
  </si>
  <si>
    <t>Juan M</t>
  </si>
  <si>
    <t>ña nuestros augustos predece­ guardia cívica de Sasamon. sores. Sa’gado (D. Joaqnin), coronel. art. n. Esta confirmación no perjudicará á Sarraille ( D. Juan M ria ), subprefecto de Lacena. tercero ni á los derechos del estado. Semprun ( D. Benito), deande ia santa iglesia ca­ art. 111. Nuestros ministros, cada uno en la tedr…</t>
  </si>
  <si>
    <t>o y la sargentía mayor á D. Cristóbal C/uk-?r O-Boaell: en el de Lugo , el empleo d* coronel n D. Agus­ tín D¿rcourt:.en el de O cense igual empleo i D. Juan M, miel Do­ mínguez: en el de Balanzas ei propio á D. Judas Tadeo Itoxo y la comandancia del tercer batallón ú D. J asm Francisco Albanell: en el de Oviedo la tenencia c…</t>
  </si>
  <si>
    <t>M, L-tour</t>
  </si>
  <si>
    <t>L-tour M</t>
  </si>
  <si>
    <t>en Menorca ha salido de Toion un gran nú Fuente de Caotot y Bienvenida c- o la división qut mero de embarcaciones de guerra. El almirante mandaba el general L-tour-M ubourg; el 14 to­ Preemantle ha trasladado so pabellón á bordo del mé posici íi en Vi uftai.ca y 'Almeneraiejo; el XJ Rodnei para trm.r el mando d« la esquadra d…</t>
  </si>
  <si>
    <t>M, Luis</t>
  </si>
  <si>
    <t>Luis M</t>
  </si>
  <si>
    <t>*.n g:..ft- dei exército de Aragón, mariscal de! isapurio, Conde de Suchet.—Cuartel general de Murvk-dro £6 da octu­ bre de 1811.—Al sc?»or b/ig*dier D. Luis M «lía Aiiddam.” Capitulación. Art. I. La guarnición saldrá prisionera de guerra con lo honores de la guerra , destilando con armas y bagages , y depositará las ar mas f…</t>
  </si>
  <si>
    <t>M, Luis Fernando</t>
  </si>
  <si>
    <t>Luis Fernando M</t>
  </si>
  <si>
    <t>ustín Roncaii: pri­ mera tenencia de granaderos al de fu fileros conde de M. jotes -claros; primeras tenencias de fhfileros al segundo ayudante mayor D. Luis Fernando M)h, con retención le la ayu iantí'-t, y á los segundos te­ nientes D José Martí y D M. nu l de la Vera : empleo de segun­ do anudante mayor al segundo teniente…</t>
  </si>
  <si>
    <t>M, Pablo</t>
  </si>
  <si>
    <t>Pablo M</t>
  </si>
  <si>
    <t>1264</t>
  </si>
  <si>
    <t>a Gran-Bretaña en los mares. ESPAÑA. Reym de León. — Estado mayor del sexto exércitOj I.° de octu­ bre. E¿ ^mandante de la segunda legión de Castilla D. Pablo M^r, en papel da 26 del anterior, da parte a! general en gefe de este «¿xér* cito da la- operación proyectada sobr^ -Sahagun con las..tropas de su mando p ira desalojar…</t>
  </si>
  <si>
    <t>M, Pedro</t>
  </si>
  <si>
    <t>Pedro M</t>
  </si>
  <si>
    <t>ado pruebas nada equívocas el sargento mayo* Don Juan de Lima , como también el valor y serenidad que manifestar, n en dicha acción el ayudante mayor D. Pedro M vrs, los subtenientes D. Ma rceiino Amor, D. Apolinar de Campo, D. Gregorio Rodrí­ guez, y ios sargentos Juan de Dios Gómez, Fermín García y San­ tiago Cavia, y ios h…</t>
  </si>
  <si>
    <t>M, Trifon</t>
  </si>
  <si>
    <t>Trifon M</t>
  </si>
  <si>
    <t>Orden Real de el corregidor y municipalidad, y los jaeces indi­ Españará D. Josef María Murga , D Josef María viduos de la jnnta criminal. Yandiola, D. Trifon M¿ría de Echevartía , D. Va­ S. M. recibió después en su real cámara á to­ lentín María de Echevarri, D. Alexandro Burgué, das las autoridades expresadas, y otras perso…</t>
  </si>
  <si>
    <t>M, Vicente</t>
  </si>
  <si>
    <t>Vicente M</t>
  </si>
  <si>
    <t>de Alcoy, I&gt;. Joaquin Rico y B'tfaat: por la dé Aldr'a, D. Vi­ cente EXpert: por la de Denla . D. Jayaxe Uatalá : por la de Cas* tellon de la Plana, D. Vicente M daer: por la ds* 8; Felipe, el ba­ rón de Sia. Bhkra : porta de Mordía, el marques de S. Josa : por la de Peníscola, B. José Falcó : por la de Onnuela, D. Mariano de…</t>
  </si>
  <si>
    <t>M, Wain</t>
  </si>
  <si>
    <t>Wain M</t>
  </si>
  <si>
    <t>ro GRAN BRETAÑA. se han perdido codas las esperanzas de que parezca el llamado Verdadero Bretón. Londres 6 de diciembre. El Chijfonne, mandado por el capitán Wain«M wrighl, pasó por Punta de Gallo el 26 de junio Indias orientales. con un convoi de Bombai destinado para la China. Una carta de Travancore, de fecha del 4 de Los …</t>
  </si>
  <si>
    <t>M-dden</t>
  </si>
  <si>
    <t>e hácbi Yelves. ■ L i brigada de caballería británica del mando del mayor general D Ge \vs, y la brigada de caballería portuguesa á lis ó *de¡j ? del general M-dden, contuvieron ai enemigo en Jas cercanías d* C-.ñi­ po mayor, y de consiguiente se retiró sin ver la posición de nucirás tropas. D-.-sde aquel (fia no ha hecho mov…</t>
  </si>
  <si>
    <t>M-ndigorna</t>
  </si>
  <si>
    <t>ara Estelia d - 400 infantes y otros tantos caballos lanceros, dr g nes, hú ares y gení'am.ias : todos estos puntos distantes ti es horas di 1 pueblo d M-ndigorna, en que me hallaba con el tnimero, sguPdo y tercer bata! ofi, y el escuadrón de caballería. Yiéndome en tal coufl.ctd, pasé á emooscarrae , ya de ñor he , «1 punto …</t>
  </si>
  <si>
    <t>M-ría, Manuel Sasta</t>
  </si>
  <si>
    <t>Manuel Sasta M-ría</t>
  </si>
  <si>
    <t>Seculares. D. Ignacio José Alteado,-generalísimo. D. Müña’ao Ximenez, capitán general. D. Juan Aldama, teniente genera?. Don Pedro Anuida, mariscal.’ D. Manuel Sasta M-ría,.mariscal. D. Frarrebeo L^nzagorta, mariscal. D. Vicente Valencia, director de 'in­ genieros; D. Ouofré Póitugal, brigadier. D. Juan B iribú Carrasco, 'bri…</t>
  </si>
  <si>
    <t>M-rtín</t>
  </si>
  <si>
    <t>furrier del regimiento tra á su frente al mui piadoso y mui zeloso carde­ Real Kxt angero. nal nuestro arzobispo, cuya vida conserve el Señor BLp.i ( D. M-rtín). granadero de ídem. Dios , nos atrevemos á ofrecer á los pies del (trono Bo-su ('O. ba iii g ), comandante de batallón de de V. M. I. y R. el homenage de nuestrb resp…</t>
  </si>
  <si>
    <t>M-tTiíaez, Juüao</t>
  </si>
  <si>
    <t>Juüao M-tTiíaez</t>
  </si>
  <si>
    <t>, D. y ícen­ te N¿ñaz Cortes, O. Alfonso • C Jbach* * D. José QaFós López, D. JáL&amp;íi Pardo i D. Francisco López, D. Carlos Ls.iréu, D. José Palomino, D. Juüao M-tTiíaez, D. José Toas, D. Mnmié! Lnaif, D. jLmon P*sl, D. Fauetia© Vidal, D Juan Murcio, D. Pascual'</t>
  </si>
  <si>
    <t>Ma, Antonio</t>
  </si>
  <si>
    <t>Antonio Ma</t>
  </si>
  <si>
    <t>plenipotenciario de das ó qualquiera de ellas acuda á dicho señor juez y es­ los Estados-Unidos cerca de S. VI. cribanía de provincia , que despacha D. Antonio Ma­ ría Pere¿, en donde se admitirán las que hicieren, cu­ Liorna 8 de setiembre. briendo el importe de 7$ rentas en dinero metálico, la­ xadas cargas-, y se previene …</t>
  </si>
  <si>
    <t>Ma, Baltasar Santos</t>
  </si>
  <si>
    <t>Baltasar Santos Ma</t>
  </si>
  <si>
    <t>e pocas facultades, 1000. El Sr. D Esteban Fernandez de León, 1000. D. Francisco dé la Peña Rodrigo , 800. D. J. G. E. , 320. Di Mateo Pé­ rez , 100. D. Baltasar Santos Ma i donado, 300, yon vale de 150 pesos de 1.®' de setiembre de 1808. El Sr. cardenal Barbón-, 4000. La Sra. condesa de Chinchón , 2000. El Sr. D. Nicolás Mar…</t>
  </si>
  <si>
    <t>Ma, Cayetano</t>
  </si>
  <si>
    <t>Cayetano Ma</t>
  </si>
  <si>
    <t>—Oficiales y tropa llenaron sus deberes á porfía; pero se distinguieron el sargento mayor de Fieles Zaragozanos D. Mariano Villas pesa, los capitanes D. Cayetano Ma­ ta, D. Pedro Simó, D. Pablo Víbct, D. Antonio Figiieroíay D Juan Graell; los teníanles D. Juan Fort, D. Jnaa Pablo Part y D. Juan Moneas!; I03 subtenientes D. Si…</t>
  </si>
  <si>
    <t>Ma, D</t>
  </si>
  <si>
    <t>D Ma</t>
  </si>
  <si>
    <t>El recaudador de tributos D. Narciso.López do Neira , 12 — Pa»tipatu, El cura Doctor D José .TU ;nano Salas , por vecino principal , 23. Ev ayudante presbítero D Ma­ lí’.s de la Barda, 6. La com ínula l de i¡a líos , 233. El alcalde mayor jl Mariano Carbajal , 12. D,i)¡í Yiga!o, recaí la.lor, 12 D José L&gt;ay7.x, id, 12. Los mo…</t>
  </si>
  <si>
    <t>Ma, Francisco</t>
  </si>
  <si>
    <t>Francisco Ma</t>
  </si>
  <si>
    <t>uarnición de Campeche.—£1 corone! de artillería D. 1 eandro Poblaciones , teniente de rey, por tres meses de so oferta mensual durante la guerra, 54. D. Francisco Ma­ ría de Cicero , coronel uel batallón de milicias disciplinadas , en cada año, 25. D. Juan José de Fierros , sargento mayor del batallón de milicias dis­ ciplina…</t>
  </si>
  <si>
    <t>Habana para auxiliar la vanguardia del séptimo exército que manda el brigadier D. Juan Díaz Por­ tier en las -montañas de Santander * remitidos por -D. Francisco Ma­ ría de la Cuesta, en el navio Miño, á D. Manuel de Quevedo, re­ sidente en Cádiz. D. Joaquin Gómez , 500 pesos fuertes. D. Francisco del Campo Isla , 34. IX José…</t>
  </si>
  <si>
    <t>Ma, Ignacio Peñalver y de Boña</t>
  </si>
  <si>
    <t>Ignacio Peñalver y de Boña Ma</t>
  </si>
  <si>
    <t>l teniente coronel B. Pedro Val verde , por mi­ tad de su oferta en cada año, 50. D. Nicolás Peñalver y Cárdenas, co­ mo curador del marques de Areos D. Ignacio Peñalver y de Boña Ma­ ría Concepción, su hermana, 1000. El mismo por sí, 500. Boña Cata­ lina Rivera , 17. B. José Goy , teniente ayudante de la plana mayor de Blanc…</t>
  </si>
  <si>
    <t>Ma, José</t>
  </si>
  <si>
    <t>José Ma</t>
  </si>
  <si>
    <t>y empleos de al­ féreces de fusileros á í). Francisco Martínez de Baños , guardia de Corps, y á los cadetes del propio regimiento de guardias Walonas D. José Ma­ ría de Craywinchel y D. Francisco de Arco. Siguen los donativos de la provincia de Tucatan. D. José López Gil, 4 pesos. Juan Andrés Rodríguez , 4. Tiburcio Alcayada,…</t>
  </si>
  <si>
    <t>Ma, Juan</t>
  </si>
  <si>
    <t>Juan Ma</t>
  </si>
  <si>
    <t>1191 tires Lima, D, Jáan Antonio Gil, D. Salvador PJau , D. José Manri£b&gt;, D. Rimon Lanza, D. Agustín Magi Domenec, D. Juan Ma­ nuel Suero y D. Isidro' Parrado; los de subteniente á D. Bernardo Cohniro, D J mn La*o Policarpo, D. Juan Corvera, D. Manuel T-boada, D. Nicolás Pardo, D. Juan Mosquera. D. Manuel Varo, D. Francisco …</t>
  </si>
  <si>
    <t>Ma, Justino</t>
  </si>
  <si>
    <t>Justino Ma</t>
  </si>
  <si>
    <t>808</t>
  </si>
  <si>
    <t>perimenta, y que continuará mientras yo «até ¿ las órdenes dei cbnde de Montárco; sin h.ftbei obtenido una satisfacción , y con ella la separación de D. Justino -Ma­ tute de está prefectura de raí cafgo, ! Ruego ea:aTecidamente á V. E. que tomándolo todo en cónsidetacien, 6 se páre mi-dependencia dé! condo dé Montarco que en …</t>
  </si>
  <si>
    <t>Ma, Luis</t>
  </si>
  <si>
    <t>Luis Ma</t>
  </si>
  <si>
    <t>Cazarla, D. Vícente Crosal. D, Ma­ nuel Dorado, D. Francisco Colmenero, D. Juan B anco, D.. Miguel Albert, D. Antonio José Ranee, í). Joaquín Mateos, D Luis Ma­ riano Espinosa, D. Jo3¿ García Saez, D. Bernardo González'y D. Ramón Luciano de Villamaríin; y cu el dei segundo de Soria, ayudantía á D. Andrés Aguirre; tenencias á …</t>
  </si>
  <si>
    <t>Ma, Manuel</t>
  </si>
  <si>
    <t>Manuel Ma</t>
  </si>
  <si>
    <t>uan Snaith-y D. Pedro Magarófa; empleo de alférez de granaderos al de, fusileros D. Jo -quin Monínfar; empleo de aiferez de cazadores ai de fusileros D. Manuel Ma­ na Rodríguez Rubio: id, de fusileros al agregado D. Joaquín Bayona. En la mañana del 29 de marzo naufragó en la bahía de Gbraltar el xábeque correo S. Mateo al man…</t>
  </si>
  <si>
    <t>ría de Guindulaín; empleo de primer ayudante mayor , al primer teniente D. Manuel Luis de CrayMdnckel: primera tenencia de granaderos al de fusileros D. Manuel Ma­ ría de Vorey : primera tenencia de fusileros á los segundos tenientes D. José Vaca del Barco , D. Diego Vaca del Barco, D. Isidro Montero, de granaderos, y D. Ange…</t>
  </si>
  <si>
    <t>Ma, Pedro</t>
  </si>
  <si>
    <t>Pedro Ma</t>
  </si>
  <si>
    <t>os fué el primero que subió al puente; al capitán D. Rodrigo Qairós que también entró en él, al de Ja misrfta clase D. Esreban Rodríguez, al teniente D. Pedro Ma­ ría Fernandez, y a los subtenientes D. Francisco Bouzas, D. Esteban $antos, D. Andrés Lema y D. José Ja Huerta : todos los quales se por­ taron bizarramente, y lo m…</t>
  </si>
  <si>
    <t>Ma, Sabas</t>
  </si>
  <si>
    <t>Sabas Ma</t>
  </si>
  <si>
    <t>do López, D Faustino Navarro* D. Santiago Pereyra , D. Pedro González , D J í^n Ssnovilla , D Ig­ nacio Carrasco, D. Pedro Giménez, D. J?.yme Qjirós, D. Sabas Ma­ rín , D. J isé Ortega , D. Juan Vázquez, D Manuel Sánchez, D. An­ tonio Bermejo, D. Luis Puente, D. Aotolin Sigiienza, D Matías Te­ resa, D. Juan González , D Manue…</t>
  </si>
  <si>
    <t>Ma, Victoriano</t>
  </si>
  <si>
    <t>Victoriano Ma</t>
  </si>
  <si>
    <t>al subteniente agregado D. José Sanz. El Consejo de R/gencia se ha servido conferir el empleo de se­ gundo ayudante del estado mayor del exército i, D. Victoriano Ma­ na Gallego : el de Uniente coronel agregado al regimiento de infan­ tería d' Ibernia á D. Luis Rnuan: tenencia en el Inmemorial del R y i D José Martin Ortega ;…</t>
  </si>
  <si>
    <t>Maapoey, Tornas Pascual</t>
  </si>
  <si>
    <t>Tornas Pascual Maapoey</t>
  </si>
  <si>
    <t>da dragones de Ma­ drid. D. Manuel Herrera. Hay ademas heridos los primeros ayuda-ates do estado mayor D. Luis Miehüena, gofe dal de esta división, y D. Tornas Pascual Maapoey, y ei comandante de patriotas de Me­ die D, A odres Roxas. No puedo doxar, Excma. Sr., de recomendar muy pa rticular mente ¿ V . E el singular mérito d…</t>
  </si>
  <si>
    <t>Macáonalá</t>
  </si>
  <si>
    <t>risioneros franceses que tengo y pueda tener en lo sucesivo en mi poder. Cuar­ tel general de Barga 12 de octubre de 1811. — Luis Lacy. — Exorno. Sr. mariscal Macáonalá, duque de Tárente.” Partes dirigidos á la comisión corregimental de Tarragona, y par esta á la junta superior del principado. l.° Del capitán Z). Losé Ignacio…</t>
  </si>
  <si>
    <t>Macdonaid</t>
  </si>
  <si>
    <t>? fe un parte del coronel Don Pedro Sarsfíeid en que le decía que sabia positivamente qué los enemigos eran de 14 á 15 mil hombres, manda­ dos por el mariscal Macdonaid: que ademas venia á reforzarlos una co­ lumna de infantería y 600 cabailes desde ia parte de Lérida, la que lle­ garía pronto á Momblanc, y que ai frente de s…</t>
  </si>
  <si>
    <t>iga de vanguardia. causándola consideraba pérdida. • ' ■ r- : ■• •• He sabido que este movimiento del enemigo ha tenido solo por ob jeto custodiar a) mariscal Macdonaid que ha quedado en Barcelona, y debe pasar á Francia por orden de su gobierno, y que sus tropas pasan á reunirse á las de Suchet , quien tiene ya aD hombres de…</t>
  </si>
  <si>
    <t>­ da qu-í hizo en el país enemigo la vanguardia del burea de Erolen, el ataque empezado por el enemigo contra las islas de las Modas, y la vuelta del mariscal Macdonaid á Francia. En Valencia no había ocurrido novedad particular hasta el 24 del pasado. Lo:? últimos periódicos recibidos de LsgTatena que llegan al 50 de octubre…</t>
  </si>
  <si>
    <t>Macdonald</t>
  </si>
  <si>
    <t>Ebro no ha permitido empezar todavía (2) , porque la artillería, municio­ nes &amp;c. necesarias para el sitio deben baxar en barcos. Parece que el señor mariscal Macdonald ha sacado muchos granos de les llanos de Urgel, y que ha formado en Lérida almacenes considerables.— .Los últimos acontecimientos del Ampunían-, cuyos ponneno…</t>
  </si>
  <si>
    <t>. Sigue entorpecido el curso de todo papel-moneda; pero los vales de Fernando valen 8 por i00 mas que los de José. T(trrns:otia O 18 de diciembre. El mariscal Macdonald lia sido exónerado del mando de las tropas francesas , y á pocos dias de haber lle­ gado a 'Gerona-, salió para Francia. Pomparte poco satisfecho al pa­ recer…</t>
  </si>
  <si>
    <t>ene* íuiga de 60 hombres, de los que solo escaparon 10 ó 12. Avisan de Gerona ene en los hospitales de aquella ciudad hay 800 franceses enfermos. —E1 mariscal Macdonald ha hecho quitar la vida al capitán D. Narciso Gabriel Masanaedecán del barón de Eróles, que ha bía sido hecho prisionero , contra el parecer de la mayor parto…</t>
  </si>
  <si>
    <t>as que una formalidad: pero indica bastantemfute el baxo prcdicanuMto en que el gobierno francés considera 3a dignidad real de España. Otra carta del mariscal Macdonald á Mr. Francisco Angulo, mi­ nistro de S. M. C. C José) maniñesta la clase de independencia coa qu» este manda ea Barcelona ? que viene á ser la misma que en l…</t>
  </si>
  <si>
    <t>Macdonell, Dorotea</t>
  </si>
  <si>
    <t>Dorotea Macdonell</t>
  </si>
  <si>
    <t>mar­ D. Domingo de Arangoiti............. 8505 quesa del Socorro......................... 10849 32§ Doña Victoria Gadea.................... 15075 21 Doña Dorotea Macdonell............. 773 2f D. Juan de Montoya..................... 121 JO D. Francisco Xavier Martínez Re­ D. Juan Antonio de Arechaga é mo» .....................…</t>
  </si>
  <si>
    <t>Macdonp</t>
  </si>
  <si>
    <t>ada con pérdida de 400 hom­ bres ; de cuyas resultas se rindió á discreción el 19 por la mañana, sin otra condición que la seguridad de las vidas. El mariscal Macdonp.ld al concluir el oficio en que da cuenta de este suceso al minis­ tro de la guerra, dice que la toma da Fígueras ha puesto ha á la guerra en aquella parte de C…</t>
  </si>
  <si>
    <t>Macfarlane, Roberto</t>
  </si>
  <si>
    <t>Roberto Macfarlane</t>
  </si>
  <si>
    <t>Gaceta de Madrid n.º 328</t>
  </si>
  <si>
    <t>os mui equitativos ha­ ce que los compradores acudan eo gran número. Lófidret 22 de octubre. Los bienes raíces del estado de sola la Bohemia El mayor general Roberto Macfarlane ha sido compreheodiun en el año de i8oj 37 villas, 176 nombrado gefe del estado mayor del exército in­ aldeas, j4 caserías, 685 56 familias, 808647 al…</t>
  </si>
  <si>
    <t>Machain</t>
  </si>
  <si>
    <t>os nuestros se acercaban por la retaguardia. Con efecto, asi que tuvo esta noticia Bdgrano, despachó la vanguardia de su exé relio ai mando dei mayor general Machain, que con 2 piezas de artillería se emboscó en usa isieía de moate .* pero visto por los nues­ tros , dispusieron la batalla con el mayor acierto, dando principio…</t>
  </si>
  <si>
    <t>Machín, Gaspar</t>
  </si>
  <si>
    <t>Gaspar Machín</t>
  </si>
  <si>
    <t>. D. Martin Yerobi, 50. D. Juan Bautista Yerobi, 50. D. Francisco Batllé , 50. D. Cristóbal Sansón , 50. D. Miguel Lanz, 40. D. Rafael Bailester, 25. D. Gaspar Machín , 25. D. Isidro Arecha,25. D. Nicolás Soriano, 25. D. Pedro í«opea , 35. D. Ignacio Cantarcy , 25. D. Bartolomé Rusconi , 25. D. Joan Villaseca, 25. D. Pablo So…</t>
  </si>
  <si>
    <t>Machuca, Antonio Vargas</t>
  </si>
  <si>
    <t>Antonio Vargas Machuca</t>
  </si>
  <si>
    <t>iradores de Marina que sé reunió con aquellas fuerzas en; el dia de ayer; y en este momento, que son las 11 de la noche, acabo de recibir el parte de D. Antonio Vargas Machuca, comandante de la compañía de tiradores de Ma­ rina y de aquellas fuerzas reunidas,. cuyo contenido es el siguiente: “Ayer al sol puesto tuve aviso:de …</t>
  </si>
  <si>
    <t>Macjonnld</t>
  </si>
  <si>
    <t>maniobra por la orilla derecha del Tajo, maniobran también por la orilla izquierda los generalesD’Armagnac y Blondeau (9). jllatiresa 18 de abtil. El mariscal Macjonnld, mandado llamar á Francia, ha concluido sus hazañas en Cataluña por el incendio y destrucción de esta ciudad, en otro tiempo rica y floreciente. Se asegura qu…</t>
  </si>
  <si>
    <t>Mack</t>
  </si>
  <si>
    <t>varios regimientos hacia di­ daba el cuerpo de exército qne-se adelantó por ferentes puntos de la Alemania septentrional por Brannau para socorrer al general Mack , y el que las orillas 'del mar pira apoyar ia línea defensiva después' de la capitulación de Ulma se retiró á la que se extiende desdé el embocadero del Eiba Morav…</t>
  </si>
  <si>
    <t>Maclas, Mariano</t>
  </si>
  <si>
    <t>Mariano Maclas</t>
  </si>
  <si>
    <t>1464 bles, icio lo han inutilizado. Esto* son los defen­ D. Mariano Maclas, subteniente de ídem. sores de la religión y de Id patria , capaces solos D. Matías Gatrate, teniente de infantería de de un crimen que ha menester ser tan auténtico, Lena. y tener tantos t</t>
  </si>
  <si>
    <t>Macnamara</t>
  </si>
  <si>
    <t>para aqitlia isla de les puertos de Franeia una división de ; fragatas, á las que quizá espera la misma suerte si Antes no tienen a guo tropiezo. El capitán Macnamara, del navio de S M. el Berwick, ha Ja&lt;io parte de que habiendo perseguido el a4 del pasado en la casta de Fraíicía á una fragata francesa de las mayores dimensio…</t>
  </si>
  <si>
    <t>Mada, José</t>
  </si>
  <si>
    <t>José Mada</t>
  </si>
  <si>
    <t>1178</t>
  </si>
  <si>
    <t>ha de 7 del comerte, recomienda-, al m mcienado Murga, al teniente del reír miento de íri Cu o-a D?n Amonio Caire, 4 loa do! regimiento de Guanaxaato D. José Mada</t>
  </si>
  <si>
    <t>Madden</t>
  </si>
  <si>
    <t>taban á los que huían: No tengáis miedo: ar­ rojad vuestras amias , y no os hairemos hinguti Isidoro Mií, que ocupaba hacia algún tiettipo'Ü daño. El general Madden ha hecho quanto ha po­ Guadalupe, dcftde exerciiaba á cerca de 2© hrmdido; pero la tropa no ha querido hacer cara al bres de dispersos, destrtores y paisanrr, se …</t>
  </si>
  <si>
    <t>Madera</t>
  </si>
  <si>
    <t>Espinosa , ocupaban con la gente de su mande ios pueblos levantados de. Tepehuacan, Tamasa y Xscala. Estes dig­ nes párrocos se habían presentado al capitán Madera á su tránsito á Mplango con una gran porción de sus feligreses armados y ditclcon efecto, el 17 de mad tugada salieron de sus feligresías , acompa­ ñados del cura …</t>
  </si>
  <si>
    <t>Madera, PriáxO Antonio</t>
  </si>
  <si>
    <t>PriáxO Antonio Madera</t>
  </si>
  <si>
    <t>1375</t>
  </si>
  <si>
    <t>riotas tre­ paban por la ahur», huyeron vergonzosamente y con tai precipita­ ción, que sel© faé posibi; alcanzar y prendar á 4 de ellos. Ei espi­ tan D. PriáxO Antonio Madera hace ion mayores elogios de estos res* pstgb’es ací-saí '.si-icos y de sus valientes feligreses , que con tanto celo y constancia. h/n su parado las muc…</t>
  </si>
  <si>
    <t>Madera, Vicente</t>
  </si>
  <si>
    <t>Vicente Madera</t>
  </si>
  <si>
    <t>Mariano de Miguel, D. Manuel Nieto, Don Juan de Cacho, ü. Agustín Roa, D. Ramón de ArroyueSo, Don Joaquín de Luzuriaga, D. José Francisco de R&amp;viila, D. Vicente Madera, y D. José Caballero. CADIZ EN LA IMPRENTA REAL. &gt;</t>
  </si>
  <si>
    <t>Mádrazo, Domingo</t>
  </si>
  <si>
    <t>Domingo Mádrazo</t>
  </si>
  <si>
    <t>dero digno dp todo elogio y recomendación. También lo es el expresado sargento mayor de la Reyna D; Gines Sánchez, y el ayudante mayor de este cuerpo D. Domingo Mádrazo, quienes á pesar del vivo fiiego , le despreciaban , animando á- toda la tropa con su exemplc».—Dios .guarde á V. E. muchos años. Cuartel general' de Mediuá-S…</t>
  </si>
  <si>
    <t>Madrigal, Francisco</t>
  </si>
  <si>
    <t>Francisco Madrigal</t>
  </si>
  <si>
    <t>acin. D. Josef Tomas Ruiz Morales á canongía de Mo­ Y para el de Velez de Benandalla, vacante tril, al presbítero D. Julián de Herrera. por muerte de D. Francisco Madrigal, al presbí­ Para el de Isbol y Tablate, vacante por as­ tero D. Francisco de Saks Camin. censo de D. Josef Sánchez Guillen al del Fondon, Nuesrro ministro …</t>
  </si>
  <si>
    <t>Madrigal, Francisco de Paula</t>
  </si>
  <si>
    <t>Francisco de Paula Madrigal</t>
  </si>
  <si>
    <t>ez Imbreck , 200 y 4 fusiles-. D. Miguel de Trucha Basco, 300. D. Manuel de Hebia, 100. D. Ramón de Náxera* 300. D. Francisco Sánchez Tosar, 400. Fr. D. Francisco de Paula Madrigal, por sí y por otro, 40. D. Ramón Valiente, 1200. Un emigrado,! 20. D. Santiago de Aldama, 610. Una emigrada , natural de'Madrid , 80. Doña María P…</t>
  </si>
  <si>
    <t>Maeclin, Santiago Baodeor</t>
  </si>
  <si>
    <t>Santiago Baodeor Maeclin</t>
  </si>
  <si>
    <t>de la renta cíe aguardientes, 60. El capitán del batallón ñxo D. Nicolás Remen , 500. D; Florencio Reyna, teniente del real cuerpo de artillería, 20. D. Santiago Baodeor Maeclin, 200. — Cabildo de Panamá, D. Miguel de Quesada , alcalde ordinario, 500*</t>
  </si>
  <si>
    <t>Maedonald</t>
  </si>
  <si>
    <t>halla muy en contradicción con él trato que han recibido y reciben de los nuestros, qsando la suerte de las armas nos hace mas justicia, y que la del mariscal Maedonald no se ajusta en nada con las cir­ cunstancies de su carácter de mariscal, de duque, ni de general que ha hecho la guerra á naciones cultas, que conocen el der…</t>
  </si>
  <si>
    <t>Maelean</t>
  </si>
  <si>
    <t>e juntas con los fondos de amortización y con 4tl mayor Bumigham, al capitán Smith , al tenien­ los gastos de admioistracion suben á 465403 ester­ te coronel Maelean , y á otros muchos exceleates linas, las quales añadidas al tot-1 del otro emprés­ oficiales. tito,forman la suma de 1.125810 libras esterlina* El mariscal Soult…</t>
  </si>
  <si>
    <t>Mágica, José María</t>
  </si>
  <si>
    <t>José María Mágica</t>
  </si>
  <si>
    <t>nguiéronlos vecinos de Celaya por el valor y pa­ triotismo que manifestaron á favor do ia causa del Rey , mereciendo entre ellos un particular elogio D. José María Mágica, que defendió mno de loa puntes roa» peligrosos. Al llegar á Iguala en la madrugada del 4 de junio el comandante de las tropas del Rey en Tasco D. Mariano G…</t>
  </si>
  <si>
    <t>Magín</t>
  </si>
  <si>
    <t>presidente déla Toledo, 2° de infantería de línea. junta crimioal extraordinaria de Paleada. Zárate (D. Antonio Ortiz de), presidente de Iz Fcrrer ( D. Magín), presidente de la audiencia de junta criminal de Segovia y Avila. Extremadnra. art. ir. Nuestros gran canciller y gran teso­ García del Postigo ( D. Ramón), coronel de …</t>
  </si>
  <si>
    <t>Magnus</t>
  </si>
  <si>
    <t>r ciertos especuladores Conde Benito Ojenstjerna, senador y prefiniente con el fin de impedir los progreses de nuestras fá­ de la chanciiletía; y del conde Magnus btembock, bricas de paños, y de que estas no tornea la con­ senador y feld-mariscal. 2° Proyecto de meda­ sistencia que conviene.” llas sobre los acontecimientos ma…</t>
  </si>
  <si>
    <t>Mahi</t>
  </si>
  <si>
    <t>de Madrid &lt;T de noviembre. Pérez, calle de las Carretas, con una estampa lina. A pesar de la desconfianza con que suelen, mirarse toda» El cuerpo de\ general Mahi fue atacado por el Jas obras nuevas que se publican, puede asegurarse que mariscal Suchet el 25 de octubre entre Liria y Va­ estos cuentos merecen un aprecio partic…</t>
  </si>
  <si>
    <t>Mahí</t>
  </si>
  <si>
    <t>U39 pas del general Mahí, después de kabcT ahuyentado de Cuenca a los enemigos ,i.sc habían incorporado con ei exército del general B’aks. — Por Utiel habían pasado con dirección *á Alicante 700 france­ ses hechos</t>
  </si>
  <si>
    <t>Mahmud</t>
  </si>
  <si>
    <t>Napoleón principiará igualmente á por no hubcr salido bien con su misión el reis-ef- tener fuerza de lei el dia i.° de enero * no obstan­ tcndi , el Emperador Mahmud lia dado al gran vi­ te que se conservará interinamente el antiguo mo­ sir los mas plenos poderes para negociar con el ge­ do de e.qjpiciar. neral en gefe ruso; …</t>
  </si>
  <si>
    <t>Mahy</t>
  </si>
  <si>
    <t>ariscal de campo D. José de S mínch­ eles, nombrado coisaa;!ante militar interino de este r-yuo,* recibió el 2 del presente mes el mando de manos del general Mahy, que so ha. tras­ ladado al Ferrol para embarcarse en la fr a gata* E -une raid a ; é inme­ diatamente publicó un bando para que toe! &gt;s los oficiales que había en …</t>
  </si>
  <si>
    <t>anceses procedentes de Navarra y otros tanto? de Toitoru* Su caballería siguió á les prisioneros husta la sierra da Ateca : pero sin fruto alguno. El general Mahy, que se hallaba el 13 en Almcdovar, avanzó so­ bre Cuenca, tomando su caballería el camino de Huete. Se esperaba que la guarnición, compuesta de 380 hombres , queda…</t>
  </si>
  <si>
    <t>Mahy, Nicolás</t>
  </si>
  <si>
    <t>Nicolás Mahy</t>
  </si>
  <si>
    <t>quien Y. E, ama con ternura y reconocen sus súbditos. Cuartel general de Yillafranca 19 de diciembre de 1810. — Francisco Taboada y Gil.—. Excmo. Sr. D. Nicolás Mahy.” Gibraleon 10 de enero. XJna lancha cañonera y algunos botes han ido de Iiuelva á Moguer, donde se lian apoderado de un mís­ tico que habian hecho los enemigos.…</t>
  </si>
  <si>
    <t>abra, con la cual han ido.—Dios guarde á V. E. muchos años. Quartel general de Belmoaie , noviembre 2b de 1810.— Francisco Xavier Fosada.— Excmo. Sr. D. Nicolás Mahy. — P. D. ■— Todos los avisos me confirman la gran pérdida que han tenido los enemigos,^ en este momento recibo uno de persona fidedigna, la qual me asegura que d…</t>
  </si>
  <si>
    <t>Con fecha de 15 de diciembre desde el cuartel general de Malleza escribe el general Losada, comandante en 2.0 dé este principado al ge­ neral eñ gefe D. Nicolás Mahy , recomendándole los militares, que se­ gún las relaciones individuales de los brigadieres D. Pedro de la Bar­ cena, D. Juan Diaz Porlier y conde de Priegue, com…</t>
  </si>
  <si>
    <t>rsiguieron les enemigos. — Lo que participo á V. E. &lt;Scc. Cuartel ge­ neral de Villa franca 2 de marzo ¿« i8u. — Francisco Tabeada y Gil.— Excmo. Sr. D. Nicolás Mahy.*’ Cádiz 8 de abril. El público sabrá sin dudn con, la mayor satisfacción que el primero del corneare se hallaba ya.^a Yelves el bizarro comandante de artillería…</t>
  </si>
  <si>
    <t>Maiden</t>
  </si>
  <si>
    <t>entarán acaso otro tanto. Génova 3 de enero. Mortier va á sitiar á Badajoz, y Sojólt debe El general Lauriston, edecán de S. M. el Em­ sostenerlo. Ei brigadier Maiden y lo$ generales perador y Reí, llegó aquí antes de ayer de las M ndizabal y Ballesteros son ios que deben de­ provinciasi ilíricas. Se dice que tiene el encargo…</t>
  </si>
  <si>
    <t>Maíknt, Francisco</t>
  </si>
  <si>
    <t>Francisco Maíknt</t>
  </si>
  <si>
    <t>d« cazadores de Orihuela, y seña'adámente su comandante el coronel D. Francisco Verges ; el co­ mandante agregado D. Juan Diego Marín; los capitanes D. Francisco Maíknt, D, Francisco Catarla y D. Diego Roca, les tenientes D. Pas­ cual la Rosa, D. Antonio Garniel, D Francisco Bemabeu y D. Ni­ colás Dodero; el segundo ayudante …</t>
  </si>
  <si>
    <t>Mailand, Federico</t>
  </si>
  <si>
    <t>Federico Mailand</t>
  </si>
  <si>
    <t>volver ¿ sus acantonamientos. cilia , y ministro plenipotenciario cerca de la cor­ Los objetos de historia natnral destinados para te de Palermo. El general Federico Mailand será la nueva universidad de Beriin forman ya una ri­ segundo comandante. El señor Federico Lambe va ca colección. Tenemos ya la de peces de Blocb, de se…</t>
  </si>
  <si>
    <t>Mailland</t>
  </si>
  <si>
    <t>ntes ocasiones han dad© pruebas manifiestas de un carácter tur* buIfíRto y propenso á trastornar la íranqui idad pública. . Había llegado á Mecina el general Mailland para tomar el man-</t>
  </si>
  <si>
    <t>Mait</t>
  </si>
  <si>
    <t>reto de «4 de parte de los ingleses, nos han traído una árdea del corriente, nombrar para las sacristías de su real del dia, que ha dado en Mesina el general Mait- .patronato, vacantes en el arzobispado de Granada, land, haciendo fixarla en todas partes, y distri­ á los sugetos siguientes: buirla con profusión, la qual prueba…</t>
  </si>
  <si>
    <t>Maitland</t>
  </si>
  <si>
    <t>Gaceta de Madrid n.º 338</t>
  </si>
  <si>
    <t>378</t>
  </si>
  <si>
    <t>de Favognaua; la corte parece que se complace ea verle padecer. El almirante Freeman­ iel es aquí mui estimado de las gentes. Creemos TBATXO. que el general Maitland cuidará de los intereses Ea *1 del Príncipe , á las siete de la noche, te re­ de la Inglaterra hasta la vuelta del lord BeutÍDck. presentará por la compañía espa…</t>
  </si>
  <si>
    <t>Maitlandt</t>
  </si>
  <si>
    <t>e de Palermo ha pedido que «áster. vuelvan las lanchas c-ñoneras sicilianas empleadas Mr. Hukisson será canciller del echiquier. en Mesirti ; pero el general Maitlandt no ha que­ lord Hoiiand, secretario de Estado, para los rido permitirlo. negocios extrangeros. Se dice que el príncipe de Villafranca, qne es El conde Moira, s…</t>
  </si>
  <si>
    <t>Maky, Nicolás</t>
  </si>
  <si>
    <t>Nicolás Maky</t>
  </si>
  <si>
    <t>° &lt;{ Excsse*. Sr.: Auto» de áyísr poí* i a iar J.e ss presentaron los enemigos en número de ci.OOQ hombres delante da ia posición que ocupa ei s&amp;ñer D. Nicolás Maky: vinieron d* Liria ó Béfesra, y se mantuvieron ea Paterna á la oídla áel lio, ©rifante de Cuarta y Manises , hasta antes do anochecer, «pie se retiraron peí* el c…</t>
  </si>
  <si>
    <t>Malagamba, Santiago</t>
  </si>
  <si>
    <t>Santiago Malagamba</t>
  </si>
  <si>
    <t>lesia y demás subalternos, 1080. D. Domingo Fonta­ nela, capellán del partido de Mamiaga , por el prest de un soldado en un mes durante la guerra, 9. D. Santiago Malagamba , capitán de la compañía de voluntarios andaluces de esta cuidad , por oferta de los in­ dividuos de su compañía, 2500. D. Juan Luis Marqueti, como mayor­ …</t>
  </si>
  <si>
    <t>Malats</t>
  </si>
  <si>
    <t>n. admiración el entusiasmo conque nuestros va­ lientes coraceros se disputaban la gloria que adquirieron imitando, ayudados del valor , á su bizarro coronel Malats. Este gefe , oficia­ lidad y tropa del distinguido cuerpo de coraceros, .sin excepción de personas , son acreedores á toda la consideración, de Y. S. y á la par­ …</t>
  </si>
  <si>
    <t>Malavear, Manuel</t>
  </si>
  <si>
    <t>Manuel Malavear</t>
  </si>
  <si>
    <t>. Esteban Borom, 3. D. José García, 2. D Pedro Ferrer , 2. D. Domingo Marera , 1. D. José María Suarez , 2. Antonio Balao, 8. D. Francisco Armario, 4 D. Manuel Malavear , 2. D. José Badia,2.— Hacendadas. Doña María Manuela Gqla, 500. Doña Ana María Morgues, 25. Doña María Josefa Marcin , 50. Doña Gertrudis Gorostiota , 200. D…</t>
  </si>
  <si>
    <t>Malcolm</t>
  </si>
  <si>
    <t>el „ Desde la toma de Lofsca no ha ocurrido, na­ khaznadar de Solimán fueron ahorcados. da de importante en los exércitos.” El mismo dia ti el señor general Malcolm, que estaba en Bagdad desde el 20 de setiembre, se embarcó para Bassora. Muchos europeos de so PRUSIA. comitiva permanecen todavía en esta ciudad, y Berlín jo de …</t>
  </si>
  <si>
    <t>Maldonado, José</t>
  </si>
  <si>
    <t>José Maldonado</t>
  </si>
  <si>
    <t>e hicieron salir tres Veces al frente de mi línea para tratar con dichos rebeldes , acompañado del ayudante mayor del re­ gimiento de las Tres-Villas D. José Maldonado, y oyendo sus dis­ parates y seducción grosera, los acerqué hasta bien inmediato de mis bayonetas, y recogiendo el temiente coronel I). Juan Antonio López un e…</t>
  </si>
  <si>
    <t>58 acción. El ayudante del regimiento de las Tres-Villas D. José Maldonado, á pesar de su escasa salud, dió un buen exemplo de fir­ meza y pericia militar, y el capitán D. Felipe de Robledo y Torre salió de los últimos con mucho riesgo , pero con valor y escarmen­</t>
  </si>
  <si>
    <t>Maldorado, Segundo</t>
  </si>
  <si>
    <t>Segundo Maldorado</t>
  </si>
  <si>
    <t>to de Saboya. Igualmente se distinguieron , y recomiendo los subtenientes de granaderos provin­ ciales de Castilla la niieva D. Francisco Caseros , y D. Segundo Maldorado , quienes fueron de guerrilla á las órdenes de D. José Dar­ quines, y todós los individuos que expresan las adjuntas relaciones;</t>
  </si>
  <si>
    <t>Malfeito, Diego</t>
  </si>
  <si>
    <t>Diego Malfeito</t>
  </si>
  <si>
    <t>ubtenencias i D. Juan-Castellanos, D. Casimiro Fue­ llo , D. Miguel -DuranD. José Morales, D. Luis Valderas, Don Juan Extrémela , D. José Romas»nta , D. Diego Malfeito, D. Alon­ so Perez, D. Pedro Santiso, D. Manuel Morgade, D. José Moreno García, D. José Gil Malfeito y D. José Muñiz; subtenencia de bandera á D. Francisco Zív…</t>
  </si>
  <si>
    <t>Malo, Luis</t>
  </si>
  <si>
    <t>Luis Malo</t>
  </si>
  <si>
    <t>ptiun Conejo. D. Manuel María Lanza sorta. Lie. D. Jcsé Marín Chicc. D. Luis Msrcles. Lie. D. José María Letona. D. Jacoho A rctdo, teniente coronel. D. Luis Malo, coronel. D. José María Segura, car» . genio-mayor. D. Francisco Mmacarenascoronel. D. Luis Lara, te­ nis nte coronel Nú-ja. 2.° Ra zon de la artillería tomada á lo…</t>
  </si>
  <si>
    <t>Manchón, Fulgencio</t>
  </si>
  <si>
    <t>Fulgencio Manchón</t>
  </si>
  <si>
    <t>Vivanco , 1000.1). Tomás Jo■ sé Andiiaga ,,200. 1). Antonio Vig.uau , 500. Sra. viuda Boom , 200» P. Juan ; Carrocín, 000. D. Isidoro de; Bayo, ,500. D. Fulgencio Manchón, 400. L&gt;. Mi­ guel Pelegi i, 200. Viuda de-Nnndjn, 500. D. Gerónimo Martines García., 200. ♦IX llamón. Larrue , 50Q. IX José Gaona, 500.1). Manuel de-Jes?»*…</t>
  </si>
  <si>
    <t>Mancina, José</t>
  </si>
  <si>
    <t>José Mancina</t>
  </si>
  <si>
    <t>Barno , 100. D. Juan de Cebados Argumeda , 100. D. Antonio Sobaron, 100. B. José Escalante, 100. D, Ramón de Renedo , 100. I). José de la Campa* 100. D. José Mancina, 100. D. Vicente Gutiérrez, 100. D. José de Rueda, lOO. ( Se continuará.) CADIZ : EN LA IMPRENTA REAL.</t>
  </si>
  <si>
    <t>Mancina, Manuel</t>
  </si>
  <si>
    <t>Manuel Mancina</t>
  </si>
  <si>
    <t>Juan Asturiza , 100. D. Diego del Solar. !()0= L. Manuel Gutiérrez y D. Manuel Riaño, 100. D. Félix García , IO0. D. Pe­ dro García dejos Ríos, 100. D. Manuel Mancina, 100. D. José Perez, 100. L. Manuel Rodríguez, 100. D. José Alonso, 100. D. Marcos de los Ríos, 100. L. Antonio Gómez de la Madrid, 100. D. Estanislao de Hoyos …</t>
  </si>
  <si>
    <t>Mande</t>
  </si>
  <si>
    <t>13*8 D. Mande! drUreca....................... 1680 El hospital de nuestra Señora de la D. Juan López Quevedo................ 1873 31 Misericordia................................ S0800 1). Gerónimo de Igl</t>
  </si>
  <si>
    <t>Manían, Joaquín</t>
  </si>
  <si>
    <t>Joaquín Manían</t>
  </si>
  <si>
    <t>ano de Foneerrabn , canónigo de México. De Puebla - el Sr. Dr. I). Antonio Joaquín Pérez,"canónigo magistral de aquella iglesia. De Veracruz : el Sr. D. Joaquín Manían , contador general de la renta (leí tabaco. De Mtrida de Yucatán : el Sr. Dr. D. Miguel González Lasíiri. De Gua­ nal unto : el Sr. D. Octaviano Obregon , oido…</t>
  </si>
  <si>
    <t>Manlei</t>
  </si>
  <si>
    <t>stos de esta expedición ascende­ ocurrí Jo en los últimos momentos de sn vida, pu­ rán a 60‘3 bolsas. No se sabe qué disposiciones to­ blicada por el doctor Manlei. Este piadoso médi­ ma Abaulwechab para defenderse. co, habiendo oido á Paine exclamar á menudo en su última enfermedad : Señor mió Jesucristo, apia­ RUSIA. daos; …</t>
  </si>
  <si>
    <t>Manlei-Dixon</t>
  </si>
  <si>
    <t>Gaceta de Madrid n.º 218</t>
  </si>
  <si>
    <t>apí- 94 Certificaciones del tesoro público.. 78 tan Jones del Vigo se le ha retirado del servicio. Oro español contra plata.......... .......... 2 El capitán Manlei-Dixon , del Kli, sirve á bordo de! navio almirante de su padre, y el primer te­ niente del Dictador ha tomado el mando del Kit," (Extrae. de l'Alfred.) TBATROV En…</t>
  </si>
  <si>
    <t>Manri, José</t>
  </si>
  <si>
    <t>José Manri</t>
  </si>
  <si>
    <t>1191 tires Lima, D, Jáan Antonio Gil, D. Salvador PJau , D. José Manri£b&gt;, D. Rimon Lanza, D. Agustín Magi Domenec, D. Juan Ma­ nuel Suero y D. Isidro' Parrado; los de subteniente á D. Bernardo Cohniro, D J mn La*o Policarpo, D. Juan Corvera, D. Manuel T-boada, D</t>
  </si>
  <si>
    <t>Manrique, Juan Francisco</t>
  </si>
  <si>
    <t>Juan Francisco Manrique</t>
  </si>
  <si>
    <t>dos en 4 meses durante la guerra, 216. D. San­ tiago Girara!, per el de dos soldados en un mes durante la guerra , 30. IX José de Potros, á nombre de D. Juan Francisco Manrique, oficial de correos , 100. El teniente coronel Francisco Lgmaur, 150. Los ocho re­ gidores que. siguen, diputados para la recolección en esta ciudad d…</t>
  </si>
  <si>
    <t>Manrique, Simón</t>
  </si>
  <si>
    <t>Simón Manrique</t>
  </si>
  <si>
    <t>ino de Vallecas, que son las siguien­ Para el de Murtas y Mecina de Tedel, vacante tes: Primeramente una tierra, donde llaman la Sepul­ por muerte de D. Simón Manrique , al presbítero tura del mozo y cuesta del Hierro, de 9 fanegas, un ce­ lemín y 8 estadales, tasada cada fanega á 800 reales. D. Tomas de Roda. Otra en la cues…</t>
  </si>
  <si>
    <t>Manso</t>
  </si>
  <si>
    <t>de la , guerra vilmente viciados exigían una expiación pronta y vigorosa. TLles fueron los motivos que dictaron la siguiente resolución "del tenUnte coronel Manso : •</t>
  </si>
  <si>
    <t>Manso, D José</t>
  </si>
  <si>
    <t>D José Manso</t>
  </si>
  <si>
    <t>m ESPAÑA. Tarragona 14 de febrero. El teniente coronel D/ José Manso con fecha de so de enero en Palkjí, dirigió al brigadier. baro¿i .ue.Eróles un parte que en sustancia dice lo cbgui ate: . c , . \- v . « Sn vista de la. orden de Y. S. para .que pasoso el 18 4.emboscarme en las alturas de H</t>
  </si>
  <si>
    <t>n, ha tenido una parte muy directa en esta gloriosa expedición. El co­ ronel D. Juan Jalón, que ha sido muy maltratado por una cansíes embreada, y el teniente coronel D José Manso, que á mes de hsber dirigido una de las columnas de asalto., ha sido e! encargado de dos miras, han centraido ua mérito muy particular. No me deten…</t>
  </si>
  <si>
    <t>Manso, Jmé</t>
  </si>
  <si>
    <t>Jmé Manso</t>
  </si>
  <si>
    <t>as tropím.—E'17 se apo'Vró el barón de Ei oles de otro convoy, matando y dispersando « 200 franceses ; y en Moaxblanch ha lincho el .teniente corone! D. Jmé Manso 200 prisioneros. — Toda ia Cataluña está libre de enemigos, excepto Jas fortalezas, donde se hadan como bloqueados. Del 22. Anoche á las 7 y media díó el enemigo k …</t>
  </si>
  <si>
    <t>Manso, José</t>
  </si>
  <si>
    <t>José Manso</t>
  </si>
  <si>
    <t>s del somaten. — Dios guarde &lt;&amp;c. — Jayme Patera.~ Exorno Sr. presidente y vocales de la junta superior del principado.” .Perte del teniente coronel ,D. José Manso al general en grfe. Martordl 12 de mayo. ‘•Anteayer destiné 60 hombres de ios de la vanguardia ¿ que incomodasen á los enemigos colocados .a! rededor de ks rnaraíl…</t>
  </si>
  <si>
    <t>779</t>
  </si>
  <si>
    <t>ntes; pero le hicimos frente y desistió. — Lo ex&gt; eníado en este dia se debe principalmente al coronel D. José Ma­ rró Torrijas y al teniente coroael D. José Manso, qua ya tenían entablada esta operación antes de mi ariivo.’* Parte del mismo barón de Eróles, que el general en gefe re» mite desde Momblanch con fecka de SI del …</t>
  </si>
  <si>
    <t>Mantilla, Fabián</t>
  </si>
  <si>
    <t>Fabián Mantilla</t>
  </si>
  <si>
    <t>te, D. Jo&amp;quin Gomez, D. F:ranr?ísco Lop:.z Salazar, D. Manuel BjUmonts, D. José Giiau-de., D. Gaspar Surianor, D. Pablo Lozano, D. Ciato.Eguimbái, y D. Fabián Mantilla; y subtenr notes á D. Juan'Psu*»!», D. J«&amp;é A ios'Ós , D. Pedro Lí/ó, D. Akonio Bereitgtier, D. «José- Cueva?, D. Jasé S&amp;rnpér, D. Aídolu» Forrar, D. Bjrnabó …</t>
  </si>
  <si>
    <t>Mantilla, José</t>
  </si>
  <si>
    <t>José Mantilla</t>
  </si>
  <si>
    <t>uerétaro D Angel L'nares y D- Luis Quintanar; á los tenientes de dragones de Ebpaña D. Ja­ sé Villamil y D. Ignacio Millas.; al de dragones de México D. José Mantilla; al teniente de Querétaro D. Manuel Prñañ &gt;ri: al tenien­ te de Puebla D. Pedro de la Rosa, y los alféreces de Méx¡co y Qvic­ ié taro D. Miguel Malo y D. Joaquí…</t>
  </si>
  <si>
    <t>Mantilla, Mariano</t>
  </si>
  <si>
    <t>Mariano Mantilla</t>
  </si>
  <si>
    <t>scando por maestra una he:ida leve de enchilada en la cabeza, sien­ do la quinta v ;z que es herido en esta guerra : el comanda ite del aiismo cuerpo D. Mariano Mantilla después de la prisión del coronel, did ccfivia mayor serenidad sus ¿üspr-si i mes, y conduxo el regimien­ to ei m yor acierto: ei cadete D. Esanisao Atienza,…</t>
  </si>
  <si>
    <t>Manue, Antonio Alvo y Doña</t>
  </si>
  <si>
    <t>Antonio Alvo y Doña Manue</t>
  </si>
  <si>
    <t>sef López de Arcos............... a 7 ©00 La"congregación del Santísimo Cris* D. Antonio Mariano Gil Delgado. 14786 16 ta de ía Fe, establecida en la D. Antonio Alvo y Doña Manue­ referid? parroquia, por mano de la Fernandez de la Herran....... . 23530 17 íu apoderado D. Juan Bautista D. Santiago Gutiérrez de Arintero. 46429 …</t>
  </si>
  <si>
    <t>Manuel</t>
  </si>
  <si>
    <t>me aguardaba en, Vál de Espino. Inmediata­ mente me puse en marcha con mi compañía de - tiradores de Mari­ na, la de Compostela al mando del teniente D. Manuel.Romero, 30;</t>
  </si>
  <si>
    <t>eneralmente , la con­ Qneda nombrado comandante de las tres com­ tinuación del ministerio actual , el que suponen pañías D. Antonio Armero ; ayudante D. Manuel mmtendrá las restricciones relativas al pago en es­ LeoD» y abanderado D. Francisco Peñaranda. pecies de oro y de plata. Asimismo quedan nombrados capitanes y ofi­ cia…</t>
  </si>
  <si>
    <t>. Andrade ( D. Serafín), tambor del regimiento de fu­ Cuenca (D. Andrés), fusilero de nuestra gnardia sileros de nuestra guardia real. real. Angalo ( D. Manuel), director de nuestra real ca­ Cuesta (D. Gerónimo de la ), canónigo de Avila. sa de la moneda. ’ D’Angennet (D. Josef), capittn del regimiento da Armero (D. Antonio),…</t>
  </si>
  <si>
    <t>t Fotleo (D. Josef), subteniente del regimiento Luna ( D. Domingo ), sargento de húsares de nues­ de cazadores á caballo. tra guardia real. Fraquio (D. Manuel), fiscal de la junta criminal Lianza ( D. Rafael de), capitán de granaderos del extraordinaria d'e Ciudad Real. regimiento Josef Napoleón. Galindo (D. Manuel), teniente…</t>
  </si>
  <si>
    <t>e Madrid. de Ubeda. Uriarte y Landa (D. Joaquín de), prefecto de Rbodas (D. Fernando de), mayor de la milicia . Mérida. cívica de Málaga. .... Weber (D. Manuel), individuo de nuestra guar­ Ríos (D. Pedro), cabo primero del regimiento de dia de honor de Sevilla. Toledo, 2.° de infantería de línea. Yarza (D. Antonio Adan de), v…</t>
  </si>
  <si>
    <t>ierra, y en su exten­ sitio de los Callejones, lin­ sión 132 olivas, 269 almen­ de con camino de la Guar­ dros y 2 morales; linda con dia , olivas de D. Manuel el c-.uce de Valdecañas, Rodríguez, vina de Anto­ con la heredad de D. Ra­ nio Rodríguez, y carnioo món de Torres, tierras de que va á la dehesa............ j8o 6960 l…</t>
  </si>
  <si>
    <t>ernador D. Bernardo Veiarco derrotó completamente en Paragaari en 19 de enero el cuerpo de tropas, que capitaneado por ei vocal de la Junta disidente D. Manuel .B dgrano, Intentaba invadir y levan­ tar la provincia de su mande. Ei cuerpo revolucionan© p idió en­ tre muertos, heridos, prisioneros y dispersos 4G0 hombres de les…</t>
  </si>
  <si>
    <t>ixca: 50 caxones con 4 monturas para caba­ llería efeda uno: 2 caxones con 50 chaquetas. 50 pantalones de ga­ muza y 50 chaleco* de hilo, donativo de D Manuel.Marroauin, ve­ cino de México : 850 tardos con 8 arrobas netas cada uno de azúcar, paite de la 50000 arrobas que el Sr. virey de México admitió e n pré tarTiO a sargent…</t>
  </si>
  <si>
    <t>imiento de presente decreto.ssFirmado =YO EL REI.= Por Castilla , i de infantería ligera. S. M. , el ministro secretario de Estado =s Firma­ Siibela (D. Manuel), alcalde de corte, y jaez de do = Mariano Luis de Ujquijo.” la junta criminal extraordinaria de Madrid. Taberna ( D. Bernardo), tirador del regimiento Don Josef Napol…</t>
  </si>
  <si>
    <t>o de na hijo único Jo¿é Joaquín, que pasó á Nueva España ■en til del a ir; do 1799, y se suplica' al sngeto que tenga noticia de él „ !&amp; coiauuiqns á D. Manuel de'Quered© Bastamente, agente dé , residente en CLdiz. Continúan los donativos patrióticos de la isla de Cuba. Tercera lista. . .Doña A ‘vtHasiá dqí bastillo, vecina d…</t>
  </si>
  <si>
    <t>riticú la última cancelación. reales y diez y seis maravedís de vellón , consistentes en certlíKa5n su consecuencia, y con asistencia del. Excmo. br. D. Manuel ciones de la comisión de liquidación , libramientos de emprésti­ Sixto Espinosa, consejero de Estado y director general de bienes tos V certificaciones del administrad…</t>
  </si>
  <si>
    <t>de Torija. á lo interior 185 barcos grandes, cargados tam­ Para el del Castañar de Ibor, vacante por muer­ bién de provisiones y de mercancías. te de D. Manuel .Benito Laguna, á D. Juan Ful­ gencio Colchero, cura de S. Clemente de Talavera. REINO DE ÑAPOLES. Para el de Móstóles, vacante por muerte dé ; ' . I * -, C, \ . # /' …</t>
  </si>
  <si>
    <t>i4 D. Marcos López Gonzalo..................... 722 Josef Montero de la Concha........... 1123.. 6 D. Pedro Irigoen y Almansa................ 451- 8f D. Manuel de lllcscas............................. 2246. .19 D. Antonio Cbaserot de Castro........ i.. 541..17 D, Miguel Félix de Velasco....... 3333 ^n2 D. Juan Francisco Martí…</t>
  </si>
  <si>
    <t>antiago de Armas , D. F¡tapisco P.ieto, D. Antonio Pueyo, D. José Gon­ zález Suarez, D. Ignacio Sánchez, D. Francisco Bureyra, D. Ma­ nuel Rodrigne2, D. Manuel x4ngeira , D. Andrés Raposeiras, y D. José Gaspar y Barca ; subtenencia de bandera á D. Rafael de *¡ftj.ova, rt «* En el regimiento de infantería de L?on: ayudantía á …</t>
  </si>
  <si>
    <t>e la tarde, D. Mariano Calderón, subteniente, á teniente se executaiá la comedia en tres act&lt; s titulada Si una de la sexta compañía, en reemplazo de D. Manuel %rez llega á querer, la mas firme es la muger; seguirá Zavala Espetillo. una tonadilla , y se dará fin con un divertido sainete. EN LA IMPRENTA REAL.</t>
  </si>
  <si>
    <t>1312</t>
  </si>
  <si>
    <t>o. El escrito, ¡escandaloso que os ha el de marques de Beriuodo. sido denunciado, no es obra del delirio de on solo art. 11. Igualmente confirmamos á D. Manuel hombre, oi la .sola muestra de íu perversidad ; es María Esquive! en el título de barón de Paliaruelo. el eco de una.gavilla de malvados, que se quitan art. tu. Placem…</t>
  </si>
  <si>
    <t>750 Avecilla, Suarez y Fabiani. D. Miguel López............................ 14999 3* Hota. Con superior permiso desde mañana viernes Los herederos de D. Manuel de empezará esta compañía á dar funcione» extraordinarias Espinos ’...... ................................ 18000 en varios dias para mayor comodidad del público a las …</t>
  </si>
  <si>
    <t>y amei.az.s &lt;¿e sis de Toledo, vacante por fallecimiento de Don muerte, ya á los robados, jra á las justicias mis­ Manuel de Herrera, al ex-agustino D. Manuel mas; quebrantamiento de puertas, y todo género Barji y Alvarez y al ex-franciscaoo D. Gumersin­ de crueldades, hasta la de incendiar 3 ediíic.os de do Martin Forero. lo…</t>
  </si>
  <si>
    <t>(D. Josef Gonzalo), oidor deca­ Orden Real de España i no de la real audiencia de Aragón. Alca ( D. Josef Miguel) , archivero general de la Sánchez ( D. Manuel), comandante de batallón de corona. artillería, y director de la fundición de Sevilla. Altuna (D. Josef Ignacio de), secretario general Sande ( D. Diego ) , capitán de…</t>
  </si>
  <si>
    <t>apital y su regreso ¡5 Roma. Precedida El real hospicio de Madrid por ma­ de una noticia histórica acerca de la consagración y co­ no de su apoderado D. Manuel ronación de los Reyes de Francia , y la de los que Pe­ garon á ser consagrados por los papas. Un tomo en 8.u, Barbollo................................ 39349 l7 adornad…</t>
  </si>
  <si>
    <t>ve-, Ha, D. Vicente Jasen, D. Fernando María, D. Ramón Laraz, D;*n Fatiga, D. Nícoiafí Franco y D. Joaquín Fuentes: en @1 de "Ba­ dajoz, compañías £' D. Manuel .Brayo, D. Raílolomé Berris, Don Manuel Gata y D, José Mesia y Monxoy; ayudantía á D. Maria­ no Mediano, tenencias á D. Pedro Guerrero, B. Juan Mercado, D. Fernando 'T…</t>
  </si>
  <si>
    <t>fibras esterlinas, ademas de un capital de 80. D. Josef Antonio de .Cuide, por 25c©. £1 total de sus rentas ascenderá á 90© li­ mano de so apoderado D. Manuel bras esterlinas, esto es , amas de. 8 millones y me­ Martínez de Novales.......... ........... 172998 «i dio de reales. El padre de esta señorita ha adquiri­ 23 D. Manu…</t>
  </si>
  <si>
    <t>Manuel, Antonio'Cano</t>
  </si>
  <si>
    <t>Antonio'Cano Manuel</t>
  </si>
  <si>
    <t>ia , del consejo de Estado, í* cómo im íí daiipV beñfeérítós y ! a-suya propia, rqstexiormente, ei riscal asi rey fen el suórerno'const-ja dr CáinÜe, D. Antonio'Cano Manuel, en cuín* phraiento de su oficio, denunció tamban el mismo papel .como con­ trario ú las leyes, sedicioso y subversivo dó una de las instituciones fúndame…</t>
  </si>
  <si>
    <t>Manuel, D</t>
  </si>
  <si>
    <t>D Manuel</t>
  </si>
  <si>
    <t>sí y su sacristán ,7 y í rs I) Marcos del Pino, cura del Calobre , 25. D. Eduardo Rivera , cura de Santa María , G. D. Norberto Texada , presbítero , d. D Manuel ilobl •-&gt; , id. , 2. Varios ve­ cinos Ponobelo , 7'-7. Id. de la villa de los Santos 422 y G rs. $1 pueblo de Pcnononié por mano del alcalde may or de. Nata D. José …</t>
  </si>
  <si>
    <t>Manuel, Josef</t>
  </si>
  <si>
    <t>Josef Manuel</t>
  </si>
  <si>
    <t>juez de primera instancia en esta corte , por la escriba­ se le su&gt;pendiesen las dietas, y se procediese con- nía que despacha por real habilitación D. Josef Manuel i r 4 Sil piíSGuS. CGíiiO ¡riCiiTSis f',l U ri A CQrlt ¿trr»t*Cw£ Fernandez, en el término de 30 dias, contados desde legal. Se le hizo saber , y tampoco qui&gt;o cu…</t>
  </si>
  <si>
    <t>Manuel, Juan</t>
  </si>
  <si>
    <t>Juan Manuel</t>
  </si>
  <si>
    <t>memoria, la presentó al Co srj* de Regencia, y S. A., enterado por lea ensayes hechos ¿« su arde® ñor loa profesor**.» D. M-gínio Antonio Llórente , D. Juan Manuel ds Aléjala y D. Rafael Costa, da les buenos efectos y ven­ tajas de e*'íe nuevo método, mandó que se 1« diesen la 3 gracias p?r su descubrimiento, c@m© sí vc.iflok…</t>
  </si>
  <si>
    <t>Manuel, Vicente Cano</t>
  </si>
  <si>
    <t>Vicente Cano Manuel</t>
  </si>
  <si>
    <t>rdinarias á la re­ novación de su presidente, vice-presidente y secretario en la sesión de 24 del corriente, han sido elegidos para presidente el Sr. D. Vicente Cano Manuel, diputado propietario por el rey no de Murcia; para vice pre­ sidente el Sr. marques de Villafranca, diputado propietario p»r ía jun­ ta de Murcia, y para…</t>
  </si>
  <si>
    <t>Manuela</t>
  </si>
  <si>
    <t>, 65 ps. 5 rs&gt;ty 6 granos-. 1.a areh'icofradía de la correa de San''Agustín 486 ps. y '3’rs.. D, Domingo de Jurureta. Goye-ua , regidor de la 18. C. Doña Manuela de:.Lara , 1006. Los curas;ífe.la provincia &lt;J8 Tayabas ,;444 ps. y 2 rs. Los de. la Laguna , 21 6. Los de Binan ,.132. Los de Mariquina , 61. Los de üalanga , 64. I…</t>
  </si>
  <si>
    <t>Manwairing</t>
  </si>
  <si>
    <t>rizado por su Soberano para bi , dei m.-yor Armstrong, de Mr.'Cuiling, C. tratar y aju'Car la pazj pero que no podia conce­ Smith , Mr. Hamilton y el capitán Manwairing. der ninguna suspendí n de hostilidades. Una gran parre del exérciro ruso se puso eti efrr-to al dia si­ IMPERIO FRANCES. guiente eo marcha p.ra Nicéaoiis y T…</t>
  </si>
  <si>
    <t>Manzana, José Manuel</t>
  </si>
  <si>
    <t>José Manuel Manzana</t>
  </si>
  <si>
    <t>r sí y á nombre de los demas de di­ cha su compañía, 1031. D. Luis Bul ge vis , por el prest de dos soldados en quatro meses, durante 3a guerra , 72. D. José Manuel Manzana, por su oferta mensual , 2. D. Pedro Gordifio, como síndico del monasterio de religiosas car­ melitas descalcas de esta ciudad , á cuenta de 101)0 pesos d…</t>
  </si>
  <si>
    <t>Manzanar, Tomas</t>
  </si>
  <si>
    <t>Tomas Manzanar</t>
  </si>
  <si>
    <t>-Ufeiña, D. Andrés Perez, D. Francisco Mogollen y D. Pablo Senderos : ayudantía á D Jo -é Otero ; tenencias á D. Joan Rodríguez, D. Alfonso. Tercero, D. Tomas Manzanar-?, D. Jocó Yszquez Rdova, D. Juan Amar, D. Francisco García, Dan Mu» tía Arrute ? D Juan García, D. Antonio Salgado. D. Pascual Be caria, v ÍJ. José Y^zquez Ya…</t>
  </si>
  <si>
    <t>Manzanilla, José de la Rosa</t>
  </si>
  <si>
    <t>José de la Rosa Manzanilla</t>
  </si>
  <si>
    <t>ntura Oliver y Barquez , 100. D. Manuel Ansel­ mo López Carta, 100. D. Cristóbal Rieart, 100. D. Andrés Sauri , 100. D. Salvio Garbo y compañía, 100. D. José de la Rosa Manzanilla, 100. D. Francisco de Estrada, 100. D. Juan Brioso , 50. D. Cenon Sastre, 50. Alexo Fncalada , 50. D. Juan González , 50. D. José Sirarola, 50. Don…</t>
  </si>
  <si>
    <t>Manzano, Agustín</t>
  </si>
  <si>
    <t>Agustín Manzano</t>
  </si>
  <si>
    <t>ir, con banquetes que dora roo hasta D. Juan del Castillo y Herrera á abanderado por la mañana. Los vencedores celebraron su trian-r en la vacante de D. Agustín Manzano. Ib con largas tragos, y los vencidos procuraron art. ni. Asimismo quedan promovidos eo la ahogar su seotimieoto en el vino. Por todas partes milicia cívica d…</t>
  </si>
  <si>
    <t>Mar</t>
  </si>
  <si>
    <t>D. Mariano Palacios, asesor del partido, 25.— Pueblo de Anta. La comunidad de indios y de su anexo, 730. D. Francisco de la Vega, alcalde mayor, 12. D. Mar­ tin Olivera, id., 12. El coronel de exército D. Mateo Pumneahua, 20. I). Andrés dé. Lira , 12. O. Patricio Sisa raso ,12. D. Pedro de Ediave , 25, O, Bruno Célicos , 25. …</t>
  </si>
  <si>
    <t>m de Linares. moción de D. Prudencio ViUavieja al de la Tri­ ConcluiJo el acto religioso con toda la solem­ nidad de la referida ciudad de Segovia, á D. Mar­ nidad y aparato qne era propio del dia , salió to­ celino Gutiérrez, vicario del Sovillo. do el acompañamiento con el mismo órden, y for­ Para el de Val de Prados, vacan…</t>
  </si>
  <si>
    <t>ocó na soaaiín p ii:*ral. E tr&amp;ron con efecto en la noche del 29 aí 30 mil mf,nH*;s y 80 c bal'os enemigos,, y á la mañana siguiente pasaron á A-ecys d Mar á exigir la contribución ; pero el somaten, que ya se h bin j Hita­ do e tr - tanto, los acometió- ú su regreso , Ies mató mas da 50 hom­ bros, hirió &lt; otros muchos, é hiz…</t>
  </si>
  <si>
    <t>xiliadas por 100 caballos dé Losada, pue-iafda al ensmfgo en precipitada fuga,, E. 16 a! anc.checer llegó E; B-saits Marquinez con sus eseundrónes, y D Mar nml Balmaaeéa can el suyo : en cuya, consecuencia, situando &amp; Mar* quine* en VilErnor, á B.umassda m S. Pedro de Valderábuey , á Losada en Orinbcey, y eoloesudóse Mier con…</t>
  </si>
  <si>
    <t>mortalmente. ron le cañoneaba desde la orilla opuesta con xoo ,, Entre tanto no estaban ociosos los demas des­ piezas de artillería, mientras que el general Mar- tacamentos del exército ruso. El coronel Grckcw -cow» dirigiendo contra los turcos los mismos caño­ pasó el Danubio por Turtucai; se apoderó de esta nes que habían a…</t>
  </si>
  <si>
    <t>Mar, Francisco</t>
  </si>
  <si>
    <t>Francisco Mar</t>
  </si>
  <si>
    <t>rres, ¿ los capitanea de voluntarlos y üko dí? Veracruz D. Juan Luengas y Dan Juan Zavaleta, al sar­ gento mayor D. Jasé Villa iba, y á los ayudantes D. Francisco Mar­ tines y D. Ignacio Iben-i: co no asimismo á los capellanes D. Ma­ nuel de Neira , y los RR, PP. Fr. José Jáuregui, Fr. Andrés Ga« rigoría y Fr. Pascual Álaicon…</t>
  </si>
  <si>
    <t>Mar, Juan Luis</t>
  </si>
  <si>
    <t>Juan Luis Mar</t>
  </si>
  <si>
    <t>El Dr. D. Damián Ramírez , tesorero de la universidad de S. Gerónimo de esta ciudad, por oferta del cuerpo de doc­ tores de dicha universidad , 970. D. Juan Luis Mar que ti, á nombre de D. Joa­ quín de Herrera, por oferta de ia nación Carabali isuama , del cabildo nuestra señora de Monserrate , 30. El mismo , á nombre de dich…</t>
  </si>
  <si>
    <t>Már, Juan Manuel</t>
  </si>
  <si>
    <t>Juan Manuel Már</t>
  </si>
  <si>
    <t>ron unos dijs en Porto-Fer- D. Gabriel Ortiz está nombrado capitán ; Don rayo. Su navegación ha sido mui feliz; no han te­ Fernando Ortiz teniente, y D. Juan Manuel Már­ nido ninguna avería ni contratiempo. Las tripula­ quez subteniente. ciones disfrutan de la mejor salud. Este aumento art. v. En el batallón de la cindad de S…</t>
  </si>
  <si>
    <t>Mar-catuí</t>
  </si>
  <si>
    <t>estany Madrid 29 de octubre. Han marchado Jháeía Caésc» para refor­ zar al general Darmaguac - 500 caballos, entre el Íes los que tr&amp;xo da escolta el general Mar-catuí. E de no ha sido muy bien lecibido p;.?r José /quien le ha lucho sufrir una larga antesala, y conserva al pa­ recer su antigua ojeriza k los mariscales. Se dic…</t>
  </si>
  <si>
    <t>Marañosa, Domingo</t>
  </si>
  <si>
    <t>Domingo Marañosa</t>
  </si>
  <si>
    <t>ogado fiscal, 100. D. José Braximo . contador de 3á real fábrica de aguardientes , 1100. El teniente coronel, comandante de artillería de esta plaza, D. Domingo Marañosa , 140. Ei administrador de cor­ reos D. Manuel García de Paredes, 400. D. Felipe del Barrí/) y D. Juan de Anauatcgui, 700. El coronel de ingenieros y comanda…</t>
  </si>
  <si>
    <t>Marauzin</t>
  </si>
  <si>
    <t>por Ballesteros; inmediatamente he hecho marchar contra les recien venidos todas las tropas del quinto cuerpo que yo habia traido de Extremadura : el general Marauzin ha obligado á los que estaban en Moguer á reembarcarse : el 27 de cazadores ha destruido en la península de la. Arenilla un destacamento de 500 hombres de cabañ…</t>
  </si>
  <si>
    <t>Marcad, Gregorio</t>
  </si>
  <si>
    <t>Gregorio Marcad</t>
  </si>
  <si>
    <t>ar­ ril lo , l. Manuel Camilo, 1. Juan de Dios Martínez,!. Rafael Pavía, 1. D. Gregorio Feroz, vecino de Kalkini , 100." D. Juan Ignacio Cosgaya, 50. D. Gregorio Marcad al, líX). D. Hipólito Olivera, vecino de Bacalar, 50. D. José Nicolás Guerra , 25. Dona Juana Felipa Romero , 100. D. Juan da Dios Cosgaya , subdelegado de la…</t>
  </si>
  <si>
    <t>Marcbena, Josef</t>
  </si>
  <si>
    <t>Josef Marcbena</t>
  </si>
  <si>
    <t>in Fernandez Navarrete. cesariamente dcdier ocasionar dilaciones, y que lo. D. Josef Antonio Conde. que mas itnporta eo este, momento es suplir quan- D. Josef Marcbena. to. antes- la. suspensión: de. la autoridad real. Desde . art. 11. Nuestro ministro de lo Interior queda, el instauteien. que. el parlamento declaró la incapa…</t>
  </si>
  <si>
    <t>Marce</t>
  </si>
  <si>
    <t>ia tenencia coronela á D a M mtiel Míraraon y la comandancia á D. Joaquín Bilbao: en el se­ gundo dñ Asturias , ia comandancia del tercer batallón á D. Marce­ lino Calderón : en ei tercero también de A eludas, la tenencia coroneta á D. Jjsc Carrillo y la coman dar: ele. d D. Manuel Gaminde : en el de Tuy , oi empleo de corone…</t>
  </si>
  <si>
    <t>Marcenaro, Felipe</t>
  </si>
  <si>
    <t>Felipe Marcenaro</t>
  </si>
  <si>
    <t>ha servido conceder en los cuerpos de infantería del exército Ies empleos siguientes: En el regimiento de infantería inmemorial del Jlcjr compañías á D. Felipe Marcenaro y á D. Antonio Sánchez; ayudantía á D. Ratael Miion ; tesei?cias á D. Juan.Amores, D. José Rico, D. Mateo Novoa, D. Juan MonterrosoD. Manuel Hernández, I). D…</t>
  </si>
  <si>
    <t>March, Juan</t>
  </si>
  <si>
    <t>Juan March</t>
  </si>
  <si>
    <t>á D. Francisco Torres y D. José Comin ; los de capitán sogundo á D. Fulgencio Sala y D. Toma? Ruiz; los de subteniente á O. Eztquiel Rodríguez Voto y D. Juan March; y el de subteniente de bandera á D. Joaquín Ferrer. En el regimiento de infantería de la Ua on; compañías á Don José María Freyre, D. Jóse García y D. Juan Astorg…</t>
  </si>
  <si>
    <t>Marchal, Pedro Anseimo</t>
  </si>
  <si>
    <t>Pedro Anseimo Marchal</t>
  </si>
  <si>
    <t>n conformidad á lo prevenido en el artí­ D. Joaquín Pclaez................................. 4459 culo m de nuestro real decreto de 9 de juniode 1809. D. Pedro Anseimo Marchal......................... 9166..23 art. 111. Nuestro ministro de Hacienda queda en­ D. Juan Geniez.............................................. 9913..32…</t>
  </si>
  <si>
    <t>Marchenal, Josef</t>
  </si>
  <si>
    <t>Josef Marchenal</t>
  </si>
  <si>
    <t>ido teátro se exetercero ri á los derechos del estado. ’ -2 cutará la comedia nueva en cinco actos titulada'íos dos Yernos, traducida del francés por D. Josef Marchenal ; ART.nr. Nuestro' ministros, cada uno colla En el de la Cruz', á las cinco de la tarde, se eje­ -parre qne-le toca ., cuidarán de la execucion del cutará la …</t>
  </si>
  <si>
    <t>Marcin, María Josefa</t>
  </si>
  <si>
    <t>María Josefa Marcin</t>
  </si>
  <si>
    <t>nio Balao, 8. D. Francisco Armario, 4 D. Manuel Malavear , 2. D. José Badia,2.— Hacendadas. Doña María Manuela Gqla, 500. Doña Ana María Morgues, 25. Doña María Josefa Marcin , 50. Doña Gertrudis Gorostiota , 200. Doña Micaela Francisca Montes de Oca, 10. Doña Juana ■ Mareutes, 150. Doña Gvegoria Calzadilla, 100. Doña Josefa …</t>
  </si>
  <si>
    <t>MarcoíF</t>
  </si>
  <si>
    <t>das. Ea Filadelfia sobre todlf parece que Segan lis últimas noticias de Rusia parece la mitad de la ciudad ha hecho bancarrota , y no que eL teniente general MarcoíF pasó el día 14 de hai semana que baxen de 30. En solo este estado, octubre el Danubio, habiendo conseguido alganas desue el mes de abril casi a© personas han rec…</t>
  </si>
  <si>
    <t>Marcos</t>
  </si>
  <si>
    <t>de uno , para aquel objeto. — Después de algunos debates , fué adop* toda la proposición. ESPAÑA. Tarragona 24 de febrero. Se ha recibido un parte de D. Marcos “li­ rón io Iglesias fehoen Colldejou el 20 de este mes, y en substancia ice que n* ticioso de que eí enemigo se hallaba en Prat-dip , matchó inmedia­ tamente sobre él…</t>
  </si>
  <si>
    <t>a necesidad de des­ Anteayer entró en este puerto el corsario lla­ truir el latrocinio: muchos de ellos han rechazado mado el Temerario, que manda el capitán Marcos las qnadrilias, como los pueblos de Baldías, Escudevano, el qual ha traído consigo una bombarda sar, Fuente del Esparto, Sorvilan, Alcalá la Real, ing'esa , que a…</t>
  </si>
  <si>
    <t>Marcos, Adrián</t>
  </si>
  <si>
    <t>Adrián Marcos</t>
  </si>
  <si>
    <t>a Orden Real de España. Marip ( D. Pedro), capitao de tiradores &gt;de .Ja En nncstto’palacio de Madrid á 14 de agostó guardia real. de 1811. -Martínez (D. Adrián Marcos), subdenano.de. ]** Don Josef Napqleon por la gracip ’de Dios y juntas de negocios contenciosos. ,, * - a por la constitución del estado, REI de la* Espa­ Mesa …</t>
  </si>
  <si>
    <t>Marcos, Juan Manuel</t>
  </si>
  <si>
    <t>Juan Manuel Marcos</t>
  </si>
  <si>
    <t>Madrid, residente en dicha villa, EX-MBRCENARIOS CALZADOS. Por..... •_.......................................................................... 2200 D. Juan Manuel Marcos, natural de Navalucillos D. Antonio de Roxas, natural de Valladolid , re­ de Toledo, y residente en Toledo, por.............. 2200 sidente en Toledo, por..…</t>
  </si>
  <si>
    <t>Marcow</t>
  </si>
  <si>
    <t>ias del cuartel general ¿ol gañera! en gefe, conde Kutu^-ur, eran que en ía noche ¿el 13 el 14 de ectobie, ua cuerpo de 7000 rusos, Á lás ©«tenes del general Marcow, había pasado el Danuoio a algunas millas de Blohodse, y .cgubtettesido, cuando menos se tes ce.pei.fihs, el campo de los turcos, cerca de RudschiKk, se spodeió d…</t>
  </si>
  <si>
    <t>l exército del gran visir pasó á octubre á nn cuerpo de 7 á 8© hombres á las ór­ la orilla izquierda no habia podido ganar un pal­ denes del teniente general Marcow , el qual, mar­ mo de terrefio , y se hallaba blc.quc.ido en sus chando con rapidez contra el enemigo , le sorpre- atrincheramientos. La caballería enemiga bahía …</t>
  </si>
  <si>
    <t>Mardones, Gaspar Ortiz</t>
  </si>
  <si>
    <t>Gaspar Ortiz Mardones</t>
  </si>
  <si>
    <t>uan Manuel González, ex-cistercienpor..................................................................... 1100 se, residente en Morata, de esta pro­ D. Gaspar Ortiz Mardones, ex-agustino vincia , por...................................................... 220Q lego, por........................................................ 1…</t>
  </si>
  <si>
    <t>Marera, Domingo</t>
  </si>
  <si>
    <t>Domingo Marera</t>
  </si>
  <si>
    <t>4. X&gt; Ramón Totosans, 4. D. Juan Perez, 4. D. Valerio Grau , á D. Juan de Dios \randa, 8. D. Esteban Borom, 3. D. José García, 2. D Pedro Ferrer , 2. D. Domingo Marera , 1. D. José María Suarez , 2. Antonio Balao, 8. D. Francisco Armario, 4 D. Manuel Malavear , 2. D. José Badia,2.— Hacendadas. Doña María Manuela Gqla, 500. Do…</t>
  </si>
  <si>
    <t>Marescalchi</t>
  </si>
  <si>
    <t>egión de Honor, y de SS. EE. el conde de Lacepede, gran canciller de la los oficiales de servicio cerca de S. M., recibió á los legión de Honor, y el conde Marescalchi, gran canci­ grandes cuerpos del estado. Un maestro de ceremonias ller de la orden de la corona de Hierro, después de ha­ y un ayudante condujeron el senado á …</t>
  </si>
  <si>
    <t>Mareti, Antonio Vincenti</t>
  </si>
  <si>
    <t>Antonio Vincenti Mareti</t>
  </si>
  <si>
    <t>mismo tiempo nu1* la dieta prest .u&lt;S su cia , falleció en esta capital el 19 del corriente , y resolución. Los cabildos de Merseboorg y de Naum- el cardenal Antonio Vincenti Mareti cu La noche bourg han suplicado al Reí que les autorice para del 21 al 22. celebrar ellos sus asambleas , distintas de las de los El gobierno de …</t>
  </si>
  <si>
    <t>Mareutes, Juana</t>
  </si>
  <si>
    <t>Juana Mareutes</t>
  </si>
  <si>
    <t>uela Gqla, 500. Doña Ana María Morgues, 25. Doña María Josefa Marcin , 50. Doña Gertrudis Gorostiota , 200. Doña Micaela Francisca Montes de Oca, 10. Doña Juana ■ Mareutes, 150. Doña Gvegoria Calzadilla, 100. Doña Josefa de la Fuente y Sarmiento, 800. Do­ ña Rita Machado , 25. — Plateros. Hugo de la Pier , 12. Jo é Tadeo Agui…</t>
  </si>
  <si>
    <t>Marga</t>
  </si>
  <si>
    <t>ló...... ................ .......... . D. Gemeuits de Cábia................... 28333 5 T979 7 por 2 D. Manuel Sixto Espioosa.............. 3241 16I 1 Doña Marga rita Macarthi..........'......... 9204 *3 13660 18 7 P°r 3 D. Francisco Alcobendas............... J2 166829 14 159645 28 35. Libramientos lié réditos de vitalicio al …</t>
  </si>
  <si>
    <t>Mari</t>
  </si>
  <si>
    <t>real se iglesia galicana, en ios términos en que siempre la lia presentado hoi en público. enseñó la universidad de París , y tal qual la defen­ ílí princesa Mari continúa mejor. dió victoriosamente el inmorral obispo de Meaux^ Windsor 26 de diciembre. á quien respetaremos siempre como á nuestro orá» S. M. se halla en eí„Uii$…</t>
  </si>
  <si>
    <t>Mari, Antonio</t>
  </si>
  <si>
    <t>Antonio Mari</t>
  </si>
  <si>
    <t>las escribanía de provincia de D. Juan Antonio Zamácob, Cultivemos, y se lleven todo el fruto de la tierra, re­ que está al cargo del escribano real D. Antonio Mari» gado por nuestro sudor, para que le paguen con uho Peroz, en donde se admitirán las que hicieren, siendo corto de su industrial Pues no piden mas los ingleses. a…</t>
  </si>
  <si>
    <t>Mari, Esteban</t>
  </si>
  <si>
    <t>Esteban Mari</t>
  </si>
  <si>
    <t>. ...... 576 21 El multiplicio de 'Estriban Mari , d« quien es administrador fideicomisa­ una boJi'ata.—........................... }...... 733 1 rio D. Esteban Mari, y sn apode­ D. Tomas Remendero por boletas rado D. Vicente González Aroao. 48553 t originales de la real casa,............... *37® Los heredenros de D, Manuel d…</t>
  </si>
  <si>
    <t>María</t>
  </si>
  <si>
    <t>bergantines y de otros barcos menores arma­ y María les acompañaron basta Zarskozelo, desde dos, y mandada por ei señor Muller, teniente de donde la Emperatriz María tomó ei camino de navio, ha andado cruzando desde el 16 de julio Gatschina para pasar el invierno en esta ciudad. hasta el 10 de setiembre de este año en las agu…</t>
  </si>
  <si>
    <t>unas de sus tropas para reforzar el exér­ do un banquete mui espléndido en los aposentos de cito torco que está cerca de Nissa, y ha mandada S. M. la Emperatriz María , y por la noche fun­ también que se ponga en marcha el cuerpo auxi­ ción en el teatro de la ermita. liar de la Morea. El 3 , dia de la función de! regimiento d…</t>
  </si>
  <si>
    <t>RA.' ha tenido el honor de entregar á nuestro Monarca Munich § de abril. ]a carta en que el Emperador le participa el feliz alumbramiento de S. M. la Emperatriz María El señor conde de Beigersberg, ministro de U Luisa. Justicia, acaba de pub.icar de árden de S. M. una noticia de los negocios jurídicos de la monarquía» AUSTRIA…</t>
  </si>
  <si>
    <t>hizo' una Doña María Josefa del Hoyo, vecina de Tarancon, señal al gefe de sus eunucos» el qual se acercó i tn la Mancha, desea saber el paradero de Doña María tomarla, la besó, la puso sobre su cabeza, y la Carlota Linares, viuda del comendador de Bastimentos tuvo ati en las manos. Al mismo tiempo el chah de Castilla , en la…</t>
  </si>
  <si>
    <t>í te en Cienpozuelos, por............................. 2 200. y por .-.us tres hijos D. Xavier , D. Ma­ D. Paulino Palomino, id., residente en nuel y Doña María dei Carmen Carras­ Arganda , po 120438 2200 co....................................................................... 1788..16 D. Josef Gabriel de la Plaza, ex-premos…</t>
  </si>
  <si>
    <t>que no aman, hora el del órden, que no tado y .decretamos lo siguiente: conocen, ya el de la religión, que profanan, pre­ articulo 1. ,,Confirmamos á Doña María de tenden todavía insensatos hacer.de la nación espa­ los Dolores Chaves y Concretas, condesa viuda ñola nna grei miserable, á la que puedan gobernar de Superunda, en…</t>
  </si>
  <si>
    <t>Maria</t>
  </si>
  <si>
    <t>e la . A D. Joaquín de Palacios, teniente de navio dt la real armada. anarquía popular pudo obrar con arreglo á sus AI marques de las Atalayuelas y á D. Maria­ ideas y á la conveniencia de sn patria, se dedicó no-Lorenzo. al servicio del REI nuestro Señor, quien le seña­ aRT. ii. Nuestro ministro de lo Interior que­ ló para q…</t>
  </si>
  <si>
    <t>y D. Joaquín Fuentes: en @1 de "Ba­ dajoz, compañías £' D. Manuel .Brayo, D. Raílolomé Berris, Don Manuel Gata y D, José Mesia y Monxoy; ayudantía á D. Maria­ no Mediano, tenencias á D. Pedro Guerrero, B. Juan Mercado, D. Fernando 'Tostado,' D. Miguel Bravo , B. Fraucise© Bolaño?. D. Valentín Navarro, y D. Manuel Sai? Roznan:…</t>
  </si>
  <si>
    <t>una suma importan des millones setecientos rreirt-l i D. Pedro de Mora y Lomas,. 4500 ta mil novecientos quarenta y seis reales y siete maravedisl 3 Doña María .felipa Macdonell 324° y medio de vellón. Doña Masíi JosefV-Muro y S.dazar, art. n. Se entregarán á estos interesados las, cédulas ti* sú apoderando XX Casimiro de An«…</t>
  </si>
  <si>
    <t>María, Antonio</t>
  </si>
  <si>
    <t>Antonio María</t>
  </si>
  <si>
    <t>os , es- Guitart, juez de primeta instancia, su fecha i.° del toi persuadido de que posee la mayor parte de las corriente, por ante el escribano real D. Antonio María propiedades químicas y físicas del café propia­ Perez, habilitado para el despacho de la escribanía de mente dicho. provincia de D. Juan Antonio Znmácola, se ha…</t>
  </si>
  <si>
    <t>María, Antonio Alfaro y José</t>
  </si>
  <si>
    <t>Antonio Alfaro y José María</t>
  </si>
  <si>
    <t>stro , 12. D. Juan García de los Ríos*, 16. D. Lorenzo Miranda , 12. D José de la Quintana, 12. D. Gregorio de la Quintana , 13. D Miriano Pinto , 12 D. Antonio Alfaro y José María legarte , 12. D. Isidro Dábalos y D. Domingo León , 12. E&gt;. Ignacio Martínez' y P. Juan 'Otazo , 12. D. Andrés y D. Narciso Lleréna , 12 D. Vicent…</t>
  </si>
  <si>
    <t>María, Fernando</t>
  </si>
  <si>
    <t>Fernando María</t>
  </si>
  <si>
    <t>pañías á D. Nicolao Bolea , D, Francisco García y D. José Quin­ tana : ayudantía á D. Jmé Aguado: tenencias á D. R araos Nave-, Ha, D. Vicente Jasen, D. Fernando María, D. Ramón Laraz, D;*n Fatiga, D. Nícoiafí Franco y D. Joaquín Fuentes: en @1 de "Ba­ dajoz, compañías £' D. Manuel .Brayo, D. Raílolomé Berris, Don Manuel Gata…</t>
  </si>
  <si>
    <t>Maria, Joscf</t>
  </si>
  <si>
    <t>Joscf Maria</t>
  </si>
  <si>
    <t>el María res; toda la ciudad estaba iluminada , y en toda de Arce. la orilla del rio se habían encendido hogueras para Se leyeron dos oficios, uno de D. Joscf Maria­ dar á entender á los infelices náufrago' que trata­ no Colon, decano del consejo Real,y otro de Don ban de ver si los podían salvar, y de quaudo en Ji'sef Navarr…</t>
  </si>
  <si>
    <t>María, José</t>
  </si>
  <si>
    <t>José María</t>
  </si>
  <si>
    <t>ía guer­ ra, 90 pesos. El teniente coronel D, .Rajad iVionuüvo , por el de 2 soldados en 4 meses durante la guerra, 72. I) Adunco Manuel García, 50. D. José María . Pcdroso, teniente &lt;le la ‘compañía «ibana del real consulado, por el prest de ..5 soldados en un mes durante la gutirva, 45. El teniente coronel marques de Espcuv…</t>
  </si>
  <si>
    <t>María, Josef</t>
  </si>
  <si>
    <t>Josef María</t>
  </si>
  <si>
    <t>rdia real. d la v. 8 ds. po ds. Sierra (D. Manuel Antonio), teniente de cora de S. Ildefonso de Madrid. Sevilla......... ....... efectivo. 8 Tablada (D. Josef María), caballero que fue de Málaga......... ....... efectivo. 8 la órden de Calatrava. Bilbao.......... ....... efectivo. 1 Tellez (D. Luis), regidor de Velez-Málaga. …</t>
  </si>
  <si>
    <t>ves de ella á S. M.; REI ha nombrado caballeros de la Orden Real de el corregidor y municipalidad, y los jaeces indi­ Españará D. Josef María Murga , D Josef María viduos de la jnnta criminal. Yandiola, D. Trifon M¿ría de Echevartía , D. Va­ S. M. recibió después en su real cámara á to­ lentín María de Echevarri, D. Alexandro…</t>
  </si>
  <si>
    <t>el regimiento Real todos los obstáculos consiguió entrar el invierno Extrangero. ú timo socorros en Barcelona » aumentó la tripula­ Cauro y Caminero (D. Josef María), presidente ción del xabeque con a'gunos gendarmas, emplea­ ■ de la junta criminal extraordinaria de Búrgos. do, en la aduana , y varios marineros voluntarios. C…</t>
  </si>
  <si>
    <t>ría. Berlín. Cabrera (*D. Antonio), comisario ordenador , é in­ Várgas (D. Francisco de), mariscal de campo. tendente de exérclto honorario. Vinuesa (D. Josef María de), administrador de Dauiz y Guendica (D. Berengoer), coronel retira­ bienes nacionales de la provincia de Soria. do , caballero que fue de la orden de Cárlosut.…</t>
  </si>
  <si>
    <t>María, Juan</t>
  </si>
  <si>
    <t>Juan María</t>
  </si>
  <si>
    <t>di y Alcocer, cura ríe la villa de Tacú baya. Del Nuevo Reyno de Eeon: el Sr. D« Juan José de la Garza, canónigo de Moníerey. De Oaxaca : el Sr. Lie. D. Juan María íbañez de Corvera , su regidor ho­ norario ( por renuncia de D. Manuel María Mexía, cura de Ta­ mas ulapa ). — Provincias internas. — De Señora : el Sr. Lie. Don M…</t>
  </si>
  <si>
    <t>María, Manual Santa</t>
  </si>
  <si>
    <t>Manual Santa María</t>
  </si>
  <si>
    <t>1396 cí m^yor .crílsa y serenidad, acreditando en bizarría, los -artilleros voluntarios"distinguidos extramuros do esta plaza, D. José-P^ez, D. Manual Santa María, D.. Pudre Orozco, B.J aan Daran y D. Jasé de Varga?. Ei general en gef-5 Ies ha dado las gr&amp;sias, y el Clmsejo de H'jigi;ucia ha mandado igualmente que se les den …</t>
  </si>
  <si>
    <t>María, Manuel</t>
  </si>
  <si>
    <t>Manuel María</t>
  </si>
  <si>
    <t>uen. presentará por la compañía española la comedía de AbarrateRui (D. Francisco). fizuron en tres actos titulada un Montañés sabe bien Áurrecoechea (D. Manuel María), juez del tribu­ donde el zapato le aprieta, y el fin de fiesta Herir nal criminal de Bilbao. por los mismos filos. EN LA IMPRENTA REAL.</t>
  </si>
  <si>
    <t>Marian</t>
  </si>
  <si>
    <t>as: lo* portugueses han perdido de 3 á 4® Maz.or.-do (D. Santiago), teniente de fragata. hombres, y otros tantos los españoles, asegurando M ezcorti {D. Marian &gt;), teniente de fragata. nuevos triunfos ¿ las armas del Emperador, y con­ Revuelta (D. Ezequie.). presidente de la junta sagrando en favor del exército imperial la se…</t>
  </si>
  <si>
    <t>Mariano</t>
  </si>
  <si>
    <t>s (D. Conrado), tambor del regimiento Dupui (D Juan Bautista), ayudante mayor da Real Fxtrangero. Caballé,ía ligera de nuestra guardia real. Blancas (D. Mariano) , oficial de la secretaría del Duvaud (D. Gil), gastador del regimiento de ti­ ministerio de Indias. radores de la misma. Bon (D. Juan), cabo del regimiento Real Ex-…</t>
  </si>
  <si>
    <t>el de), capitán de granaderos del extraordinaria d'e Ciudad Real. regimiento Josef Napoleón. Galindo (D. Manuel), teniente de la milicia cí­ Maells ( D. Mariano) t nuestro primer pintor de vica de la villa de Fuentes.' cámara. Gandía ( D. Juan Josef de). Manzoni (D. Estéban), subteniente del tercer re­ García ( D. Juan ), sar…</t>
  </si>
  <si>
    <t>.ds. Real Irlandés. Seguí (D..Juan), sargento de tiradores de nuestra París........ efectivo. 1 5 *5 guardia real. Hamburgo. efectivo. 103 Sepálveda (D. Mariano), grabador. Seudellis (D. Dionisio), cabo de granaderos de Sobre las provincias del reino. nuestra guardia real. d la v. 8 ds. po ds. Sierra (D. Manuel Antonio), teni…</t>
  </si>
  <si>
    <t>Diaz, íD. Pablo &lt;Ru}z de íj.^Pa tída "José Gord l’o, D. Mannel G sn’ia , D. .-Ma­ riano Miguel Polo ,D Franchco Barreycua, D. Domingo Luis del Valle, D Mariano deGoic echea ,’D Carlos CapetidoD. JA'éGñativia y D. V cenie de la Encina. ^.En conrecqencia del real ^decreto de 5 de enero del año próximo o ?pasa,dorf^tppdi o. á Ta…</t>
  </si>
  <si>
    <t>e ia ) , primer teniente de ar^ sea catedrales; y que conf&gt;rme á lo dispuesto poe tillen.. el concilio de Trento, sesión 24, capítulo 16, si Ucz ga ( D. Mariano de), nuestro oficial de orde- los cabildos no nombran en el término de ocho día* nanz - un vicario ó un administrador, el derecho de nom­ Voljo (D. Dionisio), granade…</t>
  </si>
  <si>
    <t>L&gt;re la cu'r.iinn jurídica del bilí» mandó leer este Alonso (D. Mariano), jaez de la» junta» de negó-1 por ia tercera vez. cios contenciosos. Aogel (D. Andrés), granadero, del regimiento de IMPERIO FRANCES. Castilla r i.u de infantería ligera. Augustin (El gene</t>
  </si>
  <si>
    <t>e religiosas ■ carmelitas , á cuenta de 4000 pesou que han ofrecido , 100. D. Antonio Arsilu, copitan del partido Horcón, pa&gt;r su oferta mensual, 10. D. Mariano de .'Medina, por el prest de un soldado en. 3 meses , 27. Doña Manuela Teresa Calíudlero , y su hijo L&gt;. Francisco de ifWla de la Luz-, por el de 2 soldados en un mes…</t>
  </si>
  <si>
    <t>a nom­ viven en la mayor miseria, pues es tan estéril, que 00 se encuentra en toda ella una pulgada de tierra vege­ brado por decreto del mismo dia á D. Mariano tal. No pudimos coger mas que una tortuga , acaso por­ Ruiz Lorenzo. que no sabíamos pescarlas; pero compré 13 á un habi­ Por decreto de la misma fecha $. M. ha nom­ …</t>
  </si>
  <si>
    <t>Andeiro y Aldao ( D. Antonio), oidor de la cban- godos contenciosos. «illería de Valladolid. Sesma (D. Gaudioso), administrador de bienes na­ Araiz ( D. Mariano), capitán de infantería. cionales de Tudela , caballero q»e fue de la or­ Arno:d ( D Gaspar), teniente del regimiento suizo. den de Cárlos nr. Bango ( D. Ramón), gcfe…</t>
  </si>
  <si>
    <t>Mariano, Antonio</t>
  </si>
  <si>
    <t>Antonio Mariano</t>
  </si>
  <si>
    <t>n el Bur­ Barreda............................................................. 21294..17 go de Osma, por........................................ lio® D. Antonio Mariano (Gil Delgado............... 26408.32 D. Antonio Alonso, ex-capuchino, le­ El hospital y congregación de S. Pedro de go, por...................................…</t>
  </si>
  <si>
    <t>Mariano, José</t>
  </si>
  <si>
    <t>José Mariano</t>
  </si>
  <si>
    <t>trucción pública, y principalmente ía militar j y bien convencido de ía gran necesidad que hay de ocurrir a este mal, ha concedido algunos auxilios á D. José Mariano. ■Vallejo, catedrático que fué de matemática y de fortificación, ataque, y defensa de las plazas en el real seminario de nobles de Madrid , para ayudar á la impr…</t>
  </si>
  <si>
    <t>Mariano, Santiago</t>
  </si>
  <si>
    <t>Santiago Mariano</t>
  </si>
  <si>
    <t>josa posición que ocupaba nuestra, tropa, y la oportunidad con que se hicieron los fuegos. Tengo el dis­ gusto de haber perdido un bizarro oficial en D. Santiago Mariano, teniente de los esqiiadrones de Cuenca, que mortalmente herido cayó en poder de nuestros enemigos, Pero tengo la satisfacción de asegurar á V. E. que las tr…</t>
  </si>
  <si>
    <t>MarianoirMendiola</t>
  </si>
  <si>
    <t>205</t>
  </si>
  <si>
    <t>do en Cádiz),ihaii sido .elegidos , para presidente eí Sr. barón .de Atadla , diputado propie, tario . por Valencia , par « V2cerp. esi .ie4íe el Sr. D. MarianoirMendiola , diputado propietario por .Nueva España , y para secretario el Sr. D., Juan Polo Catalinadiputado propietario por! el rey no de Aragón. . i - •&lt; J Si.tUr.-…</t>
  </si>
  <si>
    <t>Maríei</t>
  </si>
  <si>
    <t>muerto en la batalla de Albuera. Esta propuesta balazo en el pecho y una lanzada en un muslo, fue adoptada unánimemente. y ha quedado prisionero. El capitán Maríei está El último parte sobre la enfermedad del Rei gravemente herido de dos lanzadas. El capitán dice asi t Stevcns ha sido herido de una bala y hecho pri­ Windsor 7…</t>
  </si>
  <si>
    <t>Marin, Blas</t>
  </si>
  <si>
    <t>Blas Marin</t>
  </si>
  <si>
    <t>el de Almocita y Beires, vacante por mente. muerte de D. Pedro Valverde, al presbítero ex­ Si la noticia de este suceso llega á Inglaterra, dominico D. Blas Marin. producirá ciertamente una saludable desconfianza Para el de Alquería de Adra, vacante por pro­ en todos aquellos que buscan medios de embarcar­ moción de D. Juan O…</t>
  </si>
  <si>
    <t>Marín, Josef Franco</t>
  </si>
  <si>
    <t>Josef Franco Marín</t>
  </si>
  <si>
    <t>re­ D. Gabriel López de Miranda , id. , lego, sidente en Santa Cruz de Múdela, por 2209 residente en Getafe , por.............................. IIOO D. Josef Franco Marín , residente en Doña María de Espiia y Parreño, ex-fran­ Almagro, por................................................ 2200 ciscana , residente en Madrid , po…</t>
  </si>
  <si>
    <t>Marín, Juan</t>
  </si>
  <si>
    <t>Juan Marín</t>
  </si>
  <si>
    <t>rdinarias del reyno, concederle una plaza de dependiente de ren­ tas que ha solicitado, vacante en el resguardo de esta ciudad por fa­ llecimiento de D. Juan Marín , mandando' sé anuncie en la gaceta por la justa consideración que merecen los que como dicho Carrasco han ■sellado con su sangre la mas firme adhesión á nuestra s…</t>
  </si>
  <si>
    <t>Marín, Juan Diego</t>
  </si>
  <si>
    <t>Juan Diego Marín</t>
  </si>
  <si>
    <t>en dicha acción el primer batallón d« cazadores de Orihuela, y seña'adámente su comandante el coronel D. Francisco Verges ; el co­ mandante agregado D. Juan Diego Marín; los capitanes D. Francisco Maíknt, D, Francisco Catarla y D. Diego Roca, les tenientes D. Pas­ cual la Rosa, D. Antonio Garniel, D Francisco Bemabeu y D. Ni­…</t>
  </si>
  <si>
    <t>Marín, Miguel</t>
  </si>
  <si>
    <t>Miguel Marín</t>
  </si>
  <si>
    <t>), Vicente jdferde? j I?. Rodrigo Flores Picón: (esencias á D. Juan B *yona O. Mariano Caballé**, D. Pedro Alcántara GaÍindo, O. Juan Kamen González&gt; D. Miguel Marín, D. Francisco Castillo, Don Manuel Romeio, D. Pedro Fülol, D. Ignacio José Fo?n&amp;t, Don José María Laroza , D. Francisco Serrano, y D. Padtro Sen-ano; y subtenenc…</t>
  </si>
  <si>
    <t>Marín, Vicente</t>
  </si>
  <si>
    <t>Vicente Marín</t>
  </si>
  <si>
    <t>sé Ro­ chan©, D. F'rancia co Bermudez de Cañas, D. Vicenta SalameT#, D. Rafees González , D. Joaquín ds Bedoya, D. José Ribslles , Don Pedro Franco j D. Vicente Marín. En el batallón de voluntarios de Camponrayor ha conferido el Consejo de Regencia compañía al capitán segundo D. Rara uu ele Trias ; empico de capites segundo a…</t>
  </si>
  <si>
    <t>Marina, Alexaudro</t>
  </si>
  <si>
    <t>Alexaudro Marina</t>
  </si>
  <si>
    <t>, 100. D. Manuel Sánchez , 100. D. Francisco de la Ve­ ga, 100. D. Manuel Velez Campa, 100. D. Santiago García, 100. D. José García del Barrio , 100, D. Alexaudro Marina , lOÍ). D. Juan García del Barno , 100. D. Juan de Cebados Argumeda , 100. D. Antonio Sobaron, 100. B. José Escalante, 100. D, Ramón de Renedo , 100. I). Jos…</t>
  </si>
  <si>
    <t>Marina, Francisco</t>
  </si>
  <si>
    <t>Francisco Marina</t>
  </si>
  <si>
    <t>onsiguiente el. D. Pedro lístala. parUmeoto podía elegir entre estos dos pted¡Q9r: D. Juan Andoj^r. adoptando el quede-parezca mas conveniente en las D. Francisco Marina. actuales circunstancias. No obstante* en quanto ai D. Manuel Ñarganes y Posada. bilí le parece que es;el.camino mas largo; que ne­ D. Martin Fernandez Navar…</t>
  </si>
  <si>
    <t>Marina, Joan Martínez</t>
  </si>
  <si>
    <t>Joan Martínez Marina</t>
  </si>
  <si>
    <t>ctos titulada el Fanático por la música. Actores. Segundo batallón. , Señoras Ajaría López , Cabo y. Baus. Señores Muñoz, Justo Mas, Fernandez y Cama*D. Joan Martínez Marina, sargento i.°, í sub­ teniente de la octava compañía. En el da la Cruz, á las quatro de latarde, se exeTercer batallen. culará la comedia de magia en tre…</t>
  </si>
  <si>
    <t>Mariño, José</t>
  </si>
  <si>
    <t>José Mariño</t>
  </si>
  <si>
    <t>añías á Don José María Freyre, D. Jóse García y D. Juan Astorga; ayudantía á D. Estanislao Gautier; tenencias á D. Manuel A!arcon, D Pablo la Cuesta, D. José Mariño, D. Juan Aguado, D. Manuel Diz &gt; Don Benito Yarela y D. Pablo del B J ; subtenencias á D. F ¿ruando Yara, D. Antonio Barbeira, D. Lorenzo Lema, D. Juan Duran, D. …</t>
  </si>
  <si>
    <t>Marínont</t>
  </si>
  <si>
    <t>abras de las provisiones de la misma plaza. Los enemigos de Extremadura entre Tajo y Guadiana se man­ tienen en el Casar de Cáceres. — Las tropas del general Marínont se acantonan, una parte en Toledo, otra desde Mombeltmn á Piasen* cia, la caballería á la orilla izquierda del Tajo hasta Toledo, y la artillería desde el Carpi…</t>
  </si>
  <si>
    <t>Maristani, Francisco</t>
  </si>
  <si>
    <t>Francisco Maristani</t>
  </si>
  <si>
    <t>. I). José González Abreu , 25 pesos fuertes. D. Cárlos Aubrv , 25. Do^ José María Fiores , 25. D. José Puig y Escardó , 25. D. Sebastian Ferrer, 25. D. Francisco Maristani , 25. D. Miguel Roig , 25. D. Joaquín Sánchez, 25. D. Miguel Vargas , 25. D. Juan Huise, 25. D. Manuel Antonio Barbachano , cada año , 20. D. Antonio Gual…</t>
  </si>
  <si>
    <t>Mariuní, Josef</t>
  </si>
  <si>
    <t>Josef Mariuní</t>
  </si>
  <si>
    <t>Naldi, venido con guia de Victoria de 4 de junio de íhoS , que debe incluir unos velones. Partida núm. 3. Una caxira para Mr. Mar­ Num. 66. Otro para D. Josef Mariuní, garon , general de brigada, introducida coa venido con guia de Victoria de 6 del mismo, guia de la aduana de Victoria en junio de i 808, que debe contener cubi…</t>
  </si>
  <si>
    <t>Marizi</t>
  </si>
  <si>
    <t>ue estas vasijas no tienen regularmen­ te el anillo que las botellas, y que sirve en estas para acabar de asegurar los tapones , sino porque El señor general Marizi destacó el 25 de di­ estos era preciso que fuesen de dos . tres y quatro ciembre ultimo a! mayor Schusaikaldcn , de lj* pulgadas de diámetro, y mu. El autor, p»ri…</t>
  </si>
  <si>
    <t>Markovv</t>
  </si>
  <si>
    <t>legado á la altura de la isla de W¡ght atrincheramientos de los turcos. La división 15.% la embarcación llamada Juan, mandada por el ca­ que manda el general Markovv, la qual estaba en pitán Charlston , cargada de cueros y sebo , coa Berlad, ha recibido orden de venir á Bucharest á xo0 pesos fuertes á bordo por cuenta de come…</t>
  </si>
  <si>
    <t>Marmier</t>
  </si>
  <si>
    <t>la alegría mas cesas sus hijas, y con una numerosa comitiva; y viva. Al dia siguiente hubo gran corte en palacio. hoi continuará su viage á Viena. E! conde Marmier ha sido testigo de ia alegría qjte animaba á los,habitantes de todas clases en to­ Munich 2 5 de marzo. do este gran ducado. En la junta general qoe celebró el 15 …</t>
  </si>
  <si>
    <t>Marmoi</t>
  </si>
  <si>
    <t>ral D Xavier Castaños, á que hace ref r^nda, este exército debe recibir en breve un refuerzo de 600 cabrios. ■' Valencia de Alcántara 7 de agosto. El general Marmoi.t establece su cuad* 1 g neo al :u&gt; Tda vera de ía Revira: su infautWia campa en el Alburche , tn el sitio doude fué la batalla el 28 de julio de 1809, y fnrfci» …</t>
  </si>
  <si>
    <t>Marmont</t>
  </si>
  <si>
    <t>143</t>
  </si>
  <si>
    <t>ta inúti tn-nte para que les abran. Por fin «1 Bosnia, y que nada habían podido h icer contra el cabe de tre-y dias pidieron víveres, los que Jerasi- mariscal Marmont, se dirigieron hsria el Driña. now ies ció inme ■ ia,¿fnente. Este ha llegado con Sus fuerzas eran quatro veces mayores que lis tfe su barco á la ftrtaleza dane…</t>
  </si>
  <si>
    <t>-sus fuerzas antes ¿el mes de octubre, puts pasado, ni aun así se enmienda. H ice tres dias salió de aquí sm haberse detenido mas que una no­ che .el mariscal Marmont, duque de R gusa: unos dicen que-rema el mando d*l exénito de Ney , y otros que mandará en g^fe, porque Ivlas?enn debe r*. tirarse. : f Coruña 3- de mayo. N’oti…</t>
  </si>
  <si>
    <t>ería, españoles desnatnraUzaJoá, que Levaban las armar, coitra su patria, y fueron de los hus obstinados en la defensa áü OI i vencía. Sj sabe que el general Marmont-, titulado ducrae de Ragusa, ha sucedido en el mando del exército francés de Castilla á Mass na, quien se ha i:lo á Francia con loa generales Loison, Sol’giac. M…</t>
  </si>
  <si>
    <t>rcito aliado de Portugal, y de haberse le­ este rio, y tomó el camino de Talavera, mientras vantado el sitio de Badajoz. Aun no se han traslu­ que el mariscal Marmont desfilaba por Santa Mar­ cido en el público los poní-mores contenidos en ta y la Albuera. En quanto á las operaciones ul­ los pliegos del lord Wellington; pero …</t>
  </si>
  <si>
    <t>puto sanguinolento como antes ..de su último yís&amp;c i París, v á resentirse del pecho, délo que se ha dado parte i su hermano. El cuerpo del mando del general Marmont se lidia muy dete­ riorado : reynap en él enfermedades propias de la fatiga y da la. agi­ tación , y-las consiguientes á ía escasez de víveres que padece, para c…</t>
  </si>
  <si>
    <t>nteo hay 2 piezas de á 4.— La caballería de Puer­ to arriba, menos la poca destinada á las, divisiones para avanzadas, escolta* y otros servicios. El general Marmont empezó su movimiento el 13, y dexó un puente de madera establecido sobre- el Tietar en el sitio dé Bazagona con las obrj» necesarias para su defensa, y para difi…</t>
  </si>
  <si>
    <t>tiene voto en ellas. litz, aldea inmediata á Zeist, donde en 1804 es­ Este diputado es D. Luis de Sosa , á quien dos de tuvo el campo que mandaba el general Marmont. sos electos se negaron á firmar los poderes d-‘ su­ S. M. liego al sitio de la reunión al mismo tiempo plente por el reino de León. La comisión de cortes qne las…</t>
  </si>
  <si>
    <t>y eran .le 35 á 3000O hombres, habían recibido á mediados del anterior orden tcxmisante para que se internasen en la península á reforzar al mariscal Marmont, quedando solo 4 regimientos de in­ fantería y uno de húsares para guarnecer aquel reyao; y que á con­ secuencia trataba de marchar sobre Zaragoza, auxiliando de este mo…</t>
  </si>
  <si>
    <t>Marmout</t>
  </si>
  <si>
    <t>oy mismo en la* bolsa el 97 y medio por 100. Valencia de Alcántara 6 de diciembre. La gaceta de Extremadu­ ra ha publicado una carta interceptada del general Marmout al ge­ neral Foy, comandante de Toledo , su fecha en Talayera á 21 de octubre. Partede la carta está eh cifra; p ro la parte legible indica ' bastantemente no so…</t>
  </si>
  <si>
    <t>Maro</t>
  </si>
  <si>
    <t>a da su cr­ ter , me -ido eng; ñ osaínente de Madrid , horrorizó á los oyentes , perqne •erq r.e ct es; ñocos?:vh0 do&gt;•7 r*:- o lie por su raa ridaío D Maro ciñe* Qa; Yo Jo, :»ied , et¡pañol do cXCi: • é tan ir j íi-iía en tu s quilates , que Pedrazuela , á pesar de la raridad de su corazón , 10 pudiendo resistir los cargos q…</t>
  </si>
  <si>
    <t>Maroco, Bernardo</t>
  </si>
  <si>
    <t>Bernardo Maroco</t>
  </si>
  <si>
    <t>al de los capitanes D. Rodrigo Neyra y D. Cristóbal Veasco^ y las de Puebla ai de ía misma c ase D. José Nuñez , y los subalternas DóMiguel Guillen y D Bernardo Maroco, á tomar otras dos alturas Íonr de estaban situados ios enemigos con artillería., y desde «clon de hacían fuego que inutilizaba en parte su misma elevación ; l…</t>
  </si>
  <si>
    <t>Maroto, Juan</t>
  </si>
  <si>
    <t>Juan Maroto</t>
  </si>
  <si>
    <t>Juan Ncguen , agregado á guardias W¿lenas , íí.L.ií, D. Jorge S vrtol, tiradores de Cuenca, teniente. D. José Churracr., infantería de León , idetñ, D. Juan Maroto, primero de .Badajos, ídem. - D. Vicente S. Pedro, io fas feria de T.obera , í-Enn. D. Pedro A!varez , ir.fanfnín. drl Príncipe, ídem. T). 3 aan Vare*a , primóse ¡…</t>
  </si>
  <si>
    <t>Marquct</t>
  </si>
  <si>
    <t>ometieron 13 desertores ,,Ved aquí pues los cometas desplanetiza- del exército insurgente. efosj no son esféricos, brillan por sí mismos; no E! 29 el coronel Marquct, del ioo.° de línea, tienen revoluciones periódicas ; luego no son pla­ marchó hacia Rodas, frontera de Portugal, y des­ netas, sino meteoros inflamados ; luego …</t>
  </si>
  <si>
    <t>Marques, Joaquín</t>
  </si>
  <si>
    <t>Joaquín Marques</t>
  </si>
  <si>
    <t>as y zapatos que Je enviaban llera, teniente., á ayudante del primer batallón: para el Empecinado, haciéndole el honor de nombrar­ D. Josef Caparrds, D. Joaquín Marques, D. Juan le su proveedor ó mayordomo, trocando asi las funcio­ del Mármol, D. Antonio Angulo , D. Cirios del nes de ambos; pues al fin el uno peleaba mientras…</t>
  </si>
  <si>
    <t>Marqueti, Juaiv Luis</t>
  </si>
  <si>
    <t>Juaiv Luis Marqueti</t>
  </si>
  <si>
    <t>darante la guerra , 45. D. Francisco López del Pulgar , por 3 meses de su ofer­ ta en cada tino, 45. El conde de $ta. María de I,oreto , por mano de D. Juaiv Luis Marqueti •, y entrega de Mr. Vertaut, de nación francés, en calidad de donativo , 44 y 2 rs. D. Miguel Méndez , escribano , teniente de gobierno y cabildo de esta c…</t>
  </si>
  <si>
    <t>Marqueti, Juan</t>
  </si>
  <si>
    <t>Juan Marqueti</t>
  </si>
  <si>
    <t>al, marques de tórnemelos, 4000 pesos fuertes. El capitán D. Domingo Bontoux de la Eltnche en cada mes durante la guerra , 9. El mayordomo de propios D. Juan Marqueti, 729 ps. y ñ rs. y medio. Ei regidor marques de Vilialta el prest de 10 soldados en un año, que ha ofrecido mantener durante la guerra, 1080. El teniente corone…</t>
  </si>
  <si>
    <t>Marqueti, Juan Luis</t>
  </si>
  <si>
    <t>Juan Luis Marqueti</t>
  </si>
  <si>
    <t>rra, 9. D. Santiago Malagamba , capitán de la compañía de voluntarios andaluces de esta cuidad , por oferta de los in­ dividuos de su compañía, 2500. D. Juan Luis Marqueti, como mayor­ domo de propios de esta-ciudad , y de orden del capitán general , 1482 y medio. D. Juan de Aguilaf, intendente de exército y real hacienda, lo…</t>
  </si>
  <si>
    <t>convente de Ntra. Sra. de la Merced , de acuerdo con su comunidad , 303, Doña Bárbara Estrada, á cuenta de su oferta de 250 pesos al año ,41 y 5 rs. D. Juan Luis Marqueti, mayordomo de propios de esta ciudad * por el prest de 100 soldados en 6 meses que el ilustre ayuntamiento ha ofrecido man­ tener durante la guerra, 5400. D…</t>
  </si>
  <si>
    <t>Márquez</t>
  </si>
  <si>
    <t>Perla tarde llegó aquí nuestra partida coa ios prisioneros. 1 ■ / Los enemigos, enfurecidos con la noticia de esta brillante ventaj i del'teniente - coronel Márquez , han b^xado i la venta del Rio con orden de su general para quemar todos los cortijos que hubiese una legua c’s contorno del sitio de la acción , y degollar *'cu…</t>
  </si>
  <si>
    <t>Márquez, Clemente</t>
  </si>
  <si>
    <t>Clemente Márquez</t>
  </si>
  <si>
    <t>ara capitán de esta compañía queda ,,S. M. está tan bien como ayer, aunque ha nombrado D. Manuel Aldeanueva; para teniente «dormido poco esta noche.” D. Clemente Márquez, y para subteniente Don Dicese que si S. M. no estuviese bastante res­ Gabriel García. tablecido para poder prorogar el jueves por me­ art. iii. En la villa …</t>
  </si>
  <si>
    <t>Marqui, Biaito</t>
  </si>
  <si>
    <t>Biaito Marqui</t>
  </si>
  <si>
    <t>as saaeámcloaas de Paitada, da donde sa!i«.toa á parseguirlos 40 é 50 húsares; mus x&amp;forcaáes le« aues-tres coa 20 ham­ bres'-que e^vió el Címa&amp;daute D. Biaito Marqui&amp;ez , arrobaran á l»s eaei&amp;ig'©3 , Ies mataron ¿50 , hxcksrou 6 prisioneros , entre ellos el edecán d&amp;i general fraaaes de Paleada, y cogieroa algunos cab¿¿líos …</t>
  </si>
  <si>
    <t>Marquina, Ftrmin</t>
  </si>
  <si>
    <t>Ftrmin Marquina</t>
  </si>
  <si>
    <t>, á su pa­ viduos siguientes : tria y á sus parientes; obedecer á la superintenden- Primer batallón. ta en todo quinto me mandare para el servicio de D. Ftrmin Marquina', teniente, í capitán de S. M. el Re i y biep de ^a cata de educación. Asi la primera compañía. Dios me ayude y su santa palabra.” D. Pedro Simón Puerta , sub…</t>
  </si>
  <si>
    <t>Marquinez, Barrito</t>
  </si>
  <si>
    <t>Barrito Marquinez</t>
  </si>
  <si>
    <t>primían aquella villa y pueblos inmediatos, exigiendo exorbi­ tantes contribuciones de granos y dinero. Con este objeto, el coman­ dante de escuadran D. Barrito Marquinez hizo un reconocimiento «n la tarde del 12 sobre dicho psnto, sosteniendo un vivo tirotea ha&gt;ta el anochecer que se replegó á C a, imponiendo do £al modo á l…</t>
  </si>
  <si>
    <t>Marquinez, Benito</t>
  </si>
  <si>
    <t>Benito Marquinez</t>
  </si>
  <si>
    <t>dieron su retirada por el borde de un malecón, ¿ la izquier­ da del Cea, cubriendo de este modo su flanco izquierdo. A !a una de la tarde se presentó D. Benito Marquinez con 250 caballos, el que con algunos de sus soldados, sin detenerse por la ventajosa posición del enemigo, se arrojó á él, perdiendo un hombre y varios cabal…</t>
  </si>
  <si>
    <t>Martí, Fidel</t>
  </si>
  <si>
    <t>Fidel Martí</t>
  </si>
  <si>
    <t>esta plaza Don Antonio Bocarro , 200 El capitán D. José de Fábrega, comandante acci­ dental del castillo de Chagre , 200. D. Lino de la Barrera, 50. D. Fidel Martí en plata labrada 225. D. José Vandembrourke , ayudante de ja pla­ ta , Ion. El Dr. D. Isidro de Arroyo, 25. El comandante , oficiales, vete­ ranos y voluntarios de…</t>
  </si>
  <si>
    <t>Marti, Jxm</t>
  </si>
  <si>
    <t>Jxm Marti</t>
  </si>
  <si>
    <t>dados muertos, 2 oítc'ales y 43 cabos y soldados heridos; y s oHciaLs y 22 crbrss y soldador pasioneros de los cuerpos de mi mando. La ¿el b igaiier D. Jxm Marti 3 consiste en 2 cabos y 3 soldados mu. rtos, 12 cabos y soldados heridos, y 11 prisioneros del batallón de volu'-tarirs de Guad&amp;Jaxara. Entre los muertos se cuenta e…</t>
  </si>
  <si>
    <t>Martí, Manuel</t>
  </si>
  <si>
    <t>Manuel Martí</t>
  </si>
  <si>
    <t>r sí y en nombre de dicha compañía, 3000. D. Pedro Bedoya , 400. D. Joaquín Diaz del Valle , 100. En la Isla de León. — D. Manuel de Cabiedes, 10000. D. Manuel Martí­ nez Conde , 3000. D. Domingo del Rio, 2500. D. Manuel García Rodríguez, 2000. D. Esteban García é hijo , 2000. D. Francisco del Corral, 2000. I). Jo­ sé de Tera…</t>
  </si>
  <si>
    <t>Martifce, Francisco</t>
  </si>
  <si>
    <t>Francisco Martifce</t>
  </si>
  <si>
    <t>go. Dios guarde José' Duran.v : - \lí ■v " Delación de los intñviduós que se distinguieron en la acción. . ^Infantería* D. Tomas Brandada, teniente : D. Francisco Martifce?Sargento segundé: Antonio Fiorenttn , --tambor : Ambrosio Mar­ có , cabo primero: los stkda^és Santiago Magaeday Hipólito Giriarto^ A-»dies Morales ¿ I ddo…</t>
  </si>
  <si>
    <t>Martin</t>
  </si>
  <si>
    <t>1158 diciembre publicó una breve relación sobre el combate que sostuvo ea Cogólludo el brigadier Martin el 9 del misino, en que aumenta , según su costumbre, la pérdida de los patriotas; y hablando de los prisio­ neros que sé les hicieron en aquella ocasión, dice: se ha reconocido que muchos de ellos habían</t>
  </si>
  <si>
    <t>Martín</t>
  </si>
  <si>
    <t>D. Julián), capitán de la milicia Mena (D. Josef Fausto de). cívica de Madrid. Mellets (D. Gabriel), capitán agregado al estada González de Villalaz (D. Martín), alcalde de mayor de la plaza de Madrid, y de la milicianuestra real casa y corte. cívica de esta capital. Goust (D. Juan Bautista), soldado del regimiento Menescal (…</t>
  </si>
  <si>
    <t>fa columna francesa de laf: ntes baxó hasta Albacete, la Gineta y Tarazona, exerciendo en todos tres pseblos el mas horrible saqueo. Las tropas del .brigadier Martin están hoy en Sigüenza: las dé S. Martiáen"Cuenca,.y los ene­ migos en Molina, Ja draque , Guadalaxara, Bjhuega,, .Velíisca y.Tarancon. Befar 21 de abril. Esta ma…</t>
  </si>
  <si>
    <t>cen presas todos los día?. E i la C tizada de Ledesraa mataron 32 franceses é hicieron 17 prisionero?. Can fe* cha de 11 del corriente rae escribe mi teniente coronel Martin, que ios lanceros hicieron 20 prisioneros, y mataron un coronel, un te­ niente coronel y 36 soldados en dicha Calzada, y que un capitán mió biso SO prisi…</t>
  </si>
  <si>
    <t>ero las grandes guardias que había colocado' anteriormente con este * objeto el comandante geneial D. Luis de Bassecourt, frustraron el istjnto, y el brigadier Martin tuvo tiempo para recogjr nuestras avanzadas, y pasaádo por la ciudad se situó en la avenida de Fuen­ tes. Les franceses, encontrando desierto el pueblo, tratare…</t>
  </si>
  <si>
    <t>ntes. Agrégase i todo esto las Rio, D Luis Ciarg'illo , D. Aogel dv Irribarren, crecidas contribuciones y empréstitos forzados que D. Joan Larrieta , D. Martin de lrignyen , D. Jose han exigido de .los comerciantes de esta plaza sef del Diestro, D. Juan de Lustra y D. Andrés desde que principió nuestra revolución , y las gran…</t>
  </si>
  <si>
    <t>Martin, Antonio</t>
  </si>
  <si>
    <t>Antonio Martin</t>
  </si>
  <si>
    <t>iguel Roig , 25. D. Joaquín Sánchez, 25. D. Miguel Vargas , 25. D. Juan Huise, 25. D. Manuel Antonio Barbachano , cada año , 20. D. Antonio Gual , 20 D Antonio Martin , 20. D. José Mauricio Rodríguez, 12. D. Alexmidro del Campo, 12. D. Antonio Montero, 12. D. Juan Flota y compañía, 12 D. Antonio Guerra, 10. D. Rafael Castilla…</t>
  </si>
  <si>
    <t>Martin, Baltasar</t>
  </si>
  <si>
    <t>Baltasar Martin</t>
  </si>
  <si>
    <t>. D. Pascual Gulez y T i n, 820. D. Ciríaco Carvajal, 1000. D. José María de Roxas, 120 D Gerón mo Diego Sánchez , 20. D. Julián Sandalio Aguado , 20 D. Baltasar Martin?., de Ari/a, 60. D. Segundo García Cid, 100. Los oficiales de la secretaría del con­ sejo y cámara de Castilla ,513. D.. Manuel Chasco , 60. La condesa viuda …</t>
  </si>
  <si>
    <t>Martin, Bernardo</t>
  </si>
  <si>
    <t>Bernardo Martin</t>
  </si>
  <si>
    <t>das, de Madrid , 200. D. J. R G. S., 32.». El administrador y oficiales de esta administración general de correos , 300. Don José Sentestillana , 00, D. Bernardo Martin , U)b. D. Pascual Gulez y T i n, 820. D. Ciríaco Carvajal, 1000. D. José María de Roxas, 120 D Gerón mo Diego Sánchez , 20. D. Julián Sandalio Aguado , 20 D. …</t>
  </si>
  <si>
    <t>Martin, Don Juan</t>
  </si>
  <si>
    <t>Don Juan Martin</t>
  </si>
  <si>
    <t>la disposición en que se hallaban fortificadas las ca­ lles del pue blo , y como ya eran las once del día , y aun no habían lle­ gado las fuerzas del brigadier Don Juan Martin, ni tenia noticia de ellas , no traté de adelantar por entonces $ reuní las mias fuera de tiro de cañón ¿ la vista del pueblo, de donde salió un paisan…</t>
  </si>
  <si>
    <t>Martin, Francisco</t>
  </si>
  <si>
    <t>Francisco Martin</t>
  </si>
  <si>
    <t>al nombramos ; ex-dominico D. Inocencio Aguirre. Para la vicaría de Villarnbias , vacante por Para el que se halla vacante en el concejo de muerte de D. Francisco Martin* al presbítero JUon Zalla, correspondiente á la propia provincia, al Dionisio Fernandez. presbítero D. Josef Miguel de Arrabe. Para el beneficio carado de Fu…</t>
  </si>
  <si>
    <t>Martin, Francisco Ordoñez y Don Antonio</t>
  </si>
  <si>
    <t>Francisco Ordoñez y Don Antonio Martin</t>
  </si>
  <si>
    <t>éreces del pri­ mer batallón de guardias walonas : D. Francisco OI i ver , capitán de voluntarios de la Patria : D. Ramón Sicíta, subteniente de id.: D. Francisco Ordoñez y Don Antonio Martin , tenientes de imperiales de Toledo : capitán D. Carlos Ciery , se­ gundo teniente del batalfofi de cazadores ; y D. Nicolás Zúñiga , s…</t>
  </si>
  <si>
    <t>Martin, Joan</t>
  </si>
  <si>
    <t>Joan Martin</t>
  </si>
  <si>
    <t>ncesas evacuaban este roya©,, y se dirigías á Castdia la vieja y á Aragón resireclivaiaents: al mismo tiempo sus® la ra.?rch¿ délos generales Duran y D. Joan Martin el E npecioade robre Calatsnud, para distraer alguna fuerza enemiga del rey no de Ta­ lonera. Creí ser un dsbí;? sagrado en mí el afeude* voluntarsers^-nte á na o…</t>
  </si>
  <si>
    <t>Martin, Josef</t>
  </si>
  <si>
    <t>Josef Martin</t>
  </si>
  <si>
    <t>..... a2oo 1&gt;‘ n Josef Napoleón por la gr.icir de Dios y por I* UX-TRIMTAR IOS CALZADOS. constitución del estado, Rei de las Hspafus y de las Indias. D. Josef Martin, natural de Madrid, residente en ,, En conformidad í nuestros decretos de 27 de alud , 1 8 Toledo, por.......................................................... …</t>
  </si>
  <si>
    <t>Martin, Juan</t>
  </si>
  <si>
    <t>Juan Martin</t>
  </si>
  <si>
    <t>s; pero no hay noticia de que haya pere­ cido de resultas de él persona alguna. Huerta' Hernando 26 de diciembre. Partes remitidos por el bri­ gadier D. Juan Martin á la junta superior de Guadalaxara sobre las acciones de Cogolludo, Atienza y Jadraque en los dias 9, 12 y 13 de este mes. í.° “Comoá las 7 de la mañana de ayer 9…</t>
  </si>
  <si>
    <t>. Acaban de‘presentarse aquí 37 soldados alema­ nes é italianos con 7 juramentados, desertores todos después dé la ac­ ción qué sostuvo el brigadier. D. Juan Martin el 9 del. corriente en Sigiienxa contra' los franceses. — Eñ esta villa está acahtonadd al pri­ mer batallón- de voluntarios de Madrid, que consta yá rde 900' pia…</t>
  </si>
  <si>
    <t>la rindió, persiguiendo, después y prendiendo al comandante que se había huido por una ventana.’* Canales de Medinaceli ai de febrero* El b. igadjer D. Juan Martin acaba de comunicar á la junta superior de esta provincia ei parte si­ guiente que le da ei capitán de caballería de i escuadrón de su m\pdo D. Saturnino Albuir des…</t>
  </si>
  <si>
    <t>para proporcionarle auxilios , re­ comienda ia constancia y sufiimknto del soldado en medio de ¿as mayores f.tig .s, . . Posteriormente ha regresado D. Juan Martin á aquel pais testi­ go de su actividad infatigable , y buhándose eu Sacedon con ¡500 caballos, fué atacado por Sao enemigas , de cuya acción cá la jun­ ta superior…</t>
  </si>
  <si>
    <t>469</t>
  </si>
  <si>
    <t>s sus habitantes. Cuenca 27 de marzo. E! 23 del comente , la división del ma­ riscal de campo D. Pedro Villa campa, de acuerdo con la del briga­ dier D. Juan Martin, hizo un movimiento sobre el puente y v lia de Anfión. Parte del batallón de Cariñena vadeó el Tajo, y el puente y sus defensas fueren forzadas después de algún f…</t>
  </si>
  <si>
    <t>nerosidad del gobierno ingles. Habiéndose encargado I). Guillermo Calrew , vecino de Lon­ dres, de abrir una suscripción á beneficio de la partida de D. Juan Martin, el Empecinado. dirigióse con el propio intento a S. E. lord Liverpool, ministro de la guerra, y recibió del Sr. H. E. Bumbury , t fifia! de dicha Secretaria, la …</t>
  </si>
  <si>
    <t>ales. Ea julio un estuche de ins­ trumentos de cirugía para el mismo regimiento; costó 2340. Ea 11 de enero de 811 , por donativo para la división do D. Juan Martin, entregado á D. Juan Revira, 640 rs. En 9 de mayo, donativo pora el exército de Cataluña, entregado á D. Elias Ayer , 1280 rs. Ea 13 de julio, para vestuario del …</t>
  </si>
  <si>
    <t>Martin, Manuel</t>
  </si>
  <si>
    <t>Manuel Martin</t>
  </si>
  <si>
    <t>erino de armas y dos subalternos. Nuestra pérdida ha consistido en 3 soldados y un cabo'muertos y 22 heridos , de ellos gra­ vemente los subtenientes D. Manuel Martin , y D. Alfonso Herrera. No llenaría mis deberes, si omitiese á V. E. que des-</t>
  </si>
  <si>
    <t>Martin, Pedro Alcántara</t>
  </si>
  <si>
    <t>Pedro Alcántara Martin</t>
  </si>
  <si>
    <t>g­ Guipúzcoa, vacante por muerte de su último po­ nidad de tesorero y canónigo de aquella catedral* seedor, al ex-carmelita D. Isidro Gorostegui. ' á D. Pedro Alcántara Martin* beneficiado de Pe- Para el beneficio vacante en dicha villa de Ab­ ñaparda. zaga á D. Juan de Sarasola, ex-regular del mis­ Para el de Villar de Puerc…</t>
  </si>
  <si>
    <t>Martin, Perro Pabla</t>
  </si>
  <si>
    <t>Perro Pabla Martin</t>
  </si>
  <si>
    <t>: los dos efi :r&lt;drs h¿.viles lo soy. , el unien­ te t~l re'imi *r?t*í ds 1a P/i ••.nesn D. Amustia O» ando , y el subtei.imte de a&amp;ndera de Cariñena D. Perro Pabla Martin, y los p.is: n r b Cl t nL»o.tí: ú'kx re-(.crido de la P focos?. i). P..¡.b¿o JLotcc . y el subte-den­ te LA d&lt;? Soria D. Eulogio Gunu-z , quienes así or n…</t>
  </si>
  <si>
    <t>Martin, Saturnino</t>
  </si>
  <si>
    <t>Saturnino Martin</t>
  </si>
  <si>
    <t>ulta ai espiten segundo D.- Salvador do Jdibo; empleo de c&amp;nitan segundo al teniente graduado de capitán D. Actoaio II jvert; tenencia al subteniente D. Saturnino Martin; y sub* ensucia á D. José T royan©, distinguido del real -cuerpo de t*riilk-.ria , y alumno de la escuela militar dei quarto exército. •&lt; CADIZ : EN LA IMPRE…</t>
  </si>
  <si>
    <t>Martin, Valentín</t>
  </si>
  <si>
    <t>Valentín Martin</t>
  </si>
  <si>
    <t>re­ Mancha, residente en Toledo, por....... ............. 2200 side , por...................................................................... iioo D. Valentín Martin (leí Alamo, natural de ValleIX francisco Guzm.m , idem, por............................. noo cas, residente en I oledo , | or............................. 2 2c…</t>
  </si>
  <si>
    <t>Martina, Joaquín</t>
  </si>
  <si>
    <t>Joaquín Martina</t>
  </si>
  <si>
    <t>66000 El colegio de niñas de nuestra Señora de Loreto, por tnano de D. Simón Piñuela. 5815 27..21 art. 11. El tesoro público deberá satisfacer á cada D. Joaquín Martina.......................................... 2538-29 uno de estos individuos la pensión que le va señalada, D. PeJro García Pinillos.............................…</t>
  </si>
  <si>
    <t>Martines, Juan Antonio</t>
  </si>
  <si>
    <t>Juan Antonio Martines</t>
  </si>
  <si>
    <t>á ser compañero de sus célebres reconquisíadores. D os guarde &amp;c. Castillo de S. Fernando de Figueras 18 de abril de 1811.— El barón de Eróles.— Sr. D. Juan Antonio Martines.” Extracto del parle dado por D. Tomas Bayona, comandante del xabeque Santa Faz , sobre lo ocurrido en los dias 26 y ^ de abrilentre sus fuerzas y las de…</t>
  </si>
  <si>
    <t>Martínez</t>
  </si>
  <si>
    <t>l desgra­ « examinar con la mayor escrupulosidad.: Sepamos ciado D. Domingo Rico de Viüademoros. «cada uno qual ha sido y es, con lo qual evitare! El diputado Martínez; ,, Se trata de los fun- » naos que se impute á V. M. una coodescenden»eiouarios públicos, que después de haber salido «cia criminal.” »i del país ocupado por …</t>
  </si>
  <si>
    <t>Martínez, Adrián Marcos</t>
  </si>
  <si>
    <t>Adrián Marcos Martínez</t>
  </si>
  <si>
    <t>Bruquiero.................... 22 jOQ D. Juan Marcos Martínez........................ 4J*.. D. F ermin de Zelayeta.................... ....... 3J OOO D. Adrián Marcos Martínez................... 3158..2jf D. Juan Manuel Perez Herrero, por D. Vicente Arbiol................................ . 3429..17 mano de D. Pedro Pablo Perez…</t>
  </si>
  <si>
    <t>Martínez, Agustín</t>
  </si>
  <si>
    <t>Agustín Martínez</t>
  </si>
  <si>
    <t>Santa María , ex-agustino. ‘Luis de Ürquijo.” , Para el de Qnintaniila de Tres-Barrios, vacante por muerte de D. Plácido Forcada, al ex-francit— cano D. Agustín Martínez. Nota. En la gazeta de ayer -29, pág, 1377, Para el de Ucero y su anexo Valdeavellano, va- donde dice; al ex- benedictino D. Bernardo Lo­ :cante por muerte? …</t>
  </si>
  <si>
    <t>Martínez, Antonio</t>
  </si>
  <si>
    <t>Antonio Martínez</t>
  </si>
  <si>
    <t>. Juan Aruar, 169 y 5. El capitán de la plana mavev D. Casimiro Valdes, 111 y 2 Los capitanes qe compartí .is D. An­ tonio Correa , De Juan Zubiras y D. Antonio Martínez, 2SI y 2. Jil ayu­ dante mavor D José IIinojosa, 75 y 3. Los subtenientes de compañías Don Enrique del 'Sol, D. Tomas Pía v i). Alexandro Herrera , T69' y 7.…</t>
  </si>
  <si>
    <t>Martínez, Bartolomé</t>
  </si>
  <si>
    <t>Bartolomé Martínez</t>
  </si>
  <si>
    <t>, 500 pesos fuertes. D. Francisco del Campo Isla , 34. IX José de San Juan , 200. D. Miguel Gómez de las Barcenas, 102. D. To­ mas de lá Higuera, 17. D Bartolomé Martínez , 17. D. Andrés García, 25. IX Francisco Villegas, 17. IX Juan Sánchez, 17. IX Antonio Cosío, 20.1). Ma­ nuel de Celis , 20. D. Joaquín Muza, 34. D. Valentí…</t>
  </si>
  <si>
    <t>Martínez, Bonito</t>
  </si>
  <si>
    <t>Bonito Martínez</t>
  </si>
  <si>
    <t>volvieron luego. — En León trabajan en el convento de S. Isidro, que es su asilo y cesa fuerte, -r— Uno de los comandantes de caballera de la legión D. Bonito Martínez, ha entregado al comandante D. Pablo Mier 1 5g ; añade ros franceses que se le han pasado, y están para lle­ gar á este cuartel general. Han entrado en Bribies…</t>
  </si>
  <si>
    <t>Martínez, Claudio</t>
  </si>
  <si>
    <t>Claudio Martínez</t>
  </si>
  <si>
    <t>Aiexandro de Casares, 6. D. José Mauri­ cio Rodríguez , 25. Doña Petrona de Escurdia , 20. D. Miguel Duque de Estrada , 100. D, Carlos Escoíiet, 25. D. Claudio Martínez , 20. D. Francis­ co iVIfina, 10. D. Juan Barón, 10. D. Salvador Rodríguez, 10. José Misiano, 2. Joaquín Bravo, 1. Pedro Rodríguez, 1. Clemente Lugo, 1. José …</t>
  </si>
  <si>
    <t>Martínez, Francisco</t>
  </si>
  <si>
    <t>Francisco Martínez</t>
  </si>
  <si>
    <t>ubteniente de bandera á O. Santiago Esteban. En el batallón de isnfantería ligera de volúntanos de Navarras los de capitán primero i D. Lucas Huerga, D. Francisco Martínez, D. F ancisco Lahoz y D. Buenaventura Macia ; ios de ayudante á D. Francisco Lacón y D. Andrés Linda; los de capitán segundo ¿ D. Rafael OJeriz, D. Tomas S…</t>
  </si>
  <si>
    <t>te to, entre ellos 2 cachenurines cargados uno de por la promoción referida del mismo Requejo, á trigo y otro de tejas. ELn sufrido otros barcos ave­ D. Francisco Martínez, c.érigo de prima. rías mas ó menos considerables, y el mutilé ha Para el curato de Torieg hindo , vacante por padecido mucho. muerte de D Manuel de * Puer…</t>
  </si>
  <si>
    <t>Martínez, Joaquín</t>
  </si>
  <si>
    <t>Joaquín Martínez</t>
  </si>
  <si>
    <t>8| 4 Doña María Micaela Girard..............- l8l8 16 D. Sebastian Loche............................. - 15342 17 2 D. Josef Miguel de Vázquez...... 2 D. Joaquín Martínez.......................... 4ji 8 3000 9 Sor Isabel María de Jesús, por su 3 D. Sebastian Sempere.......................... 541 17 apoderado D. Felipe Blanco..…</t>
  </si>
  <si>
    <t>Martínez, José</t>
  </si>
  <si>
    <t>José Martínez</t>
  </si>
  <si>
    <t>Bahía del Espíritu Santo. Capitán Di Francisco Amangual , 50. Primer alférez D. Juan Antonio Urrutia , 25. Segun­ do D. Tomas Munguia , 12. Capellán D. José Martínez, 20. Sargentos, ' cabos y soldados , 326. — Volante de Parras. Capitán D. Juan Ignacio Arrambide ,- 50. Teniente D. Francisco Vázquez, 20. Primer'.alféréz D. Jo­…</t>
  </si>
  <si>
    <t>50. D. Ventura Martínez, 10. D. Pedro Bonet, 25. D. Bartolomé Cabrera, 10. D. Gregorio López , 10. D. Lope Menendez, 25. D¡* Silvestre Rodríguez, 10. D. José Martínez , 10. D. Jo­ sé María Godoy , 10. Don Angel Alfaro, 10. Don José Palmer, 25. Nicolás Trejo , 6. Don Simón Montes de Oca , 20. Don José Alfaro, SO. D. José Alfar…</t>
  </si>
  <si>
    <t>paña. Eos drago­ nes José Turan y José Ordaz ¿agieron cada uno una bandera al enemigo-: el primero traxo preso, y el segundo mató al conduc­ tor.— El sargento José Martínez, yendo á forragear después de la función , y , adelantándose'tde sa tropa., fué embestido por 4 enemi­ gos, ires con lanza y uáo coa fusil que le disparó …</t>
  </si>
  <si>
    <t>Martinez, Josef</t>
  </si>
  <si>
    <t>Josef Martinez</t>
  </si>
  <si>
    <t>e executaron en Guanaxuato , Gua— quedó aprobada la preposición con tina p-mk-ni dalaxara y denns pueblos, en donde á centenares mod'ficacion del Sr. D. Josef Martinez. (Redac­ fueron degollados aquellos infelices indefensos. Su* tor general núm. 101 ) po animismo que continuaba esta idea hasta exter­ Del 24, minarlos á todos…</t>
  </si>
  <si>
    <t>Martínez, Juan Antonio</t>
  </si>
  <si>
    <t>Juan Antonio Martínez</t>
  </si>
  <si>
    <t>y ele las brillantes acciones de Oiot y Castelifoilit. ? ae. ha servido• ei Cons-yA de. Regencia promover á ,ma­ riscales de campo á los brigadieres D. Juan Antonio Martínez y ba­ rón de Eróles , y á brigadier -al coronel D. Francisco Robíra.El papel impreso y publíca lo por D.; Lorenzo Calvo de Rozas, jí&gt;h el titulo de El pa…</t>
  </si>
  <si>
    <t>Martínez, Juan Francisco</t>
  </si>
  <si>
    <t>Juan Francisco Martínez</t>
  </si>
  <si>
    <t>anuel de lllcscas............................. 2246. .19 D. Antonio Cbaserot de Castro........ i.. 541..17 D, Miguel Félix de Velasco....... 3333 ^n2 D. Juan Francisco Martínez................. 4Í¡‘- 8j D. Bernardo Meruendano........................ 3456J D. Pedro López................................... . 156 .17 D. F rancis…</t>
  </si>
  <si>
    <t>Martínez, Juan Marcos</t>
  </si>
  <si>
    <t>Juan Marcos Martínez</t>
  </si>
  <si>
    <t>io de Iiuici.................. 25740 D. Facundo Requejo................................. 2819..17 Doña Raitnunda Bruquiero.................... 22 jOQ D. Juan Marcos Martínez........................ 4J*.. D. F ermin de Zelayeta.................... ....... 3J OOO D. Adrián Marcos Martínez................... 3158..2jf D. Juan Ma…</t>
  </si>
  <si>
    <t>Martínez, Juiian</t>
  </si>
  <si>
    <t>Juiian Martínez</t>
  </si>
  <si>
    <t>del Re­ . donde reside, por,.................................................... 2200 tamar, residente en Toledo, por........................... 2200 D. Juiian Martínez, natural de la villa de Uclés, ex-clericos menores. provincia de Cuenca, residente enVillamiel hasta D. Diego Cabañas, natural de la Villa del Prado, que mejo…</t>
  </si>
  <si>
    <t>Martínez, Julián</t>
  </si>
  <si>
    <t>Julián Martínez</t>
  </si>
  <si>
    <t>las su mercancía. Este buque ha gastado un mes en su anexo, vacante por muirte de D Lorenzo P-rcz, viage, y ha tenido que pagar una cierta cantidad á D. Julián Martínez , cura de la T-ir e.deBLcos. de dinero á un corsario ingles de Guernesei para Para el de P.ñ.dba de S. E'téb.n, vacante por alcanzar su libertad. promoción de…</t>
  </si>
  <si>
    <t>Martínez, Lorenzo</t>
  </si>
  <si>
    <t>Lorenzo Martínez</t>
  </si>
  <si>
    <t>Flo­ res, D. Fernando dei R:o, D. Ramón Pi aillos y D. Antonio Pala­ cios; y subtenencias á D. Cristóbal Julián, D. Tomas de Torres, D. Juan Garasa, D. Lorenzo Martínez, D. José Ortiz, D. Juan B-AIido, y D. Calixto de Rozas. En el batallón de infantería ligera de voluntarios de Mérida; los empleos de ayudante á D. José Florez…</t>
  </si>
  <si>
    <t>Martínez, Manuel Luciano</t>
  </si>
  <si>
    <t>Manuel Luciano Martínez</t>
  </si>
  <si>
    <t>Gaceta de Madrid n.º 108</t>
  </si>
  <si>
    <t>cijo de todos los concurrentes. La generosidad Para el curato de Malagoilfa, vacante por as­ del comandante de la guardia cívica D. Juan Dot censo de D. Manuel Luciano Martínez al de Fuenno se olvido de que tuviesen la parte posible eu tenovilla, á D. Jacinto Recuero. este placer ¡os pobres encarcelados, á quienes eu- Y para …</t>
  </si>
  <si>
    <t>Martínez, Manuela Saez</t>
  </si>
  <si>
    <t>Manuela Saez Martínez</t>
  </si>
  <si>
    <t>} id., residente en Pa­ ra, por............................................. 22co racuellos, por................................................ 2200 Doña Manuela Saez Martínez, id., por.. 2200 D. Sabino Zapatero, id., por..................... . 2200 Doña María Ignacia García Beltran , id., D. Antonio González Cañada, id., re…</t>
  </si>
  <si>
    <t>Martínez, María Isidora</t>
  </si>
  <si>
    <t>María Isidora Martínez</t>
  </si>
  <si>
    <t>340 carecería el soldado de alimento, vestido £cc.” {Id. D. Miguel Calvo de U Puerta....... 31950 núm. í 13.) D ña María Rosa de O-Reilli:...., 24500 Doña María Isidora Martínez.......... 6480 Madrid 16 de diciembre. Rr. vn. r.53960? 1 Extracto de fas minutas de la secretaría de Estado. Que i una suma Importan 1.539608 reales…</t>
  </si>
  <si>
    <t>Martínez, Ramón</t>
  </si>
  <si>
    <t>Ramón Martínez</t>
  </si>
  <si>
    <t>Felipe de Herrera, 100. D. Miguel Villegas, 100. D. Manuel Herrero, 100. D. Juan Antonio Gutiérrez, 100. I). José Fernandez y D. Melchor Gómez , 70. D. Ramón Martínez , 100. Ron Liego de Hontoria: 100. D. Juan Asturiza , 100. D. Diego del Solar. !()0= L. Manuel Gutiérrez y D. Manuel Riaño, 100. D. Félix García , IO0. D. Pe­ d…</t>
  </si>
  <si>
    <t>Martínez, Rita de Adan</t>
  </si>
  <si>
    <t>Rita de Adan Martínez</t>
  </si>
  <si>
    <t>leta del conven­ D. Antonio Treceno, id., residente en to de ía Encarnación de.esta corte, por 2200 Almoguera, por.............................. 2200 Doña Rita de Adan Martínez, id., por... 2200 D. Gregorio Justo Perez, id., residente Doña María Antonia García de León, id., en Alcalá de Henares, por...................... 3200…</t>
  </si>
  <si>
    <t>Martínez, Valentín y IX Basilio</t>
  </si>
  <si>
    <t>Valentín y IX Basilio Martínez</t>
  </si>
  <si>
    <t>y D. Francisco Eusebio González Tixero, 17, naturales de la Habana. D. Francisco Layseca, de Alava, 100. D. Juan José de Sangroniz , de Vizcaya, 34. D. Valentín y IX Basilio Martínez, de Medina de Pomar, 68. D. José Carrera, 50. D. Juan Fernandez , de Zamora , 17. D. An­ tonio Crespo, de Ídem , 8 y 4 rs. D. Gabriel Bombillo, …</t>
  </si>
  <si>
    <t>Martínez, Ventura</t>
  </si>
  <si>
    <t>Ventura Martínez</t>
  </si>
  <si>
    <t>o de la aduana D. Juan Ducal*, 200. El coronel D. Pedro Téxtvda , Secretario de esta comandancia general , 10 pesos mensuales ínterin dure Ja guerra. D. Ventura Martínez en plata labrada , 502 y t rs. (Se coutinuar-án.J CADIZ : EN LA IMPRENTA REAL.</t>
  </si>
  <si>
    <t>nativo , 200. D. Francisco Molina , 25. Don Francisco Xavier Molina, 50. Doña Sebastiana Guzman , 100. D. Luís Peset, 25. D. Bartolomé Ballester, 50. D. Ventura Martínez, 10. D. Pedro Bonet, 25. D. Bartolomé Cabrera, 10. D. Gregorio López , 10. D. Lope Menendez, 25. D¡* Silvestre Rodríguez, 10. D. José Martínez , 10. D. Jo­ s…</t>
  </si>
  <si>
    <t>Martiniere</t>
  </si>
  <si>
    <t>srthicr fecha el 4 de mayo, y añide: seria da desear ¡ príncipe, que el emperador hiciese aumentar las fuerzas del exército del centro. (2) Es el del capitán Martiniere que se puso arriba; pero con una variante que índica el doble manejo de Beliiard en estos asuntos. En la copia para Berthier se dice : Este destacamento const…</t>
  </si>
  <si>
    <t>Martorelli</t>
  </si>
  <si>
    <t>ado de verificó tu retirada por escalones.coa e! mayor or­ Ñapóles, y va á salir para Venecia. den. Los ingleses intentaron arrollar el último es­ El presbítero Martorelli, canónigo de S. Pedro, calón, que esperaba su turno, para retirarse de la ha leído en la ú’tima sesión de la academia de an­ airara ; pero el geueral.de br…</t>
  </si>
  <si>
    <t>Martos, José</t>
  </si>
  <si>
    <t>José Martos</t>
  </si>
  <si>
    <t>0. Total, 180,850. JSn drogas y medicinas, cuyas valores se han computado. — D. José CureTe , 253 rs. D. Alberto Monge , 39. B. Agustin Reguera, 27S. D. José Martos, 1S6. D. Dionisio José Sanche# , 600. D. Juan Rodríguez Sánchez , 272. D. José Climen , 132. D. José Salinas, 224. D. Pedro Robles , 3G7. D. Feli­ pe Rafael de Ro…</t>
  </si>
  <si>
    <t>Mas</t>
  </si>
  <si>
    <t>ussaco le pareció á ,, A fines de junio, qne fue quando principió el propósito para esto , y se aprovechó de ella con bombardeo de Ciudad-Rodrigo, el mariscal Mas- una habi'idad superior á todo elogio. . sena reconcentró rus tropas. El octavo cuerpo es­ ,, El ccronei Traut no tenia á sus órdenes mas taba situado de manera que…</t>
  </si>
  <si>
    <t>Mas, Raympndo</t>
  </si>
  <si>
    <t>Raympndo Mas</t>
  </si>
  <si>
    <t>ro herido : la pérdida del enemigo fué mu­ cho mayor. Del mismo Ochando. — Robiota 21 de agosto. —- E-íaban embos­ cadas esta raañ.na las partidas de D. Raympndo Mas, D, Pablo Selá y lamia para atacar entre el puerta cieí Gancho y camino de Copons un convoy enemigo que baxeb'i desde C si vera por el camino de Igualada: pero p…</t>
  </si>
  <si>
    <t>Mascar, Don Manuel</t>
  </si>
  <si>
    <t>Don Manuel Mascar</t>
  </si>
  <si>
    <t>d. Obig^, B o. abiles é inmediaciones en número 3600 iníV-Ls y alga? ©i. cabal os, atacaron la freganda sección de la segunda división ai mar do &amp;t*I coronel Don Manuel Mascar rks, y baxo las órdenes' del madrea! dsj campo Don Francisco “Tabeada y Gil, éu ks a/ín-ras da O •gorderes. Esto3 gefes les disputaron gloriosamentey c…</t>
  </si>
  <si>
    <t>Mascare</t>
  </si>
  <si>
    <t>eneralescarmentarlos,.mandando poner cu movimiento la tercera división con un grueso y brillante cuerpo de raigos, al mitmo tiempo que la sección del coronel Mascare ñas, apo­ yada por la del general Peón, que marchaba por su izquierda con hx artillería volante-y alguna caballería, se dexase caes sobre su ‘dere­ cha, situada …</t>
  </si>
  <si>
    <t>Masets, Francisco</t>
  </si>
  <si>
    <t>Francisco Masets</t>
  </si>
  <si>
    <t>, ■ . 37 protegióndóte los capitanes del 2.° de Saboya D. Salvador López Rosas , y el de la secunda sección ligera D. Francisco Masets, quie­ nes á cuerpo descubierto en la orilla del rio daban exemplo á’ sus soldados. Quemados los barcos, me propusieron algunos soldados que con una lancha que habíamos tomado pasarían á in</t>
  </si>
  <si>
    <t>Masi, Felipe</t>
  </si>
  <si>
    <t>Felipe Masi</t>
  </si>
  <si>
    <t>teatro se re­ A virtud de providencia del mismo señor juez, y presentará la comedía anti-uu eVs tres actos titulad' cl del concurso de acreedores de D. Felipe Masi, se ha Negro mas prodigios» , de D, Juan Bautista Diamante. EN LA IMPRENTA REAL.</t>
  </si>
  <si>
    <t>Masías, José Suarez</t>
  </si>
  <si>
    <t>José Suarez Masías</t>
  </si>
  <si>
    <t>oferta de mantener G soldados durante la guerra , 27. Lie. D. Silvestre García, 300. D. Matías García Beltran , vecino del partido de Al quizar, 125. D. José Suarez Masías , 17. El capitán de dragones D. Andrés de Alvear , 30. La com­ pañía urbana del rea! consulado, 501. Doña María de la Luz de Soto y Lostoya , por el prest …</t>
  </si>
  <si>
    <t>Massena</t>
  </si>
  <si>
    <t>se resolvió que el etnpara calmar el espíritu del público , antes le ha baxador ingles residente en Lisboa fuese vocal da puesto en mayor cuidado. El mariscal Massena no la regencia , y que ningún acto del gobierno fuese desistirá de ;u proyecto, y estando sitiado Abran- executorio si el embaxador no había tenido parre tes , …</t>
  </si>
  <si>
    <t>mamente de Portugal convienen por ias demás unciones del continente. ahora en que se había exagerado mucho la falta de subsistencias del exército deP mariscal Massena. A AUSTRIA. pesar de los esfuerzos de nuestras tropas para des­ truir los almacenes de Coimbra , los franceses han Viena 19 de noviembre. encontrado al 1 i nna …</t>
  </si>
  <si>
    <t>, y otro compañero suyo ha caido también en­ de los cxércitos enemigos, no puede suponerse ni fermo, con síntomas mui sospechosos, en una casa que el mariscal Massena está tan apurado como se grande dé la Aiameda habitada por Mr. Scorro. To­ ha querido hacer creer, ni que la situación de los dos los que vivían en dicha casa, …</t>
  </si>
  <si>
    <t>osiciones mas fuertes que hai en Portugal. Al­ tarle de haber abandonado su anterior posición. El gunos. piensan que la intención de Massena es atra­ mariscal Massena no bu tomado ciertamente este vesar el Tajo, y marchar á Lisboa por la oril.a iz­ partido porque le Litasen provisiones , pues es cosa quierda de este rio. ( Th…</t>
  </si>
  <si>
    <t>milicias, mientras que el resto de las fuerzas consideración de sus amigos. eoemigas ocupaba á Tomar , fortificaba á Smtaren, ,,Si se probase que el mariscal Massena no tenia echaba dos puentes sobre el Zcxere, bloqueaba la mas que 12© hombres quando se le encargó for­ guarnición de Abrantes, ocupaba los fértiles valles mar a…</t>
  </si>
  <si>
    <t>ías 26' y 27, si la hu­ bían sido destacadas para maniobrar por sus flan­ biese &lt; reido conveniente al pian de sus operacio­ cos. Es constante que el mariscal Massena se ha­ nes; íitera de que no podía enviar h.icia aquel pun­ bría alegrado de que el general ingles saliese de su to tropas inglesas, que eran las únicas con cuy…</t>
  </si>
  <si>
    <t>bo, porque así convenía á mis designios. En este pueblo, que es el primero de la provincia d? Ala­ ba, tV.í htcho sabedor por mis confidentes, que el mariscal Massena llegar á Vitoria, y pasar á Francia escoltado da 2000 hom­ bros. Q uise hacerle canecer á este ángel de las victorias que mi divi­ sión no le temía , á pe¿af de…</t>
  </si>
  <si>
    <t>Masseoa</t>
  </si>
  <si>
    <t>a per­ En 18x0,es decir, desde i.° de enero hasta i.° severancia invariable su sistema defensivo , y el de octubre los géneros importados ascienden á mariscal Masseoa no parece que piensa por ahora 8.040,107 tublos, y los exportados á 23.055,46j obrar ofensivamente. Por crítica que quiera supo­ rubios.. nerse la situación del…</t>
  </si>
  <si>
    <t>Massow</t>
  </si>
  <si>
    <t>la lia vívioo después pocas les trata con toda atención y miramiento á su. cla­ horas, en cuyo tiempo ha declarado esto; dtxi se y personas. El -gran mariscal Massow, como muger y tres hijos. Espetamos que el gobierno dependiente de la casa del Reí ,’ha ¡ocurrido en la ' haga toda» las pesquisas posibles para descubrir ti de'…</t>
  </si>
  <si>
    <t>Matabades, Josef</t>
  </si>
  <si>
    <t>Josef Matabades</t>
  </si>
  <si>
    <t>acante por fallecimiento de Don Cédulas hipotecarias........................ PSÍ Bernabé de la Torre. Certificaciones del tesoro público. 8 i| á 84 A D. Josef Matabades para el de Fonpedraza, Oro español contra plata.................... vacante por promoción de D. Vicente Revilla al de Cebico de la Tor re. TEATRO. A D. Felipe…</t>
  </si>
  <si>
    <t>Matamoros, Dionisio Vicente</t>
  </si>
  <si>
    <t>Dionisio Vicente Matamoros</t>
  </si>
  <si>
    <t>urante la guerra , 9 pesos fuertes. X) Ramón Feroz de Alderete , capitán de milicias , por el de uno id. , 9. Lie. D. Pedro Perez de Medina , 25. Dr. D. Dionisio Vicente Matamoros, 291. E! capitán D. Juan 'ovarrubias , por tercera parte de su oferta anual durante la guerra, 100. La 'marquesa viuda de Prado-ameno , 3000. D. Fe…</t>
  </si>
  <si>
    <t>Matas, Francisco Sánchez</t>
  </si>
  <si>
    <t>Francisco Sánchez Matas</t>
  </si>
  <si>
    <t>cielo de la fatal discordia que nos amena» l La muerte de D. Agustín Sánchez Quadrado, al pres­ desgracia del Empecinado es un nuevo fruto del bítero D. Francisco Sánchez Matas. maldito provincialismo, ó sea federalismo. (i«- Nuestro ministro de Negocios eclesiásticos que­ plemento al número 5 o del Redactor general. ) da enc…</t>
  </si>
  <si>
    <t>Maten, José</t>
  </si>
  <si>
    <t>José Maten</t>
  </si>
  <si>
    <t>nq reaban, mandé atacar por la izquierda á la seg in­ da ene ion ligera de mi mando formada en maga, llevando al frente á su teniente corend agregado D. José Maten, á quien mataron el caballo, núeaírcs que la valiente caballería de Alcántara, mandada por í íi cerón 1 D. Smntírgo Pierrard, practicaba por la derecha igual opera…</t>
  </si>
  <si>
    <t>Mateo</t>
  </si>
  <si>
    <t>dispersados con pérdida de varios muertos, entre ellos 4 de sus cabecillas, y muchos heridos. Por nuestra parte fué muerto el teniente de granaderos D. Mateo déla Vega, que habiendo id© de descubierta con 5 hombres, tu­ vo el arrojo de hacer frente i toda la chusma de rebeldes. En su fuga mataron estos monstruos á 4 europeos …</t>
  </si>
  <si>
    <t>,-xabon&amp;c. De aquí Para el curato dé Navalmoral de Posa, vacan­ han salido 283 buques cargados de las produccio­ te por muerte de D. Manuel Cuesta, á D. Mateo nes del país y de manufacturas, y hemos enviado Razóla, cura de Torija. á lo interior 185 barcos grandes, cargados tam­ Para el del Castañar de Ibor, vacante por muer­ …</t>
  </si>
  <si>
    <t>Mateo, José</t>
  </si>
  <si>
    <t>José Mateo</t>
  </si>
  <si>
    <t>. Francis­ co de la Torre; tenencias á D. Manuel Medina, D. Francisco de Paula Adames, B. Rafael del Rio y D. Pedro Aguila? A vala; y subtenencias i. D. José Mateo, D. Ramón Hernández, D. Mariano Chuliz, D. Matías Farras, D. Modesto de la Torre y D. Antonio Loma. Muques que ¡ion recogido correspondencia en la administración d…</t>
  </si>
  <si>
    <t>Mateo, Juan</t>
  </si>
  <si>
    <t>Juan Mateo</t>
  </si>
  <si>
    <t>rab en de tener parte en el honor de es­ rector general de las fabricas de Guadalaxara. tas iglesias, y de h. Ceros esta representación pa­ Kou mer ( D. Juan Mateo), cabo del regimiento rí manifestar de una manera leal y auténtica á Real Extr.-ngero. V. M. I. y R. los principios y los sentimiento* Martínez ( D. Josef) , solda…</t>
  </si>
  <si>
    <t>Mateos, Benito</t>
  </si>
  <si>
    <t>Benito Mateos</t>
  </si>
  <si>
    <t>por.............................. 2200 D. Ambrosio Ciare ía Caballero, natural de Mon- EX-rRANCISCANOS. tanehes, en Extremadura, residente en Toledo, D. Benito Mateos, natural de Tembleque, provin­ por......................................................................... 2200 cia de la Mancha, residente en Toledo , por....…</t>
  </si>
  <si>
    <t>Mathieu</t>
  </si>
  <si>
    <t>Ó33 %a j matándoles un coronel é hiriéndoles un capitán y ayunos so1dados. De residías de esta arriesgada tentativa, el general Mathieu , go­ bernador de Barcelona , publicó varios decretos de terror y de opresi m contra los infelices barceloneses en general, y en particular contra va­ rias, personas., á quienes se condenó,</t>
  </si>
  <si>
    <t>Matías</t>
  </si>
  <si>
    <t>et (D. Andrés), soldado de caballería ligera pot la constitución del estado» REI de las Espa­ de nuestra guardia real. das y de las Indias. Cesáreo ( D. Matías ), capitán de (a milicia cívica Oído nuestro gran consejo de la Orden Real de Madrid. de España, hemos decretado y decretamos lo si- • Chevaux ( D. Víctor), tirador de…</t>
  </si>
  <si>
    <t>Matras, José</t>
  </si>
  <si>
    <t>José Matras</t>
  </si>
  <si>
    <t>z; y subtenencias á D. Francisco Rafael, D. Manuel Taquinet©, D. íhdegria Msliana , D. Podro Pascual del Castillo, D„ Antonio Elers, D. Melchor Moya, D. José Matras, D. Aarustin Scrra, D. Antonio Quircó, D. Cristóbal Alvaro, Don José Torreas, D. José María Cazarla, D. Vícente Crosal. D, Ma­ nuel Dorado, D. Francisco Colmenero…</t>
  </si>
  <si>
    <t>Mau</t>
  </si>
  <si>
    <t>siguien­ ron con sus esposos en reclinatorios preparados al tes; t.° Para ia obra mejor de literatura que per­ intento al rededor del altar. El señor cardenal Mau- tenezca á un ramo que no se halle comprehendido r¡, asistido de un numeroso clero , executó por sí en ei decreto, cuino, por exempo, para el mejor mismo la ceremon…</t>
  </si>
  <si>
    <t>Maubourg</t>
  </si>
  <si>
    <t>ofreció proponer en la sesión pró- tel general fue trasladado el 16 á Zafra, donde se xí rta los medios de ocurrir á estos gastos; pero reunió con el general Maubourg, con lo que el antes de hacerlo creyó que debía recomendar á la cuerpo reunido baxo sus órdenes llegcbt á cerca cámara la abolición de los derechos sobre ios so…</t>
  </si>
  <si>
    <t>Maubourg, Laioitr</t>
  </si>
  <si>
    <t>Laioitr Maubourg</t>
  </si>
  <si>
    <t>00 hombres , sin haber tocado á las tropas que sitian á Cádiz , y sin romprehender los refuerzos que han llegado , ni el quinto cuerpo mandudo por el general Laioitr- Maubourg que estaba sobre las fronteras de Extremadura ob servando los exércitos aliadosToda esta enumeración de ia* tuerzas de Soult se dirige á hacer creer qu…</t>
  </si>
  <si>
    <t>Maubourg, Latour</t>
  </si>
  <si>
    <t>Latour Maubourg</t>
  </si>
  <si>
    <t>lo tenia mandado. Esto se executaba, cuando el 24 un exército anglo-portugues , mandado por el mariscal Beresford, llegó k Arrom chesy el 25 atacó al general Latour Maubourg que prote­ gía la evacuación de Campomayor : nuestras tropas hicieron prodigios de valor , y sostuvieron el choque contra fuerzas décuplas : el -mariscal…</t>
  </si>
  <si>
    <t>migo, y la dobíó inmeiiatimeate nuestra caballe­ se incorporaron con el del enemigo. Yo continué ría. E¡ general Latour- Maubourg maniobró coa dueño del campo de batalla , y al amanecer del 18 v.lor y destreza; pero por mas que hizo no podo hice un movimiento de flanco hacia Solano. empeñar en una acción a la caballerea enemi…</t>
  </si>
  <si>
    <t>Mauhourg, Latour</t>
  </si>
  <si>
    <t>Latour Mauhourg</t>
  </si>
  <si>
    <t>e Sevilla con u?i cuerpo que se calculaba entonces de 15 á 16000 hombres ; con les cuales se rtunió, al baxar á Extremadura, el cuerpo mandado por el general Latour Mauhourg , que se suponía de 5000. E!. general Blake, luego que supo el movimiento del mariscal Soult, conformándose entere mente con @1 plan propuesto por Y.S., …</t>
  </si>
  <si>
    <t>Mauri</t>
  </si>
  <si>
    <t>ción distlngoida que me mepecies de »Tces. Seceis aun mas de lo que yo puedo expresaros. a Los súbditos de S. A. qne se anticiparen á los Firmadoa El cardenal Mauri.” demás á tleclarar su imencioo de empreoder la fa- ' bricacion de esta especie de azúcar, tendrán el París 1$ de abril. permiso, baxo la vigilancia de las autori…</t>
  </si>
  <si>
    <t>entarlo al parlamento. También debe exami­ pado, y echó la absolución general S. Erna, el se­ narse la lista civil del Rei, y hacer algunas modi­ ñor cardenal Mauri. ficaciones sobre este ponto, ¿a voz general es de Para el 9 del mes que viene se venderá una que hai en el gabinete gran discordancia de opi­ excelente colección…</t>
  </si>
  <si>
    <t>Mauri, José</t>
  </si>
  <si>
    <t>José Mauri</t>
  </si>
  <si>
    <t>aya, escriba­ no de registros , por 0 meses de su oferta, 3ti. — De varios sugetos que han contribuido en esta real cara. D. Aiexandro de Casares, 6. D. José Mauri­ cio Rodríguez , 25. Doña Petrona de Escurdia , 20. D. Miguel Duque de Estrada , 100. D, Carlos Escoíiet, 25. D. Claudio Martínez , 20. D. Francis­ co iVIfina, 10.…</t>
  </si>
  <si>
    <t>Mauria, Santiago</t>
  </si>
  <si>
    <t>Santiago Mauria</t>
  </si>
  <si>
    <t>»»Aqai reina la mayor confosiou: las trocas Señor conde de Berveraoa......................... acó compuestas de napolitanos pasan de 16© hombres. Sr. D. Santiago Mauria............................. acó Los sicilianos están á nuestro favor. El Rei se ha Los señores empleados en la secretaría apoderado de ana parte de las renta…</t>
  </si>
  <si>
    <t>Mauricio, Francisco</t>
  </si>
  <si>
    <t>Francisco Mauricio</t>
  </si>
  <si>
    <t>y súbditos = de la décima compañía. Averardo Corboli, arcediano. ^Antonino Longe, Séptimo batallón. arcipreste. = Ignacio Pablo Camarlengo, canónigo. D. Francisco Mauricio , subteniente, i teniente de Florencia 16 de enero de 1811.” la séptima compañía. Del 2 8. D. Manuel Albelo,'sargento primero, i subtenien­ te de la tercer…</t>
  </si>
  <si>
    <t>Maury</t>
  </si>
  <si>
    <t>eta nom­ brada por Bonaparte. Esta congregación, cuya existencia no ha sido autorizada por ningún decreto, se compone de 21 miembros, y la preside el cardenal Maury. La congregación se reúne, sin aparato, 5 veces á la semana en el palacio arzobispal, y asiste ¿ sus sesiones Mr. Daru, como comi­ sario imperial, sin tener voto …</t>
  </si>
  <si>
    <t>1034</t>
  </si>
  <si>
    <t>arías á la unidad déla iglesia católica, los prelados del concilio se hablan negado ¿ adoptarlas, á excepción de muy pocos, t cuya ca­ beza estaba el cardenal Maury. Parece que el almirante Saumarez ha exigido del CJgobierno sue­ co que cuestro de 36 embarcaciones, cargadas-en la maver ^ ^ ingleses, que estaban detenidas en R…</t>
  </si>
  <si>
    <t>MauueD</t>
  </si>
  <si>
    <t>.-26 La real sociedad económica de esta cor­ D. Félix Ugarte y Doña Brígida Ugar­ te, por mano de D. León de Galarza. 1985..17 te , como herederos de Doña MauueD. Manuel Mancebo.............. .......... ....... 2017.. 8£ la Mota..................................................... 2340 D. Pablo Martin Ballesteros.............…</t>
  </si>
  <si>
    <t>Maximiliano</t>
  </si>
  <si>
    <t>del exército aliado, su quartel ge­ de exáminó las fortificaciones, y pasó revista al neral estaba ..T11 del corriente en San Juan, y regimiento del príncipe Maximiliano. El dia 23 desde entonces nada se ha ,dicho de que puníase mandó hacer el exercicio á las divisiones Lecoq y retirarse mas atras. Un oficial que ha llegado a…</t>
  </si>
  <si>
    <t>Mayor, María Matea García</t>
  </si>
  <si>
    <t>María Matea García Mayor</t>
  </si>
  <si>
    <t>añada, id., resi­ por.. ................................................................. 2200 dente en C almenarejo, por....................... 2200 Doña María Matea García Mayor, id., por 2200 D. Manuel Fernandez, id., residente en D &gt;ña Victoria Otero Castro, id., por.... 2200 Seseña, por................. 2200 D ña Rmereoc…</t>
  </si>
  <si>
    <t>Mayoral, Juan Luengo</t>
  </si>
  <si>
    <t>Juan Luengo Mayoral</t>
  </si>
  <si>
    <t>ecuero. este placer ¡os pobres encarcelados, á quienes eu- Y para el de Fechada , vacante por ascenso de vió &lt;5 hizo distribifr una abundante comida. D. Juan Luengo Mayoral al de Cerralvo, á Don El resto del dia se pasó en diversiones y juegos Antonio Baquer. públicos, dispuestos también de antemano, y se Nuestro ministro de …</t>
  </si>
  <si>
    <t>Mayoral, Manuel Sánchez</t>
  </si>
  <si>
    <t>Manuel Sánchez Mayoral</t>
  </si>
  <si>
    <t>D. M .miel Parta; subtenencias á D. José Gonzauz, D. Temas Adran, D. José Gar­ cía, D. Silvestre Ibarra, I). Cayetano Várela, D. José -Cernadas, y á D. Manuel Sánchez Mayoral; sugbtenencia- de ~~ a Don Ignacio Parada.</t>
  </si>
  <si>
    <t>Mazando</t>
  </si>
  <si>
    <t>nde también se halla Latear Mauhourg. La correspondencia de A .■••el aluda no está muy expedita \ y se no­ ta con frecuencia la faltar de correes. El ministro Mazando fué acometido de un fuerte ataque de per­ lesía, y aunque no se ha agravado, permanece todavía con el'ha­ bí íi casi perdida. maní der a! primero está nombrado …</t>
  </si>
  <si>
    <t>Mazarredo, Francisco</t>
  </si>
  <si>
    <t>Francisco Mazarredo</t>
  </si>
  <si>
    <t>halla un. edecán que fuá del general Cfcstañss, juramentado, al servicio de la Francia, llamado Valbuena. E*tc hombre cruel, á una con el vil equ ñ A D. Francisco Mazarredo, había mandado afusilar á la salida de Gnnclí.7rnma á 23 desgraciados prisioneros españoles, que por taita de alimento no ponían seguir. También el ¿entra…</t>
  </si>
  <si>
    <t>Mazarredo, Lope García</t>
  </si>
  <si>
    <t>Lope García Mazarredo</t>
  </si>
  <si>
    <t>e la D. Juan López Quevedo................ 1873 31 Misericordia................................ S0800 1). Gerónimo de Iglesias............... 6242 16 D. Lope García Mazarredo........... 7569 24 D. Francisco Lop-z de Ncñez....... 2625 El convento de rñonjas franciscas D. Pedro Pablo Pastor.................* 2464 23 de Sta» Cla…</t>
  </si>
  <si>
    <t>Mazzuchehi</t>
  </si>
  <si>
    <t>bri­ gadas de infantería , que componían 1 $0 hombres» Escriben de Bellmzona, con echa del 17 , que con 3® caballos» es decir, en todo 18® hombros el general Mazzuchehi, comandanta de Jas tropas solamente, tuve por conveniente prevenir la reunión italianas del Tessiuo, ha salido de al.i» y que ie de Blake, que traía 9® españo…</t>
  </si>
  <si>
    <t>Mcíternich</t>
  </si>
  <si>
    <t>a hecho-otra cosa que tomar algu­ dos los monumentos manuscritos. También se es- nas medidas, á ña de qne el enemigo no sorprepera del zelo del señor conde Mcíternich la exe- hendiese i -sus puestos avanzados. Se espera de un cucion de una grande empresa, que es la colección dia á otro en el quartei general turco al nuevo gra…</t>
  </si>
  <si>
    <t>Mcmtardit</t>
  </si>
  <si>
    <t>españoles á quienes la suerte de las armas pon­ ga en manos de las tropas que Y. E. manda; que ss castigue rigu­ rosamente el atentado cometido en el comandante Mcmtardit; y que el coronel Font y comandante Ssgrera sean puestos inmediatamen­ te en libertad y tratados con el decoro que corresponde á su clase. Pero si V. E. no …</t>
  </si>
  <si>
    <t>Mcndivil, José</t>
  </si>
  <si>
    <t>José Mcndivil</t>
  </si>
  <si>
    <t>e tenia colocado un canon giratorio, y esperarlos saliesen íuera de los bosque.s adonde-la metralla se aprovechase. En el ínterin el sar­ gento mayor D. José Mcndivil sostenía con serenidad y bizarría la avenida principal de los rebeldes, y al mismo tiempo sostenía el otro cañón que constantemente les hacia un horrible fuego:…</t>
  </si>
  <si>
    <t>Mcriin, Don José</t>
  </si>
  <si>
    <t>Don José Mcriin</t>
  </si>
  <si>
    <t>o Ali-Ponzom comunica desde Veracruz lo siguiente. El dia 11 de abril de 1805 á las 11¿ de la mañana , hallándose la fragata particular la Flecha, su capitán Don José Mcriin, en el placer de la Misteriosa mor 10 brazas de agua, situó este baxo en la latitud'de 18.° 52/ 42." N. y en longitud oc­ cidental de Cádiz 77.° 39/ 30",…</t>
  </si>
  <si>
    <t>Mcrtíer</t>
  </si>
  <si>
    <t>ehe resul­ „En el pliego de fecha del 22 dice qne los tar de esto necesariamente que nada impida ya al enemigos se nao retirado á Samaren, donde ocu­ mariscal Mcrtíer avanzar por la orilla merid oral, pan una posición mui fuerte. Las tropas aliadas se cosa que no pueden estorbar los 4 05© hombres van reconcentrando á una legu…</t>
  </si>
  <si>
    <t>Me'ino, Gaspar</t>
  </si>
  <si>
    <t>Gaspar Me'ino</t>
  </si>
  <si>
    <t>D Manuel de * Puerta , a D. Juan 1 Acevedo , presentero cx-premostratense. Cherbttrgo 30 de octubre. Para el Oe las Cuevas, vacante por promoción de D. Gaspar Me'ino al de á D. AleAyer entró el corsario el Gavilán de este puer­ xandio danta Muía, clérigo de prima. to, trayendo apresado al paquebote ingles el Lord Para el de B…</t>
  </si>
  <si>
    <t>Me, Don Salvador</t>
  </si>
  <si>
    <t>Don Salvador Me</t>
  </si>
  <si>
    <t>rovincias presten juramento de fidelidad y obedien­ cia, lo exijan de l«s demas gefes, v estos de sus respec ¡vos subalter­ nos. A consecuencia-,- el brigadier Don Salvador Me’endez B una, gobernador y capitari gener d de esra is? y plaza señaló Para tan grata como augusta Ceremonia el dia 8 del corriente en que jé ce­ lebrad…</t>
  </si>
  <si>
    <t>Me, Francisco Josef</t>
  </si>
  <si>
    <t>Francisco Josef Me</t>
  </si>
  <si>
    <t>ño, y reducirse á la razón? Pues uo fue asi, pues aun ex fraticiscauo descalzo. después que ie vieron completamente derrotado y Para la de Bayarcal á D. Francisco Josef Me­ disperso, prisionera una parte de él, y tomada to­ llado, presbítero ex-hospitalario de S. Juan de da su artillería , tupieron hallar nuevos motivos de Di…</t>
  </si>
  <si>
    <t>Me, José</t>
  </si>
  <si>
    <t>José Me</t>
  </si>
  <si>
    <t>granade­ ros al de fusileros D. Manuel San Llórente; y empleos de alféreces ¿ los cadetes D. Juan Nepomuceno de Mancebo, D. Juan Esteban de Mancebo, D. José Me rejón, y D. Antonio María San Andrés. Ei Consejo de Regencia se ha servido conferir el empleo de co­ ronel á D Francisco Dionisio Vives, comandante del primer bata­ ll…</t>
  </si>
  <si>
    <t>Me, José Antonio</t>
  </si>
  <si>
    <t>José Antonio Me</t>
  </si>
  <si>
    <t>vara, 10. D. Francisco Figueroa, 6. D. José María Neira; 8. D. Ramón Baez , 5. garios individuos, 46 y 1 rs. — S. Fernando. D. Fé­ lix Cevallos , 25. D. José Antonio Me riel mea, 12. V arios individuos, 47 y 2 rs. — Santa Rosa. D. Francisco del Prado, 30. D. Melchor Velarde, SO. D. Antonio Muñiz, SO. D. José María Cadena, 20.…</t>
  </si>
  <si>
    <t>Me, Miguel</t>
  </si>
  <si>
    <t>Miguel Me</t>
  </si>
  <si>
    <t>s Cadena, 40. Capellán D. Juan Ñepomuccno Peña, 50. Los sargentos , cabos y soldados, 1718.—Aguaverde. Capitán D. José Joaquín ligarte, 100. Teniente D. Miguel Me­ sa, 6. Alférez primero D. José Mam de Arce, 15. Capellán Don Pedro Cárdenas, 5. Sargentos, cabos y soldados, 917. —Babia. Ca­ pitán Don Dionisio Valle, 100. Tenien…</t>
  </si>
  <si>
    <t>ligera de voluntarios de ía Victo­ ria : los de caoitan primero á D. Miguel Diez, D. ‘Miguel A rióla y D. Joaquín Rodríguez; el de primer ayudante á D. Miguel Me­ ra; los de capitán segundo á D. Mariano Ó diana, D. Juan Csvallos, D. Juan Vergas, D. Manuel Melgares y D. José Morera; les de teniente i D. Antonio García , D-' Ma…</t>
  </si>
  <si>
    <t>Mea, Ricardo</t>
  </si>
  <si>
    <t>Ricardo Mea</t>
  </si>
  <si>
    <t>Manuel Ferrer y Sans, 1000. D. José Closa, 4-00. D. Antonio Guirií'au , 4üü. D Simón de Agreda , 200. IX José Cubero , 200. i). Cristóbal Vidal, 120 D. Ricardo Mea.de , 1000. D. Jacobo Enrique Mistíer , 400. IX Andrés del Fresno, 120. D. Francisco Miguel Barón , 500. Don Ramón Soler, 504. D. Juan Francisco de Vergara , ItíOO.…</t>
  </si>
  <si>
    <t>Mead, Mariano</t>
  </si>
  <si>
    <t>Mariano Mead</t>
  </si>
  <si>
    <t>edrático de prima del seminario de Guada laxara. De Tabasco ; el Sr. Dr. D. Jo­ sé Rdnardo de Cárdenas , cura de Cunduacan. De Querétaro : el Sr. Dr. D. Mariano Mead ¿ola ( por renuncia del R. P. Fr. Lucas Centeno , Agustino ). De Tlaseala : el Sr. Dr. D. José Miguel Guridi y Alcocer, cura ríe la villa de Tacú baya. Del Nuevo…</t>
  </si>
  <si>
    <t>Méca, Francisco</t>
  </si>
  <si>
    <t>Francisco Méca</t>
  </si>
  <si>
    <t>á capitanes, V los tenientes .D; A uptiiO González Ron, D.i Joaquín de Miguel, D Pedro del B treó y D. Francisco Saraviáy y a teniente al subteniente D. Francisco Méca., •V ,¡ .. r,. -N-U :•* &gt; 1 ..i k . ! í. rnrrrr. ".“■'U" "7 CADIZ : EN LA IMPRENTA RE^.</t>
  </si>
  <si>
    <t>Meceses, Gívro</t>
  </si>
  <si>
    <t>Gívro Meceses</t>
  </si>
  <si>
    <t>nes de Almansa, el ecípieo de sargento mayor á D. Pedro Aíclna, capitán del propio cu*?no : en el el» dragones de Granula, comandancia de escuadren i D. Gívro Meceses, comandar.te de! extimraido escuadrón de cazadores de? Hur­ gas ; tenencias « D. Manuel do Haces, D. Roque Tesantes y D. J.**n M ateo, tenientes del mismo «gcna…</t>
  </si>
  <si>
    <t>Medina, Francisco</t>
  </si>
  <si>
    <t>Francisco Medina</t>
  </si>
  <si>
    <t>. D. Juan Manuel de Arjona. (1) Arbmtus, caule arbóreo, foliis glabris serratis, D. francisco Josef de la Cruz. hacéis poljepcrmis. Tourn, Tenientes. D. Francisco Medina. D. Josef Aragón y Villalba. Subtenientes. THATXOS. D. Antonio Moyano. En el del Príncipe, á las quatro de la tarde, s* D. Luis Ortiz. * representará por la …</t>
  </si>
  <si>
    <t>Medina, Gerónimo</t>
  </si>
  <si>
    <t>Gerónimo Medina</t>
  </si>
  <si>
    <t>Paula Hornillos, en cada mes , 15. El oficial mayor D. Manuel Ortiz , en cada un año , 80. El segundo D. Blas Valladares, en cada mes , 5. El tercero D. Gerónimo Medina . 30. El quai'to D. Juan de Dios Centeno , en cada mes, 2. El quinto D. José María Echanove, 12 y 4 rs. El oficial agregado D. Miguel González.Rueda, en cada …</t>
  </si>
  <si>
    <t>Medina, Joaquín</t>
  </si>
  <si>
    <t>Joaquín Medina</t>
  </si>
  <si>
    <t>doy , 10. Don Angel Alfaro, 10. Don José Palmer, 25. Nicolás Trejo , 6. Don Simón Montes de Oca , 20. Don José Alfaro, SO. D. José Alfaro Aguiar, 25. D. Joaquín Medina, 10. Matías Montes de Oca, 10. D. José Sierra, 2. D. Francisco Romero, 5. D. Salvador Arabich, 10. D. José Francisco Alfaro, 5. D. Buenaventura Vefazqtiez , 2 …</t>
  </si>
  <si>
    <t>Medina, José Perez</t>
  </si>
  <si>
    <t>José Perez Medina</t>
  </si>
  <si>
    <t>uel de Regil, 400 ps. fs. D. Luis Totosans , 300. Doña María Josefa del Valle , 4000. D. Fernando Gutierre*;, 500. D. Mi­ guel Duque de Estrada, 500. D. José Perez Medina, 500. D. Hemeterio Dalias, 500. D. Juan Agustín de Ibarra , 300. D. Domingo Sainz Pardo, 200. D. Pedro Rosell, 200. D. Buenaventura Gualba, 200. D. José Gom…</t>
  </si>
  <si>
    <t>Medina, Juan Antonio</t>
  </si>
  <si>
    <t>Juan Antonio Medina</t>
  </si>
  <si>
    <t>rid en 1805. I Doña Juana Pintor, por real orden libranzas. de 6 dé octubre de 1804, por vía de limosna............... ........................ 768 1 D. Juan Antonio Medina......... . ; 4661 1S. 1 1 D. Francisco López Lisperguer, por l D. Domingo de Urrotia............ ........ 5242 16 sus sueldos en diferentes destinos;. . 1…</t>
  </si>
  <si>
    <t>Medina, Manuel</t>
  </si>
  <si>
    <t>Manuel Medina</t>
  </si>
  <si>
    <t>n, D. Santiago Moreda, D. Jasé Capilla, D. Joaquín Covisa, D. Ramón Lodares y D. Salvador d® Les; ayudantía á D. Francis­ co de la Torre; tenencias á D. Manuel Medina, D. Francisco de Paula Adames, B. Rafael del Rio y D. Pedro Aguila? A vala; y subtenencias i. D. José Mateo, D. Ramón Hernández, D. Mariano Chuliz, D. Matías Fa…</t>
  </si>
  <si>
    <t>Medina, Seeunciino</t>
  </si>
  <si>
    <t>Seeunciino Medina</t>
  </si>
  <si>
    <t>. id., por..................... 2 200 Indias. D.Casto de Medina, id. id. , por............... 22CO En conformidad i nuestros decretos relativos á las D. Seeunciino Medina , id. id., por........... 2200 pensiones que han de gozar los ex-regulares; vista la :D. Pedro Tellez, id., residente en id. , por 2 200 exposición de nuest…</t>
  </si>
  <si>
    <t>Medran, Mnriano</t>
  </si>
  <si>
    <t>Mnriano Medran</t>
  </si>
  <si>
    <t>, D. Vicente Ji re­ velo , D. Dkgo Fénollet , B; J*sé Saezy D. José Romero , y Dm Jo-é Aguí lar; en el de Valencia, compañías á D. Manuel ÍL mi­ ras, D. Mnriano • Medran©, P.' Antonio Quitos : tenéE^íj» á Don Antonio E’-teba ’, D. Francisco B otobs* D. Busardo Vida?, Don Juan de Dios Lasa!», D. F«iip5 Ma varíete, D. Jo&amp;quin G…</t>
  </si>
  <si>
    <t>Medrana, Juan</t>
  </si>
  <si>
    <t>Juan Medrana</t>
  </si>
  <si>
    <t>u» tía Arrute ? D Juan García, D. Antonio Salgado. D. Pascual Be caria, v ÍJ. José Y^zquez Yarela; subtenencias á D. Manuel de los Ríos, D. Pío Tona, D. Juan Medrana, D. Cristóbal Sánchez, D. Pssdro Alvares:,.D. Cipriano V'dal., .D. Salvador Mora, D. Tomas de Sindc, D. José fereyra , D. D’ego Blanco y D. José Delgado; subtene…</t>
  </si>
  <si>
    <t>Medrano, Antonio</t>
  </si>
  <si>
    <t>Antonio Medrano</t>
  </si>
  <si>
    <t>nstrucciones de Inglaterra. Ojesto secretario general de la prefectura de San­ Serrnrier ha sabido sin duda quanto ha pasado tander; y á D. Juan Dot, D. Antonio Medrano entre Mr. Forster y Mr. Maddisson, y en lugar y D. I nocencio Estúniga para formar el consejo de limitarse á observar la negociación, él habrá si­ de prefectu…</t>
  </si>
  <si>
    <t>Meirame, Jnsef</t>
  </si>
  <si>
    <t>Jnsef Meirame</t>
  </si>
  <si>
    <t>-carmelita des­ otra renta ó sueldo equivalente. calzo, residente en Córdoba , por.......... 2200 art. ni. Nuestros ministros de Negocios eclesiásti­ D. Jnsef Meirame , ex-dominico, residen­ cos y el de Hacienda quedan encargados de la execute en id., por................................................. 2200 ciou del presente…</t>
  </si>
  <si>
    <t>Mel, Diego</t>
  </si>
  <si>
    <t>Diego Mel</t>
  </si>
  <si>
    <t>o de utensilios, con cabida de Ubeda, de 9 cuerdas de 124 aranzadas, y olivar con tierra, y 9080 vides; linda 4020 pies, 300 álamos blan¿ con otra de D. Diego Mel­ eos medianos, y 8 gran­ garejo, y estacar de Juan des, situada en el nacimien­ Torralba............................... 1068.. 8 12818..28 to del rio ó vadillo de J…</t>
  </si>
  <si>
    <t>Melenko-Stoick</t>
  </si>
  <si>
    <t>ado á Belgrado 300 reclutas y conva­ Londres 26 de abril. lecientes del primer batallón del regimiento de ÍAHUME1ITO IMPERIAL Podofski. Dicese qne el comandante Melenko-Stoick ha Sesión del 2 5 de abril. vuelto á ocupar la posición de Boretsch. la sesión de- la cámara alta se ha suspendido para otro dia, después de haber reci…</t>
  </si>
  <si>
    <t>Melentjew</t>
  </si>
  <si>
    <t>dias siguientes á entregar las arenas á los rusos y á Stuttgardt 6 de enero de 18II. pediriev perdón. Un artículo, publicado de oficio en esta, da El coronel Melentjew salió con su regimiento cuenta de la solemnidad con que se ha celebrado á la aldea de Gan, cerca de Widdin, con el en­ en la ciudad de Ulma la coronación de nu…</t>
  </si>
  <si>
    <t>Melgarejo, Don Nicolás</t>
  </si>
  <si>
    <t>Don Nicolás Melgarejo</t>
  </si>
  <si>
    <t>e cazadores. Heridos. Él coronel D. Juan Lasaña, capitán del segundo batallón de guar­ dias españolas : capitán D. Ambrosio Salazar, alférez de id. : teniente coronel Don Nicolás Melgarejo, ayudante mayor del cuarto batallón de id. : los capitanes Don Ignacio Medina / segundo teniente, y D. Agustín Salvador, alférez de id.: l…</t>
  </si>
  <si>
    <t>Melgarejo, Josef</t>
  </si>
  <si>
    <t>Josef Melgarejo</t>
  </si>
  <si>
    <t>a ,-ex­ -que un peso de 60 libras á un pie por segundo, lo franciscano. i&gt; que da 1.7289 libras les'antadas á un pie por efecto Para la de Colomera á D Josef Melgarejo , ex­ - diario, se tendrá por 8 horas de trabajo al dia un peso franciscano dése,. zo.f »* de i9 libras elevado 3 3 pies ~ por minuto ; y Para la primera de Da…</t>
  </si>
  <si>
    <t>Melgares, Facundo</t>
  </si>
  <si>
    <t>Facundo Melgares</t>
  </si>
  <si>
    <t>axo, á mas de, los que tomó el capí» tan B aclamante.” En tal concepto he facilitado los 500 hombres de auxilio que se me piden al cargo del teniente D. Facundo Melgares , y con el resto de mi exárcita emprendo ral marcha hoy para la hacienda de Pato?, con'dirección á la reconquista del Saltillo : lo que participo a Y. S. par…</t>
  </si>
  <si>
    <t>Melviile</t>
  </si>
  <si>
    <t>ular. El conde Perci, caballerizo mayor , y llamado Del *7. al gabinete por un ivrit particular. Ya hace tiempo que se decia que Iba á hacer­ El lord vizconde Melviile, gobernador gene­ se un arreglo mui importante en el gobierno. En ral de las ludias.</t>
  </si>
  <si>
    <t>Membripartiese, Vicente</t>
  </si>
  <si>
    <t>Vicente Membripartiese</t>
  </si>
  <si>
    <t>i Mur­ los que le hicieron quando le encargaron que, por su medio y por los satélites que tenia en Guadalax.tra , re­ cia , 2* de infantería ligera , D. Vicente Membripartiese unas qu.intas camisas y zapatos que Je enviaban llera, teniente., á ayudante del primer batallón: para el Empecinado, haciéndole el honor de nombrar­ D…</t>
  </si>
  <si>
    <t>Memendauo, Pedro</t>
  </si>
  <si>
    <t>Pedro Memendauo</t>
  </si>
  <si>
    <t>407 aj| 3 D. Cristóbal Perez y Doña Angela 4 D. Nicolás de Besabe........................... 722 Blanco...... ...i........ ...................... . 2 D. Pedro Memendauo......................................270 25I 1444 1 D. Rafael Rodrigues.......................... 2888 2 D. Ped ro del Campo, por su apode­ 6 D. Angel Gerónim…</t>
  </si>
  <si>
    <t>Men</t>
  </si>
  <si>
    <t>es por S. E. el mariscal x. El señor general lmas, gobernador, podrá, duque de Treviso, comandante de las tropas del si quiere , enviar un oficial al general en gefe Men­ exército del sitio ; dizabal para darle parte de la presente capitula­ Y el señor Hore, brigadier del exército espa­ ción. ñol , teniente coronel del regimi…</t>
  </si>
  <si>
    <t>Mén, Luis</t>
  </si>
  <si>
    <t>Luis Mén</t>
  </si>
  <si>
    <t>0. D Francisco Pé­ rez Díaz , 10 D. José Cabrera , G. D. Francisco Púa , 6. D. Roque Beyroa , G. D Venancio Ramírez , 6. D. José M-.irí i Sevilla, G. D. Luis Mén­ dez , 5. D. Antonio Calero, 5. D. Francisca Peralta , 6. Pedro Saboila, 4. X&gt; Ramón Totosans, 4. D. Juan Perez, 4. D. Valerio Grau , á D. Juan de Dios \randa, 8. D.…</t>
  </si>
  <si>
    <t>Mena, Ventura</t>
  </si>
  <si>
    <t>Ventura Mena</t>
  </si>
  <si>
    <t>e la misma clase gradúa lo de teniente coronel Di José Iglesias ,,y á los capitanes D. Simón Wall, •D. José del Aguila, graduado de teniente coronel, D. Ventura Mena, D. Antonio Puig, graduado de teniente coronel, y Marques de Villacampo; y los de ayudantes segundos á los capitanes D. Angel Saavedra, D. Diego Guillen Buzaran,…</t>
  </si>
  <si>
    <t>Menacho</t>
  </si>
  <si>
    <t>o ruinas $ que el fuego que hacia al enemigo era muy superior al que este le hacú; que á excepción de la perdí 'a que había sufrido con la muerte del gobernador Menacho , no había experimentado otra $ que no carecía de víveres y de muni danés ; y finalmente que se hallaba en buen es­ tado , y era probable que aun podría resis…</t>
  </si>
  <si>
    <t>Menacho, Rafací</t>
  </si>
  <si>
    <t>Rafací Menacho</t>
  </si>
  <si>
    <t>-Fdkicmo Cussta-~- Sr.-D: Julián Sánchez.” • iCon f^cha de &amp; de cite mes remite al-señor min istro de la .guerra él gobemador de la pla2a-de*B’adájoz D. Rafací Menacho él parte diario de los srceso^ del-Biúofque'aquí 'se':copia: v, “Excmp. Sr.: Al amanecer de hoy 27 de enero se observó por la torre</t>
  </si>
  <si>
    <t>Menachode, Rafael</t>
  </si>
  <si>
    <t>Rafael Menachode</t>
  </si>
  <si>
    <t>ició en un sitio, sino en las acciones particulares con motivo de salidas vi­ gorosas , correspondiendo al deseo y fatigas de su valiente gobernador. D. Rafael Menachode eterna y apreciable memoria, que fue muerto sobre el muro el dia 4 de este mes, dando exempío de constancia y bizarría á sus subditos; sin embargo de que el …</t>
  </si>
  <si>
    <t>Menc</t>
  </si>
  <si>
    <t>illas patrióti­ cas .de 1&amp; Rioji, qu-s venia con ór-lenes del general Gistsños para 4£tio se lo sumúmir&amp;csn municionesy.nos dio la noticia de que. el general Menc!Izaba! «s otaba tn camino para, tomar el mando del sépti­ mo exército y provizíctea de su comprehensión. Se asegura rnis el genera 1 Sityeyra está tomando disposici…</t>
  </si>
  <si>
    <t>Menche, Carlos</t>
  </si>
  <si>
    <t>Carlos Menche</t>
  </si>
  <si>
    <t>... ............... 2471- 7 D. Manuel Llórente.................................. D. Juan Teran............................ ............... 1188.. 7 , D. Carlos Menche................ ................. :9o.. 8} D. Fernando Diaz.................................... *965..27 La real congregación de S- Fermín, D. Francisco Ortiz..…</t>
  </si>
  <si>
    <t>Mencía</t>
  </si>
  <si>
    <t>o la suerte de las armas no fue milicia cívica que á cada ono se detallan. «conforme á sos planes y buenos deseos. El vecin— art. Ii. En’ la villa de Doña Mencía , de la «dario de esta capital ha sido fiel testigo del valor prefectura de Córdoba, te formará un batallón. «con que en lo general se batieron nuestras tro— Nombram…</t>
  </si>
  <si>
    <t>Mencliaca, Félix</t>
  </si>
  <si>
    <t>Félix Mencliaca</t>
  </si>
  <si>
    <t>antes , 40. D. Rafael Cortes , 10. D. Juan José Zambrano, 10. El barón de Bastrop, 100. D. Pedro Giral, 50. D. Manuel Delgado, 10. D. Luis Galan, 10. D. Félix Mencliaca, 50. D. Manuel Nunez, 10. Varios individuos 144 y 6 rs. Los vecinos de la misión de la Espada, 24. El cura D. José Clemente Ároclia , 50. Sulxliacono D. Juan …</t>
  </si>
  <si>
    <t>Menclizabal</t>
  </si>
  <si>
    <t>estros enemigos en otras ocasiones , sobraban muchos aprestos y aparatos. Eo mas verosímil es que con estas apa­ riencias de sitio quieren inducir al general Menclizabal á repartir sn exército en las plazas para que no los moleste en su tránsito á Portugal. El socorro de Massena es el negocio que mas urge ; y probablemente lo…</t>
  </si>
  <si>
    <t>Mencndez, Tomas</t>
  </si>
  <si>
    <t>Tomas Mencndez</t>
  </si>
  <si>
    <t>Manuel Sorzáno ySoria.... 55129 17 apoderado Pinillos y Perez............ 1985 17 36 Pinillos y Ptrez................................... 14530 8-‘- 1 D. Tomas Mencndez................................ 1624 17 9 D.B1 as Sánchez Puertas , curador ad- 2 D. Antonio de la Gañín.................. . 3610 bona de D: Juan Mateo Xalraqu…</t>
  </si>
  <si>
    <t>Mendez, Agustín Josef</t>
  </si>
  <si>
    <t>Agustín Josef Mendez</t>
  </si>
  <si>
    <t>.................... ..... 4 Doña lgnacía de la Concha........ . 677 I2307 17 2 D. Fausto Ibañez................................. 722 *3f 22I485 25 1 D. Agustín Josef Mendez................... 370 25! 24 D. Joaquín Gómez............................... 28744 25! Recibos y certificaciones de réditos devengados de juros. 7 D. Ma…</t>
  </si>
  <si>
    <t>Méndez, Antonio Hernández</t>
  </si>
  <si>
    <t>Antonio Hernández Méndez</t>
  </si>
  <si>
    <t>. por el parque del palacio. (The Sun.) Las embarcaciones que están en las costas de Tenientes. Inglaterra han recibido orden de izar las señales si­ D. Antonio Hernández Méndez. guientes para avisar que hai á la vista algao boque D. Antonio Ordoñez. enemigo. D. Francisco Crpero Cuevas. Para señalar una &lt;5 mochas fragatas ene…</t>
  </si>
  <si>
    <t>Méndez, Luis López</t>
  </si>
  <si>
    <t>Luis López Méndez</t>
  </si>
  <si>
    <t>er 5 del corriente ha llegado á esta capital D. Simón de Bolívar u ío de nuestros envia­ dos cerca de S. M. B. quedando en aquella corte íu compañero D. Luis López Méndez, hasta concluir la negociación con aquel gabinete. Faltan voces al primero para explicar su reconocimiento ai gran protector de nuestra causa Sr. marques de…</t>
  </si>
  <si>
    <t>Méndez, Miguel</t>
  </si>
  <si>
    <t>Miguel Méndez</t>
  </si>
  <si>
    <t>nde de $ta. María de I,oreto , por mano de D. Juaiv Luis Marqueti •, y entrega de Mr. Vertaut, de nación francés, en calidad de donativo , 44 y 2 rs. D. Miguel Méndez , escribano , teniente de gobierno y cabildo de esta ciudad por mano del mismo Marqueti ,350. D. Lorenzo Ñi­ ques , apoderadoMe ios Sres. Onofres, Mas, Vidal, d…</t>
  </si>
  <si>
    <t>Mendinueta, IVÍariano</t>
  </si>
  <si>
    <t>IVÍariano Mendinueta</t>
  </si>
  <si>
    <t>rigido los comandantes de los diferentes puntos por donde nuestras guerrillas, protegidas por la división de lanchas del mando del espitan de fragata D. IVÍariano Mendinueta, salieron en los difis 16 , 17 y x° del corriente á hacer diversiones sobre el enemigo j resultando haberles destruido dos parapetos, y volado tres repue…</t>
  </si>
  <si>
    <t>Mendiri, Pedro</t>
  </si>
  <si>
    <t>Pedro Mendiri</t>
  </si>
  <si>
    <t>familias de /., Mendiri. nación que á las tropas triunfantes del vencedor, corre NUMERO XI. el peligro de provocar ya la venganza de este, y url Sr. D. Pedro Mendiri. exemptar terrible y doloroso, que extermine los bandidas, que termine de una vez el mal, será tal vez el únin El señor coronel D. Francisco Espoz y Mina, con cá…</t>
  </si>
  <si>
    <t>Mendizaba</t>
  </si>
  <si>
    <t>de tropas. ^ La marcha de Soult con todo el eXércitode su mando s(Rre esta provincia ha dado ocasión á un movimiento general de nuestras tro­ pas. El general Mendizaba 1 está en esta plaza , y Ballesteros hvi marchado hacia Aroche. Parece que los franceses tratan de pasar el Guadiana por el puente de Mérida, donde entraron an…</t>
  </si>
  <si>
    <t>Mendizabal</t>
  </si>
  <si>
    <t>Cada vez es mas estrecha la situación de los enemigos en Llerena á pesar de los grandes almacenes que tienen de harina y galleta. Dia 17.' Estando el general Mendizabal en Bienvenida , se tuvo aviso á las 4 de la mañana de que los enemigos abandonaban á V"ilhgarcía , y pocos momentos después se pusieron en marcha to la la cab…</t>
  </si>
  <si>
    <t>añolas que venían de Lisboa, llegaron el 2 del corriente á Estremoz, y el 5 se hallaban to­ das nuestras fuerzas reunidas en Yelves á las órdenes del general Mendizabal.—Se dice que la guarnición de Badajoz hizo una salida/el del pasado con buen éxito ; que el g y el 4 de este era horroroso el fue­ go de obús que el enemigo d…</t>
  </si>
  <si>
    <t>pero el general Mendizabal lee mando ^ae ** ^c“ á Badajoz, porque los franceses se'han reforzado tuviesen en el camino. . en las inmediaciones de aquella plaza , y~no puede ,, Después que escribí i V» $« nu. diurna carta Ser mui largo el sitio si</t>
  </si>
  <si>
    <t>ería de S. M., y los ruegá ,,Siento tener que decir á 'V.. S. que los fran­ humildemente que hagan de manera que se conce­ ceses han atacado el 19 al general Mendizabal ai da un socorro por medio de ú»n empréstito en bi­ la posición que ocupaba en las alturas de $. Cris­ lletes del ec'hiquier (según se éxecutó en el año tóbal…</t>
  </si>
  <si>
    <t>1314</t>
  </si>
  <si>
    <t>migración de los jóvanes de Sargos para Potes- La po­ licía ha apurado inútilmente sus recursos para estorbado. Si viernes 11 del corriente estuvo el general Mendizabal en Potes, donde revisté la división de Portier, y arengó á loa soldados. Sus pro­ clamas han hecho el mejor efecto en todo el país, y se le incorporan diaxism…</t>
  </si>
  <si>
    <t>Mendoza, Antonio</t>
  </si>
  <si>
    <t>Antonio Mendoza</t>
  </si>
  <si>
    <t>segundo batalloYi de guardias españo­ las : los tenientes D. Félix Aznar y D. José Goiti, del regimiento de voluntarios de la Patria ; y el teniente D. Antonio Mendoza , del batallón de cazadores. Heridos. Él coronel D. Juan Lasaña, capitán del segundo batallón de guar­ dias españolas : capitán D. Ambrosio Salazar, alférez de…</t>
  </si>
  <si>
    <t>Menendez, Lope</t>
  </si>
  <si>
    <t>Lope Menendez</t>
  </si>
  <si>
    <t>, 100. D. Luís Peset, 25. D. Bartolomé Ballester, 50. D. Ventura Martínez, 10. D. Pedro Bonet, 25. D. Bartolomé Cabrera, 10. D. Gregorio López , 10. D. Lope Menendez, 25. D¡* Silvestre Rodríguez, 10. D. José Martínez , 10. D. Jo­ sé María Godoy , 10. Don Angel Alfaro, 10. Don José Palmer, 25. Nicolás Trejo , 6. Don Simón Mont…</t>
  </si>
  <si>
    <t>Menerulez, Juan</t>
  </si>
  <si>
    <t>Juan Menerulez</t>
  </si>
  <si>
    <t>0. Doña Dolores Otañez, 1. Lie. D. Juan Rafael de Al jo-, rin , cura de Quivican, á nombre de Doña Juana María González de Nie-, bla, 20. Ei capitán. D. Juan Menerulez, habilitado del real cuerpo de ar­ tillería, por oíerta de su. oficialidad y tropa, incluso el ministerio político de el , 2do8. Daña Rosalía Peña!ver , por pr…</t>
  </si>
  <si>
    <t>Meneso, Pedro</t>
  </si>
  <si>
    <t>Pedro Meneso</t>
  </si>
  <si>
    <t>r sus co-. mandantes D&lt; Juan Pesquera, D¿ Martin Collado, D. Gabriel Aroiijo y J&gt;i Francisco Orraníia, todos á las órde&amp;es ael* capitán d? dra­ gones D. Pedro Meneso. Ei espíritu, serenidad y entusiasmo con que los granaderos y par. triólas, conducidos por suo g. f s D* José Muría Jalón y el tenisntecoron&amp;l Oviedo, avanzaron …</t>
  </si>
  <si>
    <t>Menestadística</t>
  </si>
  <si>
    <t>r es el señor »»donde no hemos recitado noticias directa.; pera Hormair, contienen excelentes artículos tobre la «.sabemos por conducto seguro que el general Menestadística, como también sobra los diferentes ra­ • dizabal ha ¡legajo á'Y-ives, y ha juntado toda» mos de la administración, fil mismo escritor publi­ *»las tropas …</t>
  </si>
  <si>
    <t>Mera</t>
  </si>
  <si>
    <t>ausándoles una pérdida de 150 hombres entre muertos y heridos. La nuestra no ha pasado de 20 , pero ha sido muy sensible- por contarse entre ellos ei teniente coronel Mera, comandante de las guerrillas de caballería, que murió en la acción peleando valerosamente. Fregenal 22 de diciembre. La salida de los franceses de Llerena…</t>
  </si>
  <si>
    <t>Mercado</t>
  </si>
  <si>
    <t>tada fuga , abandonando 2 cánones ; y perseguidos en su retirada á S. Blaí, lo abandonaron todo, volando sus municiones y dexanáo otros 6 cañones. El cura Mercado llegó á 5. Blas, donde se proponía defenderse: pe­ ro los leales moradores de aquel pueblo se concertaron reservadamen­ te para arrestarlo á media noche con algunos…</t>
  </si>
  <si>
    <t>$ en Guadalaxara; salió el se­ gundo de aquella ciudad con el exército de su cargo por la dirección de S. Blas el día 26 de enero á buscar al rebelde cura Mercado, que con un cuerpo de sediciosos y 14 piezas de artillería, se hallaba situa­ do en la posición de la Barranca (i), y por el parte recibido del brigadier D. Jasé de…</t>
  </si>
  <si>
    <t>fecha del 2 de febrero le daban parte de que el vecindario del aposta­ dero de S. Blas, que había sido entregado anteriormente por capitu­ lación al cura Mercado, titulado teniente general americano , se había le­ vantado , luego que pudo, contra sus opresores ¿ y le pedían prontos so­ corros contra el cabecilla Aldama, de qu…</t>
  </si>
  <si>
    <t>436</t>
  </si>
  <si>
    <t>para su debido cdr.oumieríto; y por su contenido quedará V. E. impuesto do todo el suceso ocurrido en aquella villa, y el premio que tuvo el rebelde cura Mercado por sus maldades, habié idose despeña­ do en un precipicio prcfundo per huir de la muerte Si esta noche recibo cpnt*. stadon dd S-v Calkja á mi oficio de antésdeayer…</t>
  </si>
  <si>
    <t>Mercado, José María</t>
  </si>
  <si>
    <t>José María Mercado</t>
  </si>
  <si>
    <t>iunfo de la justicia y dtl orden. El brigadier D. José de la Cruz salió de Guadalaxara eí 26 de enero en busca del cuerpo de sediciosos, maridado por D. José María Mercado, cura de Agualulco, uno délos principales caudillos de la insurrección, y lo alcan­ zó el 31 junto á la barranca de Mauinalco: donde de resultas del vi­ vo…</t>
  </si>
  <si>
    <t>4SS Ai padre D. José María Mercado se halló al siguiente dia muerto én la profundidad de un voladero, contiguo á las casas del coman iante y ministros del apostadero: quien desde luego experimentó esia des­ gracia por hacer fuga. Sepultados sus cadáveres en el mismo dia, no ha- ocurrido no</t>
  </si>
  <si>
    <t>Merchi, Cayetano</t>
  </si>
  <si>
    <t>Cayetano Merchi</t>
  </si>
  <si>
    <t>o Pablo Perez de D. Matías Duran.............. ..........,.............. 207J..25I Arruta...................................................... 90000 D. Cayetano Merchi, por mano de Rs. vn...- 1.574387.'. 5 D. Luis Guiltelmo Uhagon.................. 3971 D. Joaquin de Orue, por mano de Don Luis Mattinez de Novales......... ..…</t>
  </si>
  <si>
    <t>Mergarejo, José</t>
  </si>
  <si>
    <t>José Mergarejo</t>
  </si>
  <si>
    <t>nas, 224. D. Pedro Robles , 3G7. D. Feli­ pe Rafael de Robles, 938. D. Antonio M azuco y Chazari, 500. D. José Mon­ tano, 52. D. Manuel Portillo, 64. D. José Mergarejo , 132. D. Juan Ayllon, 32. Doña Ana Rabel , viuda de Conturie , 100. D. Mateo Rodríguez Sánchez, 1215. i). Lorenzo Rodríguez, 4768. D. Sebastian Izquierdo , 50…</t>
  </si>
  <si>
    <t>Merino, Gerónimo</t>
  </si>
  <si>
    <t>Gerónimo Merino</t>
  </si>
  <si>
    <t>ses de ios de Portugal, desmontados, heridos y miserables.— Continua la deserción, y se nos pasan hasta algunos gen termas. ' Extracto de un parte de D. Gerónimo Merino á la junta superior de Burgos. — Campo de Ura 29 de abril de 1811. ¿í Aviles de ayer supe que había entrado en Cova?rubias una columna enemiga. Me acerqué á t…</t>
  </si>
  <si>
    <t>Merlin</t>
  </si>
  <si>
    <t>es­ tos con las Cortes con el objeto de destruir la unión que tanto perju­ dica á sus planes. — El 5 por la mañana pasó revista á la guardia real el general Merlin en el campo de los guardias : por la tarde entraron los 200 hombres de caballería é infantería que habían sa­ lido al mando del marques de Griardi: en esta expedic…</t>
  </si>
  <si>
    <t>Mermct</t>
  </si>
  <si>
    <t>e la parte de Toro y caminaban sin detención á Bur­ gos. Ea-Tordeúllas, Simancas y Caatalapiedsa solo han dexado guariiiciorus de á 80 hombres. ■— El general Mermct ha ido á tomar el mando de l sexto cuerpo en lugar de N y que se feé á Francia. Los corob tes de los dias 5 y 7 en F a entes de Oñoro cerca de Almeyda, han sido s…</t>
  </si>
  <si>
    <t>Meruendano, Bernardo</t>
  </si>
  <si>
    <t>Bernardo Meruendano</t>
  </si>
  <si>
    <t>.19 D. Antonio Cbaserot de Castro........ i.. 541..17 D, Miguel Félix de Velasco....... 3333 ^n2 D. Juan Francisco Martínez................. 4Í¡‘- 8j D. Bernardo Meruendano........................ 3456J D. Pedro López................................... . 156 .17 D. F rancisco Meruendano....................... 18000 P-Josef Ca…</t>
  </si>
  <si>
    <t>Meruendano, Francisco</t>
  </si>
  <si>
    <t>Francisco Meruendano</t>
  </si>
  <si>
    <t>orte................................. 22791..5 D. Domingo Josef de Casas.................. 3700- 8f D. Santiago de Abarrategui............. . 7J3I” 7 D. Francisco Meruendano...................... 2707..17 D. Josef Escalera.................................... . 1Q4f D. Andrés de Abrisquieta por sí, y á Doña María Tournier.....…</t>
  </si>
  <si>
    <t>n lentímo señor D. Gonzalo O-Farril,,ministro de la Carlos T’Serclaes. = D. Miguel García Sacrimn.= Guerra y capitán general de los reales exércitos, D. Francisco Meruendano. z= D. Tomas de Ara­ pronunciando el discurso.siguiente: gón. = D. Pedro Gd de Bernabé. = D. Raimundo „ Señores: la justicia, primer atributo de la Ruiz.…</t>
  </si>
  <si>
    <t>Meruendano, Pedro</t>
  </si>
  <si>
    <t>Pedro Meruendano</t>
  </si>
  <si>
    <t>López Nuñez. 525o Don Josef Napoleón por la gracia d .-.Dios D. Juan Andurco................... 54.. 18 y por la constitución del estado, REI de las D. Pedro Meruendano........ 5 53°-- 4 Españas y de las Indias. D. Josef Clemente de Luxá. 672 0 Vistas las consultas de la comisión de li­ D. Julián González Saez..... 400 quidac…</t>
  </si>
  <si>
    <t>Mesclop</t>
  </si>
  <si>
    <t>en él caminó de Ta’avera. ingenieros Vainsot, oficial mui distinguido» fue El señor coronel Vfgent, del regimiento 64.°,1fue herido', como también el capitán Mesclop, y Chau- herido. Los regimientos 34. 40/V64.0 y B8-% y ▼el , edecanes del general Girard, y los capitanes un bat’allon del 28;0 de ■ infantería ligera, mandado L…</t>
  </si>
  <si>
    <t>l enemigo se acercase hasta lat del fuerte; el valiente Mi icque fue herido en un puertas, y le rechazaron con vigor, quedando los muslo. El ayodante comandante Mesclop 'acudió contornos sembrados de cadáveres de españoles. con la primera reserva de $00 italianos, y resta­ ,,La toma por asalto del fuerte de Oliva me ha bleció…</t>
  </si>
  <si>
    <t>Mesones, José Vela</t>
  </si>
  <si>
    <t>José Vela Mesones</t>
  </si>
  <si>
    <t>, 100. D. Ildefonso del Corral , lOU. D. José González de Rueda , 60. D. Juan Diaz Cosío. 10Q. D. Antonio Gómez Porras, 100. D. Joaquín Sánchez, 1.09 D. José Vela Mesones, 100. D. Manuel Sán­ chez de la Torre, 100. D. Carlos de Hoyos, 100. D. Felipe Argumedo , 100. D. Manuel Vciez de Villa, 100. Di José M uñoz , 100. D. Anton…</t>
  </si>
  <si>
    <t>Messina</t>
  </si>
  <si>
    <t>. .... 3 Ddlmacia, se leen entré los Dombres de los valero­ E‘. gener..i de ingenieros Ctbier. 1 sos guerreros que concurrieron á tan gloriosa ac­ E. brigadier Messina................. t ción los del coronel González, y del géfe de esUn comisario de guerra. I quadron Horré, ambos al servicio de $. M. Coronel de attillerí i...…</t>
  </si>
  <si>
    <t>Metaca, Demetrio</t>
  </si>
  <si>
    <t>Demetrio Metaca</t>
  </si>
  <si>
    <t>de quien se traxo una oreja en testimonio del su­ ceso. Ei general le premió, haciéndole cabo primero con el grado de sargento. El 28 cíe! mismo raes D. Demetrio Metaca, ingles, comantlafLte de una compañía del escuadrón provincial de emballena , intentó sorpreheader al general Bo&amp;'ret en el es taino de Oviedo á Gijas, y hubi…</t>
  </si>
  <si>
    <t>Metnendao, Pedio</t>
  </si>
  <si>
    <t>Pedio Metnendao</t>
  </si>
  <si>
    <t>a Gil de Terreros....... 3904 D. Joaquín Josef de Ayanz y Doña María del Carmen Herran... 6300 Meneos.......................................... 89829 D. Pedio Metnendao............. ........ 3269 30 D. Juan Fermín de Ezcnrru........... 43 5® D. Juan Latreiturne....................... 12060 Doña María Nicolasa Villaoucva D. Fe…</t>
  </si>
  <si>
    <t>Metternich</t>
  </si>
  <si>
    <t>El conde de Stackelbérg, embaxador de Rosia cerca de nuestra corte, tiene de algunos días a esta BAVIERA. parte frecuentes conferencias coa i. E, ei conde Metternich. Este úitimr' ministro, que goza dé Munich ti de diciembre. toda Ja confianza de S. el Emperador, parece En la gazeta ministerial de hoi se lee el extrac­ que es…</t>
  </si>
  <si>
    <t>merario de las do de Carlos 11, intitulada como sigue: provincias austríacas. ,, Acta para asegurar la persona y el gobierno Escriben de Viena que el conde Metternich, del Rei, declarando á los papistas inhábiles para ministro de Negocios extrangeros, ha sido nombra­ tener asiento eo ninguna de las cámaras del parla­ do prote…</t>
  </si>
  <si>
    <t>Mettvaich</t>
  </si>
  <si>
    <t>andante en gefe del puerto de, Re- goni ha entregado en calidad de tal sus cartas cre­ vel: este último será reemplazado por el vice-al­ denciales al conde Mettvaich , ministro de Ne­ mirante Se.iavin , de la esquadra de! Báltico. gocios extrangeros. Él p íncipe Ctsi niro Lubnmmki ha sido nom­ JDet 22. brado gentilhombre de S…</t>
  </si>
  <si>
    <t>Meudivil, Domingo</t>
  </si>
  <si>
    <t>Domingo Meudivil</t>
  </si>
  <si>
    <t>20t)í). El cabildo eclesiástico de la misma , 1000. O Hinlivo de caballos. El mirques de Guadalupe, 150. • El marques de S. Migue i de Aguayo , 240, D. Domingo Meudivil por sí y su esposa , 100. -— Ofertas no realiza-tas aun. E! emule de C isa-rul seis barras de plata que su apoderado entregará en las reales caxas de Guanaxua…</t>
  </si>
  <si>
    <t>Meung, Pa</t>
  </si>
  <si>
    <t>Pa Meung</t>
  </si>
  <si>
    <t>en la juris­ vara , Scrbelloni, Maríinengo , Cotuiulmer, OrrVr— dicción ó término de Clursnuviüe, distrito de ni, Stratñ o , Dándolo , Carroñehi, el conde Pa­ Meung. Mr. Peílier , medico de Baugencí, remi­ ra dissi, el conde Gucciardi, el cande Prima, tió sobre esto una memoria, que se leyó en la se­ ministro de Ha&lt; ierda ; F…</t>
  </si>
  <si>
    <t>Mexía</t>
  </si>
  <si>
    <t>de Jas ventajas de su descubrimiento, que­ tio se verifica esta reintegración. Con este motivo da á su arbitrio manifestarlo directamente á nues­ el diputado Mexía dixo; „Señor, en la triste im- tro ministro de lo Interior ó al prefecto respecti­ „potencia en qne nos hallamos de pagar los rédi- vo , y solicitar UDa recompensa…</t>
  </si>
  <si>
    <t>Mexía, Manuel María</t>
  </si>
  <si>
    <t>Manuel María Mexía</t>
  </si>
  <si>
    <t>r. D« Juan José de la Garza, canónigo de Moníerey. De Oaxaca : el Sr. Lie. D. Juan María íbañez de Corvera , su regidor ho­ norario ( por renuncia de D. Manuel María Mexía, cura de Ta­ mas ulapa ). — Provincias internas. — De Señora : el Sr. Lie. Don Manuel-María. Moreno , racionero de la santa iglesia de Puebla. De Durango :…</t>
  </si>
  <si>
    <t>Mi, José</t>
  </si>
  <si>
    <t>José Mi</t>
  </si>
  <si>
    <t>D. José Santos Villa , coro­ nel. D. Mutual Chica, coronel retirado. D. Pidro L’jon, mayor de plaza. D. Vicente Sildieraa, tenieata coronel retirado. D. José Mi­ guel Arroyo. D. A ¿toaio Alvarez Vega, sargento mayor retirado. D V ícente-A costa , sa'geato mayor. D. M vilano Olivares , teniente coronel. D. Jo¿é Mina Echáis. D.…</t>
  </si>
  <si>
    <t>uazo, por el prest de 2 soldados en 4 meses, 72. D. Andrés López Armesto , comisario de guerra honorario , por 6 meses de su oferta en cada uno , 36. D. José Mi­ guel Soler , oficial segundo de la secretaría de la capitanía general, por el de un soldado en 5 meses , 45. D. José Mana Azcona , administrador de ren­ tas reales d…</t>
  </si>
  <si>
    <t>Mi, Rufo</t>
  </si>
  <si>
    <t>Rufo Mi</t>
  </si>
  <si>
    <t>dida ffte de 4 muertes y 20 heridos, entre clics el expresado Hernández, el capitán de Numantinos D. Juan Antonio Solano, el ayudante del mismo cwrpo D. Rufo Mi ñaño, el subte­ niente del batallón de Rioja D. Antonio Aznal, y los alféreces Don Rodrigo Castañon, mi ayudante de campo y D. Alonso López, este de consideración. La…</t>
  </si>
  <si>
    <t>Michel, Marcos Antonio</t>
  </si>
  <si>
    <t>Marcos Antonio Michel</t>
  </si>
  <si>
    <t>nomiflbre último. Sr. D. Carlos Cadan....... ......................... 109 ' Mensualmente. Excmo. ir. marques de Muzquiz............ 109 Rs. vn&gt; Sr. D. Marcos Antonio Michel por una Sr. D. Antonio La-Garde.......... 80 vez............................................................ écp Timoi. En el de la Cruz, ¿ las quatro de…</t>
  </si>
  <si>
    <t>Mícheo, Manuel</t>
  </si>
  <si>
    <t>Manuel Mícheo</t>
  </si>
  <si>
    <t>Francisco Fustegueras, 100. D. Juan Pedro Irigoyen, 500. D. Tomas de la Cuesta ,500. D. Antonio Coma y Fortet, 2000. Sres. Su­ birá y Forncs , 1000. D. Manuel Mícheo, 500. D. Lorenzo Camps, 500. Don. Juan Antonio Cobo y Tanderas, 100. D. Miguel Xiqucs,200. D. Guillermo Power, 500. D. Martin de Ujoeta, 400. D. Francisco Buch y…</t>
  </si>
  <si>
    <t>Mícheo, Pídro</t>
  </si>
  <si>
    <t>Pídro Mícheo</t>
  </si>
  <si>
    <t>e iba á atacar, sé replegó para recibir nuevas órdenes. Ya se había entonces adelantado el exército y destaqué el batallon real de marina al mando de D. Pídro Mícheo, con dos piezsf de artillería al del alférez de fragata D. Francisco Sevilla, para que tomando por la izquierda y por la falda de una elevadísima montaña, se sit…</t>
  </si>
  <si>
    <t>Michilena, Luis</t>
  </si>
  <si>
    <t>Luis Michilena</t>
  </si>
  <si>
    <t>nceses, é igualmente al cabo de SgUenz-i Sal­ vador Batanero que se halla incluso en dicha relación, el. cual sal­ vó la vida al gefe de estado mayor D. Luis Michilena, quitándola á un soldado enemigo al tiempo de descargarle el golpe de bayoneta con que lo hirió levemente, por todo lo cual le considera digno de particular re…</t>
  </si>
  <si>
    <t>Miehüena, Luis</t>
  </si>
  <si>
    <t>Luis Miehüena</t>
  </si>
  <si>
    <t>L!ííd Pimienta , y el herido es el subteniente da dragones de Ma­ drid. D. Manuel Herrera. Hay ademas heridos los primeros ayuda-ates do estado mayor D. Luis Miehüena, gofe dal de esta división, y D. Tornas Pascual Maapoey, y ei comandante de patriotas de Me­ die D, A odres Roxas. No puedo doxar, Excma. Sr., de recomendar muy…</t>
  </si>
  <si>
    <t>Mier</t>
  </si>
  <si>
    <t>nue­ do , espada en mano, sobre los enei&gt; igos que les obligaron á retroce­ der á ura posición ventajosa, desando 20 infantes muertos en el campo. El coronel Mier mandó i. sus tropas hacer alto; pero in­ sultados de nuevo los enemigos por algunos caballos adelantaron ios suyos , con quienes pelearon loe ruístros causándoles l…</t>
  </si>
  <si>
    <t>Mier, Antonio</t>
  </si>
  <si>
    <t>Antonio Mier</t>
  </si>
  <si>
    <t>emos decretado y decretamos lo que sigue: Gravier; y secretario general de ia prefectura de AR-ficULO 1. ,,En las batallones de milicia cí­ Córdoba á D. Antonio Mier. vica de esta capital qaedan promovidos los indivi­ duos siguientes. PLAZA DE MADRID. BOLSA. Segundo batallón. OTA. X O DE ACOSTO DE l8ll. D. Francisco Sánchez M…</t>
  </si>
  <si>
    <t>Mier, D Pablo</t>
  </si>
  <si>
    <t>D Pablo Mier</t>
  </si>
  <si>
    <t>aría se cuentan algunos hambres heridos y cabritos inuti­ lizados , hrinéndese reemplazado estos con los tomados de resultas de la serien. Dia 29. El coronel D Pablo Mier da parte, con fecha del 2© del corriente, de que habiendo movido sus fuerzas de infantería y cabullería, aproximándose al camino real de Po jares, para con­…</t>
  </si>
  <si>
    <t>Mier, Pablo</t>
  </si>
  <si>
    <t>Pablo Mier</t>
  </si>
  <si>
    <t>y Benaveníe. — Me anti­ cipo ¿ noticiar á V. E. este feliz resultado, sin ¿oler extenderme en los detalles.” La segunda legión del cargo del corone! D. Pablo Mier, que se hallaba sobre Grackfes, se acercó ú León ea virtud de orden que recibió del general Sautocildes. El 20 del actual fué atacada la par­ tida del capitán D. Em…</t>
  </si>
  <si>
    <t>ue Marmont trata de reunirse sobre el T¿*jo con algunas fuerzas ds Soult que ya ocupan á Extremadura. Eí comandante de .la segunda legión de Castilla D. Pablo Mier, en papel de 8 del actual, da parte al general en gafe interino del fxérmto de ia acción que el 8 del mismo sostuvo el comandante E. Sintc-s Padilla coa Ia3 tropas…</t>
  </si>
  <si>
    <t>Migoni, José María</t>
  </si>
  <si>
    <t>José María Migoni</t>
  </si>
  <si>
    <t>ador y subalternos de Cosamaluapan ,13. —r Verac‘ ruz. Los extraordinarios de ella, 62;. El administrador principal-I). Bernardo de Orbe, el contador D. José María Migoni y los oficiales de esta adminis­ tración, tíiid.—Total, 2l7tí con 6. CADIZ : EN LA IMPRENTA REAL.</t>
  </si>
  <si>
    <t>Migue</t>
  </si>
  <si>
    <t>rueba de esto en las D. Iñigo Fonseca. adunas antiguas yen los obeliscos, que todavía se D. Fernando Díaz. conservan en pie después de tantos siglos. D. Migue! C^b.'zas. París 6 de marzo. D. Jo^et Roldan. D. Amador Jover. El señor Labouchere, comerciante de Amster- D. Rafael Ravé y Priego. datn, hi obtenido nn pasaporte de la…</t>
  </si>
  <si>
    <t>ia. dral, siendo las tres primeras de cuenta de la mu­ Para el de Escarabajosa, vacante por muerte nicipalidad. Los coros de música que alternaban de D. Migue! de Sotomorras, á D. Sebastian Ro­ hicieron la diversión mas completa. drigo, cura de S. Martin y Mudrian. El 19 á las ocho de la mañana, rennidos en el Para el de Arcv…</t>
  </si>
  <si>
    <t>Migue, Pedro Saípzar y D</t>
  </si>
  <si>
    <t>Pedro Saípzar y D Migue</t>
  </si>
  <si>
    <t>ha servido promover en el real cuerpo de ingenieros á tenientes C&lt; róñeles á los sargentos mayores de brigada D. Juan Pa­ lomino, D. 'Juan Scciats , D Pedro Saípzar y D Migue! A ochávala: á s^rggntos mayores dé'brigada 9. á‘Iosr¡capitanes D Séb^sf an de S. Juan, »D Blas Manuel Te-ue? , p. ‘José "María Dana , ‘D. Vicente Sánch…</t>
  </si>
  <si>
    <t>Miguel</t>
  </si>
  <si>
    <t>Gaxioía , Í26y2rs. D, Ventura Vatiz ,. 10. D. ManueT González, 100. El ensayador D. Agustín Aguilar , 100. Su teniente D. Fernando Escu- * dero , 50. D. Miguel ítoncal , 5. — IMaioya. El cura D. Isidro Camacho , 10. El subdelegado D._ Francisco Padilla , 20. D. Salvador Padilla , 25. Varios (2) Así hablan ¡os franceses , forz…</t>
  </si>
  <si>
    <t>D. Juan Luis), capitán del Real Extrau- de ceibal ería de cazadores de montaña de Uoeda. gero. Delgado ( D. Juan), teniente de la de Jaén. BJgrano ( D. Miguel de), comisario de guerra de Ducer (D. Ratnon), comandante .de batallón del segunda clase. regimiento Josef Napoleón. Bermudez ( D. Luis), individuo de nuestra guar­ Dub…</t>
  </si>
  <si>
    <t>miento de Madrid, t.° de infantería de línea. Toledo, a.° de infantería de línea. Ordoñez ( D. Manuel) , reniente de granaderos del Larrea Salcedo ( D. Miguel de) , caballero que fue regimiente1 Josef Napoleón. de la órden de Carlos 111. Ortiz (D. Vicente), subteniente de granaderos del Larregui (D Francisco), oficial de la s…</t>
  </si>
  <si>
    <t>de Sevilla. Toledo, 2.° de infantería de línea. Yarza (D. Antonio Adan de), vecino de Bilbao. Riva y Coca (D. Benito de la), administrador de Ibañet (D. Miguel), secretario y contador de nues­ • correos de Salamanca. \ tra montería mayor. Rober (D. Ramón), secretario de nuestra real ca­ Ingaldo (D. Amadeo), teniente del terce…</t>
  </si>
  <si>
    <t>dos compañías. plomático. Quedan nombrados para capitanes de ellas D. Juan Antonio de Toro y Heredia y D. Fer­ nando Franco de Béjar ; para tenientes D. Miguel teatros. Fernandez de Molina y D. Josef de Ruedas, y pa­ Ata'ía, tragedia en cinco actos, de Racime , tra­ ra subtenientes D. Lázaro Barnuevo y D.‘Francis­ ducida al c…</t>
  </si>
  <si>
    <t>imosnero válidos de S. t defonso. Lachelot ( D. Jorge), cabo primero def regimiento Al señor D. Joaquín María Piñeíró. Real Extrangero. López Calvo ( D. Miguel), cura párroco de Sa- samon. - ■■ Gran cancillería de la Orden Real de España. Marip ( D. Pedro), capitao de tiradores &gt;de .Ja En nncstto’palacio de Madrid á 14 de ago…</t>
  </si>
  <si>
    <t>a primera legión i D.'Pablo Andrés , cóftíandante del cuarto batallón de la primera, sección tíe li­ úda de la primera legión ; y para esta vacante á D. Miguel ds Cór­ doba y Figucioa, sargento mayo? de la segunda sección ligera. AsiiiusJsy» se lia servicio el Consfjo de Regencia promover ¿ súbtenlornes Acl real cuerpo de ing…</t>
  </si>
  <si>
    <t>Gaceta de Madrid n.º 350</t>
  </si>
  <si>
    <t>1414</t>
  </si>
  <si>
    <t>comercio está sujero al ,,Señor redactor, general: he llegado ,á saber despotismo de íos lng'eses, y ’ño sale de lás mários qúe en. el manifiesto de D. Miguel de¡ ,Lardizab.il de algunos de sus factores privilegiados: los ingle­ . y en la.España vindicada estol acusado. formal­ ses arrebatan por fuerza los objfitos.de primera…</t>
  </si>
  <si>
    <t>Miguel, Josef</t>
  </si>
  <si>
    <t>Josef Miguel</t>
  </si>
  <si>
    <t>ticulo i. «Nombramos caballeros de la Ruiz de Celada (D. Josef Gonzalo), oidor deca­ Orden Real de España i no de la real audiencia de Aragón. Alca ( D. Josef Miguel) , archivero general de la Sánchez ( D. Manuel), comandante de batallón de corona. artillería, y director de la fundición de Sevilla. Altuna (D. Josef Ignacio de…</t>
  </si>
  <si>
    <t>Miguel-H</t>
  </si>
  <si>
    <t>ería. En la madrugada de ayer ^e h'zo una salid vá las órdenes deT co­ ronel de voluntarios catalanes D. Juan Bassecaurt, dirigido por el inge­ niero D. Miguel-H jgarte, para desalojarlos de una de las paralelas: esta operación se hizo de noche con 300 hombres, lo* que se arr‘ji­ rón al enemigo con el mayor denuedo , y habién…</t>
  </si>
  <si>
    <t>Migut</t>
  </si>
  <si>
    <t>de Her­ rera , gobernador interino de Monckma, al brigadier i). Nemesio Saicedo, comandante general de la provincia de Couhuüa, sobre la pri­ sión de D. Migut l Hidalgo y sus cómplices* „Co:i f cha de 21 ckl comente di paite á V. S. del g’oricso ata­ que que con la mayor bizanía y denuedo dieron las tropas y vecino3 de esta p…</t>
  </si>
  <si>
    <t>Miilowanowitsth, Mláden</t>
  </si>
  <si>
    <t>Mláden Miilowanowitsth</t>
  </si>
  <si>
    <t>o capitán Skiddi, con destino á Burdeos, en lu­ y de resultas quedaron muertos algunos de ellos. cre, y con 4 c pasaeetos. A las 6 de la tarde puo El comandante Mláden- Miilowanowitsth ha el Faro, y á las 8 fue apresado por la fragata in­ salido para Nissa al frente de un destacamento bas­ glesa el Me lampo, á 10 ú 11 millas …</t>
  </si>
  <si>
    <t>Miion, Ratael</t>
  </si>
  <si>
    <t>Ratael Miion</t>
  </si>
  <si>
    <t>rcito Ies empleos siguientes: En el regimiento de infantería inmemorial del Jlcjr compañías á D. Felipe Marcenaro y á D. Antonio Sánchez; ayudantía á D. Ratael Miion ; tesei?cias á D. Juan.Amores, D. José Rico, D. Mateo Novoa, D. Juan MonterrosoD. Manuel Hernández, I). Dionisio Sií?c,h:s, D. Fe lio. Mariis Carnea, D. Rimon Vá…</t>
  </si>
  <si>
    <t>Milán, Blas de Arde</t>
  </si>
  <si>
    <t>Blas de Arde Milán</t>
  </si>
  <si>
    <t>diciendo que ya la ha­ Para el de S. Pelayo de Baquio en la misma bian dado á conocer antes que él dos arquitectos provincia , vacante por muerte de D. Blas de Arde Milán llamados Getli, los quales habian toma - radúm , al ex-franciscano D. Pedro ltecalde. do la idea de ella de los dibuxos de Leonardo de Y para el arciprestaz…</t>
  </si>
  <si>
    <t>Milans</t>
  </si>
  <si>
    <t>490</t>
  </si>
  <si>
    <t>ostuvieron varias acciones en Arbeca, Fondepon y Valderrobles, siendo la de mas entidad la del 19 en las inmediaciones de Arens de M¿r, con la que el brigadier Milans obligó á retirarse á Barcelona á una columna de mucha fueiza, que había salido á recoger ganado y contribuciones de dinero. El mismo dia 19, el general en ge fe…</t>
  </si>
  <si>
    <t>marchaba sobre M.taró para exigir contribuciones, retre ceüó al paráge del fuego, y se trabó una acción obstinada en las al­ turas de Líavaneras. El brigadier Milans , ya per la superioridad del enemigo, y con la idea también de atraerle á hs malezas de los bos­ ques, se retiró por escalones en buen orden ¿pero el enemigo, ta…</t>
  </si>
  <si>
    <t>Milhaud</t>
  </si>
  <si>
    <t>el ingles Grant, co­ lucidas y agradables. Hubo después gran parada, mandante general de las ordenanzas y de las guer­ á la que asistió el Excmo. Sr. conde Milhaud con rillas , y de la provincia de Beira, teniendo baxo toda la oficialidad de gala; y por la noche dió una ■u mando á otros muchos oficiales ingleses, y por magníf…</t>
  </si>
  <si>
    <t>Millati, Joan</t>
  </si>
  <si>
    <t>Joan Millati</t>
  </si>
  <si>
    <t>muerte de D. f rancisco López García , i Para ti curato de la villa de Almonte, vacante D. Antonio Gameto, presbítero, ex-regular del óror moerte de D. Joan Millati, á D. Pedro Josef den de S. Francisco. E opez, presbítero, ex-regular del orden de San Para el de la de Castilbianca , vacante por muerte de D. Juan Francisco Lóp…</t>
  </si>
  <si>
    <t>Millcr</t>
  </si>
  <si>
    <t>inmediaciones de Thomar. El general Siheyra con la división dé tropas de su mando se .había retirado i.Moimenta de la Beyra; pero así este co­ mo el general Millcr y el coronel JVihon, estaban preparados para maniobrar, pasando el Mondego., sobre los flancos y retaguardia dé las tropas enemigas, cuyo total parece marchaba por…</t>
  </si>
  <si>
    <t>Miller</t>
  </si>
  <si>
    <t>y bordados en ellos juntarse con los generales Baccelar y Wilson , que leones; chupa blanca ; pantalón ó calzón azul ó estaban en Castro de Aire. El general Miller esta­ blanco, y en verano podrán usarlo de mahon ó ba también i quatro leguas de Lamego; por coa- cotonía lisa blanca ; boton dorado, y grabadas unas siguiente deb…</t>
  </si>
  <si>
    <t>. colección 53 especies de quadrúpedos nuevos, 6 Tenemos el sentimiento de anunciar la muerte poco conocidos. Solo nos falta el tener con qué po­ del general Miller, el mas antiguo de los oficiales ner todos estos objetos en disposición qne puedan ingleses al servicio de Portugal. Ha sido sepultado conservarse. en Oporio el 9…</t>
  </si>
  <si>
    <t>Millet</t>
  </si>
  <si>
    <t>de Oropesa en España, el de batallón Froudeski, y des batallones del 121.0 plano particular de los freus de Ibiza, y el detall topo­ mandados por ei coronel Millet, todos tres á las gráfico de las islas. Su precio 20 rs. vn. órdenes del Coronel Kliski, componiendo el coronel Nueva carta, que compreliende todas las costas del …</t>
  </si>
  <si>
    <t>Millis</t>
  </si>
  <si>
    <t>re particularmente mi carta pueblo se ha divertido mucho, y ha manifestado relativa al bloqueo; pero si á pesar de las circuns­ el mayor regocijo. El general Millis , teniente go­ tancias que convidan á la Inglaterra á tomar este bernador general, ha dado quatro bailes consecu­ partido, el gobierno ingles está resuelto á no r…</t>
  </si>
  <si>
    <t>Milne</t>
  </si>
  <si>
    <t>los a la tri­ 74, espitan Raimer; el Tremendo , de 74, capitán pulación. Los armadores de estos corsarios están de R. Campbell; el Impetuoso, de 74 , capitán Milne; inteligencia con los americanos, quienes les com­ el Elefante, de 74, capitán C. T. Austin; el pran algunas veces los cargamentos sin salir del Aboukir, de 74, ca…</t>
  </si>
  <si>
    <t>Miloradowski</t>
  </si>
  <si>
    <t>Gaceta de Madrid n.º 54</t>
  </si>
  <si>
    <t>aba da inquietarlos por la espalda, podrán atacar con de ser nombrado gobernador militar de Riga, y todas sus fuerzas al gran visir en su campo de el general Miloradowski gobernador militar de Schomla. El general en gefe conde Kamenski es­ Krew. pera este invierno refuerzos mui numerosos de lo * SUECIA. interior de la Rusia. …</t>
  </si>
  <si>
    <t>Mina</t>
  </si>
  <si>
    <t>tros escoltados por una partida de la di* visión navarra, la que retrocedió desando al cuidado de otra de te de mi mando su custodia y conducción: el coronel Mina, á quier s-rvian de mucho estorbo los prisioneros, aprovechó los moméñtc favorables, y les h'zo pasar aquel caudaloso rio oportuna y feliz.nei te. Me hallaba ya des…</t>
  </si>
  <si>
    <t>. Se tirotearon las guerrillas de una y otra parte. Dia 7. A las 11 de esta noche marchó el enemigo con dilección á Navarra* de donde vino, porque el coronel Mina apura por allí.— Hemos tenido en toda la expedición 10 muertos, y de 40 á 50 heri­ dos. Los enemigos dexiion en el convento mas de 60 muertos y 85 hsrido3 , que no …</t>
  </si>
  <si>
    <t>Mingorar, Cayetano</t>
  </si>
  <si>
    <t>Cayetano Mingorar</t>
  </si>
  <si>
    <t>se ha servido conferir en el regimiento de infantería de Irlanda compañía á D. Pedro Thibau: tenencia á D. Jo­ sé Ja y me Balcourt,' y subtenencia á D. Cayetano Mingorar.se, te­ niente , subteniente y cadete del mismo cuerpo; y ha reemplazado en el de Africa al teniente agregado D. Francisco de la Cueba. Igualmente se ha serv…</t>
  </si>
  <si>
    <t>Mingúela, Faustino González</t>
  </si>
  <si>
    <t>Faustino González Mingúela</t>
  </si>
  <si>
    <t>.............. 18000 P-Josef Canosa........................... ............. &gt; 3í3-a5l D- Josef Lab.rte................... ..................... 2190 D. Faustino González Mingúela , por D. Félix Ugarte , como tutor de Doña mano de D. Juan Ramón García...... 1624..17 Ramona Mota......................................... 2920.. …</t>
  </si>
  <si>
    <t>Minu</t>
  </si>
  <si>
    <t>a del terreno, con el fin de observar mas de cerca, enterarme del verdadero número de enemigos, y llamarles la atención, auxiliando por este medio al coronel Minu, y distrayéndo­ le unas fuerzas que, sin duda con otras superiores, se disponían á pers^guú'o seriamente. Las partidas de guerrilla al mando del capi­ tán de c;:bal…</t>
  </si>
  <si>
    <t>Mio</t>
  </si>
  <si>
    <t>erzos para apo­ la.granja de Albani una gran función eo celebridad derarse de la altura, adonde el general Regnier del nacimiento del Rei de Roma. El general Mio- envió la primera brigada de la segunda división llis , teniente de gobernador general&gt; ha dado tam.- para sostener á la del general Sarrut: ¡los enemigos bien un ba…</t>
  </si>
  <si>
    <t>Mior</t>
  </si>
  <si>
    <t>que una espada en nuestras último buque, El lord Mimo se embarcó el 2 de manos no es una arma ioútil, y que una vez des­ mayo á bordo de la Modesta, capitán Mior. (The envainada» hemos arrojado ya la vaina al viento Statesman. ) para siempre." * Del iS. La junta pues decreta lo siguiente: 1.° „ Se nombrará una comisión de gue…</t>
  </si>
  <si>
    <t>Mipllis</t>
  </si>
  <si>
    <t>esta ceremonia una pom­ precauciones necesarias para que el comercio ten- pa digna de su objeto. a toda la seguridad posible en los dominios de la El conde Mipllis, teniente gobernador general f’uerta otomana; que la rebaxa del derecho de de Roma, convidó á un banquete á las prineipdes tránsito por las provincias líbicas y el…</t>
  </si>
  <si>
    <t>Miqaelini, MaDoña Margarita</t>
  </si>
  <si>
    <t>MaDoña Margarita Miqaelini</t>
  </si>
  <si>
    <t>1 ctavo dé: 1795 se la concedió una é D. Antopict Fernandez de Córdoba, ■asi,machan de.................................... 1700 como padre y tutor de Doña MaDoña Margarita Miqaelini, por rea­ ría Lnba................ *............. ............ 4539 n les órdemius se la concedió 25 rs. 3 D. Manuel Lázaro, presbítero..........…</t>
  </si>
  <si>
    <t>Mir-nda</t>
  </si>
  <si>
    <t>Gaceta de Madrid n.º 342</t>
  </si>
  <si>
    <t>s miembros son objeto de sus empresas la libertad. Nuestras tro­ ; los representantes, dan al general D. Francisco Mi- pas victoriosas , que manda el general Mir-nda, lue­ t rauda las mas expresivas y sinceras gracias,y man­ go que hayan hecho los arreglos necesarios para da que este decreto se inserte coa ios edictos del sos…</t>
  </si>
  <si>
    <t>Miraba, Francisco</t>
  </si>
  <si>
    <t>Francisco Miraba</t>
  </si>
  <si>
    <t>lasco , canónigo de esta santa iglesia. Los f acales- de que se compone son: por la gobernación de -Valencia, O. Vicente Btasco : por la de Alicante, D. Francisco Miraba!! : por Jia de Alcoy, I&gt;. Joaquin Rico y B'tfaat: por la dé Aldr'a, D. Vi­ cente EXpert: por la de Denla . D. Jayaxe Uatalá : por la de Cas* tellon de la Pla…</t>
  </si>
  <si>
    <t>Míralles, José</t>
  </si>
  <si>
    <t>José Míralles</t>
  </si>
  <si>
    <t>os f ancescs del rara araaj to de ¡a lio^a-íVtadp.da Jel c&amp;minode Monserrate baxabarí diariamente á robar en 1 s cas&gt; s de campo inmediatas ; mandé * D. José Míralles que se e-&gt;bo$case y los escarmentase. A i se h* verificado hoy , poco .después de amanecer. Ea la acción, que ha durado hora y inedia, han sido muertos 7 france…</t>
  </si>
  <si>
    <t>Miran</t>
  </si>
  <si>
    <t>hacer, sa­ de Valencia, usando de uñ ardid de guerra , ha­ lir de ella para lo interior del pais á todos los-es-: bía consentido en capitular con el general Miran­ pañoles nacidos en. Europa, no casados, de qual* da; pero al entrar este én la ciudad fue recibido á quiera edad y condición. Muchos de los compre- balazos desde l…</t>
  </si>
  <si>
    <t>Miranda</t>
  </si>
  <si>
    <t>ncian dis­ PROVINCIAS ILIIUCAS. posiciones hostiles contra la Inglaterra. La escua­ dra de sir Yorke está armándose. Laibach ir de junio. Caracas. Al general Miranda se le lia frustra­ El dia 4 de rSayo últiftto se presentaron dos do su proyecto de organizar en gobierno consular. fragatas inglesas delante del puerto de Pareuz…</t>
  </si>
  <si>
    <t>casas. • biese hecho entrar en k- plaza una división de tropas (2) Esta relación del oficial ingles está llena de del reino de Valencia al mando del general Miranda, aserciones falsas, y es enteramente contraria áda que él y dé haberlas reembarcado ai dia siguiente para reunirex-gobernador de Tarragona ha remitido á la regenc…</t>
  </si>
  <si>
    <t>una gran desconfianza, mado por tod&gt;s las provincias circunvecinas ha nom­ y una verdadera disensión entre el gobierno- y el pue­ brado presidente al general Miranda , confiriéndole los blo: las murmuraciones, que hasta ahora han sido en se­ mismos poderes de que está revestido el presidente de creto , se han convertido ya en…</t>
  </si>
  <si>
    <t>la de Albue— dencia es de color airiaiillo , con UDa franja roxa y r&amp; por los lanóer.os polacos, y recibió varias Heri­ azul en la parte inferior. El general Miranda se dis­ das en la cabeza, se ha escapado de Sevilla. - ponía á marchar al frente de j© hombres contra Valencia; porque eEta ciudad *e habia negado á Extracto de …</t>
  </si>
  <si>
    <t>midado aun á aquellos súbditos suyos que mas tario de Estado. = Francisco lsnardi, secretario." aversión habían manifestado á los franceses, y ma­ El general Miranda lia dado parte al congreso yor afecto y adhesión á los defensores de su país. de que ha encontrado en el arsenal de. la NuevaAun ha hecho mas el gobierno sicilia…</t>
  </si>
  <si>
    <t>MIRANDA</t>
  </si>
  <si>
    <t>392</t>
  </si>
  <si>
    <t>er. violencia ni en.las personas ni en las Rendición de la Nueva-Valencia. propiedades. He encontrado en los arsenales y almacenes OFICIO DE S. B. EL GENERAL MIRANDA. considerable cantidad de municiones, 17 piezas de artillería de grueso Calibre , subsistencias para dos Nuestras disposiciones para ei bloqueo y ren­ meses, sin…</t>
  </si>
  <si>
    <t>mente mas estables que algunos gobiernos de Eu- Se ha hablado de los socorros que daremos á topa. los españoles de Montevideo. Esto es con lo que El general Miranda , cuya conducta había ¡ns - pueden contar. Han salido de aquí hace tiempo pirado algunas sospechas , goza al presente de! ma­ 7® portugueses para socorrerlos, y e…</t>
  </si>
  <si>
    <t>Miranda, Antonio</t>
  </si>
  <si>
    <t>Antonio Miranda</t>
  </si>
  <si>
    <t>rados para capitanes y oficiales Estado. de estas compañías ios individuos siguientes; En nuestro palacio de Madrid á 12 de marzo Capitanes. de-iSri. D. Antonio Miranda. Don Josef Napoleón por la gracia de Dios y D. Agustín Crespo»</t>
  </si>
  <si>
    <t>Miranda, Cosme</t>
  </si>
  <si>
    <t>Cosme Miranda</t>
  </si>
  <si>
    <t>864</t>
  </si>
  <si>
    <t>tallen de cazadores de Valencia i IX Antonio Federich. También se ha dignado comedor en el regimiento de infantería de Africa tenencia al subteniente D. Cosme Miranda, y subtenen­ cia al sargento primero del segando de Sevilla D. Fernando Santa. Olalla; y en el de Galicia, agregación de subteniente al cadete Don Antonio María…</t>
  </si>
  <si>
    <t>Miranda, Diego</t>
  </si>
  <si>
    <t>Diego Miranda</t>
  </si>
  <si>
    <t>ero qóe anunció la quinta compañía. ........... al público sas delitos. D. Agustín del Callejo, sargento i.*, á subte­ niente de la primera compañía. D. Diego Miranda, sargento i.°, á subtenien­ TRATROS. te de la quinta compañía. D. Andrés Caiasola , sargento i.*, á subtenien­ En el del Príncipe, á las siete de la noche, se r…</t>
  </si>
  <si>
    <t>Miranda, Francisco</t>
  </si>
  <si>
    <t>Francisco Miranda</t>
  </si>
  <si>
    <t>del congreso, á nombre de pueblo siciliano. los distritos que representan, dan las mas sinceras Una providencia de esta naturaleza no puede gracias á D. Francisco Miranda, y mandan que el menos de fundarse en razones mui convincentes, presente decreto sea insercado en los edictos del y no dudamos que nuestros ministros se hal…</t>
  </si>
  <si>
    <t>eración . las fatales consecuencias que resulten 1811. = Al secretario de Estado. de una obstinación tan'inútil como injusta recae­ Segundo oficio de D. Francisco Miranda , so rán sobre aquel que las fomente.=Firmado= Fran­ fecha en el quartel general del exéreito de Vene­ cisco Miranda, ss Garlos Sonblette.” zuela «n Nueva-V…</t>
  </si>
  <si>
    <t>e le me- Santa Fe en la sala del gobierno 20 de julio de rece por su fiel conducta el comandante en gefe iStt. Año i.° de m ihertad. = Carlos Antonio D. Francisco Miranda , con motivo del sitio, asal­ Giraldo, presidente. =:Fr. M, Pradez , secrerario. to y rendición de la Nueva-Valencia, como tam- Hoi ha llegado oa correo del…</t>
  </si>
  <si>
    <t>Miranda, Francisco del Calelló</t>
  </si>
  <si>
    <t>Francisco del Calelló Miranda</t>
  </si>
  <si>
    <t>r de la villa de Navia y su partido; y el Dr. D. An­ drés Angel de la Vega, catedrático de decreto de la misma universi­ dad : y por suplentes el Dr. D. Francisco del Calelló Miranda, co­ mandante de alarma del concejo de Salas , y el coronel de los rea­ les exércitos D. Blas de Posada, gobernador militar de la villa y par­ t…</t>
  </si>
  <si>
    <t>Miranda, Lorenzo</t>
  </si>
  <si>
    <t>Lorenzo Miranda</t>
  </si>
  <si>
    <t>el C armen Ocampo „ 109. D J osé Antonio Berraondo , 23. D Manuel Alarcon , 25 El presbítero D. Marianb Castro , 12. D. Juan García de los Ríos*, 16. D. Lorenzo Miranda , 12. D José de la Quintana, 12. D. Gregorio de la Quintana , 13. D Miriano Pinto , 12 D. Antonio Alfaro y José María legarte , 12. D. Isidro Dábalos y D. Dom…</t>
  </si>
  <si>
    <t>Miranda, Pedro</t>
  </si>
  <si>
    <t>Pedro Miranda</t>
  </si>
  <si>
    <t>quiera, el eximen de todos estos pormenores ra. Con la misma fecha S. M. ha nombrado al co­ me obliga á pensar que si se establece definitiva­ ronel D. Pedro Miranda, subprefecto de la submente la regencia, debe esta ser permanente; y prefectura de Alcalá, an la prefectura de Madrid,</t>
  </si>
  <si>
    <t>2279i 5 D. Apolinar Rouyer...................... 9720 D. Alejandro Silva......................... 9220 20 D. Felipe Carlos de Vailejo.......... 0220 D. Pedro Miranda....»......,............ 3M4 14 D. Juan de Gaona , como tutor de D. Bernardo Iriarte.............. ......... 35641 19 D. Manuel Estébaq Catatan...... I4883 22 D. …</t>
  </si>
  <si>
    <t>Miranda, Vicente</t>
  </si>
  <si>
    <t>Vicente Miranda</t>
  </si>
  <si>
    <t>ele Trias ; empico de capites segundo al segundo ayudante D. Jacinto Inoza!; segunda ayudantía al teniente D. Valerio L«?on ; tenencia al subteniente D. Vicente Miranda; y subtenencias á D. Joaquín Ihur­ guen, cadete de la escuela militar del cuarto exérciío , y á D. Eussb o de Mmacho y Mendoza, cadete del batallón de Valenci…</t>
  </si>
  <si>
    <t>Miravete, Manuel</t>
  </si>
  <si>
    <t>Manuel Miravete</t>
  </si>
  <si>
    <t>Romero, D. Ram&amp;n de Larrieta, D. Manuel Sanz, D. Domin­ go Cierto, I). Antonio Vallaría© y D. Sebastian Peñasco; y subte­ nencias á D. Diego Blanco, D. Manuel Miravete, D. Pablo J *¿ica, D. José Camerino, D. Mariano de Miguel, D. Manuel Nieto, Don Juan de Cacho, ü. Agustín Roa, D. Ramón de ArroyueSo, Don Joaquín de Luzuriaga,…</t>
  </si>
  <si>
    <t>Míreles, Raimundo</t>
  </si>
  <si>
    <t>Raimundo Míreles</t>
  </si>
  <si>
    <t>Para ei de Villar de! Ala, vacante por promo­ * de D. Antonio Poza al de Miño, al ex-premos- ción de D. Pedro Agnado a! de Alconabar, al ex­ tratense D. Raimundo Míreles. franciscano D. Francisco García. Para el de la Losilla , vacante por promoción Para el de Aldea el Pozo y Valdegeña su ane­ de D. Manuel Bahun, al ex-domini…</t>
  </si>
  <si>
    <t>Miró, Esteban</t>
  </si>
  <si>
    <t>Esteban Miró</t>
  </si>
  <si>
    <t>dispensaren en prendo de servicies hechos k Ja patria , como recompensa de la sangre noblemente verti­ da en su defensa f se ha servido mandar que á D. Esteban Miró, pri­ mer tejiente de reales guardias de infantería Walona, se le continúe pagando , ademas de eu sueldo , la pensión de 10 reales'de vellón dia ríos, que por vía…</t>
  </si>
  <si>
    <t>Mirtir, Bartolomé</t>
  </si>
  <si>
    <t>Bartolomé Mirtir</t>
  </si>
  <si>
    <t>as olas á la playa. Todos los que han Para el de Aic..z¿r y Barpces, vac-mte por fa­ logrado arribar y escapar del naufragio, han sido llecimiento de D. Bartolomé Mirtir., ai ■ x regular presos. observante D. Jatn de Castro, cura de P fiar. En el último desembarco ha habido una cir- Para el de S. Andrés de Granada, vsc.mie po…</t>
  </si>
  <si>
    <t>Mistíer, Jacobo Enrique</t>
  </si>
  <si>
    <t>Jacobo Enrique Mistíer</t>
  </si>
  <si>
    <t>0. D. José Closa, 4-00. D. Antonio Guirií'au , 4üü. D Simón de Agreda , 200. IX José Cubero , 200. i). Cristóbal Vidal, 120 D. Ricardo Mea.de , 1000. D. Jacobo Enrique Mistíer , 400. IX Andrés del Fresno, 120. D. Francisco Miguel Barón , 500. Don Ramón Soler, 504. D. Juan Francisco de Vergara , ItíOO. D. Miguel Gomer, 400. D.…</t>
  </si>
  <si>
    <t>Mitre</t>
  </si>
  <si>
    <t>; primero á los de que viene á esta corte en calidad de ministro ple­ infantería, y después á los de caballería. nipotenciario del Re» de Ñipóles. Él conde Mitre, Del estado de los nacidos y muertos en este rei­ que está nombrado ministro plenipotenciario del no eí año de 18 to resulta que ha habido 30439 na­ Austria cerca de…</t>
  </si>
  <si>
    <t>Mkr</t>
  </si>
  <si>
    <t>en su alcance, lo car­ garon el día 15 con 1500 infantes y 100 caballos, y te coligaron á •retirarse á Sía. María del Rio. En esta situación llegó el comandante Mkr coa 2 compañías d« infantería, que auxiliadas por 100 caballos dé Losada, pue-iafda al ensmfgo en precipitada fuga,, E. 16 a! anc.checer llegó E; B-saits Marquine…</t>
  </si>
  <si>
    <t>Mladen</t>
  </si>
  <si>
    <t>dice que estas razo­ reunidas en las márgenes del Timock , y que los nes han'hecho mucha fuerza al gabinete ruso, y rusos están baxo sus órdenes. El general Mladen ha que han prevalecido, á pesar de la oposición de los sido nombrado comandante general del exército comerciantes, que dicen que el sistema aero »1 no servio encar…</t>
  </si>
  <si>
    <t>Mlake, Joaquín</t>
  </si>
  <si>
    <t>Joaquín Mlake</t>
  </si>
  <si>
    <t>umplid y'exccvdrv , a kk-us su* partes. Temí e&gt;!-? —iioo y ip*.pondréis. lo on&gt;-sa.n á *»n cu o !iu/e..t:&gt;. *— Pedro de Asea", po -sidsiiic. — AuScüu D. Joaquín Mlake^ can permiso de ias Cortes, —</t>
  </si>
  <si>
    <t>MLU</t>
  </si>
  <si>
    <t>n á este cuartel geno ral 5 cañones, un ebus y 4 car&gt;os de moni--., ciones que ee cogieron á los iban sosas en la acción da A noy o-Moli­ nos , y t i general MLU regala ai exército que participó de las fatigas y gloria4; de aquella jomada. Asimismo ha regalado la berlina del general Do nbrou kl al ge fe del estado mayor de es…</t>
  </si>
  <si>
    <t>Mmacarenascoronel, Francisco</t>
  </si>
  <si>
    <t>Francisco Mmacarenascoronel</t>
  </si>
  <si>
    <t>cc. D. Luis Msrcles. Lie. D. José María Letona. D. Jacoho A rctdo, teniente coronel. D. Luis Malo, coronel. D. José María Segura, car» . genio-mayor. D. Francisco Mmacarenascoronel. D. Luis Lara, te­ nis nte coronel Nú-ja. 2.° Ra zon de la artillería tomada á los insurgentes en la derrota que padecieron el 21 de marzo de 1811…</t>
  </si>
  <si>
    <t>Mnller</t>
  </si>
  <si>
    <t>a pagar las letras de cambio que los diados de octubre. El destacamento , mandado poc comerciantes de Viena han librado sobre esta plaza. el teniente capitán Mnller, ba cumplido perfecta­ El célebre M ■. de Wirbeking, de Munich , és mente el objeto de su comisión. Algunos bricks in­ el que ha con'truido el magnífico puente so…</t>
  </si>
  <si>
    <t>Mnmié</t>
  </si>
  <si>
    <t>lfonso • C Jbach* * D. José QaFós López, D. JáL&amp;íi Pardo i D. Francisco López, D. Carlos Ls.iréu, D. José Palomino, D. Juüao M-tTiíaez, D. José Toas, D. Mnmié! Lnaif, D. jLmon P*sl, D. Fauetia© Vidal, D Juan Murcio, D. Pascual'</t>
  </si>
  <si>
    <t>Mo, Francisco</t>
  </si>
  <si>
    <t>Francisco Mo</t>
  </si>
  <si>
    <t>36 A D. Pablo Portifo: y los de ayudantes segundos á D. Agustín Cusa, D. Francisco Mo tenegra, D. Mariano Villa y D. Vicente Ugarce. En, el regimiento de reales guardias españolas ha conferido el Con­ sejo de Rjge cía compañía al primer teniente cón grado de coronel D. Juan L Siñt'</t>
  </si>
  <si>
    <t>Mo, Juan</t>
  </si>
  <si>
    <t>Juan Mo</t>
  </si>
  <si>
    <t>772</t>
  </si>
  <si>
    <t>conceder grados de tenien­ te coronel y de capitán de infantería á D. Juan de Dios Alguer, sar­ gento mayor del primer regimiento de la Princesa, y á D. Juan Mo­ reno , ayudante del de América. n-gaa0mW—————w——WWW—■ «MMMWnHMBHP' CADIZ : RN LA IMPRENTA REAL.</t>
  </si>
  <si>
    <t>Mo, Pedro</t>
  </si>
  <si>
    <t>Pedro Mo</t>
  </si>
  <si>
    <t>ultado han tenido los enemigos 2 muertos y 7 heridos: por nuestra parte solo ha habido un herido. A las 6 de la mañana salió el eapitaa de ingenieros D. Pedro Mo­ lina con el destacamento de zapadores de su mando á continuar el corte de arboleda, el que siguió haciendo hasta las 9 de la misma, en que fué atacado y obligado á …</t>
  </si>
  <si>
    <t>Moas</t>
  </si>
  <si>
    <t>os-casas, en corres condénela á ¿a que hacían el sexto y noveno cuerpos sobre la derecha de Das casas. El octavo cuerpo atacó la vanguardia del mayor general Moas* ton, la cual constaba del regimiento mira. 85 mandado por el mayor Macintoshe, y del segundo de cazadores portugueses á las órdenes dél teniente .coronel N¡xon , y…</t>
  </si>
  <si>
    <t>Moatbrua</t>
  </si>
  <si>
    <t>isionera ía m*yor parte de la gmn diVtsíoa de Girard, quedando en poder de nuestras tropas toda la ar­ tillería, equlpages y bagages , prisioneros eí general Moatbrua y el príncipe de Areraberg-, y la mayor parte de Ioj oficiales. El general Girurd, malamente herido, ha. escapado coa un batallón; pero es natusre? oüe sufra ig…</t>
  </si>
  <si>
    <t>Mocdonald</t>
  </si>
  <si>
    <t>d de órdenes de la junta, acudieron al socor ro de la capital, y lle­ garon á acometer á los franceses en sus mismos muros , hiriendo á un edecán del general Mocdonald : pero no pudo ser tan á tiempo como era menester para estmbar los efectos de la ferocidad del enemigo^ quien después ée saquear é incendiar" el pueblo ? salió…</t>
  </si>
  <si>
    <t>Mocqueri</t>
  </si>
  <si>
    <t>noche del $ al ó llegaron 4 servicio de S. M, C., fueran heridos. T.mbien se las altaras ae S. Cristóbal» y abrieron comunica­ distinguió el ayudante comandante Mocqueri, sub­ ción enn las trepas.que estaban en Badajoz. La ca- ge fe del estado may^r general. balletia» que completaba el asedio de la plaza por El enemigo se est…</t>
  </si>
  <si>
    <t>Moctezuma, José Tiburcio</t>
  </si>
  <si>
    <t>José Tiburcio Moctezuma</t>
  </si>
  <si>
    <t>bala de ca­ li íii.— Caballería. Muerto;, el alférez del regimiento de Puebla Don Gervasio de la Cuesta y ei porta-estandarte dól cuerpo de Frontera D. José Tiburcio Moctezuma, con 3 ¿argentos. 8 Cábóí97 solda­ dos y un voluntario. Herido» , el capitán D. Gabriel-Martínez ,• 'co­ mandante del escuadrón del regimiento' d* Espa…</t>
  </si>
  <si>
    <t>MoD, Leandro Fernandez</t>
  </si>
  <si>
    <t>Leandro Fernandez MoD</t>
  </si>
  <si>
    <t>. ........................ 1.249807..23 apoderado D. Pedro Gar­ D. Vicente González-Arnao. 21 51.. 3 2 cía de Pinillos,................... 19 208..26 D. Leandro Fernandez MoD. Josef Badan...................... 207123.. 8 ratiii......................................... 29164..$</t>
  </si>
  <si>
    <t>Mogollon, Pedro</t>
  </si>
  <si>
    <t>Pedro Mogollon</t>
  </si>
  <si>
    <t>da encargado del cumplimiento de este decre­ Para el deSanta María de Palacios, vacante por to. zz Firmado = YO EL REI. — Por S. M., ei mi­ muerte de D. Pedro Mogollon, á D. Buenaven­ nistro secretario de Estado = Firmados:Mariano tura Santa María , ex-agustino. ‘Luis de Ürquijo.” , Para el de Qnintaniila de Tres-Barrios, vac…</t>
  </si>
  <si>
    <t>Mohee</t>
  </si>
  <si>
    <t>pos á que pertenecía este hombre respetable asis­ tiva en la curación tieron á su funeral; y el señor conde Frochot, con­ Escriben de Calcuta qoe el príncipe Mohee sejero de Estado, prefecto dél departamento del Codhccn , hijo segundo del sultán Tipoo- Saib, se Sena , y como tal presidente nato del consejo de ha qu itabo la v…</t>
  </si>
  <si>
    <t>Mohjardin, AtrtOnlo</t>
  </si>
  <si>
    <t>AtrtOnlo Mohjardin</t>
  </si>
  <si>
    <t>primero, i sub­ teniente de la sexta compañía, en reemplazo de á la v. 6 u ds. [90 ds. D. Mánuél López Arias. Búrgos....................... efectivo. D. AtrtOnlo Mohjardin , sargento primero, á Vitoria.......... .......... efectivo. subteniente de la .'¿prima compañía, en la vacante Bilbao........................ efectivo. ia…</t>
  </si>
  <si>
    <t>Moinelo, Manuel</t>
  </si>
  <si>
    <t>Manuel Moinelo</t>
  </si>
  <si>
    <t>te la guerra, 72. El teniente coronel D. Rafael Montalvo, por igual oferta , 72. El presbítero Dr. D. José María Vázquez , 102. D. José Naranjo, 204. D. Manuel Moinelo, 100. D. Mariano de Medina por el prest de 3 solda­ dos durante la guerra en un mes , 27. D. Tomas de Je,ara, como síndico del convento ue Capuchinos á nombre …</t>
  </si>
  <si>
    <t>Moira</t>
  </si>
  <si>
    <t>andt no ha que­ lord Hoiiand, secretario de Estado, para los rido permitirlo. negocios extrangeros. Se dice que el príncipe de Villafranca, qne es El conde Moira, secretario de Estado, para lo uno de los person-ges arrestados, ha hecho algu­ interior. nas gestiones some 1 ¡endone" á la corre, y que por Lord Castlereagh tendrá…</t>
  </si>
  <si>
    <t>Mol, Ventura</t>
  </si>
  <si>
    <t>Ventura Mol</t>
  </si>
  <si>
    <t>ngulo , D. Jacobo López, B. Miguel Salazar, D. Temas Moreno, D. Juan Julián da Tomás, D. Isidro Rebollo,. D. Saturnino García, D. Abdon Ruis y Camón, D. Ventura Mol­ ió.; D. Francisco de F ula Lopes, D, Tomas Ríos , D. Andrés Rodrigo y D. Francisco Gor-znlea ; y subtenencia» i D. Alexandro* Psrezj D, Mariano C'uluby, D. Aütaa…</t>
  </si>
  <si>
    <t>Molander, O</t>
  </si>
  <si>
    <t>O Molander</t>
  </si>
  <si>
    <t>e Rudsohuek, después de haber dexado buques Jacthn, su capitán Lundemberg, y al allí una guarniei &gt;n mui numerosa j pero no se sabe Ame lia-Sofía, su capitán O Molander, con sus precisamente la dirección que seguir 1, aunque se cargamentos, y ha condenado al Ana-Dorotea, cree que marcha contra Lam. Se están derribando</t>
  </si>
  <si>
    <t>Molden</t>
  </si>
  <si>
    <t>nicar hoi á nuestros lec­ Elefante. S. M. se ha dignado disponer de ellas á tores alguna noticia sari*, factoría sobre la expedi­ favor de SS. EE. el conde Molden, ministro del ción que se h’zo á la vela desde Cá liz al mando Tesoro público, el conde de Montaiivet. ministro del. general Graham (10). Nosotros no estamos de lo …</t>
  </si>
  <si>
    <t>Molefc, Ramón</t>
  </si>
  <si>
    <t>Ramón Molefc</t>
  </si>
  <si>
    <t>D. M. L., ídem , 320. ú. J. i), id, ídem, 100. IX Mariano Mata! i, ídem, 800. D. Juan Aguílar, úícrn, SOOO. Señores Do»res y CanadeSl, ídem , 4-000. D. Ramón Molefc, idem , 1000. D. Segismundo Moret, ídem , 1000. D. Juan Serra , ídem, 1000. i). Francisco Piycl, ídem , 1000. D. Pablo de Goniis, ídem , 600. D. Próspero Dofufull…</t>
  </si>
  <si>
    <t>Molina</t>
  </si>
  <si>
    <t>1146 anterior por un dragón, fcabia gritado^ deserto, y que con e»te ar­ tificio había conseguido esc?;par. Ei capitán Molina ha desmentido por escri o la relación del dragón, y á consecuencia ha contestado lo conveniente el gobernador, /emitiendo el papel original del ca­ pitán Molina. Dia 25. Esta mañana salió un destacamen…</t>
  </si>
  <si>
    <t>Molina, Antonio</t>
  </si>
  <si>
    <t>Antonio Molina</t>
  </si>
  <si>
    <t>ds. la sexta compañía, en la vacante de D. Antonio Fueotes; París......................efectivo. &gt;5 Tercer batallón. Sobre las provincias del reino. D. Antonio Molina, sargento primero, i sub­ teniente de la sexta compañía, en reemplazo de á la v. 6 u ds. [90 ds. D. Mánuél López Arias. Búrgos....................... efectivo. …</t>
  </si>
  <si>
    <t>Molina, Felipe</t>
  </si>
  <si>
    <t>Felipe Molina</t>
  </si>
  <si>
    <t>El de carpinteros ,14 y 2. El de herreros, 12 y 2. El de albañiles, 12 y 6. El de zapateros , S y 1 rs. y medio. — Vecinos de los barrios extramuros. D. Felipe Molina , cada año y siempre que ocurra nuevo donativo , 200. D. Francisco Molina , 25. Don Francisco Xavier Molina, 50. Doña Sebastiana Guzman , 100. D. Luís Peset, 25…</t>
  </si>
  <si>
    <t>Molina, Francisco</t>
  </si>
  <si>
    <t>Francisco Molina</t>
  </si>
  <si>
    <t>y 6. El de zapateros , S y 1 rs. y medio. — Vecinos de los barrios extramuros. D. Felipe Molina , cada año y siempre que ocurra nuevo donativo , 200. D. Francisco Molina , 25. Don Francisco Xavier Molina, 50. Doña Sebastiana Guzman , 100. D. Luís Peset, 25. D. Bartolomé Ballester, 50. D. Ventura Martínez, 10. D. Pedro Bonet, …</t>
  </si>
  <si>
    <t>Molina, Francisco Gregorio</t>
  </si>
  <si>
    <t>Francisco Gregorio Molina</t>
  </si>
  <si>
    <t>.................. . X ICO de reside, por....................................................... 2209 D. M inuel García Nuero, natural y residente en D. Francisco Gregorio Molina , natural de la villa el mismo pueblo, por.......................................... 2 200 de Torrijos, residente en Toledo , por............... 220…</t>
  </si>
  <si>
    <t>Molina, Josef</t>
  </si>
  <si>
    <t>Josef Molina</t>
  </si>
  <si>
    <t>con todas D. Josef Carvajal. sus decoraciones nuevas: se bailará'el bolero; y se dará Tenientes. fin con el sainete el Hambriento de noche buena. Se D. Josef Molina. cobrará de subida. EN LA IMPRENTA REAL.</t>
  </si>
  <si>
    <t>Molina, Tomas</t>
  </si>
  <si>
    <t>Tomas Molina</t>
  </si>
  <si>
    <t>batallón, en reemplazo de tunidad , lo que son los coros en ana tragedia; sien­ D. Angel Gorondona. do también mui nneva é ingeniosa la división que D. Tomas Molina, teniente, á ayndante'se­ allí se hace del público en dos clases, algo diver­ gundo del séptimo batallón, en la vacante de Don sas una de otra. Tampoco sabidillos…</t>
  </si>
  <si>
    <t>Molitor</t>
  </si>
  <si>
    <t>pe archi-tesorero, gobernador general de lloiandaj animan al soldado y al paisano, porque conocen lo q.: significan. ti mariscal duque de Recgio; el general Molitor, (2) Al fin confiesan que se han tornado estas rG y lor. ciernas piincipales funcionarios. plazas, que seguramente no necesitarán ni consumir rá Inmediatamente qu…</t>
  </si>
  <si>
    <t>Molle, Luis</t>
  </si>
  <si>
    <t>Luis Molle</t>
  </si>
  <si>
    <t>sma maban el mayor interes en este espectáculo tan ex­ compañía en reemplazo de D. Antonio Ximentz. traordinario, el lord Yarmouth, el honorable Ber- D. Luis Molle á subteniente de la quarta com­ kelei Craven, el general Grosvenor, el caballero pañía en la vacante de D. Pedro de Padrós. Maithnd , el marques de Qneensburi, el …</t>
  </si>
  <si>
    <t>Molleda, Nicolás</t>
  </si>
  <si>
    <t>Nicolás Molleda</t>
  </si>
  <si>
    <t>chez de la Torre, 100. D. Carlos de Hoyos, 100. D. Felipe Argumedo , 100. D. Manuel Vciez de Villa, 100. Di José M uñoz , 100. D. Antonio Ruiz , 100. D. Nicolás Molleda , 100. D. José González 5 100. D. Francisco Fernandez, 100. D. Antonio Arrí, 100, D. Pedro Ganzalez , 100. D. Manuel Sánchez Cal­ derón, 100. D. Agustín del P…</t>
  </si>
  <si>
    <t>Mombran</t>
  </si>
  <si>
    <t>exército enemigo eran que este ocupaba con 40 ó cabiflería toda del exército, riuoida al mando del 5o9 hombres una excelente línea de batalla al otro general Mombran, á la izquierda de esta infante­ lado del riachuelo de'Onnoro, «o una ladera cu­ ría. Estas tropas, colocadas frente de la derecha ya izquierda de acceso difícil…</t>
  </si>
  <si>
    <t>Mombrun</t>
  </si>
  <si>
    <t>la villa ¿2 Pombal él sexto cuerpo, á excepción de la división dr:l general Loison, el octavo, el noveno, y la ¿ivision.de caballería del rrun.de ¿el general Mombrun. Los húsares y ios dragones reales que se hallaban inmediata mente con la división ligera enfrente del exé coito enemigo , se distinguieron en esta ocasión en el…</t>
  </si>
  <si>
    <t>Mon, Francisco</t>
  </si>
  <si>
    <t>Francisco Mon</t>
  </si>
  <si>
    <t>a el éxito de su comisión, in­ fundir en los montañeses la confianza necesaria por medio de prontas operaciones, reunió á sus fuerzas las partidas de D. Francisco Mon¿ tardit, y D. Anselmo Alegre, alias el Cantarero, y disponiendo que D. Antonio La Oliva átacase á Graus , marchó en seguida sobre Be­ nabarre , que defendían 53…</t>
  </si>
  <si>
    <t>Mon, José</t>
  </si>
  <si>
    <t>José Mon</t>
  </si>
  <si>
    <t>nchez , 272. D. José Climen , 132. D. José Salinas, 224. D. Pedro Robles , 3G7. D. Feli­ pe Rafael de Robles, 938. D. Antonio M azuco y Chazari, 500. D. José Mon­ tano, 52. D. Manuel Portillo, 64. D. José Mergarejo , 132. D. Juan Ayllon, 32. Doña Ana Rabel , viuda de Conturie , 100. D. Mateo Rodríguez Sánchez, 1215. i). Loren…</t>
  </si>
  <si>
    <t>Monas, Ildefonso Matirdo</t>
  </si>
  <si>
    <t>Ildefonso Matirdo Monas</t>
  </si>
  <si>
    <t>rkane, encontró en ía vega de Layna, frente de ía Cartuja, 12 soldados franceses de infantería q^e hizo pri­ sioneros, y presentó al tenieite coronal D. Ildefonso Matirdo Monas­ terio, gobernador de Aleda de ¿os G azules, con un reo prófugo de la cárcel de Aígeciras que aprehendió igualmente. — Añ ide el gober­ nador en el pa…</t>
  </si>
  <si>
    <t>Monasterio, Agustín Díaz</t>
  </si>
  <si>
    <t>Agustín Díaz Monasterio</t>
  </si>
  <si>
    <t>s por real decre­ por.......................... 2200 to de 11 de octubre de 1809................... 6oco D. Juan Fernandez Ballesteros, id., por 2200 D. Agustín Díaz Monasterio, ex-benedicD. Lucas Varona, id. , por...................... 22CO tlno, residente en santa Cruz de Camp. Manuel Fiz Gayoso,id., por................ 220…</t>
  </si>
  <si>
    <t>Monasterio, Josef</t>
  </si>
  <si>
    <t>Josef Monasterio</t>
  </si>
  <si>
    <t>de Carbajales , partido EX-DO.lL IV ICOS. de Zamrra , residente en Toledo, por................ 2200 D. Valentín Colorado, natural de Toledo, en don­ D. Josef Monasterio , natural del lugar de Ccceda, de reside, por................. -.................................... 2 200 diócesis de Oviedo, residente en Argés, por.. 2200 …</t>
  </si>
  <si>
    <t>Monasterio, Toribio Sánchez</t>
  </si>
  <si>
    <t>Toribio Sánchez Monasterio</t>
  </si>
  <si>
    <t>corriente se llevó las balsas le­ causa del ex-regente D. Miguel de Lardizabal, y jos de donde querían ¡r: hicieron segunda tentati­ salieron electos D. Toribio Sánchez Monasterio, va, pero inútilmente; y ya iban á hacer la tercera, D. Juan Pedro MoralesD.- Pascual de Bolafics quando llegó i a bate* tan esperada y tan deseada…</t>
  </si>
  <si>
    <t>Moncei</t>
  </si>
  <si>
    <t>de lo Interior, el de Hacien­ Oro español contra plata..................... da, el de Marina, y el ministro secretatio de Es­ tado. XHATROS. El señor mariscal Moncei, duque de Coneglia- En el del Príncipe , á las siete de la noche , se re­ no , ha salido esta mañana para Holanda. presentará por la compañía española la ópera e…</t>
  </si>
  <si>
    <t>. extremo, no puede menos de haber sido derrotado enteramente. Amsterdan 27 de setiembre. Los franceses se han apoderado del importante El Excmo. Sr. mariscal Moncei, dnqúe de Codesfiladero de Lumbreras, posición inexpugnable á negliano, y Mr. Canouville, aposentador dé pa­ 'a mitad del camina de Lorca ai Meditcrtáoeo» lacio,…</t>
  </si>
  <si>
    <t>Mondedeu, Josó</t>
  </si>
  <si>
    <t>Josó Mondedeu</t>
  </si>
  <si>
    <t>nmediato me avisaron mis avanzadas que se dirigía á Aiienza, é inmediatamente salí con mi compañía á re­ unirme con el segundo escuadrón del mando de D. Josó Mondedeu y el batallón de Guad alaxara, que se hallaban en aquella villa, para impedir que entrase es ella el enemigo. Llegado ¿ CmcoviUas, distan­ te media legua corta …</t>
  </si>
  <si>
    <t>Mondragon, Francisco Sánchez</t>
  </si>
  <si>
    <t>Francisco Sánchez Mondragon</t>
  </si>
  <si>
    <t>tonio Mier. vica de esta capital qaedan promovidos los indivi­ duos siguientes. PLAZA DE MADRID. BOLSA. Segundo batallón. OTA. X O DE ACOSTO DE l8ll. D. Francisco Sánchez Mondragon , subteniente, i teniente de la tercera compañía, en reemplazo de D. Pascual Carsi. Curso de ios cambios. D. J ¡ime Rostan, subteniente, i tenient…</t>
  </si>
  <si>
    <t>Monge, Alberto</t>
  </si>
  <si>
    <t>Alberto Monge</t>
  </si>
  <si>
    <t>Rovira Fonnosa , 4000. D. Benito de la Plaza, 200. Total, 180,850. JSn drogas y medicinas, cuyas valores se han computado. — D. José CureTe , 253 rs. D. Alberto Monge , 39. B. Agustin Reguera, 27S. D. José Martos, 1S6. D. Dionisio José Sanche# , 600. D. Juan Rodríguez Sánchez , 272. D. José Climen , 132. D. José Salinas, 224.…</t>
  </si>
  <si>
    <t>Moníalvo, Juan</t>
  </si>
  <si>
    <t>Juan Moníalvo</t>
  </si>
  <si>
    <t>IX Francisco do Arango, habilitado del regimiento de infantería de Cuba, por oferta de los gefes , oficiales é individuos de dicho regimiento, 1451. D. Juan Moníalvo , teniente coronel agregado al regimiento de infantería de Cuba, |&gt;or el prest de. sois soldados en 4 meses durante la guerra, 216. D. San­ tiago Girara!, per el…</t>
  </si>
  <si>
    <t>Monibmn</t>
  </si>
  <si>
    <t>de Gallegos, de donde se retiraron con arreglo á mis órdenes. V. E. ve por esta carta la fuerza i que se opusieron, y á pesar ItkXS 1US esfuerzos del general Monibmn que mandaba ia caballena _ i.... _ francesa , para flanquear la británica, dirigiéndose al mismo tiempo contr^ ella por el frente con 8 piezas de artillería, es …</t>
  </si>
  <si>
    <t>Moníhioa</t>
  </si>
  <si>
    <t>838</t>
  </si>
  <si>
    <t>838 y no sin fundamento, que se trata de formar un exército de reserva, cuya raando en gefe, dicen, tendré el general Moníhioa; hablan tam­ bién de otras di visiones, que estarán á cargo de los generales C^faieli, gobernador de Vitoria, Rdíile de Navarra, y algún otro. Añaden que ei exército de reserva tendrá que c</t>
  </si>
  <si>
    <t>Monnertt, Pedro</t>
  </si>
  <si>
    <t>Pedro Monnertt</t>
  </si>
  <si>
    <t>aron con mucha celeridad y precisión. El Sr. D. Juan Quimano.................................. 100 De vuelta de Schevellingoe el Emperador re­ El Sr. D. Pedro Monnertt.............................. 50 cibió á las principales autoridades del departa­ El Si. D. Juan Deslande........................... 200 mento. El Sr. D. Juan …</t>
  </si>
  <si>
    <t>Monrabi, José</t>
  </si>
  <si>
    <t>José Monrabi</t>
  </si>
  <si>
    <t>com­ pone del regente de la real audiencia, D José Ignacio L’orens, de D. Manuel Pazas y D. José Zaragozano , car óoigos de esta santa iglesia, y •de D. José Monrabi, abogado de esta misma ciudad. Del 16 de abril. El general en g:fe interino ha recibido del barón de Eróles el parte que sigue : “Excmo. Sr. El dia 9 recibí en M…</t>
  </si>
  <si>
    <t>Monroif, Julián</t>
  </si>
  <si>
    <t>Julián Monroif</t>
  </si>
  <si>
    <t>e venir á presentarse, dió las mas activas providencias para averiguar los autores del delito. Súpose eran 3 soldados de la compañía de caba­ llos de D. Julián Monroif el cual se apresuró á arrestarlos y los envié á disposición de da junta. Lpego que llegaron los reos, recibieron el 4 del corriente ¿ á presencial de ja demas …</t>
  </si>
  <si>
    <t>Mont</t>
  </si>
  <si>
    <t>ia obra, y de allí trabajadores. El general de trinchera Palombioi marchó rápidamente á reunirse con la primera co­ mandaba el asalto; y encargué al general Mont- lana. Nuestros sobados asaltaron á porfia la bre­ Otarie que dispusiese en la izquierda de las trin­ cha del Fuette-Real, y desbarataron á los ene­ cheras otra rese…</t>
  </si>
  <si>
    <t>Monta, Juan</t>
  </si>
  <si>
    <t>Juan Monta</t>
  </si>
  <si>
    <t>de la junta superior del principado , el general en ge-fe-se ha servido confirmar en la comandancia del ex­ presad© batallón á su capitán mas antiguo D. Juan Monta* dit, her­ mano del difunto, dando así testimonio de su aprecio á la memoria de este y á los méritos dé su casa, ínterin llega el caso de que una justa represalia …</t>
  </si>
  <si>
    <t>Montada, Felipe</t>
  </si>
  <si>
    <t>Felipe Montada</t>
  </si>
  <si>
    <t>pitán cL artillería D. Tomas Doh g-trayal ca­ pitán de la guarnición ds Cardona F3. Vicente G:jd z Go zekz, y ai distinguido del regimiento de Ausona D. Felipe Montada, que faé el primero quss se metió den tro deí fuerte;; no pudendo reco­ mendar ahora los que m?.s se di sí ir guie son de b- guarnición de Car­ dona , por no t…</t>
  </si>
  <si>
    <t>Montado, Catalina</t>
  </si>
  <si>
    <t>Catalina Montado</t>
  </si>
  <si>
    <t>Luis de Chaves, regente de la real audiencia, por mano de D. Tomas de la Cruz Muñoz , 500. Doña Antonia jCuvbelo, por sí y tres hermanas pobres, 12. Doña Catalina Montado ,. viuda, 50. (Se continuará.) ______ ____________ u l - ................. . tiinrn - — ----------------------—————— fiADIZ : EN LA IMPRENTA REAL.</t>
  </si>
  <si>
    <t>Montaivo, Juan</t>
  </si>
  <si>
    <t>Juan Montaivo</t>
  </si>
  <si>
    <t>nasterio do.ibta. Clara , á cuerna de su oferta, 1301 y 3 rs. D. Joaquín do Herrera, alcalde ordina­ rio, por el prest de 6 soldados en 9 meses, 486. D. Juan Montaivo , por el de 6 sol-:lados en 7 meses, 378. D. José X.enes , por el do. 3 soldados en 8 meses , 162. D. Luis Caballero, por igual oferta y tiempo , 162. Joan Faor…</t>
  </si>
  <si>
    <t>Montali</t>
  </si>
  <si>
    <t>amadas vulgarmente pe­ sentado al cuerpo legislativo en la sesión del queños seminarios s la fundación de muchos gran­ sjf de junio por el Excmo. Sr. conde Montali- des seminarios para los estudios mayores; el resta­ vet, ministro de lo Interior. blecimiento de las iglesias donde quiera que habían sido destruidas, y el comple…</t>
  </si>
  <si>
    <t>Montalívet</t>
  </si>
  <si>
    <t>N6m. IOS. U;j GACETA DE LA REGENCIA DE ESPAÑA E INDIAS DEL JUEVES 15 DE AGOSTO DE 1811. FRANCIA. Paris 6 de julio. El conde Montalívet, ministro del interior, le* y6 ei 29 del pasado en la sesión del cuerpo legislativo una exposi­ ción de la situación del imperio francés, en la cuál se encuentran, en­ tre otros, estos pasa</t>
  </si>
  <si>
    <t>Montalvo, Alexo</t>
  </si>
  <si>
    <t>Alexo Montalvo</t>
  </si>
  <si>
    <t>lmagro, por................................................ 2200 ciscana , residente en Madrid , por...... 2200 D. Francisco Fernandez Caballero, ex­ D. Alexo Montalvo , ex-mercenario cal­ trinitario descalzo , residente en Almozado, residente en Guadalaxara , por.. 2 200 dovar del Campo , por................................ …</t>
  </si>
  <si>
    <t>Móntalvo, Rafael</t>
  </si>
  <si>
    <t>Rafael Móntalvo</t>
  </si>
  <si>
    <t>0. El coronel D. Juan Francisco del Castillo, á cuenta de su oferta de 4 soldados durante la guerra, 378. D. Mariano Arango, 100. El teniente coroné! D. Rafael Móntalvo, por el prest de 2 soldados en 3 me • ses, 36. D. Domingo de la Madrid . subteniente y habilitado del regimiento de la Habana, 4 nombre del subteniente agrega…</t>
  </si>
  <si>
    <t>Montalvo, Rafael Ximenez</t>
  </si>
  <si>
    <t>Rafael Ximenez Montalvo</t>
  </si>
  <si>
    <t>7. Francisco Carabajal, id., 10. Oficia­ les y tropa de esta división 363 y 6 rs. y medio.— Cañoneras de la plaza. Comandante, el teniente de fragata D. Rafael Ximenez Montalvo , 150. Se­ gundo , el alférez de fragata D. Ramón Gil , 100. Capitanes y pilotos de estos buques, D. Pedro Izquierdo , 60. D. Juan Bautista Basó, 30. …</t>
  </si>
  <si>
    <t>Montano, Fermín</t>
  </si>
  <si>
    <t>Fermín Montano</t>
  </si>
  <si>
    <t>1040 Continúan los donativos de la isla de Cuba. D. Fermín Montano, coronel y comandante del real cuerpo de ingenie­ ros , y su hijo D. Francisco , cadete de dragones , por el prest de 3 soldados en 6 meses , 162 pesos fuertes. El capitán D. Domingo Bontou</t>
  </si>
  <si>
    <t>Montardit</t>
  </si>
  <si>
    <t>1200</t>
  </si>
  <si>
    <t>idad que hizo.derramar lágrimas hasta á algu­ nos de los- mismos enemigos. — El 28 hubo mucho furgo entre los franceses de Balaguer. y las tropas del comandante Montardit. Dell de setiembre. Antes de ájer quedaban pocos enemigos én -Csrvéía, por haber salido una partida A reforzar á los que el día an­ terior habían calido par…</t>
  </si>
  <si>
    <t>Montbiun</t>
  </si>
  <si>
    <t>es. Pero sin ir tan lejos, el exempio de Vol-, portado con bizarría y valor. El general de división taire bastada para poner fuera de.duda qnan recí­ conde Montbiun , comandante de la caballería del proca es la alianza de las ciencias y-de las letras.. exército, ha manifestado en la jornada del j una Al mismo tiempo que;, pub…</t>
  </si>
  <si>
    <t>Montbrnn</t>
  </si>
  <si>
    <t>tuada al pie de ja ladera que ocapaba el dos "por muchos batallones de infantería y por 12 enemigo, o&gt; se descubre por,estar rodeada de cañones. El . general Montbrnn maniobró por mi cerros ; sin embargo esperaba tomarla, y - poder izquierda , con la. mira.de ganar las alturas de la mantenerme en ella; y asi mandó atacarla; y…</t>
  </si>
  <si>
    <t>Montbrun</t>
  </si>
  <si>
    <t>1195 el general Montbrun y el coronel duque de Aremberg han sido el fruto de esta victoria. El general Girard huye herido por la montaña, y se sigue a los enemigos en todas direcciones. El teniente coronel D. Nicolás de Santiago; primer ayudante de V. E., que se ha hallado con­ m</t>
  </si>
  <si>
    <t>Montemayor, Joaquín</t>
  </si>
  <si>
    <t>Joaquín Montemayor</t>
  </si>
  <si>
    <t>o mayor de losexércitos los empleos de ayudantes generales al brigadier D. Fernando Montoya y Solís,. y á los tenientes coroneles D. Ramón de Losada, D. Joaquín Montemayor, D.; Francisco Xavier Cabanes, D. Andrés Bassccourt, D. Felipe Montes, D. José Ezpeleta y D.'Gaspar Di­ ntel: los de ayudantes primeros al teniente coronel…</t>
  </si>
  <si>
    <t>Montenegro, León</t>
  </si>
  <si>
    <t>León Montenegro</t>
  </si>
  <si>
    <t>....................... 93a Cédulas hipotecarías.............................. 94? itan de la quinta compañía, en la vacante de Don S íalrñ'an Pando. D. León Montenegro, teniente, á capitán de Certificaciones del tesoro público............. j 79 á f Oro español contra plata........ ...................j ij á | la octava compañ…</t>
  </si>
  <si>
    <t>Montenegro, Luis</t>
  </si>
  <si>
    <t>Luis Montenegro</t>
  </si>
  <si>
    <t>bien al tesoro público, ó á las oficinas donde hayan de efectuar los pagos cocforSegunda batallón. ine sn procedencia. Lo que se hace saber al públi­ D. Luis Montenegro, sargento primero, á sub­ co de orden del ^celestísimo señor prefecto d? teniente de la sexta compañía en reemplazo de esta provincia. Madrid 11 de marzo de 1…</t>
  </si>
  <si>
    <t>Montenegro, Manuel García</t>
  </si>
  <si>
    <t>Manuel García Montenegro</t>
  </si>
  <si>
    <t>Antonia del Río................ 38519 D. Juan Aivarez de Faria..................... 7761.-17 D. Josef Antonio de Criarte................... 28338..17 D. Manuel García Montenegro............. 11732.. X7 D. Juan Manuel Pérez de Herrera, por D. Guilletir.o de lihagon , por mano mano de D. Pedro Pablo Pérez de de Gorbea y sobrino…</t>
  </si>
  <si>
    <t>Montera, Pedro Alonso</t>
  </si>
  <si>
    <t>Pedro Alonso Montera</t>
  </si>
  <si>
    <t>á á 8 rs. á la rústica en las librerías de Escriba­ Isabel de Madrid por roano de no, calle d* las Carretas, de Denne joven, en la de la sn apoderado D. Pedro Alonso Montera, la del puesto del diario, calle de .Toledo, la Rodríguez.................................... 540851 27 deVilla , plazueti de Santo Domingo, yen la de la…</t>
  </si>
  <si>
    <t>Montero, Antonio</t>
  </si>
  <si>
    <t>Antonio Montero</t>
  </si>
  <si>
    <t>D. Manuel Antonio Barbachano , cada año , 20. D. Antonio Gual , 20 D Antonio Martin , 20. D. José Mauricio Rodríguez, 12. D. Alexmidro del Campo, 12. D. Antonio Montero, 12. D. Juan Flota y compañía, 12 D. Antonio Guerra, 10. D. Rafael Castilla, 10. D. Gerónimo García, 10. D. Jacinto Perora, 10. D. José Pallan, 10. D. Juan Ca…</t>
  </si>
  <si>
    <t>Montero, Casimiro Antón</t>
  </si>
  <si>
    <t>Casimiro Antón Montero</t>
  </si>
  <si>
    <t>ía Hetiríquez de Lu­ D. Edmundo Bourke..,........ .......... 12589 na , viuda de D.Miguel Cevallos. 12104 19 D. Benito Sánchez Navarro........... 361 D. Casimiro Antón Montero y Do­ El marques del Norte.................... 902 *7 ña María del Carmen Meló....... 20521 12 D. Santiago Aguillo....................... 5595 17 D. An…</t>
  </si>
  <si>
    <t>Montero, Don José Bernardino</t>
  </si>
  <si>
    <t>Don José Bernardino Montero</t>
  </si>
  <si>
    <t>. — Séptima id. Alférez D. Miguel Alanis , 50. La tropa , 490.— Octava id. Capitán D. Juan Martin de Echavarria, 200. Teniente D. Antonio Saenz, 100. Alférez Don José Bernardino Montero, 50. La tropa, 494. —-Compañía de la T*U2iía de Lampazos. El capellán D.. Cipriano Garza, 50. La tropa, 491. — JScxar. D. Ignacio Pcrez, 200.…</t>
  </si>
  <si>
    <t>Montero, Isidro</t>
  </si>
  <si>
    <t>Isidro Montero</t>
  </si>
  <si>
    <t>al de fusileros D. Manuel Ma­ ría de Vorey : primera tenencia de fusileros á los segundos tenientes D. José Vaca del Barco , D. Diego Vaca del Barco, D. Isidro Montero, de granaderos, y D. Angel de Noguer, segundo ayudante mayor : segunda tenencia de granaderos á los agregados de fusileros D. José Broaini y D. Wenceslao conde…</t>
  </si>
  <si>
    <t>Montero, Jorge</t>
  </si>
  <si>
    <t>Jorge Montero</t>
  </si>
  <si>
    <t>1. D. Pedro Arguelles , 150. B. Juau Totosans , 150. D. Pablo Gual, 100. D. Juan Antonio. Ferreiro , 50. D, Francisco Moreno , 50. D. Juan Diaz , 40. D. Jorge Montero , 25. Don Domingo'Mosqueira, 25. D. Aiidres Pumar , 25. Jóse Antonio Perez, 15. Santiago Forco , 6. D. Agustín Ferrer , 10. D. Juan Antonio Colero , 6. Mar­ cel…</t>
  </si>
  <si>
    <t>Montero, José María</t>
  </si>
  <si>
    <t>José María Montero</t>
  </si>
  <si>
    <t>cisco Lomban y á D, Antonio Pravía : subtenencias á D. Tomas Sal­ cedo, D. Ignacio Pinedo, D. Ignacio Chamuia, D, José Rahamonde,' D. Mariano Cadles, D. José María' Montero, D. Tomas de Castro y D. Baltasar Peusan; subtenencias de bandera á D. Diego del Corral, En el regimiento de infantería de Truxillo; ayudantía á Don Crist…</t>
  </si>
  <si>
    <t>Montero, Josef</t>
  </si>
  <si>
    <t>Josef Montero</t>
  </si>
  <si>
    <t>ni&gt;tró''dé'Hafcienda ijuéda' encargí-j 6 D. Miguel A nronio Oqiiendo........... ." .495° 1 do de la execuciou del presente decreto. = Firmado :=YOj 6 D. Josef Montero dé-la Concha....... 44^6 EL REI. = Pór S. M., el ministro secretario de Tüsradqél 4 ' D. Jostf ti'. l¿a Vega Ordoñez........... . '6390 , Firmado— Mariano Luis …</t>
  </si>
  <si>
    <t>Monteroj, Luis</t>
  </si>
  <si>
    <t>Luis Monteroj</t>
  </si>
  <si>
    <t>segundo teniente D. Pedro Gamez y las Casas; s ganda tenencia a1, a? fe reí D Rimon de Melgarejo : empleo &lt;te al­ férez de cazadores, ai de fusileros D. Luis Monteroj y empleos de al­ féreces de fusileros, á D. Pió Sotolongo , subteniente del batallón d-a voluntarios de Campomayor, D. Joaquip Carcer , teniente del regi­ mient…</t>
  </si>
  <si>
    <t>Monteros, Isidro</t>
  </si>
  <si>
    <t>Isidro Monteros</t>
  </si>
  <si>
    <t>a D. Fran­ da de Illescas, calle ancha de Majaderitos. cisco Xavier de Negrece.......... 13500 -D. Antonio de Siles........................ 175 27 17 D. Isidro Monteros......................... 3375 PLAZA DE MADRID. BOLSA. -D. Mariano Sancho.......................... 4542 32 DfA l6 DB DICIEMBRE DB l3ll. ■D. Raimando Ruiz de A…</t>
  </si>
  <si>
    <t>MonterrosoD, Juan</t>
  </si>
  <si>
    <t>Juan MonterrosoD</t>
  </si>
  <si>
    <t>lcjr compañías á D. Felipe Marcenaro y á D. Antonio Sánchez; ayudantía á D. Ratael Miion ; tesei?cias á D. Juan.Amores, D. José Rico, D. Mateo Novoa, D. Juan MonterrosoD. Manuel Hernández, I). Dionisio Sií?c,h:s, D. Fe lio. Mariis Carnea, D. Rimon Vázquez y D. Ber­ nabé Fae-zsubtenencias i D. Juan-Castellanos, D. Casimiro Fue…</t>
  </si>
  <si>
    <t>Monterrubio, Manila R Ancho y Don Francisco</t>
  </si>
  <si>
    <t>Manila R Ancho y Don Francisco Monterrubio</t>
  </si>
  <si>
    <t>cerccc í s déla plaza de A vapul­ eo, destacó desde su campo de las Cruces el 30 de abril ¡ina partida de 70 Iio.' b 'cs al mando de los subtenientes D. Manila R Ancho y Don Francisco Monterrubio, con el obj ato de corlar i los rebeldes la co­ municación entre sus campamentos de la Sábana y del Vola Joro. A las 2 irgucs encon…</t>
  </si>
  <si>
    <t>Montes, Felipe</t>
  </si>
  <si>
    <t>Felipe Montes</t>
  </si>
  <si>
    <t>Fernando Montoya y Solís,. y á los tenientes coroneles D. Ramón de Losada, D. Joaquín Montemayor, D.; Francisco Xavier Cabanes, D. Andrés Bassccourt, D. Felipe Montes, D. José Ezpeleta y D.'Gaspar Di­ ntel: los de ayudantes primeros al teniente coronel D. Juan Bl¿íke, al sargento mayor D. José Castellar, al de la misma clase …</t>
  </si>
  <si>
    <t>Montes, Francisco</t>
  </si>
  <si>
    <t>Francisco Montes</t>
  </si>
  <si>
    <t>Montero, 50. La tropa, 494. —-Compañía de la T*U2iía de Lampazos. El capellán D.. Cipriano Garza, 50. La tropa, 491. — JScxar. D. Ignacio Pcrez, 200. D. Francisco Montes, 50. D. Manuel Barrera, 40. D. Francisco de los Santos, 30. D. Fernando Baramendi, 30. D. Clemente Delgado, 10. D. Vicente Travieso, 10. I). Francisco de Aro…</t>
  </si>
  <si>
    <t>Montes, José</t>
  </si>
  <si>
    <t>José Montes</t>
  </si>
  <si>
    <t>Abollo, Don José Cubilar, D. Anselmo Muiré, D. José María Garza, í). «Fosé Navajas y D. Verdura Mosquera; los de subteniente á D José González Amigo, D. José Montes, D. Miguel Revor^do, D. An­ gel CAbalo, B. Juan Genaro Viñuela, D. Vicente Gomtz, Doq Bírnardino López, D. Santiago Ncvoa, D. Felipe López, D. Ni­ colás Rodríguez…</t>
  </si>
  <si>
    <t>Montesinos, D'ego</t>
  </si>
  <si>
    <t>D'ego Montesinos</t>
  </si>
  <si>
    <t>cívica de por el tiempo y la opinión, quales son las de los Ja ciudad de Córdoba queda promovido autores célebres de rodos los paises, y qual es par­ D. D'ego Montesinos á subteniente de !a pri­ ticularmente la A taha del inmortJ * Racine; pero mera compañía del segundo batallón, en la vacante nuestros comediantes roe han dem…</t>
  </si>
  <si>
    <t>Montesinos, Manuel</t>
  </si>
  <si>
    <t>Manuel Montesinos</t>
  </si>
  <si>
    <t>dro Velasce y Colon. Asimismo en el regimiento de infantería de Granada el empleo de coronel i D. Celestino Perez : en el de Uitonia ía comandancia &amp; D. Manuel Montesinos: en el de América el empleo de coronel á D. P riro de Soto: en ei de Fieles Zaragozanos el de teniente coronel i D Santiago Montero : en el de Fernando Sépt…</t>
  </si>
  <si>
    <t>Montmarie</t>
  </si>
  <si>
    <t>ones propias de su cioa de cortar á aquella coiuna, que se retiraba estado. Hallará el rico y poderoso remedio eficaz con­ poco á poco de delante del general Montmarie, tra la envidia de sus inferiores, y aprenderá de la mo­ disputando el terreno; y en efecto por este me­ deración de Josef, elevado í la cumbre de los honores,…</t>
  </si>
  <si>
    <t>a executado en medio de SOCO.enemigos-.. Diafy. Hemos tenido herido a un soldado. Sé Ha.'pasado un oficial polaco, quién dice que habiendo atacado el general Montmarie á los valencianos en. Vinaroz , se había visto obligado a retirarse a la villa de Ulldecona, y que Había perdido muchos de sus mejores oficiales : aña­ dió que…</t>
  </si>
  <si>
    <t>os fugitivos. En es­ llones del 7.0 de línea y los fuegos del fuerte de te tiempo llegó de la derecha la coluna del coro­ la Oliva debían sostener al general Montmarie» nel Boargeois : los carabineros del 1.° de infante­ al mismo tiempo que el general Harispe ejecuta­ ría ligera acometieron al enemigo &gt; y completa­ ba varios …</t>
  </si>
  <si>
    <t>na á 26 de hecho para desalojarnos de la parte baxa de la ciu­ junio de 1811.” dad, cuya pérdida debe ser fatal á Tarragona. En la noche siguiente el general Montmarie y el co­ ,, Estado de las piezas de artillería que se has ronel Sainr-Cir-Nugues, que entraron de trinche­ encontrado eu las obras del puerto, y han sido to­ r…</t>
  </si>
  <si>
    <t>Montoto, José</t>
  </si>
  <si>
    <t>José Montoto</t>
  </si>
  <si>
    <t>omandante de tira­ dores de Asturias D Fernando Miranda ; los oficiales heridas D. Mi­ guel Prieto, D. Blas Bermejo, D. José Franco, D. Diego Tu ñon, D. José Montoto, que no obstante su herida continuó mandando su com­ pañía hasta que los gefes le obligaron á retirarse , y D. Cayetano Suarez de ía Vega , que quedó herido y pr…</t>
  </si>
  <si>
    <t>Montoya, Manuel</t>
  </si>
  <si>
    <t>Manuel Montoya</t>
  </si>
  <si>
    <t>uos , 39-y íirs.— Chicha. T&gt;. Carlos Rentería , 100. T). Luís Martí­ nez , 100. D. Juan Capistrano , 30. D. Antonio Moreno, 50. I). Matías Bueno, 14. D. Manuel Montoya , 12. D. Cipriano Rentería, 8. D. Tomas Rentería, 10. D. Francisco Veiez, 12. Varios individuos, 100 y 0 rs. Los vecinos de Moconito , 237 y 5 rs. Los de Bacuv…</t>
  </si>
  <si>
    <t>Montresor</t>
  </si>
  <si>
    <t>­ AUSTRIA. carse para Portugal han recibido contraorden , v Vierta 16 de febrero. permanecerán en sus quarreles respectivos. Se dice -tí que el mayor general Montresor , que se halla ac­ Naestro gobierno favorece en quanto le es po­ tualmente en Fermoi, va á tomar el mando del sible la cria de los gusanos de seda, pu&amp;, les es…</t>
  </si>
  <si>
    <t>Monzoi, Juan</t>
  </si>
  <si>
    <t>Juan Monzoi</t>
  </si>
  <si>
    <t>graduado y cadete de Ordenes millíares, D. Pedro Almcaya, cadete del segundo de Madrid; los cuatro alumnos de la academia militar de ia Ida de León, D. Juan Monzoi, sargento primer® del citado batallen,: D. Francisco Gi­ nesta!, D. Engodo Moya y D. Dsmiugo Bdlerino, cadetes de Ies regimientos de Cananas, y segundo de Sjvilla,…</t>
  </si>
  <si>
    <t>Monzon, Pascual Antonio</t>
  </si>
  <si>
    <t>Pascual Antonio Monzon</t>
  </si>
  <si>
    <t>medio. Vi-' cente Ninahiica , id., 33 y 2 y m dio. Isidro Viica, id. supernumerario, S v 2 y medio. El mozo que cuida del aseo de la oficina , 2 y 4. D. Pascual Antonio Monzon , escribano mayor de gobierno , 23. D. Manuel B navente, escribano dé la sala del crimen, 25. D. Vicente Gordillo, 25; D. .Sebastian de Ugarriza , en c…</t>
  </si>
  <si>
    <t>Moore</t>
  </si>
  <si>
    <t>o noticias de Lis­ general Lefebvre, que fue hecho prisionero ai prin­ boa por la via de Guernesci; el 18 las tuvimos direc­ cipio de la retirada del general Moore, por el lord tas por el navio la Carlota, y ai día siguiente las conde Beveriei. Este cambio está ya ajustado, y traxo también el Real Jorge-, pero nada dicen que …</t>
  </si>
  <si>
    <t>Mor</t>
  </si>
  <si>
    <t>es. alborotos bastante serios, a que dieron princi­ pio las desavenencias entre los soldados de mari­ WESTFALIA. na y dos regimientos de milicias. El coronel Mor— jandi, que /mandaba uno de dichos regimien tos, y Cas sel ra de diciembre. otros varios sugetos han venido presos á Río-JaPor decreto del dia i.° de este mes consid…</t>
  </si>
  <si>
    <t>y haciendo tífuerzt s p^oa mar. tener el antiguo castiiio de ía villa ae Po xibd, fué desaloja Jo de él ; pe­ ro tu s xto cuerpo y la caballería del general Mor.ib: un que forrnab n la re taguara ia , sostenidos por ci o uvo cuerpo enemigo, mantu­ vimos! el campo por el lado de la villa, porque no bebían lígrdo nuestras trepa…</t>
  </si>
  <si>
    <t>Mora, Gregario Sánchez</t>
  </si>
  <si>
    <t>Gregario Sánchez Mora</t>
  </si>
  <si>
    <t>ndo prisionero á su g?fe. Valencia 23 de abril. Extracto de varios partes mandados publicar por el comandante general de este exército y reyno. I. De D. Gregario Sánchez Mora , coronel del regimiento de in­ fantería de Axila, al mariscal de campo D. José Miranda , coman­ dante general de las tropas del cantón de Segorbe. — Xt…</t>
  </si>
  <si>
    <t>Mora, Jé</t>
  </si>
  <si>
    <t>Jé Mora</t>
  </si>
  <si>
    <t>Juan Vázquez, D Manuel Sánchez, D. An­ tonio Bermejo, D. Luis Puente, D. Aotolin Sigiienza, D Matías Te­ resa, D. Juan González , D Manuel Calvantes, D. Jé Mora, Don Juan Morgaez, D Alfonso Gírela, D. JranGamez , D. L *&gt;n Acnña, D. Esmeraido Acuña, D. José Correa Ioañez,D. Ramón Salas y Don Julián Retana. Buques que han recog…</t>
  </si>
  <si>
    <t>Mora, José</t>
  </si>
  <si>
    <t>José Mora</t>
  </si>
  <si>
    <t>infantería , D. Manuel Gu­ tiérrez de les Ríos : el del regimiento de la Corona D. Juan de Urqui- . di : el teniente veterano de dragones de Puebla , D. José Mora : el al­ férez del propio cuerpo D. José Ignacio de la Cuesta : el subteniente de la columna de granaderos, D. José Mariano Zavaía 5 y el alférez de dragones de Méx…</t>
  </si>
  <si>
    <t>Mora, Salvador</t>
  </si>
  <si>
    <t>Salvador Mora</t>
  </si>
  <si>
    <t>sé Y^zquez Yarela; subtenencias á D. Manuel de los Ríos, D. Pío Tona, D. Juan Medrana, D. Cristóbal Sánchez, D. Pssdro Alvares:,.D. Cipriano V'dal., .D. Salvador Mora, D. Tomas de Sindc, D. José fereyra , D. D’ego Blanco y D. José Delgado; subtenencia de bandera á D. José Muñoz. En el batallón de infantería. ligera de volunta…</t>
  </si>
  <si>
    <t>Moraleja, Casimiro</t>
  </si>
  <si>
    <t>Casimiro Moraleja</t>
  </si>
  <si>
    <t>L SABADO 26 DE ENERO DE I3II. ESPAÑA. PARTIDAS PATRIOTICAS DE GUERRILLA. En la acción que tuvo el 2 de setiembre junto á Añover de Tajo la partida de D. Casimiro Moraleja contra 66 franceses de caballería, de que solo escaparon 8, el bizarro Manuel Fernandez mató por sí solo, según se asegura , 15 enemigos. Este patriota tien…</t>
  </si>
  <si>
    <t>Morales</t>
  </si>
  <si>
    <t>en el camino. Solo j hombres se Alzadas. escaparon de la partida , porque no entraron en la Por decreto de 27 del mismo D. Justo Carca emboscada. El comandante Morales no ha perdido Barandalla , oficial primero de la contaduría de So­ ninguno de su tropa , que ha dado pruebas en esta ria , ha sido nombrado contador principal …</t>
  </si>
  <si>
    <t>Morales, Antonio</t>
  </si>
  <si>
    <t>Antonio Morales</t>
  </si>
  <si>
    <t>vacante Tamariz Escalera, á D. Juan Camacho, presbíte­ por fallecimiento de D. Alonso Fernandez Cruza­ ro, ex-regular del orden de S. Gerónimo. do, á D. Antonio Morales, presbítero, ex-regular Para el curato mas antiguo de ia villa de Mon- de los clérigos menores. tellano, vacante por desistimiento de D. Felipe Y para el de H…</t>
  </si>
  <si>
    <t>Morales, Joaquín</t>
  </si>
  <si>
    <t>Joaquín Morales</t>
  </si>
  <si>
    <t>e granaderos ai de fu­ sileros D. Pedro Moreli; ídem de cazadores á D. Justo Salafranca, te­ niente de fragata de la real armada, idem de fusilaros á D. Joaquín Morales, D. Benito Llinas, D. Eduardo de Silva, D. José Clemente de Buerens y D. Antonio de Fort, alféreces del mismo cuerpo , á Don Manuel Cortabarria, capitán del r…</t>
  </si>
  <si>
    <t>Morales, Joscf Isidoro</t>
  </si>
  <si>
    <t>Joscf Isidoro Morales</t>
  </si>
  <si>
    <t>850 enemigo no pudo impedir que se consiguiese este del señor canónigo D. Joscf Isidoro Morales y del resaludo, porque durante U batalla hizo una sa­ señor racionera D. A'.gjl María de Guzman; y lida el general Philippon, y demolió las obras de abierta la caxa , y reeouuci los por todos ios docu­ at</t>
  </si>
  <si>
    <t>Morales, Josef</t>
  </si>
  <si>
    <t>Josef Morales</t>
  </si>
  <si>
    <t>nio de X811." Hamo. decretado y decretamos lo siguiente: articulo i. ,,D. Francisco de Caq^amo, fitESPAÑA. Cal de ¡a reai chanciliería de Valladoiid; D. Josef Morales, miimtro togado de !• misma*, D Ramón Madrid t.° de agosto. Sánchez de Cueto, alcáldé mayor de la cindad,y el obispo de ella D. Vicente Soto y' Valcarcel Gran c…</t>
  </si>
  <si>
    <t>Morales, Josef Tomas Ruiz</t>
  </si>
  <si>
    <t>Josef Tomas Ruiz Morales</t>
  </si>
  <si>
    <t>l beneficio del del Castillo, cura de Daifontes. mismo pueblo, á D. Cristo1^-Josef García, cura Para el de Itravo, vacante por promoción de de Cacin. D. Josef Tomas Ruiz Morales á canongía de Mo­ Y para el de Velez de Benandalla, vacante tril, al presbítero D. Julián de Herrera. por muerte de D. Francisco Madrigal, al presbí­…</t>
  </si>
  <si>
    <t>Morales, Juan</t>
  </si>
  <si>
    <t>Juan Morales</t>
  </si>
  <si>
    <t>primeros á D. Francisco del Rey , D. S.n* tos de Allende, D. Eraclio A:aiz &gt; D. Manuel de Tena, D. Emeteriu Velar de, D. Francisco Pablo de la Peña, D. Juan Morales y</t>
  </si>
  <si>
    <t>Morales, Leonardo</t>
  </si>
  <si>
    <t>Leonardo Morales</t>
  </si>
  <si>
    <t>rs. Otra donde dicen las Viveras, de 5 Para el dei Presidio y Benecid, vacante por fan., 5 cel. y 17 est. á 500 rs. Y otra en la vereda del muerte de D. Leonardo Morales, al presbítero Gato.; de una Fan. , u cel. y 10 est.'á 450. rs. Quietx quisiere hacer postura á dichas tierras acuda ante el se­ D. Josef Guillen del Castill…</t>
  </si>
  <si>
    <t>Morales, Marcelino</t>
  </si>
  <si>
    <t>Marcelino Morales</t>
  </si>
  <si>
    <t>amón Luciano de Villamaríin; y cu el dei segundo de Soria, ayudantía á D. Andrés Aguirre; tenencias á D. Vicente Olmos, Don Francisco Rica Tillaren!, D. Marcelino Morales, D. Nerbsrto Flo­ res, D. Fernando dei R:o, D. Ramón Pi aillos y D. Antonio Pala­ cios; y subtenencias á D. Cristóbal Julián, D. Tomas de Torres, D. Juan Ga…</t>
  </si>
  <si>
    <t>Morales, María de la Cruz</t>
  </si>
  <si>
    <t>María de la Cruz Morales</t>
  </si>
  <si>
    <t>o Peñalver , por el pre.st de 5 soldados en 6 meses, 270. D. Juan José de. Sotolongo , por sí y su hijo D. Pió, cadete del regimiento de Puebla, 100. Doña María de la Cruz Morales, viuda y aíbacea de ]D. Gabriel de Castro Pa­ lomino, por oferta que este habia hecho antes de su fallecimiento, 200. Tras­ ladados del común de re…</t>
  </si>
  <si>
    <t>Morales, Narciso</t>
  </si>
  <si>
    <t>Narciso Morales</t>
  </si>
  <si>
    <t>1338</t>
  </si>
  <si>
    <t>an estas buenas gentes que los ingle­ El comandante de esqnadron de cazadores de ses por su famosa acta de navegación tienen sujetas montaña de Avila D. Narciso Morales, que con too sus colonias á la mas estrecha dependencia, y que hombres de infantería y 60 de su esqnadron sa­ en el comercio recíproco de la metrópoli con ell…</t>
  </si>
  <si>
    <t>e agosto de 1810. Don Manuel Ruiz de Cortazar á ayudante en art. 111. Nombramos por comandante de-este reemplazo de D. Josef Villaverde. esquad.-on á D. Narciso Morales, capitán que fue Don Ignacio Granados , subteniente , á tenien­ de la compañía ya citada ; por capitán de una de te de la tercera compañía en la vacante de Do…</t>
  </si>
  <si>
    <t>Morales, Siman</t>
  </si>
  <si>
    <t>Siman Morales</t>
  </si>
  <si>
    <t>dente D. Cipriano Bjyol, residente en Toledo, por........ 2200 en Toledo, por.................................................... 2200 FX-GI.KONIMOS. D. Siman Morales , presbítero, natural de la villa D Julián ríe la Concha, natural de Garcinarro, en de la Guardia , provincia de Toledo, resiliente Cu. iuj , resíllente en Tole…</t>
  </si>
  <si>
    <t>MoralesD, Juan Pedro</t>
  </si>
  <si>
    <t>Juan Pedro MoralesD</t>
  </si>
  <si>
    <t>os de donde querían ¡r: hicieron segunda tentati­ salieron electos D. Toribio Sánchez Monasterio, va, pero inútilmente; y ya iban á hacer la tercera, D. Juan Pedro MoralesD.- Pascual de Bolafics quando llegó i a bate* tan esperada y tan deseada. y Novoa , D. Antonio Vizmanos , D. Juan Nico­ La noche era sumamente obscura, y l…</t>
  </si>
  <si>
    <t>Moraletoda, Demetrio Ramón</t>
  </si>
  <si>
    <t>Demetrio Ramón Moraletoda</t>
  </si>
  <si>
    <t>gar de la- isla de Corfú tj buques Para el de Foensalída, vacante por muerte de con la noticia de haber entrado en dicha isla con D. Máceos Petril, á D. Demetrio Ramón Moraletoda felicidad la expedición que salió de aquí el da , cura de Lozoyuelal dia 22. En Corfú ha¡ víveres en abundancia; es Para el de Sta- Cruz de Retamar,…</t>
  </si>
  <si>
    <t>Moran, Fernando Antonio</t>
  </si>
  <si>
    <t>Fernando Antonio Moran</t>
  </si>
  <si>
    <t>nuestro consejo de Esta­ buru................................................ ............... 1487.. 8 do, hemos decretado y decretamos lo siguiente: D. Fernando Antonio Moran..................... 5225..12 articulo i. „Se declaran acreedores del estado en D. Beltran Charoieo....................................... 722 conformi…</t>
  </si>
  <si>
    <t>Badan................................ 4286 18 pozuelos........................................ 28548 D. Guillermo Pcironer.................. 6450 24 D. Fernando Antonio Moran......... 2923 22 D. Nicolás de los He-ros........• 8750 D. Mariano Herran....... ,,............... 930 33 D. Fernando Bernardo de Quiios. 12472 2 Doña M…</t>
  </si>
  <si>
    <t>Moratin, Leandro Fernandez</t>
  </si>
  <si>
    <t>Leandro Fernandez Moratin</t>
  </si>
  <si>
    <t>da por nuestro Por S. E. el barón de Lagerbiclke, ministro decreto de este día los sugetos siguientes :&gt;'■ plenipotenciario de S. M el Rei de Suecia, D. Leandro Fernandez Moratin. - El barón de Robcek , cabiHero de la real or­ D. Juan Melendez Vaidés. b : r den de la Espada , y el barón de Jock , oficial d&gt;1 D. Vicente Gonzál…</t>
  </si>
  <si>
    <t>Morder</t>
  </si>
  <si>
    <t>en la Albuhera , habiendo ido el 14 dos di­ visiones á Tala vera la Real y Santa Marta; la división del general Coll quedó bloqueando á Olivencia. El mariscal Morder, según noti­ cias contestes, había salido de Badajoz con cinco regimientos de infan­ tería , dexando de guarnición sus terceros batallones, que compondrán todos …</t>
  </si>
  <si>
    <t>destacamento de 300 fran­ ceses para Madrid. Eí misino dia llegó aquí un convoy con una es­ colta de 400 hombres y 200 caballos : con ellos viene el mariscal Morder, su estado mayor , muchos coroneles y oficiales que han per­ dido sus redimientes, Branciforte con su familia y suegra , todos de paso para Francia. Se espera otr…</t>
  </si>
  <si>
    <t>Moreao, Antonia Pascual</t>
  </si>
  <si>
    <t>Antonia Pascual Moreao</t>
  </si>
  <si>
    <t>ro. 28000 D. Sebastian de Otacgui................ 2689 23 D. Joaquin Calvo........................... 14035 6 Doña María Teresa de la Concha.. 1022 2 Doña Antonia Pascual Moreao..... 1201 6 D. Ramun Fernandez de Quiroga. 2593 20 D. Félix Ugarte................. ............ 3301 3 D. Ildefonso Calbacho.................... 108…</t>
  </si>
  <si>
    <t>Moreda, Francisco</t>
  </si>
  <si>
    <t>Francisco Moreda</t>
  </si>
  <si>
    <t>ms coro -T D. Francisco Moreda, el brigadier D. Pedro Gastelu, y el de ígiuu clase D. Guillermo Lihes&amp;V , que mandaba toda la reserva, se situó en ei pueblo sosteniendo ei ataque de las otras tropas. Los enemigos tuviero</t>
  </si>
  <si>
    <t>Moreda, Santiago</t>
  </si>
  <si>
    <t>Santiago Moreda</t>
  </si>
  <si>
    <t>to exórcito, Don Antonio Aguado, cadete de! batallón de Campo*; ayor; y en el de Guadalaxara, compañías á D. Ventura Ssgura, D. Vicente Santist-'ban, D. Santiago Moreda, D. Jasé Capilla, D. Joaquín Covisa, D. Ramón Lodares y D. Salvador d® Les; ayudantía á D. Francis­ co de la Torre; tenencias á D. Manuel Medina, D. Francisco…</t>
  </si>
  <si>
    <t>Moreli, Pedro</t>
  </si>
  <si>
    <t>Pedro Moreli</t>
  </si>
  <si>
    <t>Dalmaeia En el regimiento de reales guardias Walonas ha conferido el Con­ sejo de Regencia empleo de segundo teniente de granaderos ai de fu­ sileros D. Pedro Moreli; ídem de cazadores á D. Justo Salafranca, te­ niente de fragata de la real armada, idem de fusilaros á D. Joaquín Morales, D. Benito Llinas, D. Eduardo de Silva,…</t>
  </si>
  <si>
    <t>Morell, Pedro</t>
  </si>
  <si>
    <t>Pedro Morell</t>
  </si>
  <si>
    <t>Domingo Foxa, D. Mamerto Landáburu yr D. Carlos Orreyile barón de Clonkee, y al capitán segundo del ba­ tallón de voluntarios, segundo de Barcelona, D. Pedro Morell: empleo de segundo ayudante mayor al alférez de cazadores D. Francise® Mons: empleo de alférez de granaderos á D. Juan María Van-herck , subte­ niente del regimie…</t>
  </si>
  <si>
    <t>Morell, Pedro Juan</t>
  </si>
  <si>
    <t>Pedro Juan Morell</t>
  </si>
  <si>
    <t>o al real decreto de 5 de enero de 1810 expedido á fa­ vor de los defensores de Gerona, ha concedido el mismo Consejo gra­ do de teniente-coroneles á D. Pedro Juan Morell , segundo teniente del regimiento de reales guardias Walonas , y á D. Gabriel Squella, sapitan segundo del batallón de voluntarios segundo de Barcelona^ CAD…</t>
  </si>
  <si>
    <t>Morena, Fiancisco González</t>
  </si>
  <si>
    <t>Fiancisco González Morena</t>
  </si>
  <si>
    <t>ba­ tería 2 banderas con adornos alusivos 1 la inicua independencia. Noticioso de lo acaecido el caudillo principal de las tropas re­ volucionarias, D. Fiancisco González Morena, que con 600 á 700 hombres entre caballería é infantería tenia su' cuartel general en el pueblo de S a. Cruz, á dos jornadas de distancia, se retiró …</t>
  </si>
  <si>
    <t>Moreno, Andrés</t>
  </si>
  <si>
    <t>Andrés Moreno</t>
  </si>
  <si>
    <t>75. D. José Batí le , hermanos y conpañía , 303 y 5. D, Ense­ bio Gómez , 50. D Jaymc Kernati, 25. D Antonio Moreno,- 100. D. Antonio Comadira, 2.0. D. Andrés Moreno , 330. D Gerardo Bas.,‘300. D. Juan .Mar­ ti y Robus , 62 v 6 rs. D. José Ferrer, 75. IX Matias Rere/., 50. D. Gaspar Bavi , 50. D- Jaymc Pont, 50. I). Juan Plá …</t>
  </si>
  <si>
    <t>Moreno, Antonio</t>
  </si>
  <si>
    <t>Antonio Moreno</t>
  </si>
  <si>
    <t>a individuos , 39-y íirs.— Chicha. T&gt;. Carlos Rentería , 100. T). Luís Martí­ nez , 100. D. Juan Capistrano , 30. D. Antonio Moreno, 50. I). Matías Bueno, 14. D. Manuel Montoya , 12. D. Cipriano Rentería, 8. D. Tomas Rentería, 10. D. Francisco Veiez, 12. Varios individuos, 100 y 0 rs. Los vecinos de Moconito , 237 y 5 r</t>
  </si>
  <si>
    <t>z, sargento de artillería , 30. Don Juan Fuertes , 75. D. José Batí le , hermanos y conpañía , 303 y 5. D, Ense­ bio Gómez , 50. D Jaymc Kernati, 25. D Antonio Moreno,- 100. D. Antonio Comadira, 2.0. D. Andrés Moreno , 330. D Gerardo Bas.,‘300. D. Juan .Mar­ ti y Robus , 62 v 6 rs. D. José Ferrer, 75. IX Matias Rere/., 50. D.…</t>
  </si>
  <si>
    <t>Moreno, Antonio Pascual</t>
  </si>
  <si>
    <t>Antonio Pascual Moreno</t>
  </si>
  <si>
    <t>de octubre. Pí fu Maií.i de Arpwedes....... ...... 4 0CO D. •Sebastiin de Ota.g.n................. 60120 Extracto de las minutas de la secretaria de D. Antonio Pascual Moreno....... 60c j 30 Estado. En nuestro palacio de Madrid á 21 de octu­ 14c126 16 bre de 1811. Don Josef Napoleón por la gracia de Dios y Que á una suma impo…</t>
  </si>
  <si>
    <t>Moreno, Fernando</t>
  </si>
  <si>
    <t>Fernando Moreno</t>
  </si>
  <si>
    <t>calle de las Carretas. 1 D. Rodrigo Moreno. D. Dionisio Castro. Tenientes. PLAZA DE MADRID. BOLSA. DIA 9 DE NOVIEMBRE HB l8ll. D. Juan Román Cerezo. D. Fernando Moreno. Subtenientes. Efectos públicos. D. Francisco Jurado Almiron. Vales reales...................................... 9‘i Cédulas hipotecarias......................…</t>
  </si>
  <si>
    <t>Moreno, Francisco</t>
  </si>
  <si>
    <t>Francisco Moreno</t>
  </si>
  <si>
    <t>, id., re­ en Torrejon de Velasco , por—............. lio» sidente en Valdepeñas, por.................... 22oo P. Ramiro López, id. id., residente en D. Francisco Moreno, id., residente en ííta corle , por............................................... i ioo Sta, Cruz de Múdela, por...................... 2200 D. Francisco Muñ…</t>
  </si>
  <si>
    <t>Moreno, Joaquín</t>
  </si>
  <si>
    <t>Joaquín Moreno</t>
  </si>
  <si>
    <t>el ge­ neral Limers en compañía cíel intendente D. .Juan Gutiérrez de la Concha, del brigadier D. Santiago de Allende, del ministre de real hacienda,D. Joaquín Moreno, y de otros empleados civiles y mili» tares, habían iiiosti ado ópénerse ál designio, que ya notísima taba. la junta de Buenos Ay res, de dividir la España Amer…</t>
  </si>
  <si>
    <t>Moreno, Juan</t>
  </si>
  <si>
    <t>Juan Moreno</t>
  </si>
  <si>
    <t>carato de la villa de Villa- ro de Lezuza. martin, vacante por muerte de D. Francisco Ló­ Mr. de Regnuk, que hacia parte de la coluna, pez Torija, á D. Juan Moreno, presbítero, ex- fue destacado inmediatamente para doblar la posi­ trinicario descalzo. ción del enemigo hácia el parage por donde podía Para el seguudo de la de C…</t>
  </si>
  <si>
    <t>Moreno, Juan Antonio</t>
  </si>
  <si>
    <t>Juan Antonio Moreno</t>
  </si>
  <si>
    <t>ctos públicos. D. Francisco Jurado Almiron. Vales reales...................................... 9‘i Cédulas hipotecarias......................... y: i D. Juan Antonio Moreno. art. v. En U villa de Montalban, de dicha Certificaciones del tesoro público 84 á f Oro español contra plata,.................... l2 a í prefectura , se …</t>
  </si>
  <si>
    <t>Moreno, K-inon</t>
  </si>
  <si>
    <t>K-inon Moreno</t>
  </si>
  <si>
    <t>ntonio Conde. ■ 1 ; Por 1S, - JE., el barón de .VValtersrorf, ministro D. Tomas García Suelto! v plenipotenciario ,de S. M. ei .Rei de Dinamarca, • . D. K-inon Moreno. El caballero West, consejero de Estado del art- 11. Nuestro ministro-de lo Interior queda Rei. encargado de ia execucion .dei presente decreto.es Por .Sí E. el…</t>
  </si>
  <si>
    <t>Moreno, Pascual</t>
  </si>
  <si>
    <t>Pascual Moreno</t>
  </si>
  <si>
    <t>mbert, 40. D. Juan Sans de Sto. Domingo, 200. D. Jo­ sé Gordoa, diputado en Cortes por América, 2000. D. José Co!í, 1000. Don Ignacio Garceran , 200. D. Pascual Moreno de. Mora, 200. D. Antonio Cortes y Coll, 300. D. Félix Pulí, 200. D. Mariano Lobera, 400. D. José Solernou, 200. D. J. L. F., 150. D. José Ignacio Inciartc, 10…</t>
  </si>
  <si>
    <t>Moreno, Pedro</t>
  </si>
  <si>
    <t>Pedro Moreno</t>
  </si>
  <si>
    <t>ítero D. Josef Miguel de Arrabe. Para el beneficio carado de Fuenteguinaldo* Para la rectoría de la villa de Abzaga , en la de vacante por ascenso de D. Pedro Moreno á la dig­ Guipúzcoa, vacante por muerte de su último po­ nidad de tesorero y canónigo de aquella catedral* seedor, al ex-carmelita D. Isidro Gorostegui. ' á D. P…</t>
  </si>
  <si>
    <t>Moreno, Polooia</t>
  </si>
  <si>
    <t>Polooia Moreno</t>
  </si>
  <si>
    <t>cisca Xaviera de Osma.. 2 ico I D. Salvador Rodríguez Palómeqae.. 596 5 por D. Pedro Moreno Lombardo, tu­ t x D. Salvador Rodríguez Paiomeque, tor de Doña Polooia Moreno como apooderado de D. Benito Al* Díaz.................. .......... .................. 13003 r8 ] faro A guando......... ............................ 894 8 7 …</t>
  </si>
  <si>
    <t>Moreno, Prudencio</t>
  </si>
  <si>
    <t>Prudencio Moreno</t>
  </si>
  <si>
    <t>ia asamblea cotlstituyente encargase tan A pedimento de los síndicos de la intervención de importante objeto á la academia de ciencias. El b añes da D. Prudencio Moreno, vecino de esta corte, nuevo sistema de pesas y medidas es el resultado se ha mandado por el Sr. D. Juan Bautista Guitart, del consejo de S. M., juez de prime…</t>
  </si>
  <si>
    <t>Moreno, Rodrigo</t>
  </si>
  <si>
    <t>Rodrigo Moreno</t>
  </si>
  <si>
    <t>mentar la diversión: 2 folletos ta de ellas: rústica, á 7 rs. Se hallarán en la librería de la viuda do Capitanes. Quiioga , calle de las Carretas. 1 D. Rodrigo Moreno. D. Dionisio Castro. Tenientes. PLAZA DE MADRID. BOLSA. DIA 9 DE NOVIEMBRE HB l8ll. D. Juan Román Cerezo. D. Fernando Moreno. Subtenientes. Efectos públicos. D…</t>
  </si>
  <si>
    <t>Moreno, Sebastian</t>
  </si>
  <si>
    <t>Sebastian Moreno</t>
  </si>
  <si>
    <t>r su conducta. tac distinguieron en esta ocasión mis dos ayudantes de campo, el testante de dragones de Saguato D. Cipriano de Ve!asco , y el alferi¡ D. Sebastian Moreno; y mis oficiales de órdenes el teniente D.ltman Manuel de Segovia y el capitán D. Francisco Ferraris.— El mude de Penne Villemur Extracto de la orden general…</t>
  </si>
  <si>
    <t>Moreno, Temas</t>
  </si>
  <si>
    <t>Temas Moreno</t>
  </si>
  <si>
    <t>pañías á D. Esteban Sayró, y D. Vicente Sancho: ayudantía á D. José García: tenencias á D. Ji'sé Lopes y Angulo , D. Jacobo López, B. Miguel Salazar, D. Temas Moreno, D. Juan Julián da Tomás, D. Isidro Rebollo,. D. Saturnino García, D. Abdon Ruis y Camón, D. Ventura Mol­ ió.; D. Francisco de F ula Lopes, D, Tomas Ríos , D. An…</t>
  </si>
  <si>
    <t>Moret, Segismundo</t>
  </si>
  <si>
    <t>Segismundo Moret</t>
  </si>
  <si>
    <t>), id, ídem, 100. IX Mariano Mata! i, ídem, 800. D. Juan Aguílar, úícrn, SOOO. Señores Do»res y CanadeSl, ídem , 4-000. D. Ramón Molefc, idem , 1000. D. Segismundo Moret, ídem , 1000. D. Juan Serra , ídem, 1000. i). Francisco Piycl, ídem , 1000. D. Pablo de Goniis, ídem , 600. D. Próspero Dofufull, 200. Sres. Xiques, Cruz y c…</t>
  </si>
  <si>
    <t>Moreto, Agustín</t>
  </si>
  <si>
    <t>Agustín Moreto</t>
  </si>
  <si>
    <t>contra el reglamento de la libertad de presentará por la compañía española la comedia antigua la imprenta, V de corsiguirnte sacar las cosas de su de D. Agustín Moreto:'en tres actos titulada No puede quicio: de igual dictamen fueron los señores Aner y ser guardar una muger, y el sainete lá-Fineza en Jos au­ Del .Monte, añadi…</t>
  </si>
  <si>
    <t>ete de la noche, se re­ Moreno (D. Josef Angel), comisario de guerra presentará por la compañía española la comedia de fi­ de segunda clase. gurón de D. Agustín Moreto en tres actos titulada el Panchudo García (D. Ramón), deán y canónigo lin io D. Diego, en la que hará el figurón el señor An­ tonio Ponce, y el sainete el Rene…</t>
  </si>
  <si>
    <t>Moreto, Agustin</t>
  </si>
  <si>
    <t>Agustin Moreto</t>
  </si>
  <si>
    <t>n regocijo tan vehemente que sus mé- presentará por la compañía española la comedia de fi­ xillas empezaron á sonrosarse hasta que se pusié- gurón de D. Agustin Moreto en tres actos titulada el 'ron encendidas; sus ojos adquirieron una viveza lindo D. Diego, en la que hará el figurón el señor An­ extraordinaria; su pulso esta…</t>
  </si>
  <si>
    <t>Moreubein</t>
  </si>
  <si>
    <t>que iban detras , tantas banderas y El Sr. D. Juan Bautista Preste...................... 80 pabellones como flotaban por todas partes , y tan­ El Sr. barón Moreubein................................... 200 ta'genre reunida en el muelle Napoleón, la qual El Sr. de la Pomersi......................................... 100 mezclaba…</t>
  </si>
  <si>
    <t>Morgade, Manuel</t>
  </si>
  <si>
    <t>Manuel Morgade</t>
  </si>
  <si>
    <t>, D. Miguel -DuranD. José Morales, D. Luis Valderas, Don Juan Extrémela , D. José Romas»nta , D. Diego Malfeito, D. Alon­ so Perez, D. Pedro Santiso, D. Manuel Morgade, D. José Moreno García, D. José Gil Malfeito y D. José Muñiz; subtenencia de bandera á D. Francisco Zívihí-ano.- En el regimiento ds iafa*vAria da Zamora ; com…</t>
  </si>
  <si>
    <t>Morgues, Ana María</t>
  </si>
  <si>
    <t>Ana María Morgues</t>
  </si>
  <si>
    <t>José María Suarez , 2. Antonio Balao, 8. D. Francisco Armario, 4 D. Manuel Malavear , 2. D. José Badia,2.— Hacendadas. Doña María Manuela Gqla, 500. Doña Ana María Morgues, 25. Doña María Josefa Marcin , 50. Doña Gertrudis Gorostiota , 200. Doña Micaela Francisca Montes de Oca, 10. Doña Juana ■ Mareutes, 150. Doña Gvegoria Ca…</t>
  </si>
  <si>
    <t>Moriar, Juan</t>
  </si>
  <si>
    <t>Juan Moriar</t>
  </si>
  <si>
    <t>imer atributo de la Ruiz. = D. Lorenzo González Viejo. = D. Josef «soberanía, conserva, en Iqs estados el buen orden, Martínez. = D. Pedro Dabadie. = D. Juan Moriar« y hace respetar las leyes con que sop goberna- ti. = D. Joset Cabrera. = D. Fernando S. Miilan.= «dos. Sin este freno, los exércitos serian una pía- D. Antonio d…</t>
  </si>
  <si>
    <t>Moriega, Pedro González</t>
  </si>
  <si>
    <t>Pedro González Moriega</t>
  </si>
  <si>
    <t>os D. José , D. Mariano y D. Joaquín , 12000. D. Tomas Domingo de Adía, liOOO. D. Domingo Ignacio Lardizabal , 2000. El comisario de guiara honorarío D. Pedro González Moriega, varias piezas de plata.baxilla y dos pares de hebillas de oro que produxeron 4527 ps. y 1 y cuarto rs. D. Jacobo de Villaurrulia , varias piezas de la…</t>
  </si>
  <si>
    <t>Morillo</t>
  </si>
  <si>
    <t>, está en dispc?siciott de correr el pais per la Serena y hacia Z fra y Lkrena, conservando el punto de Mérida la división de infantería al mando del brigadier Morillo. En tales circuns­ tancias tiene el general Castaños la satisfacción de ver en tan breves dias casi teda Extremadura libre de enemigos, pues apenas pisan una p…</t>
  </si>
  <si>
    <t>armados que forman la primera división de mi dxército , y se encaminan a incorporarse con las tropas aliadas sobre Badajoz , ha­ biendo destacado al brigadier Morillo con dos batallones para una • j expedición rápida , con el fin de sorprehender la corta guarnición francesa que desde Belalcazar tiene en opresión algunos ‘pueb…</t>
  </si>
  <si>
    <t>bía dirigido hacia les puentes del Tajo con el fin de observar y contener el exercito francés de Mamoot , que se hab'a mevido hácia dicho rio, . r El brigadier Morillo consiguió en B íaícazar el 7, del corriente una ventaja de consideración contra una columna francesa , á la que hizo 120 prisioneros. Et l t al-anochecer arriv…</t>
  </si>
  <si>
    <t>siones. Los franceses ocupan á Piaseneia, Csría, y toda aquella parte de la dsredia del Tajo. El general Castaño? está en Valencia de Alcántara, y el general Morillo cu Cáceles con 2 í 3000 infantes y 900 caballos. José -Socaparte llegó á Madrid el 15 del pasado. ARTICULO DE OFICIO. Habiendo espirado el 8 del cemente los 4 me…</t>
  </si>
  <si>
    <t>Vérejs.5'; Mannbnt parece há evacuado á Piáséncia, y1 el general Foy va Truxilló: lo cierto es qué él 19 shlió de C Aceres pára este último pueblo el brigadier Morillo , precediéndole la caballería del conde dé Ferme. Siendo estó así , Fóy ¿ábra marceado á Aluíaraz, y no hay enemigos entré Guadiáúa y T^jo: La guprjicipn de Ba…</t>
  </si>
  <si>
    <t>abía dexado una pequeña guarni­ ción de tropas españolas , que rechazó al enemigo. En Extremadura ,’éí destacamento de tropas españolas del mando del brigadier Morillo, reunido á la legión del coronel Downie y á Ip caballería del quinto exército, todo á las órdenes del conde de Penr.e VUlemur, consiguió algunas ventajas en un…</t>
  </si>
  <si>
    <t>efes franceses para sostenerse y acudir á todas partes* Da Extremadura escriben que el exárcito del general Castaños ha­ bía hecho movimiento: que el brigadier Morillo se hallaba ó fines de agosto á 3 leguas de T ruxillo, y que empezaban lo» franceses á sa­ car de esta ciudad sus enfermos y efectds. Un edecán de Marmoat y un …</t>
  </si>
  <si>
    <t>nea, mandada por el brigadier Rizo, estaba 300 pasos detrás ; y la legión extre­ meña formaba el cuerpo de reserva. .La infante:ía, á les ordenes del brigadier Morillo, había salido á las dos de la rm ¿asa para to­ mar posición en una altura detras del pueblo dei Casar, y 'as dos compañías de volteadores del regimiento de la …</t>
  </si>
  <si>
    <t>oitahígre, y las nuestras quedaron eu Alcnescar. Posteriormente la caballería deí mando del conde de Pcime ha pasado á Cáceres, donde pemanece, y f l brigadier Morillo con la infantería á Montanches.— E’ generyS Giraid pudo arribar á D. Benito. — Los enemigos haa vu lto á Méiida en f uerza de 2 i 3000 hombres, según las mejor…</t>
  </si>
  <si>
    <t>Morillo, Pablo</t>
  </si>
  <si>
    <t>Pablo Morillo</t>
  </si>
  <si>
    <t>aba entre D as guarde &amp;¿\ Campo cl^í oouor da N i vert e i 25 d,- abrí de 1S11. —- Espoz y Mina." ( Se eontwnnrá. ) Qjkvnciu 14 de junio. Et KrigadVr D. Pablo Morillo rorprehendió -cu -Belakaz.it ia noche del 6 af 7 del corriente U cotatnaa móvil del</t>
  </si>
  <si>
    <t>Mortier</t>
  </si>
  <si>
    <t>y superiores que avanzaban por el camino de Sevilla, y 400 ca­ ballos que marchaban sobre el pueblo de Cala , evacuó- á Monaste­ rio , donde entró el mariscal Mortier. Cien tiradores atacaron al pue­ blo de Cala con la mayor bizarría en la noche del 3 al 4, causando á los franceses una viva alarma. A la una de la tarde -del d…</t>
  </si>
  <si>
    <t>ori­ llas del Zexere y del Tajo. * lngolstadt go de entro. También tengo que participar á V. S. que el Todos.los habit.otes de lo que antes se llama­ mariscal Mortier llegó el 3 al Ronquillo con nna ba Paiíes-Baxos, que sirven en el exército austría­ división d;l cuerpo que manda; y después de haco, debía volver á su patria. …</t>
  </si>
  <si>
    <t>el norte por Nava, Cordobilla y la Roca, y pueda satisfacer nuestra curiosidad. Aunque las qoe so vanguardia estaba ya en Valencia de Al­ tropas del mariscal Mortier se han presentado de­ cántara , lo qual hace creer que quiere pasar el Ta­ lante de Badajoz, parece, sin embargo que el grue­ jo por el puente de Alcántara, ó ac…</t>
  </si>
  <si>
    <t>Mortola, Próspero</t>
  </si>
  <si>
    <t>Próspero Mortola</t>
  </si>
  <si>
    <t>I2Í I la mayor actividad. Se esf.n ya quitando Iai D. Próspero Mortola, subteniente, á teniente cimbras de los áreos, y hacu n io Je piedra are— de la novena compañía, en la vacante de D. An­ jisca los lados del puente. Ti.-aje 540 pies de tonio San Germán. la</t>
  </si>
  <si>
    <t>Morttalvo, Francisco</t>
  </si>
  <si>
    <t>Francisco Morttalvo</t>
  </si>
  <si>
    <t>español contra plata...................... Tenientes. Napoleones de oro............................... D. Tomas García. D. Tidoro Gómez. THATTtOS. . D. Francisco Morttalvo. En el del Príncipe, á ¡a. siete de la noche, «• rrD. Angel Arroyo Dotnlngueí. presentará por la compañía española 1* gi«n ‘ ft: en dos actos titu Inda el …</t>
  </si>
  <si>
    <t>Mortuo, Andrés</t>
  </si>
  <si>
    <t>Andrés Mortuo</t>
  </si>
  <si>
    <t>marineros ingleses han promoción de D. Pedro de "'rega al de Gn.xarfásido cogidos con la chalupa que fue arrojada por raguit, al ex-agustino descalzo D. Andrés Mortuo, las olas á la costa. Esta vez no pudieron parar á cura de la Poza. aquella distancia á que solian quedarse regular­ Para el de Almocita y Beires, vacante por m…</t>
  </si>
  <si>
    <t>Morzan, Andrés</t>
  </si>
  <si>
    <t>Andrés Morzan</t>
  </si>
  <si>
    <t>mpañía, ‘ 500. D. Ignacio Eleves y Matute, 100, D. Lorenzo IJast.is , 200. X). Francisco * Rodríguez de Tórices. 1.00. D. Juan Illa y Clr.usell, 200. D. Andrés Morzan, '500. P. Melchor MonconiU , 100. !&gt;., Ildefonso Uuiz ded Rio , 1¿)00. D. ígnatcio Casal , 1000. Sres. Elias y ‘Parlado , 1000, P. Blas dól Hierro , 2000, Don V…</t>
  </si>
  <si>
    <t>Mosc</t>
  </si>
  <si>
    <t>r llegar á averiguarlos con certeza: él s el uno destinado para el gabinete astronómico ni los arredra la consideración de que cada aia que del señor conde Mosc.ti, senador, rico ya en ins­ se pasa nos aleja mas del tiempo en que sucedie­ trumentos selectos ; y el otro regalado por el au­ ron , y hace la averiguación nu; difi…</t>
  </si>
  <si>
    <t>Mosco, José</t>
  </si>
  <si>
    <t>José Mosco</t>
  </si>
  <si>
    <t>rra, D. Manuel Caba­ llero, D Juan Magollo D. José D:az y D P^dro Peynador; subtenenc as á D. Sebastian Salado, D: Felipe Treus,D Santos San­ martín, D. José Mosco30, D. José Ruiz Rodríguez , D. Fidel GaÍoso, D. Francisco Bnrmudez, D. Angel Fraile, D. Juan AlJaraira, í. Fa-no' Varela, D. Toma?/ Rea!, D. Pedro Benito Gárrulo, …</t>
  </si>
  <si>
    <t>Mosnier</t>
  </si>
  <si>
    <t>ola, que despa­ Un esquadron de dragones vino el dia 12 á ata­ cha su habilitado D. Antonio María Perez , se ha seña­ car -las avanzadas qne tenia el general Mosnier eo lado para el remate ds una casa sita en esta corte y su Benicarló. Sesenta húsares del 4.“ regimiento, man­ calle del Leal, núm. 1, manz. 27, compuesta de 273…</t>
  </si>
  <si>
    <t>Mosquera, José</t>
  </si>
  <si>
    <t>José Mosquera</t>
  </si>
  <si>
    <t>Ea el regimiento de infantería de Toledo ; compañías á D. José Cta.5, O. Cirios S-Jdos y D. Alberto Urbiaa; ayudantía á Don Jtaé Mo-renG; tenencias 3 D. José Mosquera, D.B ¿as Feynador, D. José Vui, D. Jcsé Petan, D. Benito (Grabarre, D. José Pruna, id. Fernando Oríiz, D. Francisco Atonso, D. Antonio VaUscillo, D. José Velas-…</t>
  </si>
  <si>
    <t>Mosquera, Juan</t>
  </si>
  <si>
    <t>Juan Mosquera</t>
  </si>
  <si>
    <t>el Suero y D. Isidro' Parrado; los de subteniente á D. Bernardo Cohniro, D J mn La*o Policarpo, D. Juan Corvera, D. Manuel T-boada, D. Nicolás Pardo, D. Juan Mosquera. D. Manuel Varo, D. Francisco García, D. Ojmingo de Torres y D. Andrés Lapido; el de subteniente de bandera á O. Santiago Esteban. En el batallón de isnfantería…</t>
  </si>
  <si>
    <t>Mosquera, Verdura</t>
  </si>
  <si>
    <t>Verdura Mosquera</t>
  </si>
  <si>
    <t>las Hera?, D. AN’xandro Rab’ej, D. Celestino' Cuella , D. Andre» Abollo, Don José Cubilar, D. Anselmo Muiré, D. José María Garza, í). «Fosé Navajas y D. Verdura Mosquera; los de subteniente á D José González Amigo, D. José Montes, D. Miguel Revor^do, D. An­ gel CAbalo, B. Juan Genaro Viñuela, D. Vicente Gomtz, Doq Bírnardino …</t>
  </si>
  <si>
    <t>Mosquera, Vicente</t>
  </si>
  <si>
    <t>Vicente Mosquera</t>
  </si>
  <si>
    <t>leos siguientes: E x el regimiento de ir?fardería, de. H¿berniacompañía a D. Cir­ io? Tlorati ; tenencias i D. Francisco Gramari, D. Felipe Caballero,D. Vicente Mosquera , D. Anselmo UUoa y á D. M .miel Parta; subtenencias á D. José Gonzauz, D. Temas Adran, D. José Gar­ cía, D. Silvestre Ibarra, I). Cayetano Várela, D. José -…</t>
  </si>
  <si>
    <t>Mota, Nicolás</t>
  </si>
  <si>
    <t>Nicolás Mota</t>
  </si>
  <si>
    <t>, que según un parte que acababa de recibir, la primera legión de Castilla, las comnañías de granaderos de Orense y Toro, y la partida patriótica de D. Nicolás Mota, habif.-n hecho ISO prisioneros, despees de una acción vigorosa eu el lugar da la Almendra, sin mas pérdida por nuestra parte que algunos heridos. — Se publicarán…</t>
  </si>
  <si>
    <t>Moüoa, Josef</t>
  </si>
  <si>
    <t>Josef Moüoa</t>
  </si>
  <si>
    <t>a compañía. Qued.-- nombrado para capitán de esta compa­ ñía D. Andrés María Robles; para teniente Don TEATROS. Francisco Urbano , y para subteniente D. Josef Moüoa, En el del Príncipe, i las siete dc.Ia noche, se re­ art. vi. En la villa de Posadas se formará presentará por la compañía española la comedia en cin­ co actos ti…</t>
  </si>
  <si>
    <t>Moure, José</t>
  </si>
  <si>
    <t>José Moure</t>
  </si>
  <si>
    <t>efectivo de infantería. Igual­ mente ha conferido el grado de teniente coronel al capitán primero del propio cuerpo, can funciones de sargento mayor, D. José Moure, por sus señalados servicios en la misma acción é la vista de sus compañeros de armas. — El mismo superior ge fe se ha servido pre­ miar sobre el campo de batalla …</t>
  </si>
  <si>
    <t>Mourgeon, D Juan de la Cruz</t>
  </si>
  <si>
    <t>D Juan de la Cruz Mourgeon</t>
  </si>
  <si>
    <t>uifcrl i de lá división del ‘brigadier Bcgines , maniobraron con extraordinaria pericia y denuedo., se­ ñaladamente la columna mandada por el bizarro brigadier D Juan de lá Cruz Mourgeon.. Estas tropas se dirigieron éñ seguida por la.derecha de las i inglesas . maniobrando constantemente sobre la ¡zquiéruá de los enemigos, cc…</t>
  </si>
  <si>
    <t>Mouriüan</t>
  </si>
  <si>
    <t>a de Copenhague. enemigos; la acción duró mas de hora y media, y el resultado fue que uno de los dos cuters llamado AUSTRIA. el Siuan, mandado por el capitán Mouriüan, fue echado á pique, y el otro escapó tan maltratado, Viena 4 de mayo. que se cree de seguro que pddeció igual sume. El conde de Saurau , gobernador de! Aus­ El…</t>
  </si>
  <si>
    <t>Mouron</t>
  </si>
  <si>
    <t>eros de Oüvenria, entre ellr s muchos oficiales, que van á incorporarse en la división del general B-dlesteros. Hueiva 5 de febrero. Un asistente del general Mouron, conocido per el de los bigotes, ha asegurado que este y el duque de Aremberg fueron heridos en el ataque de los Castillejos el 25 del pasado, y que ambos han mue…</t>
  </si>
  <si>
    <t>Mouterdit, Fraacisco</t>
  </si>
  <si>
    <t>Fraacisco Mouterdit</t>
  </si>
  <si>
    <t>pas del exército que V. E, mande. N© hace muchos dias que se ha quita lo la vida ignominiosamen­ te en. Blriaguer al comandante- de batallón nombrado D. Fraacisco Mouterdit, á pesar de que desempeñaba esta «omisión con todos los requisitos y autorizaciones-necesarias. Sucesivamente ha sido hecho prisionero otro comandarte de …</t>
  </si>
  <si>
    <t>Moutinarie</t>
  </si>
  <si>
    <t>Cenia; hizo en Nugues.’* ellos ana carnicería terrible, y cogió 300 prisione­ ros ,y 11 oficiales del regimiento de ¿¡aboya. ,, En este intermedio el general Moutinarie coo XIBXO. sn brigada y un esquadron de húsares contenia 1a El Triunfo de la inocencia oprimida, ó Josef en­ coiuna que desembocaba por el camino de Alca- sal…</t>
  </si>
  <si>
    <t>Moya, Alexandro</t>
  </si>
  <si>
    <t>Alexandro Moya</t>
  </si>
  <si>
    <t>Q María Fernandez, sargento primero, á D. Bernardo Cavalleri á ayudante en reemplazo subteniente de la quarta compañía. de D. Julián Estéban Secilia. D. Alexandro Moya, «argento primero, á subte­ art. vi. En la milicia cívica de Utrera. niente de la quinta compañía. D. Antonio Feireras á subteniente de la tercera D. Ignacio D…</t>
  </si>
  <si>
    <t>Moya, Melchor</t>
  </si>
  <si>
    <t>Melchor Moya</t>
  </si>
  <si>
    <t>. Gregorio Vázquez; y subtenencias á D. Francisco Rafael, D. Manuel Taquinet©, D. íhdegria Msliana , D. Podro Pascual del Castillo, D„ Antonio Elers, D. Melchor Moya, D. José Matras, D. Aarustin Scrra, D. Antonio Quircó, D. Cristóbal Alvaro, Don José Torreas, D. José María Cazarla, D. Vícente Crosal. D, Ma­ nuel Dorado, D. Fr…</t>
  </si>
  <si>
    <t>Moyano, Antonio</t>
  </si>
  <si>
    <t>Antonio Moyano</t>
  </si>
  <si>
    <t>erratis, D. francisco Josef de la Cruz. hacéis poljepcrmis. Tourn, Tenientes. D. Francisco Medina. D. Josef Aragón y Villalba. Subtenientes. THATXOS. D. Antonio Moyano. En el del Príncipe, á las quatro de la tarde, s* D. Luis Ortiz. * representará por la compañía española la tragedia en. art. iv. Eo la villa de la Carlota y a…</t>
  </si>
  <si>
    <t>Moyano, Vicente</t>
  </si>
  <si>
    <t>Vicente Moyano</t>
  </si>
  <si>
    <t>Bartolomé niente de la décima compañía. Quintaniila. D. Manuel Herrera, subteniente, á teniente en re­ Octavo batallón. emplazo de D. Manuel Obando. D. Vicente Moyano, sargento primero, á subte­ D. Juan Rodrigo de Quintaniila y Calderón á niente de la sexta compañía. subteniente en la vacante de D. Manuel Herrera. D. Víctor F…</t>
  </si>
  <si>
    <t>Moyers</t>
  </si>
  <si>
    <t>te, venia á Ioglater- inconvenientes que resultan de la leí de no im­ ra. Devuelto. portación, que está hoi en vigor, y solicitando Los Dos hermanos, capitán Moyers. Este bar­ que se convoque quando antes el cuerpo legislati­ co. parecía que era francés, y se le ha condenado vo de la nación. Viendo que no lo reclamaban. ,, Na…</t>
  </si>
  <si>
    <t>Mputañs, Francisco Demande</t>
  </si>
  <si>
    <t>Francisco Demande Mputañs</t>
  </si>
  <si>
    <t>viuda de Lcrena , o30. D. Antonio Lope/. Quintana, 20. D. Bernardo Gome , 20. D. Antonio Muño/. , 20. El señor marques viudo de las Hormazas , 2000. D. Francisco Demande Mputañs, 40 D. Tomas Casado , 20. D. José .María I’aniagua, 20. D. Loren o Ci-neros y Toledo , 0‘*&gt;. D. Nicolás Hernández, 60. X). Agustín Maestre, 40; D. Ig…</t>
  </si>
  <si>
    <t>Mr, Francisco Ló</t>
  </si>
  <si>
    <t>Francisco Ló Mr</t>
  </si>
  <si>
    <t>la Real. hombres; y el 18 logró alcanzarle en el desfilade­ Para el segundo carato de la villa de Villa- ro de Lezuza. martin, vacante por muerte de D. Francisco Ló­ Mr. de Regnuk, que hacia parte de la coluna, pez Torija, á D. Juan Moreno, presbítero, ex- fue destacado inmediatamente para doblar la posi­ trinicario descalzo.…</t>
  </si>
  <si>
    <t>Mr, Ka</t>
  </si>
  <si>
    <t>Ka Mr</t>
  </si>
  <si>
    <t>arte para do la partida del quarrcí general; pero todo está colocarlos. La colección de manuscritos, hecha por ya dispuesto para la marcha; y como el conde Ka- Mr. Doobrowski, y aumentada con los de la bi­ mecski va cada día mejor, se espera que el quar- blioteca Zaluski, contiene 11® volúmenes. telgenera! saldrá á la mayor b…</t>
  </si>
  <si>
    <t>Mr-rgelina, Luís</t>
  </si>
  <si>
    <t>Luís Mr-rgelina</t>
  </si>
  <si>
    <t>te de la enseñanza , y de los profesores, capitán D. Francbco Ce­ nantes , tenientes D. Lidero González, D. Julián Tomíba y D. Luis Hita, subteniente D. Luís Mr-rgelina, D. Juan Gómez y D. Anteríio la Torre, catedrático del seminario de S. FnlgsEcio. Cádiz 5 de agosto. El Si del pasado ss hizo a la vela desde este puerto el s…</t>
  </si>
  <si>
    <t>Msrcles, Luis</t>
  </si>
  <si>
    <t>Luis Msrcles</t>
  </si>
  <si>
    <t>D. José Mari* Canal. D. Vicente. Fría». D. Pedro Taboada. D. Juan Echáis. D. Sebaptiun Conejo. D. Manuel María Lanza sorta. Lie. D. Jcsé Marín Chicc. D. Luis Msrcles. Lie. D. José María Letona. D. Jacoho A rctdo, teniente coronel. D. Luis Malo, coronel. D. José María Segura, car» . genio-mayor. D. Francisco Mmacarenascoronel.…</t>
  </si>
  <si>
    <t>Msriiío, Gerónimo</t>
  </si>
  <si>
    <t>Gerónimo Msriiío</t>
  </si>
  <si>
    <t>Caroca , adonde se dice habían Hígado al­ gunas tropas francesas. Los prisioneros d-e Calatayud llegaron á Si­ ga enza el 14 de este mrs. El coronal D. Gerónimo Msriiío, comandante de las tropas de Burgos, atacó aí enemigo en VYilao^rigo el 23 de setiembre, le mató 9 hombres, é hí^o pristen*! &lt;&gt;« £ 173 soldados y 2 efi dales.…</t>
  </si>
  <si>
    <t>Mtlhaud</t>
  </si>
  <si>
    <t>6 , salió el 8 para Francia. Es uno de los mas nume­ rosos que hemos visto: lleva toda la tropa, oficialidad y generales que traxo , ú excepción del general Mtlhaud: se le han agregado aquí mu-</t>
  </si>
  <si>
    <t>Mttcana</t>
  </si>
  <si>
    <t>or Mr. Gecsner, traducido al castellano, á esta sesión el señor presidente Totochi, el sena­ y aumentado con notas por D. Pedro Lejcusne, tenien­ dor secretario Mttcana , lo* seoadores Roma &gt; La- te de caballería retirado: un tomo en 8.°_Quando se razzia , St flfanizzi, Sordina y Mclichi. publicó la primera vez en Alemania y …</t>
  </si>
  <si>
    <t>Mu, Manuel</t>
  </si>
  <si>
    <t>Manuel Mu</t>
  </si>
  <si>
    <t>el primer batallón tes de las secciones del consejo de Estado marones en reemplazo de D. Juan de la Torre y López. Caballero, conde de S. Anastasio y D. Manuel Mu­ art. iii. En el pr}mer batallón de la ciudad iría de Cambronero; al señor director general de de Toledo « bieoes nacionales D. Manuel Sixto Espinosa ; al se­ Don. …</t>
  </si>
  <si>
    <t>Mueca, Ignacio</t>
  </si>
  <si>
    <t>Ignacio Mueca</t>
  </si>
  <si>
    <t>pueblo, con noticia de que el enemigo lo ocupa­ ba , se puso en marcha , y habiendo logrado coa Ies porfiados trabajos de los gastadores al cargo de D. Ignacio Mueca y &lt;*e 200 hombies que mandaba el sargento mayor D. Joté Alonso, pasar con su tropa por la fragosa serranía de S. Mateo , llegó al cabo de dos días á colocarse en…</t>
  </si>
  <si>
    <t>Mueres, Manuel</t>
  </si>
  <si>
    <t>Manuel Mueres</t>
  </si>
  <si>
    <t>D. -Silvestre lí dalgo , y i un tambovei11© á quien ha hecho Ca.sí&amp;ñan sargento, al comodante de Sier®,y capitán D. Francisco Camino, ai subteniente D. Manuel Mueres, y á los sargentos Cortina y 0.rsi en el d.- Rivadts Ai, al subteniente D. José de Fuente, y á sus ayudantes I) Runon Gdines, D. Isidro Vaibuena, capitán de tira…</t>
  </si>
  <si>
    <t>Mugurruza, Francisco Perez</t>
  </si>
  <si>
    <t>Francisco Perez Mugurruza</t>
  </si>
  <si>
    <t>rieron do3 oficíales de raudas esperanzas, el te­ niente dettercero de Mnrina el valiente Sanjuijo , y el de la misma clase del batÚílon de Guipúzcoa D. Francisco Perez Mugurruza. Eéíaá* tropas dominan cuasi toda la provincia, y están situadas á las orillas del Saja, que abandonó el enemigo, y continuarán sus opííacionís con …</t>
  </si>
  <si>
    <t>Mui</t>
  </si>
  <si>
    <t>mis ayudantes nampo D. Ja*n Lop^z Guardárnuro , alférez sis nav* &gt; D. Mami¡»-1 G viz^í s de ¡a Y ga, teniente D Mui’ad G &lt;víe ar­ roz •t'-' ios Res, a fj. z D. B tsilio Ro.lr-guez, y subv.-nioníe D Nirc s&gt; S nt; ai ayudante de ea upo de D. Roseado Porlier, D. J.*,é M na B.í t’a , de dragón *s de Eipafbi; al voluntario disting…</t>
  </si>
  <si>
    <t>Muiré, Anselmo</t>
  </si>
  <si>
    <t>Anselmo Muiré</t>
  </si>
  <si>
    <t>ar­ rasco; los de teniente á D. Ramón Herveila, D. José de las Hera?, D. AN’xandro Rab’ej, D. Celestino' Cuella , D. Andre» Abollo, Don José Cubilar, D. Anselmo Muiré, D. José María Garza, í). «Fosé Navajas y D. Verdura Mosquera; los de subteniente á D José González Amigo, D. José Montes, D. Miguel Revor^do, D. An­ gel CAbalo…</t>
  </si>
  <si>
    <t>Mulcaster</t>
  </si>
  <si>
    <t>arte, de6 buques costaneros enemi. gos, que se habían refugiado baxo una batería de 3 cañones de i 12 iS. Ó. de Penmaik: uno de ello* fué quemado. El capitán Mulcaster de la goleta Emulous ha apresado en lo* mares de la América septentrional al oonario francés Adela. El capitán Browae del navio Ilermes apresó el 21 de setiemb…</t>
  </si>
  <si>
    <t>Müña</t>
  </si>
  <si>
    <t>ado. D. Francisco Olmedo. D. Nicoi&amp;s •Nava.- D. Antonio Ruiz. Di Antonio Belan.-D. Ignacio Hidalgo. Seculares. D. Ignacio José Alteado,-generalísimo. D. Müña’ao Ximenez, capitán general. D. Juan Aldama, teniente genera?. Don Pedro Anuida, mariscal.’ D. Manuel Sasta M-ría,.mariscal. D. Frarrebeo L^nzagorta, mariscal. D. Vicent…</t>
  </si>
  <si>
    <t>Munguia, Tomas</t>
  </si>
  <si>
    <t>Tomas Munguia</t>
  </si>
  <si>
    <t>cabos y soldados , 482 y 7 rs. — Bahía del Espíritu Santo. Capitán Di Francisco Amangual , 50. Primer alférez D. Juan Antonio Urrutia , 25. Segun­ do D. Tomas Munguia , 12. Capellán D. José Martínez, 20. Sargentos, ' cabos y soldados , 326. — Volante de Parras. Capitán D. Juan Ignacio Arrambide ,- 50. Teniente D. Francisco Vá…</t>
  </si>
  <si>
    <t>Munich</t>
  </si>
  <si>
    <t>e la amencia de S. A. El decreto Valdomiro. dice así: „Nos Cítlos por la gracia de Dios, Príncipe BAVIERA. primado de la confederación del Riu , gran duque Munich *4 de mayo. de Francfort, arzobispo de Ratisbona. „ Teniendo que ausentarnos por algún tiempo, Algunos extrañgeros de distinción han lid i á invitación de S. M. el …</t>
  </si>
  <si>
    <t>s calles principales burgo abunda de reflexiones mui juiciosas y sabias; d« esta ciudad están ya concluidas ; y en un deli­ lo mismo ta vida del feld mariscal Munich ; su cioso parage por la parte del mediodía se está cons­ historia dé Pedro el Grande reone en sí, la ele­ truyendo un espolón á costa de los vecinos, qut gancia…</t>
  </si>
  <si>
    <t>Muñiz, Antonio</t>
  </si>
  <si>
    <t>Antonio Muñiz</t>
  </si>
  <si>
    <t>lix Cevallos , 25. D. José Antonio Me riel mea, 12. V arios individuos, 47 y 2 rs. — Santa Rosa. D. Francisco del Prado, 30. D. Melchor Velarde, SO. D. Antonio Muñiz, SO. D. José María Cadena, 20. Don Miguel Sánchez, 35. D. Rafael Valle, 10.—Riogrande. D José le Je­ sús Rodríguez, 10.*D. José Barreda, 6. D. Juan Antonio ’Crti…</t>
  </si>
  <si>
    <t>Muño, Antonio</t>
  </si>
  <si>
    <t>Antonio Muño</t>
  </si>
  <si>
    <t>con­ sejo y cámara de Castilla ,513. D.. Manuel Chasco , 60. La condesa viuda de Lcrena , o30. D. Antonio Lope/. Quintana, 20. D. Bernardo Gome , 20. D. Antonio Muño/. , 20. El señor marques viudo de las Hormazas , 2000. D. Francisco Demande Mputañs, 40 D. Tomas Casado , 20. D. José .María I’aniagua, 20. D. Loren o Ci-neros y…</t>
  </si>
  <si>
    <t>Muñoz, Antonio</t>
  </si>
  <si>
    <t>Antonio Muñoz</t>
  </si>
  <si>
    <t>................. 6588.. D. Nicolás Blasco de Orozco, por ma­ D. Miguel María de Gortázar......... . 6227.. 8¿ no de D. Vicente González Arnao.. 7290 D. Antonio Muñoz, por mano de Sin- D. Claudio Boutelou, como marido de foriano de la Torre , y á nombre del Doña Bernarda Soldevilla................... 7560 hospital dé la Resur…</t>
  </si>
  <si>
    <t>Muñoz, Antonio Sánchez</t>
  </si>
  <si>
    <t>Antonio Sánchez Muñoz</t>
  </si>
  <si>
    <t>por muerte de D. Justo Pastor de Sierra, fiesta Trápala y Tramoya. Actores en Ja comedia. Se­ ñoras Maqueda y Torres. Señores Ponce, Infantes, Ave­ á D. Antonio Sánchez Muñoz , presbítero, ex-agus- cilla, Casanova y Fabiani. tino descalzo. En el de la Cruz, á las seis de la tarde, se excPara el de la villa de Paterna del Camp…</t>
  </si>
  <si>
    <t>Muñoz, Cristóbal</t>
  </si>
  <si>
    <t>Cristóbal Muñoz</t>
  </si>
  <si>
    <t>nta com­ guran nuestras comunicaciones con el continente. pañía. Para capitán de esta compañía está nombrado ESPAÑA. D. Tomas Galarza ; para teniente D. Cristóbal Muñoz, y para subteniente D. Josef Ontoria. Madrid 13 de marzo. art. vi. Eo la villa de Chipiona se formarán dos compañías: Extracto de las minutas de la secretaría…</t>
  </si>
  <si>
    <t>Muñoz, Diego</t>
  </si>
  <si>
    <t>Diego Muñoz</t>
  </si>
  <si>
    <t>o­ compañías. dos los ramos del ministerio. Para capitanes de ellas qnedao nombrados Don La Francia, señores, no necesita hacer ningún Diego Naveda y D. Diego Muñoz; para tenientes nuevo esfuerzo, ni ningún sacrificio extraordinario, D. Josef Arenillas y D. Miguel Salcedo y Nuñez, para mantenerse en una actitud respetable , y…</t>
  </si>
  <si>
    <t>aba de entrar en la concha de este puerto la Para ei d- Fresno, vacante por muerte de embarcación americana Catalina Rai, mandada D. Lore: z• Oruz, á D. Diego Muñoz jMinguez, por el capitau Puntine, y procedente de Nueva- ■cura de Valoepr^lJa. Yorck, con 59 pasageros á bordo, sin ninguna P«r* el d.- Zayas de Barcones, y Z&lt;yue…</t>
  </si>
  <si>
    <t>Muñoz, Francisco</t>
  </si>
  <si>
    <t>Francisco Muñoz</t>
  </si>
  <si>
    <t>uan José de Fier­ ros , 400. El ayudante mayor D. Baltasar González y .5. El cirujano D. Jo­ sé Ruiz Trianoy 30. El tambor mayor Nicolás Guilis / 10. D. Francisco Muñoz, capitán , 20. D. José 'Fray-re, id., 25 l&gt;. Alejandro Marcin , id., 200. D. Francisco ele la Pena, id. , 5. D. Pedro Gil., teniente, 10. D. Fran­ cisco Argae…</t>
  </si>
  <si>
    <t>o Moreno, id., residente en ííta corle , por............................................... i ioo Sta, Cruz de Múdela, por...................... 2200 D. Francisco Muñoz, ex-carmelita des­ D. Manuel Bravo, id., residente en id., por 2200 calzo, residente en Madrid , por............ 22CO D. Josef Camón , ex franciscano, resi­ D…</t>
  </si>
  <si>
    <t>Muñoz, Francisco Perez</t>
  </si>
  <si>
    <t>Francisco Perez Muñoz</t>
  </si>
  <si>
    <t>1330 María Echave , D. Mariano y D. Antonio Icaza, 3000. El licenciado Don Pedro García y García, 200. D. Francisco Perez Muñoz, 100. El coronel D. Ramón Cevallos, 1500. El conde de la Cortina por sí y por sus tres hijos D. José , D. Mariano y D. Joaquín , 12000. D. Tomas Domingo de Adía, liOOO. D. Domingo Ignacio L</t>
  </si>
  <si>
    <t>Muñoz, José</t>
  </si>
  <si>
    <t>José Muñoz</t>
  </si>
  <si>
    <t>cha se sostienen h cía la B ñ^a. — La s gurda legión de Gis tilia se halla en operación á la espalda de ios LJQxrr*&lt;:g •&amp;. — E teniente de cabal! ría D. José Muñoz, ayudante del coman­ dante de »as tropas y par» dei quinte distrito, compre hendidas en­ tre el Tejo y Dasro, D. Jalian Sánchez, ha puesto en manos del se­ ñor com…</t>
  </si>
  <si>
    <t>dro Alvares:,.D. Cipriano V'dal., .D. Salvador Mora, D. Tomas de Sindc, D. José fereyra , D. D’ego Blanco y D. José Delgado; subtenencia de bandera á D. José Muñoz. En el batallón de infantería. ligera de voluntarios de Gerona : el cte capitán primero á D. José Mosquera"; el de primer ayudante á Don Marmol d-.v Castro: les de…</t>
  </si>
  <si>
    <t>Muñoz, Luis Francisco</t>
  </si>
  <si>
    <t>Luis Francisco Muñoz</t>
  </si>
  <si>
    <t>ia 22. En Corfú ha¡ víveres en abundancia; es Para el de Sta- Cruz de Retamar,'vacante por mui activa lá navegación ^en’el Adriático, y los muerte de D. Luis Francisco Muñoz, al presbíte­ habitantes están animados^ del mejor espíritu. ro D. Manuel Calvo Cerro.</t>
  </si>
  <si>
    <t>Muñoz, Pascual</t>
  </si>
  <si>
    <t>Pascual Muñoz</t>
  </si>
  <si>
    <t>s las entregaron á los dos abandera­ D. Francisco de Paula Valle. dos , quienes las colocaron á la derecha é izquier­ D. Joaquín Hidalgo. da'de S. E. D. Pascual Muñoz. Se cantó despoes una misa, á la que siguió on D. Pedro Pablo Ibarra. solemne Te Deum, y concluido se retiró S. E. con D. Nicolás León. el misino acompañamiento…</t>
  </si>
  <si>
    <t>Muñoz, Tomas de la Cruz</t>
  </si>
  <si>
    <t>Tomas de la Cruz Muñoz</t>
  </si>
  <si>
    <t>os á nombre del hermano Saruboy , 4-1. D, Oaspar de ~~ los Reyes ' un soldado durante la guerra en 2 meses, 18. El por el prest de síndico procurador D. Tomas de la Cruz Muñoz á nombre de D. José fí a­</t>
  </si>
  <si>
    <t>6 rs. El brigadier 1). Francisco Montalvo, por el prest de 2 sol­ dados en 5 meses, 90. í). Luis de Chaves, regente de la real audiencia, por mano de D. Tomas de la Cruz Muñoz , 500. Doña Antonia jCuvbelo, por sí y tres hermanas pobres, 12. Doña Catalina Montado ,. viuda, 50. (Se continuará.) ______ ____________ u l - .......…</t>
  </si>
  <si>
    <t>Mur</t>
  </si>
  <si>
    <t>alizada en 20 dd condente. Parala Coy uña: bergantín correo , la durara. — Para levante: polacru-correo ia Fax, con la correspaud sucia de los revnos d Mur ia y Valencia, principado de Cata 1 uña , y prc a das internas. — Para Algeciras : ■ barca de S. M. Ci.vmi:i. — Para Ayamonte , místico b. FraneiííC oí- Pí\ii\'a. CADIZ ; …</t>
  </si>
  <si>
    <t>Muradas, Pedro</t>
  </si>
  <si>
    <t>Pedro Muradas</t>
  </si>
  <si>
    <t>a á esta D. Teodoro Sánchez. suerte .de acontecimientos. Esta ciudad no ha pa­ D Cristóbal Lorenzo.' decido nnnc3 grandes pérdidas de resaltas de los D. Pedro Muradas. terremotos, y tenemos ia prueba de esto en las D. Iñigo Fonseca. adunas antiguas yen los obeliscos, que todavía se D. Fernando Díaz. conservan en pie después d…</t>
  </si>
  <si>
    <t>Murcio, Juan</t>
  </si>
  <si>
    <t>Juan Murcio</t>
  </si>
  <si>
    <t>Pardo i D. Francisco López, D. Carlos Ls.iréu, D. José Palomino, D. Juüao M-tTiíaez, D. José Toas, D. Mnmié! Lnaif, D. jLmon P*sl, D. Fauetia© Vidal, D Juan Murcio, D. Pascual'</t>
  </si>
  <si>
    <t>Murfi, Juan</t>
  </si>
  <si>
    <t>Juan Murfi</t>
  </si>
  <si>
    <t>....... 20000 D. Josef García Ximenez...... ........ 122 J D. Antonio Chasscrot y Castro.... 80OO D. Tadeq Font............................... , ¿ÓOO D. Juan Murfi................................ 1ocooo D. Joaquín María de Uria y la El monte-pio militar.................. 2.011343 9 Quintana....................................…</t>
  </si>
  <si>
    <t>números siguientes: 61,78 , 75,67 y 18. D. Josef de Riva................ ........... 329x18 ii| D. Juan Hourco............................. 136581 4 D. Juan Murfi................................. 165000 tlATXOl. D. Guillermo de Huageo................ 15 7 71 En el del Príncipe, á las siete de la noche, se re­ D. Josef Telxido…</t>
  </si>
  <si>
    <t>Murga, Josef María</t>
  </si>
  <si>
    <t>Josef María Murga</t>
  </si>
  <si>
    <t>a, que presentó las llaves de ella á S. M.; REI ha nombrado caballeros de la Orden Real de el corregidor y municipalidad, y los jaeces indi­ Españará D. Josef María Murga , D Josef María viduos de la jnnta criminal. Yandiola, D. Trifon M¿ría de Echevartía , D. Va­ S. M. recibió después en su real cámara á to­ lentín María de …</t>
  </si>
  <si>
    <t>Murinow</t>
  </si>
  <si>
    <t>al ; y se trata de saber si lo» Estados-Unidos proporcionada á la utilidad de sus rrab.jo$. El se­ deben anticiparse á exscutarlo. Se ha nombrado ñor consejero Murinow, residente en Petersburgo, una comi-ii n para que exámine este punto, la qual y el señor Kettscher, de Moscow, han recibido dará su informe mañana o el lunes á…</t>
  </si>
  <si>
    <t>Murphy</t>
  </si>
  <si>
    <t>tean y dos pages á cada lado. El féretro en una estufa de 6 caballos y á cada lado z pages. Primer coche de duelo: el brigadier español Mazarred^, el coronel Murphy , el teniente coronel español C. Ste­ nor. Seguhdo, el capitán D Juan B, Arriaza , agregado á la legación española, D. Mauricio de Onis, id., y el teniente capitá…</t>
  </si>
  <si>
    <t>Mus</t>
  </si>
  <si>
    <t>Su autor nat, con la qual procuraban reunirse los que ha­ Mr. Bilaubé: traducido al castellano, y aumentado con bían sido ya batidos. Aprovéchase el general Mus- notas, por D. Pedro Lejeusne, teniente de caballería nier de este momento, y se dirige con los corace­ retirado. No hai clase de personas que no pueda sacar ros, hús…</t>
  </si>
  <si>
    <t>Musbatallón</t>
  </si>
  <si>
    <t>e la torre ral Boussart Mr. Bourdenave, y de los capiranes deUlldecona; mas el coronel Este ve, al frente del Buirette y Saint- Hilaires , edecán del general Musbatallón del 14-°, los desalojó á bayoneta calada, y nier ; todos los quales han dado pruebas de su va­ arrojándolos de toda la altura comenzó á perse­ lentía y denue…</t>
  </si>
  <si>
    <t>Musito, Vicenta</t>
  </si>
  <si>
    <t>Vicenta Musito</t>
  </si>
  <si>
    <t>. 745 2 1 art. 11. Se entregarán á los interesados las céD- Pedro Alonso Rodríguez........ . «980 27 duLs hipotecarias correspondientes con arreglo í Doña Vicenta Musito............. . 1667 17 nuestro decreto de 9 de jonio de 1809. D. Ramón de Landa................ 2223 xo art. 111. Nuestro ministro de Hacienda queda D. Loren…</t>
  </si>
  <si>
    <t>Musnier</t>
  </si>
  <si>
    <t>112 car la • capital y. ¿Jemas. plazas y .-puntos militareis del reyno. Una división francesa mandada por el general Musnier, que ha­ bía avanzado hasta dar vista á Feñíscola el (lia 7 de este mes, intimó el 8 la rendición al gobernador de la plaza D. Luis Antonio Florez. Su digna contestación hubo de desengañar</t>
  </si>
  <si>
    <t>la posición de Falset, é hizo 300 prisioneros ; y el de, después de un fuego mui vivo de todas ias ba­ 26 del mismo el general Musnier derrotó á los va­ terías de la plaza , se arrojaron 2O hombres sobre lencianos en Vinaroz, y les tomó 2500 prisioneros. todos nuestros puntos de ataque; y habiendo pe­ ,,Inmediatamente que el …</t>
  </si>
  <si>
    <t>rovincia, y se ha * sure para poder llevar á la cima del Mente-Blanco embarcado para Inglaterra. algunos ligeros instrumentos, siendo la altura de El general Musnier, nombrado gobernador de este monte poco mas de 5 SS varas ? ¡ Quan sensible Tortosa , ha hecho que sus tropas ocupen á Te­ no hubiera sido que esta peligrosa emp…</t>
  </si>
  <si>
    <t>Musnisr</t>
  </si>
  <si>
    <t>embre de 1811. 4 A las 10 de este dia se presentó una división enemiga en la villa de B¿mearlo, compuesta de 3000 hambres de todas armas al mando del general Musnisr: la mayor parte de esta división campó sobre el norte de dicha villa. Al mo­ mento el caballero gobernador de esta plaza tomó las disposiciones mas enérgicas, qu…</t>
  </si>
  <si>
    <t>Musoier</t>
  </si>
  <si>
    <t>Hldecooa, y maniobrara en aquel parage- En uno y otro tuvo este general el ¿sito mas feliz. El a6 dron Saint- Georges y del coronel Esteve. El señor general Musoier, que mandaba la acción, ha diri­ de noviembre , una hora antes de amanecer, el ge­ gido con el mayor tino todos los movimientos , y neral Bassecourt, al frente de…</t>
  </si>
  <si>
    <t>Mutte</t>
  </si>
  <si>
    <t>aliente , ha si Jo mui sentida : dio su nombre á al de la derecha, donde fue también muerto; y el la batería de la priinera paralelaqué se ha, abier­ capitán Mutte , del 4o.0, ;¡! reducto jque se habia to en la altura llamada del Viento. El capitán de empezado á conít-uie en él caminó de Ta’avera. ingenieros Vainsot, oficial …</t>
  </si>
  <si>
    <t>Muxica, Francisco Ignacio</t>
  </si>
  <si>
    <t>Francisco Ignacio Muxica</t>
  </si>
  <si>
    <t>esidente en Cienpo- D. Juan Bantista de Iribarren.................... j682i,.3¡ zuelos , por......................................... .......... 2200 D. Francisco Ignacio Muxica , por mano D. Vicente Diaz Alonso, id., por./,........ 2200 de D. Juan Bautista de Iribarren....... 4ÓQ2..2¡ D. Pedro Celestino de la Rion, ex-mer- D…</t>
  </si>
  <si>
    <t>Muza, Joaquín</t>
  </si>
  <si>
    <t>Joaquín Muza</t>
  </si>
  <si>
    <t>17. D Bartolomé Martínez , 17. D. Andrés García, 25. IX Francisco Villegas, 17. IX Juan Sánchez, 17. IX Antonio Cosío, 20.1). Ma­ nuel de Celis , 20. D. Joaquín Muza, 34. D. Valentín González, 6. D. Enri­ que Perez Lastra , 20. D. Andrés Cacho de Herrera , 100. D. Santiago Diego García, 102. Doña Rita Tixero, 51. D. Patricio …</t>
  </si>
  <si>
    <t>Muzqui, Miguel</t>
  </si>
  <si>
    <t>Miguel Muzqui</t>
  </si>
  <si>
    <t>an los donativos de las provincias internas de Nueva-España. TEJAS Bexar. El gobernador D. Manuel Salcedo , 500.— Compañías militárh. Primer teniente D. Miguel Muzqui , 10. Segundó id. D. Antonio Cadena, 25. Primer alférez D. Félix Areiniega&gt; 10. Segundo D, José Ignacio de Elguezabal , 30. Capellán D. Lorenzo Virrareal, 40. S…</t>
  </si>
  <si>
    <t>Mzndiri, Pedro</t>
  </si>
  <si>
    <t>Pedro Mzndiri</t>
  </si>
  <si>
    <t>con­ Penetrada de esta idea no dudó un momento en ac­ viniese Navarro con Espoz, ceder á la súplica de Espoz, y de acuerdo con el go­ Navarro pidió á D. Pedro Mzndiri, gefe de esqubierno le dirigió la carta núm. 21, y por separado le dron de la gendarmería imperial, y encargado de la escribió como amigo el diputado I?. Joaquí…</t>
  </si>
  <si>
    <t>N, O</t>
  </si>
  <si>
    <t>O N</t>
  </si>
  <si>
    <t>§&gt; O QD &lt;U * N__ _ en t. o ■« 41 «) c« J •** 2 &gt;-4 f-&lt; tí w» 2 « -* O» Qí +» g .rt .s U *g O (4 a O es a» . « o z §■ eS ni C e N 41 ' &gt;*J -fe ja X « &lt;D O 5 N 1 .» 3 :¡3 q-&gt; § 12 Crf C3 ú. v&gt; * u S&gt;*3 c3 ^ a; bO “ ., 41 3 s? "xa ... s tJo -P 41 c cr* £ e3 O C/3 § .« R a&gt; &lt;£ :» a» «S fS a ^ ^ C .2 *&amp; y fcO c3 x ? 01 o •M M iI o…</t>
  </si>
  <si>
    <t>N-y</t>
  </si>
  <si>
    <t>El 28 salieron y al momento se eseaparpn 12$, y mas de 300 hasta Tcrquemada, p ra cuya fuga suelen dar ocasión los mismos franesses. • Ha llegado el mariscal N-y, y se dice que va á Francia ; pero el ga to de 30000 reales que se ha hecho en amuebl r su aloj; miento, no indica qu s*í irá tan presro. — El primero dei corriente …</t>
  </si>
  <si>
    <t>Nafarrondo, Agustina Rita de Uria</t>
  </si>
  <si>
    <t>Agustina Rita de Uria Nafarrondo</t>
  </si>
  <si>
    <t>unio. tos y heridos ascieo4e á 2800 hombres. El enemi­ El dia it de) corriente falleció en esta villa go no «os ha cogido prisioneros sino uoos 200 á Doña Agustina Rita de Uria Nafarrondo, á la 300 hombres heridos » que quedaron catre sus filas. edad de 10; años y nueve dias. Estuvo casada Los enemigos han tenido tres general…</t>
  </si>
  <si>
    <t>Nafarrondo, Fermín de Üria</t>
  </si>
  <si>
    <t>Fermín de Üria Nafarrondo</t>
  </si>
  <si>
    <t>16 D. Josef Gabriel de la Plaza, ex-premos- D. Santiago Gutiérrez de Arintero............. 24390..33 tratense, residente en Ajalvir , por....... 2200 D. Fermín de Üria Nafarrondo.................... 1.222198..16 D- Antonio Josef Serrano , ex trinitario D. Juan Bautista Garmendia , por mano de descalzo, residente en esta corte…</t>
  </si>
  <si>
    <t>Nantes, Je</t>
  </si>
  <si>
    <t>Je Nantes</t>
  </si>
  <si>
    <t>este objeto sacaron del camino, y me­ que dibuo ser publicados en esta sesión. Uno de tieron con sus caballerías cq un barran o. los secretarios (ei obispo Je Nantes) subió al pul­ Entre doce y una de aquella mañana, y cu pito, y publicó en latín el decreto de abertura aquel mismo sitio, acometieron Fraga y sus dos del concil…</t>
  </si>
  <si>
    <t>Napaii, Francfooo</t>
  </si>
  <si>
    <t>Francfooo Napaii</t>
  </si>
  <si>
    <t>pitanes D. Fran­ cisco Miranda y D. Benito' Rodríguez de Císiisros; la partida de B. Nicolás de Mora ? compuesta de 32 hombres de infantería, y la de D. Francfooo Napaii de 18 caballos, sin que por nuestra parte haya habido mas que 2 heridos r y en cuanto reciba los detalles, po­ dré informar á Y. E. con mas exactitud, recome…</t>
  </si>
  <si>
    <t>Napo</t>
  </si>
  <si>
    <t>uijo.” Madrid 2j&gt; de marzo. Extracto de las minutas de la secretaría de Estado. En nuestro palacio de Madrid á 26 de marzo La representación hecha al Emperador Napo­ de 1811. león en 6 de enero de este año por el cabildo me­ Don Josef Napo'eon por la gracia de Dios y tropolitano de París ha dado motivo á que los arzo­ por la …</t>
  </si>
  <si>
    <t>Napo, José</t>
  </si>
  <si>
    <t>José Napo</t>
  </si>
  <si>
    <t>1241</t>
  </si>
  <si>
    <t>ios ministros de José. Dice así: a Extracto de las minutas de la secretaría de estado. — En nuestro palacio de Madrid á primero de octubre de 1811. — D. José Napo­ león , por la gracia de Dios y por la constitución del estado, rey de las Espadas y de las ludias. — Hemos decretado y decretamos lo siguí sute. — Art. l.QNo se co…</t>
  </si>
  <si>
    <t>Napo, Josef</t>
  </si>
  <si>
    <t>Josef Napo</t>
  </si>
  <si>
    <t>años; saber leer sal , con motivo de la celebridad de los dias de y escribir eu francés ó en italiano, ó en a'.eman ó nuestro augusto Monarca ti Sr. D. Josef Napo­ en flamenco ; saber las qnatro reglas primeras de león 1. La circunstancia de hallarse eo este pueblo la aritmética, y no tener ninguna deformidad cor­ el señor ge…</t>
  </si>
  <si>
    <t>1061</t>
  </si>
  <si>
    <t>o de t8ii» manda S. M. Deseosa esta ciudad de celebrar tos Hiis de que los capitales sean calculados y reembolsados Ouestro augusto Soberano el Señor D. Josef Napo­ con arreglo al curso de 500. Asi pues un contrato, león I, hizo de antemano los preparativos necesa­ cuyo capital sea de 10© florines, será pagado des­ rios para …</t>
  </si>
  <si>
    <t>Napoieon</t>
  </si>
  <si>
    <t>al ha anunciado la lle­ secretario de emb.xada. gado á Vie &gt;a uel cond Nicolai, gentilhombre de El conde Beilegarde, prenderte del consejo d« S. M. e Emperador Napoieon, con pli egos que Guerra, recorrerá y visitará, tegun se dice, algu­ contienen la invitación hecha á nuestro Monarca de nas de nuestras provincias. ser padrin…</t>
  </si>
  <si>
    <t>Napoleón</t>
  </si>
  <si>
    <t>ta capital Mr. de Megrigni, caballerizo de S. M. eí Emperador de los franceses, y traxo una carta del De algunos dias á esta parte no cesan de pasar Emperador Napoleón para el Emperador de Aus­ por aquí transportes de efectos militares que vie­ tria : el señor Megrigni ha tenido el honor de en­ nen de Passau, y van á Sirasbur…</t>
  </si>
  <si>
    <t>nmediatamente que se efec­ el comercio que hacíamos antes de la promulga­ túe la revocación de los decretos franceses,.y que ción de los decretos del Emperador Napoleón , y el comercio de las naciones neutrales Vuelva a po-, del qtial nb tenia derecho-ninguno á privarnos. Pe­ nerse en el estado en que estaba atetes de la pro­…</t>
  </si>
  <si>
    <t>a ó prenda á Napoleón, emperador de los franceses. El teniente coronel D. Juan de Aldrete, 4000; y ademas 2000 para el que mate ó prenda vivó á dicho emperador Napoleón. El contador oficial real D. Salvador Bernabeu de Reguar, por el sueldo de 4 meses que ha ce­ dido para las urgencias de la guerra , 500. D. José Prieto y Rai…</t>
  </si>
  <si>
    <t>Las necesidades del estado se han aumentado caballos,'y ha entregado á S. A. R. de parte de considerablemente, y cada ve* son mas urgentes: S. M. el Emperador Napoleón la gran cruz de la así que , los estados tendrán que deliberar sobre legión de Honor ; y S. A. se la ha puesto inme­ nuevos impuestos, y sobre el modo de exigi…</t>
  </si>
  <si>
    <t>La primera división estableció ciembre , en la que S. E. el duque de Cadora le el bloqueo de la cabeza del puente por la orilla auuncia que S. M. el Emperador Napoleón ha te­ derecha del Ebro. La segunda se dirigió á la fron­ nido á bien, en consideración á las necesidades de tera del reino de Valencia, destacando un cuerpo l…</t>
  </si>
  <si>
    <t>281</t>
  </si>
  <si>
    <t>Se trata pues de remediar todos cado varios transportes de especia de clavo, que estos abusos y males. Suponiendo á 800 el cam­ por órden de S. M. el Emperador Napoleón deben bio de los billetes de banco, puede formarse alguna venderse en las ciudades principales de los estados idea por las particularidades siguientes del pre…</t>
  </si>
  <si>
    <t>ienen en la asamblea de los católicos, y ción á S. A. el príncipe virei, en la qual recuerda las medí.las que proponían, han puesto al gobier­ que al Emperador Napoleón es á quien él debe la no en la piecision de hacer aso de la referida acta. felicidad de haber sido llamado segunda vez al go­ bierno de dicha diócesi, y que s…</t>
  </si>
  <si>
    <t>oficiales. La Tetis aun ha Colberg y otros puertos prusianos; y se dice que sufrido mas, pues ha perdido siete oficiales, el se­ las tomará S. M. el Emperador Napoleón en siete cretario del capitán, y 73 hombres. El teniente millones de escudos. Nuestro gobierno se ha en­ Sprott, del Star, murió el 21 de diciembre. Los cargad…</t>
  </si>
  <si>
    <t>379</t>
  </si>
  <si>
    <t>l prím.-r trono de la Eii'opa á un genio fuer­ fensa dé la libertad de los mares con los sotdados te y poderoso, qué constituyéndose protector de del Emperador Napoleón. la iglesia, restableciese en su vigor iodos sus de­ Todos ellos tieoen profundamente grabada en rechos , y le restituyese todo qutnro había perdi­ la memoria…</t>
  </si>
  <si>
    <t>o de los insurgentes mas acalorad*?, vuelto ya á m j ^ - cuerdo, ha declarado públicamente que era evi dente que la P v dencia tenia decretado que ai emperador Napoleón se le logasen tod.-s s-s proyectos , y así que debiamos someremos á sus dec et s (7). Con este morivo se alarmó ía junta y desterró al obispo, al general Casr…</t>
  </si>
  <si>
    <t>449</t>
  </si>
  <si>
    <t>ión. Toda embarcación sueca que el día to de mayo de 1809, recibieron la noticia un crucero ó corsario dinamarqués encuentre con de las victorias del Emperador Napoleón en Ba— semejante dirección , será apresada y conducida á viera? ¿Hemos olvidado ya la prodigiosa unanimi­ los puertos de Dinamarca. Los tribunales la decla­ d…</t>
  </si>
  <si>
    <t>ya casi enteramente restablecido de ana liebre pú­ expresar á S. M. el Emperador Napoleón la satis­ trida y nerviosa que le ha puesto á las puertas de facción y júbilo de los estados confederados de la la muerte. Suiza con motivo del nacimiento de S. M. el Rei de Roma. Estos diputados llegarán á esta ciudad ALEMANIA. el 2 de …</t>
  </si>
  <si>
    <t>habilidad del médico por medio de una circular á todos los cantones la que le ha asistido, y á su buena constitución. En siguiente carta de S. M. el Emperador Napoleón. el dia está fuera de peligro; pero su convalecencia ,, A nuestros mui amados y grandes amigos el sera mui larga, y se cree que en mucho tiem­ landamann y los …</t>
  </si>
  <si>
    <t>Las presas; en el bien en­ salón del baile se repitieron muchas veces las acla­ tendido , que todo esto cesará y será nulo si la maciones de viva el Emperador Napoleón, viva Gran Bretaña ha revocado ó modificado sus edic­ la Emperatriz María Luisa , viva el Rei de Ro­ tos en la época y del modo que se ha expresa­ stía. La fun…</t>
  </si>
  <si>
    <t>presos. . Un estudiante de esta ciudad se ha resistido, á Berlín &lt;T de abril. on oficial de guardia, y ha sido cogido y preso! Se Queriendo S. M. el Emperador Napoleón daf están tomando informaciones sobre este acaecimien­ ana nueva prueba de su amistad al Rei de Prosia, to, y se creé qtie Se le impondrá ia pena de dos ó ha m…</t>
  </si>
  <si>
    <t>ragones. Las ciu­ dades de Glascow y de Liverpool piden socorro á . Bamberg 2 o de abril. gritos, y pretenden que el g ¡Memo les preste can­ S. M. el Emperador Napoleón se ha dignado tidad s inmensas. Los artesanos se hallan á punto conceder, por un decreto de fecha de 19 de marzo, de desesperación, y quanto vemos prueba la e…</t>
  </si>
  <si>
    <t>na Oro español contra plata.................. medalla mni hermosa de oro, acuñada en Viena* con motivo del matrimonio de sn augusta hija con S. M. el Emperador Napoleón. TBATXOS. En el del Príncipe , á las ocho de la noche, se re­ ESPAÑA. presentará por la compañía española la comedia ea Madrid y de junio. dos actos titulada …</t>
  </si>
  <si>
    <t>Gaceta de Madrid n.º 164</t>
  </si>
  <si>
    <t>ben hacer efectivas én esta feria. rovincias ilíricas , es demasiado ventajoso á la La úlrima de Francfort del Oder no ha sido f rancia , para que el Emperador Napoleón dexe de habilitarle cuteramente. Las noticias que hemos mui ventajosa. Las mercancías se han vendido allí á precios mas haxos que su valor efectivo. recibido …</t>
  </si>
  <si>
    <t>manente Wurtzburgo 5 de julio. el valor legal de la moneda del reino, proporcionando un medio independiente de la presencia real de los sig­ S. M. el Emperador Napoleón ha conferido í nos para satisfacer i las necesidades de Los trueques. Su S. A. I. y R.. nuestro grao duque la condecora­ señoría intentó después probar que es…</t>
  </si>
  <si>
    <t>el Danubio, e invadir la Moldavia y Valaquia. . El redactor de la gaceta de AUona que inserto en 24 de mayo un artículo intitulado: Contestación del emperador Napoleón á los dipu­ tados de las cámaras de los departamentos, ha tenido que retractarse si 4 de agosto de orden superior; y se le ha prevenido que en ade­ lante no in…</t>
  </si>
  <si>
    <t>1199</t>
  </si>
  <si>
    <t>nacio­ neros sin arbitrio ninguno para darles salida. El gobier­ nal, ha publicado las siguientes observaciones so­ no ingles quiere persuadir que el Emperador Napoleón bre el cometa que actualmente aparece. ¡, piensa mudar de sistema; pero es tan al contrario qua Parts ao de setiembre. se han tomado nuevas medidas mas extens…</t>
  </si>
  <si>
    <t>parte los acreedores con­ nuestro consuelo el Sun nos dice ,,que la Reina de fiando en sus operaciones , y mucho mas si los parti­ Sicilia es tia del Emperador Napoleón , y qne culares pudientes quieren emplear sus caudales con este parentesco y las promesas que Napoleón siventaja y toda seguridad en un establecimiento de be …</t>
  </si>
  <si>
    <t>Napoleón, Eugenio</t>
  </si>
  <si>
    <t>Eugenio Napoleón</t>
  </si>
  <si>
    <t>unda compañía del segundo batallón. D. Mateo Hudson á subteniente de bandera del Representación del arzobispo de Udina á S. A. I. primer batallón. el príncipe Eugenio Napoleón , virei de Italia. art. v. En el batallón de milicia cívica de Guadalaxara quedan promovidos Serenísimo Señor: D. Joaquín Aisa á capitán de la quárta c…</t>
  </si>
  <si>
    <t>en desconocer la su­ cesión verdadera de los tiempos. Representación del obispo de Faenza d S. A- I. El gran consejo del cantón había decretado en el príncipe Eugenio Napoleón , virei de Italia. su última sesión que empezaría á seguirse el ka­ Serenísimo Señor: lendario reformado desde el dia de Navidad de „ Los grandes princ…</t>
  </si>
  <si>
    <t>de exigir lumbre, luz, utensilios de cocina y ro­ pa de cama.” Ufantes 8 de marzo. Representación del cabildo patriarcal de Trene~ cía d S. A. I. el príncipe Eugenio Napoleón, EL corsario llamado Duque de Dantzick, man­ virei de Italia. dado por el capitán Aregkaudeau, salió de la ría de este puerto el 8 de octabre de 1810, y…</t>
  </si>
  <si>
    <t>Napoleón, Gerónimo</t>
  </si>
  <si>
    <t>Gerónimo Napoleón</t>
  </si>
  <si>
    <t>ero de Francfort; la n ve y demas lugares de la iglesia lo ocupaban SS. MM. el príncipe Josel Napoleón, Rei de las personas convidadas. España , y el príncipe Gerónimo Napoleón , Rei El clero entró procesiortalmente en la iglesia á de VVestfalia ; las r- ico y m:dia de la tarde, y Fue á ocupar los El Emperador debaxo de dosel…</t>
  </si>
  <si>
    <t>aS veer* tu.» tados. «ponen á la Francia toda clase de proyectos caS. M. se colocó en su trono. » paces de asustar á las derrus potencias, proyec— El príncipe Gerónimo Napoleón , Reí de We't- «tos que hubiera podida ya poner en execucion si falia , los príncipes grandes dignidades , los minis­ «hubiesen cntrjdo en su política…</t>
  </si>
  <si>
    <t>Napoleón, Joié</t>
  </si>
  <si>
    <t>Joié Napoleón</t>
  </si>
  <si>
    <t>ectores, que saliesen fuera de la puerta de Francia delante de las demas autoridades , llevando todos u* rótulo con esta inscripción : A nuestro buen rey Joié Napoleón, viva, viva; y que gritasen mientras pasaba, viva el rey José. Todo fué executario con alegría, con entusiasmo y mejor de lo que yo esperaba. Yo había hecho co…</t>
  </si>
  <si>
    <t>Napoleón, Josef</t>
  </si>
  <si>
    <t>Josef Napoleón</t>
  </si>
  <si>
    <t>ó una mcmoiia en que dio cuenta de diferentes métodos Los dias de nuestro augusto Soberano el señor nuevos de que él ha usado para regar pronta y fá­ D. Josef Napoleón 1 han proporcionado á los habi­ cilmente , sin necesidad de máquinas y sin gasto tantes de Córdoba una feliz ocasión de manifestar ninguno extraordinario, una …</t>
  </si>
  <si>
    <t>una música marcial, y con dos desta­ esmeró en celebrar los dias de so augusto Sobera­ camentos de intanteiía y caballería, á la iglesia no el señor D. Josef Napoleón r, ha solemnizado catedral, á la que también concurrió en ceremonia en este Ja misma fiesta coa toda suerte de regoel señor prefecto con las demas autoridades c…</t>
  </si>
  <si>
    <t>sa camente de dos hombres heridos. Los cañones qoe estación los dias felices de nuestro amado REI el enemigo tenia en el frente de su posición fueron D. Josef Napoleón 1. tomados después de haber disparado unos quantos En efecto, la tarde del 18, ademas de li salva tiros, que no hirieron á nadie. Los fugitivos aban­ general q…</t>
  </si>
  <si>
    <t>er que la fidelidad y obediencia diciou. que debemos á las legitimar potestades, y por consi­ Vitoria 17 de agosto. guiente á nuestro augusto Monarca D. Josef Napoleón 1, Extracto d/l panegírico que en la fusta de la Asunción es un deber sagrado de nuestra religión, y que no debe­ de nuestra Señora pronunció el ig de este mes…</t>
  </si>
  <si>
    <t>arga vida de nuestro católico Monarca Don i obedecer y ser fieles á un Reí legítimo, como lo es Josef Napoleón r, por la de su augusta esposa nuestra D. Josef Napoleón i., reconocido como tal por todas Reina con su real familia y vasta monarquía.” (’Qazetet las cortes de I*Europa, á excepción de esa orguilosa is­ de Vitoria d…</t>
  </si>
  <si>
    <t>Napoleón, Joséf</t>
  </si>
  <si>
    <t>Joséf Napoleón</t>
  </si>
  <si>
    <t>11.23 D. Joséf Napoleón por la gracia de Dios y por la constitución de! estado, REI de las España* y de las Indias. Visto el informe de nuestro ministro de la Guerra , hemos decretado y decretamos lo que sigue : , articulo i. ,, Concedemos los premios de venta</t>
  </si>
  <si>
    <t>ero del ministerio de la Guerra. ,, .. .... Extrapt.o de las miopías de la secretaría de EstadoEn nuestro palacio de Madrid á 4 de diciembre de t8ii. D. Josef Napoleón por la gracia de Dios y por la constitución del estado, REI de las Españas y de las Indias. . Visto, el informe de nuestro ministro de la Guerra, hemos decreta…</t>
  </si>
  <si>
    <t>Napoleón, Josel</t>
  </si>
  <si>
    <t>Josel Napoleón</t>
  </si>
  <si>
    <t>alia, imperial y el estado mayor de París: el resto de gran duque heredero de Francfort; la n ve y demas lugares de la iglesia lo ocupaban SS. MM. el príncipe Josel Napoleón, Rei de las personas convidadas. España , y el príncipe Gerónimo Napoleón , Rei El clero entró procesiortalmente en la iglesia á de VVestfalia ; las r- i…</t>
  </si>
  <si>
    <t>Napoleones, Francisco Xavier Calle</t>
  </si>
  <si>
    <t>Francisco Xavier Calle Napoleones</t>
  </si>
  <si>
    <t>caciones del tesoro público..... 79Í Subprefecto de la subprefectura de Huete , en Oro español contra plata................... la misma prefectura, á D. Francisco Xavier Calle­ Napoleones de oro............................. ja , cx-comandante general del resguardo de Pa­ leada. TEATROS. Toledo. En el de3 Príncipe, á las siete…</t>
  </si>
  <si>
    <t>Napoy</t>
  </si>
  <si>
    <t>iticurarmcnte, y mente por el de su conservación , del mas vivo re­ ba obtenido con justicia lo- títulos de restaurador conocimiento á nuestro Rci el Emperador Napoy de protector de nuestra religión catVica; supli­ ‘"leon ei Grande; habiendo tenido noticia de las re­ camos á V. A. 1. se digne ofrecer á„los pies de su presenta…</t>
  </si>
  <si>
    <t>Naranjo, José</t>
  </si>
  <si>
    <t>José Naranjo</t>
  </si>
  <si>
    <t>es de 2 soldados durante la guerra, 72. El teniente coronel D. Rafael Montalvo, por igual oferta , 72. El presbítero Dr. D. José María Vázquez , 102. D. José Naranjo, 204. D. Manuel Moinelo, 100. D. Mariano de Medina por el prest de 3 solda­ dos durante la guerra en un mes , 27. D. Tomas de Je,ara, como síndico del convento u…</t>
  </si>
  <si>
    <t>Naranjo, Juan</t>
  </si>
  <si>
    <t>Juan Naranjo</t>
  </si>
  <si>
    <t>ancisco Orozco, 11 y 6. Juan Fabre / garzón de la plana mayor de Blancos , agregada al batallón de Morenos , por dos meses de su oferta mensual , 12. D. Juan Naranjo , sargento retirado, por oferta mensual, 7. D. Juan íbañez, comisario de guerra honorario, y secretario del gobierno y capitanía general por el prest de 4 soldad…</t>
  </si>
  <si>
    <t>ía cíe Milicias, por el de un soldado en 3 meses , 27. D. Antonio Arsila, capitán del partido del. Horcon , por oferta mensual durante la guerra, 10. D. Juan Naranjo/sargento retirado, en cada mes, 7. El comisario de guer­ ra honorario D. Juan íbañez , secretario del gobierno y capitanía general, par el prest de 4 soldados en…</t>
  </si>
  <si>
    <t>el de un soldado en 5 meses , 45. D. José Mana Azcona , administrador de ren­ tas reales de la ciudad de Jaruco, por el de 2 soldados en 5 meses, 75. D. Juan Naranjo, sargento inválido, por 6 meses de su oferta, 42. D. Joa­ quín José de Sola, por el prest de 3 soldados en 5 meses, 135. D;Juan de Dios Corona, tesorero del real…</t>
  </si>
  <si>
    <t>0. I). Martin Ügarte , coronel del regimiento de milicias de caballería de esta plaza , por sí , varios oficiales y tropa de dicho regimiento , 3577. D. Juan Naranjo, sargento inválido por 4 meses de su oferta de 7 pesos en cada uno, 28. CADIZ : EN LA IMPRENTA REAL.</t>
  </si>
  <si>
    <t>Narciso</t>
  </si>
  <si>
    <t>de­ mas de híbpr contribuido por m no de su prelado, 50. Li comunidad de indios, 299. El alcalde migar D Pedro Estrada, 12. El recaudador de tributos D. Narciso.López do Neira , 12 — Pa»tipatu, El cura Doctor D José .TU ;nano Salas , por vecino principal , 23. Ev ayudante presbítero D Ma­ lí’.s de la Barda, 6. La com ínula l …</t>
  </si>
  <si>
    <t>laudio Remigio), capitán como por las obras de que se compone 5 quatro ba­ de caballería. tallones trabajan diariamente en éi, y, mui pronto Morales (D. Narciso) , capitán comandante de la se acabará su construcción mediante el zelo de compañía franca de Avila. ¡os naturales del pds, que trabajan también con la Quinto ( D....…</t>
  </si>
  <si>
    <t>15. Antonio Naranjo, 86. Juan León , 10 Juan Rodríguez, 20. Martin Fornes, 15. Cristóbal Sala, 11 y 2. Narciso Ño­ ñez , 22 y 4. Antonio Vidal., 20. D. Narciso , D. Tomas, D. Domingo , Don Antomo, Doña María GuadaiupeSy Doña María de la Asunción Perez Guer­ ra, 451 y ó. Francisco Oramas, 20. Guillermo Caumil,'- ISO. José Borr…</t>
  </si>
  <si>
    <t>Nardor</t>
  </si>
  <si>
    <t>rito , y se formalíce to............................................................... 3700 su nombramiento por el ministerio á que corros- El señor barón Nardor........... ................. 66 18 ponda. El Sr. D. Mauricio Agnsrn.................... 80 art. iv. Los provistos entrarán al goce de sn Los Sres. D. Basilio y D Jo…</t>
  </si>
  <si>
    <t>Narro, Francisco</t>
  </si>
  <si>
    <t>Francisco Narro</t>
  </si>
  <si>
    <t>350</t>
  </si>
  <si>
    <t>te, no hubo por ia nues­ tra ri un hembre herMp. Se disti guieroa en esta ocasión D. Pab'o Sar.taria, el alférez de infantería D. Anselmo Maire, y el sargento Francisco Narro. \ El 3 de setiembre intentó la infantería de lá Cruzada atacar á los franceses en ;Alor3, aunque superiores estos en fuerza? , auxiliada de la caballer…</t>
  </si>
  <si>
    <t>Natri</t>
  </si>
  <si>
    <t>vino y de aguardiente, y la AlariaE! gobierno de nuestro cantón ha encargado al na, cargada de vino, de brea y de m Aera con burgomaestre Escher y al consejero Natri, dipu­ destino áQuimper, se han perdido enteramente. tados qn la diera extraordinaria , que pasen inme­ Los Dos amigos, mandada por el capitán Demai, diatamente …</t>
  </si>
  <si>
    <t>Ñau, Gaspar</t>
  </si>
  <si>
    <t>Gaspar Ñau</t>
  </si>
  <si>
    <t>festuado el pUn que sas bibia propáselo, y solo esa&amp;v.&amp;ron ea fuíaro dos d jscubmtas de dicha división de Baahisr, mancadas por i3. R mito S urraca y D. Gaspar Ñau día, y mis dos guarir illas, ias cítalas en­ cerraron á los enemigos ea el convento, en donde se parapetaran: estas dos guerrillas se quedaron en las inmediaciones…</t>
  </si>
  <si>
    <t>Nava, Nicolás</t>
  </si>
  <si>
    <t>Nicolás Nava</t>
  </si>
  <si>
    <t>ta. Fr. Pedro Bastamante, mercenario. Clérigos. D. Miguel Hidalgo, ex - gener¿ lí d m o. D. Mariano Be­ lleza, teniente general. D. Francisco Olmedo. D. Nicolás Nava. Don desé María Salqido. D. Antonio Ruiz. D. Antonio Bclan. D. Ignacio Hidalgo. Seculares. D. Ignacio Jo*é Allende, generalísimo. D. Mariano Xiroenez, capitán ge…</t>
  </si>
  <si>
    <t>Navarrete, JPedro</t>
  </si>
  <si>
    <t>JPedro Navarrete</t>
  </si>
  <si>
    <t>ñía en la vacante de D. Antonio Ferreras» Séptimo batallón. art. vil. En la milicia cívica de Paradas. D. Cirios Reboul, capitán, á ayudante primero. D. JPedro Navarrete á subteniente en reemplazo D. Francisco Izquierdo, abanderado, á teniente de D. Josef González Pastor. de la tercera compañía. art. viii. En la milicia de la…</t>
  </si>
  <si>
    <t>Navarrete, Luis</t>
  </si>
  <si>
    <t>Luis Navarrete</t>
  </si>
  <si>
    <t>Z 2 DE ENERO. * • . .1 •. . Antes de? ayer fondeó en este puerto la corbeta del rey la Paloma^ procedente de Alicante, al mando del teniente de navio D. Luis Navarrete : conducía al Excmo. Sr. Regente D. Gabriel Ciscar. Circular comunicada por el ministerio de hacienda á las juntas superiores de provincia, y á los intendentes…</t>
  </si>
  <si>
    <t>Navarrete, Martin</t>
  </si>
  <si>
    <t>Martin Navarrete</t>
  </si>
  <si>
    <t>­ El autor de este papel encuentra también mu­ brado director de los reales estudios de esta cotte cho» reparos en las partidas de pagos en calidad á D. Martin Navarrete. de reintegro i de sueldos de empicados civiles, de atenciones del giro , y de otros ramos; conclu­ yendo que ,, seria menester una relación intermi— PLAZA D…</t>
  </si>
  <si>
    <t>Navarrete, Martin Fernandez</t>
  </si>
  <si>
    <t>Martin Fernandez Navarrete</t>
  </si>
  <si>
    <t>Francisco Marina. actuales circunstancias. No obstante* en quanto ai D. Manuel Ñarganes y Posada. bilí le parece que es;el.camino mas largo; que ne­ D. Martin Fernandez Navarrete. cesariamente dcdier ocasionar dilaciones, y que lo. D. Josef Antonio Conde. que mas itnporta eo este, momento es suplir quan- D. Josef Marcbena. to…</t>
  </si>
  <si>
    <t>Navarro, Benito</t>
  </si>
  <si>
    <t>Benito Navarro</t>
  </si>
  <si>
    <t>. 125718.. 8f D. Antonio Leiral......... ............................ 1291..26 Los mismos.................................................. 27&gt;7y3-I7 D. Benito Navarro..................... ............... 2471- 7 D. Manuel Llórente.................................. D. Juan Teran............................ ............... 118…</t>
  </si>
  <si>
    <t>Navarro, Benito Sánchez</t>
  </si>
  <si>
    <t>Benito Sánchez Navarro</t>
  </si>
  <si>
    <t>sbíteros naturales. 22923 *7 Dona Ana María Hetiríquez de Lu­ D. Edmundo Bourke..,........ .......... 12589 na , viuda de D.Miguel Cevallos. 12104 19 D. Benito Sánchez Navarro........... 361 D. Casimiro Antón Montero y Do­ El marques del Norte.................... 902 *7 ña María del Carmen Meló....... 20521 12 D. Santiago Agu…</t>
  </si>
  <si>
    <t>Navarro, Fernando</t>
  </si>
  <si>
    <t>Fernando Navarro</t>
  </si>
  <si>
    <t>4 de este mes; salieron electos, para presidente el Sr. Obispo de Mallorca, diputado propietario por ia ciudad de Pahua; para vice-pr ¿Bidente el Sr. D. Fernando Navarro, diputado propietario por la ciudad de T oí tesa ; y para secretario el serrur D. José María Calaírava » diputado propie ario por la provincia de Extremadura…</t>
  </si>
  <si>
    <t>Navarro, Francisco</t>
  </si>
  <si>
    <t>Francisco Navarro</t>
  </si>
  <si>
    <t>............. ijnan Gómez.............. 1.... vR-afacl Cabrera.......... 1.... Regimiento de infantería de Toledo, i.° de línea. Sargento primero.... D. Francisco Navarro...................................... I.. Sargentos segundos. ("Miguel Pinea..-...................... •.......................... I Domingo Ramos...........…</t>
  </si>
  <si>
    <t>Navarro, Ibar</t>
  </si>
  <si>
    <t>Ibar Navarro</t>
  </si>
  <si>
    <t>vea sin dilación Ja contraposición que decían relación con este negocio, siendo uno el vo­ de las infamias comprehendidas en el libelo citado. to del ministro Ibar Navarro, en que exponía la legiti­ Habiendo expuesto el señor Calatravtr que habia midad de las cortes, la justicia de los decretos expedidos creído conveniente an…</t>
  </si>
  <si>
    <t>Navarro, Joaquín</t>
  </si>
  <si>
    <t>Joaquín Navarro</t>
  </si>
  <si>
    <t>.. D. Antonio Linzoain. Reciba vmd. mi palabra de honor en fianza de lo Con estos, quantos soldados llevo en mi compañía; que haya vmd. convenido con D. Joaquín Navarro ; ha­ pero á estos no hai necesidad de traer ningún papel, llará vmd. en mí, obrando en favor de la paz y de la con tal que se haga á los de arriba. = Firmado…</t>
  </si>
  <si>
    <t>Navarro, Joaquín G-rónimo</t>
  </si>
  <si>
    <t>Joaquín G-rónimo Navarro</t>
  </si>
  <si>
    <t>ndamento, se indicó una junta para ei 14 ds setiembre en el pueblo de Leoz, adonde los gv£$s franceses enviaron en su nombre y con plenos po­ dares á D. Joaquín G-rónimo Navarro, diputado dsl revn^ y veciño de Estella, á D. Francisco Aguirre Ech’ohurí, á I) José Pelou y ¿ Sebastian Lujo de 1 rocín. E3poz llegó á penetrar que …</t>
  </si>
  <si>
    <t>Navarro, Joaquín Gerónimo</t>
  </si>
  <si>
    <t>Joaquín Gerónimo Navarro</t>
  </si>
  <si>
    <t>o vmd. no confia de las miui NVmbro iti» Pero no quiero suponer á vmd. capaz dé una mala ac­ ción contra un sugeto que no tiene Otras ideas en el Sr. D. Joaquín Gerónimo Navarro. asunto de que se trata que el alivio de SU país y la se­ Uoi 8 de setiembre de i8it. guridad de vmd. y todos los demas sus compañeros. Mui señor mío…</t>
  </si>
  <si>
    <t>Navarro, José Angel</t>
  </si>
  <si>
    <t>José Angel Navarro</t>
  </si>
  <si>
    <t>D. Víctor Blanco, 20. D. Apolinar de Marrnela, 40. D. Be nito Antón, ,20, D. Francisco Perez, 10. I). Antonio Vaca, 50. D. José Antonio Saucedo, 20. D. José Angel Navarro, 10. D. José María Zambrano, 10. D. Pedro L'ongueville, 30. D. Félix Estrada, 10. D. Fran­ cisco Col jantes , 40. D. Rafael Cortes , 10. D. Juan José Zambra…</t>
  </si>
  <si>
    <t>Navarro, Manuel</t>
  </si>
  <si>
    <t>Manuel Navarro</t>
  </si>
  <si>
    <t>tra, D. Cesáreo Hsrían y D. José Alonso: ayudantías á D. José Mariano Ccsaus y D. Pedro Hernández : empízios de capitanes segundes á D. José Abifezm, D. Manuel Navarro, I), Vicente jdferde? j I?. Rodrigo Flores Picón: (esencias á D. Juan B *yona O. Mariano Caballé**, D. Pedro Alcántara GaÍindo, O. Juan Kamen González&gt; D. Migu…</t>
  </si>
  <si>
    <t>Navarro, Miguel Sánchez</t>
  </si>
  <si>
    <t>Miguel Sánchez Navarro</t>
  </si>
  <si>
    <t>e Je­ sús Rodríguez, 10.*D. José Barreda, 6. D. Juan Antonio ’Crtiaga, 25, D. Juan Francisco de la Garza, 15. Varios individuos , 30. El preben­ dado D. Miguel Sánchez Navarro , 500. El cura de Monclova, 100.— Hacienda de Encinas. T). José Mariano Vázquez, 50. D. Atanasio Bor­ rego , 50. Varios individuos, 38 y 4 rs.—Hacienda…</t>
  </si>
  <si>
    <t>Navarro, Pedro</t>
  </si>
  <si>
    <t>Pedro Navarro</t>
  </si>
  <si>
    <t>Manuel Sarabia.................................... 10739-25 tario de Estado = Firmado = Mariano Luis de Ur- La duquesa de Frias, por mano de quijo." D. Pedro Navarro........................... 2C035..17 D. F rancisco Villalba y Cortés'.......... 1534- 8 i|H Extracto de las minutas de la secretaría de Estado. D. Angel deUrruch…</t>
  </si>
  <si>
    <t>Navarro, Valentín</t>
  </si>
  <si>
    <t>Valentín Navarro</t>
  </si>
  <si>
    <t>xoy; ayudantía á D. Maria­ no Mediano, tenencias á D. Pedro Guerrero, B. Juan Mercado, D. Fernando 'Tostado,' D. Miguel Bravo , B. Fraucise© Bolaño?. D. Valentín Navarro, y D. Manuel Sai? Roznan: y subtenencias á D. Disgaio Hernández, D. Pedro de la Riva, 0. Pedro da Torres, D. A to ni©. Castellanos ,' D. Frustiso Pansa, B. J…</t>
  </si>
  <si>
    <t>Navas, Atanajio</t>
  </si>
  <si>
    <t>Atanajio Navas</t>
  </si>
  <si>
    <t>han manifestado en la academia militar de la Isla de León, á los alumnos D. José OJriozola, subteniente del regimiento de infante­ ría de ía Patria , D. Atanajio Navas, D. C ndido María Bozada, O. Manuel Rodríguez, D. Fernando López, D Faustino Navarro* D. Santiago Pereyra , D. Pedro González , D J í^n Ssnovilla , D Ig­ nacio…</t>
  </si>
  <si>
    <t>Navetoge, Josef</t>
  </si>
  <si>
    <t>Josef Navetoge</t>
  </si>
  <si>
    <t>lanchas á las islas del Ost-Frisia, y tacuel, ex-franciscano observante. una de ellas efectuó un desembarco en Vangeno- Para la de Mairena y Juvar á D. Josef Navetoge. Un destacamento del regimiento 75.* y dos ros, ex-carmelita calzado. granaderos se emboscaron esperando á que los pri­ Para la de Pampaneira y Bubion á D. Beni…</t>
  </si>
  <si>
    <t>Náxera, Gregorio</t>
  </si>
  <si>
    <t>Gregorio Náxera</t>
  </si>
  <si>
    <t>á D. Simón D. Manuel Santo Domingo. Cavia, habilitado. Para el del Cubo de la Sierra, vacante por Para el de Almarza,'vacante por muerte de muerte de D. Gregorio Náxera , sin los anexos de D. Josef Perez Acereda ,. á D. Juan Fernando Vi­ Sepúlveda y Matute, al ex carmelita descalzo Don cente, cura de Gallinero. Francisco Iñig…</t>
  </si>
  <si>
    <t>Nayas, Joaquín</t>
  </si>
  <si>
    <t>Joaquín Nayas</t>
  </si>
  <si>
    <t>ndante del tercer batallón exringuido^de volun­ tarios de Castilla: al coronel D. José María Tcrrijos, comandante de! tercerbatallon dei de Soria : á D. Joaquín Nayas v comandante del ter­ cer batallón del segundó de Saboya : á D. Juan Sandoval, comandan-</t>
  </si>
  <si>
    <t>Ncgrete, Mariano</t>
  </si>
  <si>
    <t>Mariano Ncgrete</t>
  </si>
  <si>
    <t>mos un dragón muerto. liscomícnda A mirada al capiían ' D. Antonio Planos , al administrador de correos 1). Manuel Domin­ go Paalin, y á los paisanos D. Mariano Ncgrete.y 1). S ba:í.ua García que lo acompañaron de voluntarios ch esta expedición, / cent imbuyeren coa sus conocimientos y arrojo al logro ds la empresa. Concluida…</t>
  </si>
  <si>
    <t>Ncgtete, Ramón</t>
  </si>
  <si>
    <t>Ramón Ncgtete</t>
  </si>
  <si>
    <t>Ignacio Argc te. D. b vderico mií. D. Francisco Perez de Algava. D. Rodrigo de Mesa. Teniente. D. lLmor. F.ores. I). Rafael Orive. D. Josef Goztnan. D. Ramón Ncgtete. Subteniente. D. José! Fernandez de Córdoba. 4 1 D. Rat.iel S^ravia. D. Francisco Sol.no Tablada. D Josef C-F zas. art. iv. En la villa de Cabra se formará UQ D.…</t>
  </si>
  <si>
    <t>Ncguen, Juan</t>
  </si>
  <si>
    <t>Juan Ncguen</t>
  </si>
  <si>
    <t>anda, teniente coronel. D. Boiáingo Pavía, del regimiento ce León, infan­ tería de lí.iea, idem. D. Atanaslo Ximenez, caballería de Cacocrv, capitán. D. Juan Ncguen , agregado á guardias W¿lenas , íí.L.ií, D. Jorge S vrtol, tiradores de Cuenca, teniente. D. José Churracr., infantería de León , idetñ, D. Juan Maroto, primero d…</t>
  </si>
  <si>
    <t>Nci</t>
  </si>
  <si>
    <t>eres, y dos caxas primoro­ daba La vanguardia del exército ingles de la habi­ sas de oro á los señores Legendre y Henneton, di­ lidad y del valor del mariscal Nci y de las tropas rectores de los hospitales militares, por los buenos que cubrían la retirada del mariscó M.issena? ¿Se servicios que han hecho cada uno en su destin…</t>
  </si>
  <si>
    <t>Ncutchatelhermano</t>
  </si>
  <si>
    <t>este camino: y la tercera, el deseó de poner íin á la anarquía que reinaba, se dice , énr aquel país.——'AI mismo tiempo se esfuerza la voz de que el príncipe Ncutchatelhermano del ex­ presado general Berlhier, será declarado rey de Suiza. Los descen­ dientes de Guillermo Tell habrán entendido ya sin duda por estas y otras exp…</t>
  </si>
  <si>
    <t>Ncvoa, Santiago</t>
  </si>
  <si>
    <t>Santiago Ncvoa</t>
  </si>
  <si>
    <t>iente á D José González Amigo, D. José Montes, D. Miguel Revor^do, D. An­ gel CAbalo, B. Juan Genaro Viñuela, D. Vicente Gomtz, Doq Bírnardino López, D. Santiago Ncvoa, D. Felipe López, D. Ni­ colás Rodríguez de Mejorada, y D. Benito Labrada; el de subte­ niente de bandera á 1). Juan Maceda. . Ei el batallón de infantería lig…</t>
  </si>
  <si>
    <t>Ne, Juan Manuel</t>
  </si>
  <si>
    <t>Juan Manuel Ne</t>
  </si>
  <si>
    <t>otro de los mas acreditados de esta corte Obra útil mano de su administrador y apo­ á las personas religiosas, las que se dedican á la obser­ derado D. Juan Manuel Ne- vación y á la recolección de los pormenores históricos, guerol....... ................................. 329819 X y últimamente á las apasionadas á Jas ciencias…</t>
  </si>
  <si>
    <t>Neander</t>
  </si>
  <si>
    <t>los billetes de banco supri­ midos después de finalizado el tiempo señalado Berlín iS de agosto. para extraerlos de la circulación, podía padecer El capitán Neander ha publicado en los diarios algona excepción én quanto á los que se hallan un prospecto mui circunstanciado de so método aun en depósitos judiciales, S* M* I. 'ha…</t>
  </si>
  <si>
    <t>Negrece, Ambrosio Martínez</t>
  </si>
  <si>
    <t>Ambrosio Martínez Negrece</t>
  </si>
  <si>
    <t>ramont................ 10469 articulo 1. „Se declaran acreedores del esta- D. Josef López Arcos.......... ................... 31587-17 ^ Rs. vn. Mrs. D. Ambrosio Martínez Negrece............ 7129-25! D. Josef Corral......................................... 8844..17 D. Francisco Xavier Duran............... 3690..14 Doña María …</t>
  </si>
  <si>
    <t>Negreta, Pedro Celestino</t>
  </si>
  <si>
    <t>Pedro Celestino Negreta</t>
  </si>
  <si>
    <t>823</t>
  </si>
  <si>
    <t>á huir desordenadamente, de x and o na considerable número de -muertos; por su parte no tuvo mas per­ dida que la de 3 heridos. El teniente de navio D. Pedro Celestino Negreta, comandan­ te de una di visto i del exército de; reserva, destinada á perseguir á los sediciosos y i establecer él orden en los pueblos de Suciiipila, …</t>
  </si>
  <si>
    <t>Negreta, Pedro CeUsiino</t>
  </si>
  <si>
    <t>Pedro CeUsiino Negreta</t>
  </si>
  <si>
    <t>aron también ea un número' considerable por !a izquierda , donde colocaron 5 piezas. Mandé íumediat¿mente a mi cuartel maestre el teniente de na­ vio D. Pedro CeUsiino Negreta, que coa el batallón real de marina que cubría las 2 piezas avanzadas y 3 ccmp-ñhs del primer batallón de Toluca á cargo de su spr^ nlo mayoi D. Jua-i …</t>
  </si>
  <si>
    <t>Negrete, Pedro</t>
  </si>
  <si>
    <t>Pedro Negrete</t>
  </si>
  <si>
    <t>o sembrado de cadáveres. Escribo á ca­ ballo, pues sigo el alcance de la chusma fugitiva. El batallón real de M irina, al mando del teniente de navio D. Pedro Negrete, se ha cubier- ^ to de gloria. El primer batallón dé Toluea , al de su sargento mayor, lo mismo* y no hay con que explicar ia bizarría y valor de los dra­ gones…</t>
  </si>
  <si>
    <t>Negrete, Pedro Celestino</t>
  </si>
  <si>
    <t>Pedro Celestino Negrete</t>
  </si>
  <si>
    <t>co Rodríguez, que heroica­ mente, y á la cabeza del cuerpo de dragones que mandaba, atacó toda la reunión rebelde de la derecha:'al teniente de novio D. Pedro Celestino Negrete, al sargento mayor de Toluca D.- Juan Felipe de Alba, a! teniente de navjo D. Bernardo de Sa'as, que hizo con el 'batallón de Puebla una marcha tan rá…</t>
  </si>
  <si>
    <t>Negueruela, Manuel</t>
  </si>
  <si>
    <t>Manuel Negueruela</t>
  </si>
  <si>
    <t>ichas ca­ zo de D. Josef Batalou. pas estaba separada de la otra por bancos marinos Noveno batallón. intermedios, lo que parece daba ’á entender que. D. Manuel Negueruela, subteniente, á tenien­ el mar habia inundado y cubierto con sus aguas te de la quinta compañía en la vacante de D. Joa­ los continentes que habia abandonad…</t>
  </si>
  <si>
    <t>Nei</t>
  </si>
  <si>
    <t>o. Tal habría organizado. En la época de que hablamos Massena sido e! fatal resultado de este movimiento , empe­ tenia á su disposición el cuerpo del mariscal Nei ñándose lord Wellington contra Massena, quando compuesto de 26© hombres , y el del general Junot este se dirigía por Sardao y por el Camino de Opor­ compuesto de 2 …</t>
  </si>
  <si>
    <t>Neira, José María</t>
  </si>
  <si>
    <t>José María Neira</t>
  </si>
  <si>
    <t>ontinúan los donativos de la provincia de Coaguila. S. Cáríos de la Candela. Don Matías de Hoyos, 14. Don José Guevara, 10. D. Francisco Figueroa, 6. D. José María Neira; 8. D. Ramón Baez , 5. garios individuos, 46 y 1 rs. — S. Fernando. D. Fé­ lix Cevallos , 25. D. José Antonio Me riel mea, 12. V arios individuos, 47 y 2 rs.…</t>
  </si>
  <si>
    <t>Nel</t>
  </si>
  <si>
    <t>s fuerzas disponibles de 40® de mas de 130 millas desde el punto en que esiaba hombres; apoyada su derecha en frente de Mafra; ,,Si se probase que el mariscal Nel estuvo asi ,,S¡ se probase qne Massena ha permanecido en expuesto en Salamanca un mes entero , y que para frente de lord Wellington con una corta porción de evitar …</t>
  </si>
  <si>
    <t>Nepomuce, Juan</t>
  </si>
  <si>
    <t>Juan Nepomuce</t>
  </si>
  <si>
    <t>. Miguel de las Meras, y D. -Joaquín Robín. Tarnbien se ha dignado Goacedcr los eraplaofi ele ayudantes se­ gundos en el esta la mayor de! exércií© á D Juan Nepomuce&amp;o Sirern y D. Vicente Colomér, capitanes del regí mienta de dragones de Numancla y del tercer batallón de cazadores voluntarios de Valencia. Ene! batallón de vol…</t>
  </si>
  <si>
    <t>Nereo</t>
  </si>
  <si>
    <t>uncian que será abundantísima este año U cose­ signe iglesia colegial de Vitoria. cha de granos de toda especie en todo el imperio. Dueña* y Vilches (D. Nereo), corregidor (fe Fuente-Ovejuna. ESPAÑA. Fallet ( D. Juan), cabo primero del regimiento Real Extrangero. .. ■ Madrid 14 de agosto. Gaiarza (D. Justo), presidente de la …</t>
  </si>
  <si>
    <t>Nessler</t>
  </si>
  <si>
    <t>Gaceta de Madrid n.º 162</t>
  </si>
  <si>
    <t>dos hereditarios para forma? £1 13 de abril falleció en Lund de Escania, i •utl solo cuerpo dé éstado. S. M. ha manifestado yt ta edad de 83 años* el doctor Nessler, obispo, á la dieta deí reino que esta reoíiion es ventajosa; vice-canciller y comendador de la orden de la Es­ y asi quiere que se exécute quanto'antes sea póst­…</t>
  </si>
  <si>
    <t>Nestares, Josef Pérez</t>
  </si>
  <si>
    <t>Josef Pérez Nestares</t>
  </si>
  <si>
    <t>as á subteniente de la tercera D. Ignacio Dubá , sargento primero, á subtenien­ compañía en reemplazo de D. Santiago Givaja. te de la sexta compañía. D. Josef Pérez Nestares á subteniente de la quinta compiñía en la vacante de D. Antonio Ferreras» Séptimo batallón. art. vil. En la milicia cívica de Paradas. D. Cirios Reboul, …</t>
  </si>
  <si>
    <t>Neufchatei</t>
  </si>
  <si>
    <t>, la condesa Dsísense, ios generales de división BíUiard y Frenen, los dé bri­ gada Aloran, Gírard , Fouraier y Comí*, 16 edecanes de estos,-fino del príncipe Neufchatei con una pierna menos, otro de M usena, y gran cantidad de gafes y oficiales de todas graduaciones, y soldados de diferentes regimientos, cuyo número asciende…</t>
  </si>
  <si>
    <t>Ney</t>
  </si>
  <si>
    <t>Una carta de Copenhague de 21 de mayo dice que el mariscal Ney estaba en aquella capital, y que el objs-to de su viage era pe­ dir á la corte de 'Dinamarca un contingente de tropas para servir á Jas órdenes de Bonaparie. Ney debía pasar á verse coa BjrnaádLte in­ mediatamente •</t>
  </si>
  <si>
    <t>Nheadi</t>
  </si>
  <si>
    <t>iste.) Las fragatas uc S. M. Amelia y Adriana han "Kan deseu bireado en Pumonth el general Dio entrado en este puerto de vuelta de su «¡age á kes, el coronel Nheadi, el coronel Anson y 500 Argel, adonde habían ido para conducir al cóasul hombres del primer regimiento de guardias, que de Francia. A pesar de los muchos buques d…</t>
  </si>
  <si>
    <t>Ñi, Lorenzo</t>
  </si>
  <si>
    <t>Lorenzo Ñi</t>
  </si>
  <si>
    <t>s, en calidad de donativo , 44 y 2 rs. D. Miguel Méndez , escribano , teniente de gobierno y cabildo de esta ciudad por mano del mismo Marqueti ,350. D. Lorenzo Ñi­ ques , apoderadoMe ios Sres. Onofres, Mas, Vidal, del comercio de la villa do Puerto Principe , á nombre de, dichos Sres. , 200. El mismo Xiques , como apoderado …</t>
  </si>
  <si>
    <t>Nico, Juan</t>
  </si>
  <si>
    <t>Juan Nico</t>
  </si>
  <si>
    <t>n á hacer la tercera, D. Juan Pedro MoralesD.- Pascual de Bolafics quando llegó i a bate* tan esperada y tan deseada. y Novoa , D. Antonio Vizmanos , D. Juan Nico­ La noche era sumamente obscura, y llovía á ma­ lás de Ondabeitia; y para fiscal D. Mannel María res; toda la ciudad estaba iluminada , y en toda de Arce. la orilla…</t>
  </si>
  <si>
    <t>Nicoi</t>
  </si>
  <si>
    <t>. Pobo Bustamanis, mérceos río. Clérigos. D. Miguel Hidalgo , ex-g^nera]r imo. D. Médano Ba­ ilesa y teniente- general retirado. D. Francisco Olmedo. D. Nicoi&amp;s •Nava.- D. Antonio Ruiz. Di Antonio Belan.-D. Ignacio Hidalgo. Seculares. D. Ignacio José Alteado,-generalísimo. D. Müña’ao Ximenez, capitán general. D. Juan Aldama, …</t>
  </si>
  <si>
    <t>Nicolás</t>
  </si>
  <si>
    <t>116 % &gt; hecho D. Nicolás ftfaría'dév Sierra, secretario de estado y del despacho universa! de gn-cia v justicia,, pidiendo se le acepté? la 'dimisión de dicha secretaría que estaim á su cargo, ha venido enjiombrar.para servirla inter</t>
  </si>
  <si>
    <t>allo al mando de los capistanes D, Viceiite, Sardina-y D. Saturnino Albuir, y en 500 infantes que componen el batallón de (tiradores .idas órdenes de D. Nicolás de isidros caballeríavsalió á^encontrarse con éhenemigo hasta cerca de Palazuelas , y ,-siis guerrillas se batieron como acostumbran. No podía defender Ja ciudad por …</t>
  </si>
  <si>
    <t>. Juan Bautista), cirujano primero del García Gallardo (D. Tiburcio), corregidor de regimirtuo de tiradores de nuestra guardia real. Vizcaya. Martin (D. Nicolás), subteniente del regimiento Garrido (D. Zacarías Josef). de Toledo, 2.0 de infantería de línea. Gayarre ( D. Francisco), cabo de artillería. Martínez Tornamira (D. A…</t>
  </si>
  <si>
    <t>tí Vale, y de ru bailemos al alférez D. José María Urmga, teniente D. An­ tonio Griteo, al de la ursina clase D Jo?.é Moría González, á !os alíe cees D. Nicolás E’izodo, D. José María Xiaieuez y I). D o­ go Montem&amp;yor, y por gtfes de Ies paisanos á D. Tomas Flores, adn inisírador ce rentns u^ides de esta provincia , y al just…</t>
  </si>
  <si>
    <t>é , 4-00. 1). Juan P&amp;’an , 500. Don Juan Pión , 1.00. D. Jo. é Angftala y Címtaloseda , 1000, D. Mateo Loba, 400. Id. Juan Manuel de Aa'ibialde, 100. D. Nicolás.Baüester y Flotáis. 1000 Se­ ñores. F. íl., 100. D. Joaquín Sapera, 100. IX Antonio Rarceló y Prats, 200. I), Diego García Pinto y i). Felipe de los Heros, 1000. D. L…</t>
  </si>
  <si>
    <t>e ), intendente de Valla- de conde de Teva , que gozaba D. Cipiiano PaLfí &lt;x dolid. antes dei 18 de agosto de 1809 por concesión de Saiz de Villegas (D. Nicolás), comandante de la los Reyes de España nuestros augustos predece­ guardia cívica de Sasamon. sores. Sa’gado (D. Joaqnin), coronel. art. n. Esta confirmación no perjud…</t>
  </si>
  <si>
    <t>Nieto</t>
  </si>
  <si>
    <t>h bian venido á buscarlas. Á con­ secuencia los disidentes se apoderaron de Coíágaita y ocuparon otres pueblos principales, cogiendo las personas del general Nieto, del capría¡i Córdoba, y del intendente del Potosí D. Francisco de Paula S¿nz. C’u.teili los hizo pasar por las anuas en la plaza púoíira de Po­ tosí el 15 de dici…</t>
  </si>
  <si>
    <t>los que baxo frivolos y cap» ciosos pretextos intentan dividirloo. La gaceta de Lima de 19 de ene­ ro contiene la relación del indigno asesinato del general Nieto, del intendente de la provincia del Pototí y de D. José de Córdoba ; y con este motivo dirige á los habitantes del Perú una proclama, en que comparando las desgraci…</t>
  </si>
  <si>
    <t>Nieto, Antonio</t>
  </si>
  <si>
    <t>Antonio Nieto</t>
  </si>
  <si>
    <t>e infantería de Navarra, compañías al ayudante y tenientes D. Die­ go Estrada, D. Domingo Notario y D. José Rodríguez, y tenencias á los subtenientes D. Antonio Nieto, D. Juan Veaegas, D. Raiuoa Dieguez, D. Antonio Mena y D. Juan Antonio Pardo; y en el del infante D. Carlos, en el segundo exército, subtenencia á D. Esteban Fa…</t>
  </si>
  <si>
    <t>negiido- Mancebo y D, Antonio Marga­ do; ayudantía á D D o Asió de Arce ; tenencias á D. José Viiiaroel, D. José de los Jtav'js, D. Francisco Puebla, D. Antonio Nieto, D. Franc'seo Or iuda? D.-Francisco de Ibarra, D. Manuel Caba­ llero, D Juan Magollo D. José D:az y D P^dro Peynador; subtenenc as á D. Sebastian Salado, D: Fel…</t>
  </si>
  <si>
    <t>Nieto, Antonio Josef</t>
  </si>
  <si>
    <t>Antonio Josef Nieto</t>
  </si>
  <si>
    <t>enfrente de la huerta de Her­ Josef Sánchez Salmerón, al presbítero ex-reguiar rera , de 3 fan. y 17 est. á 800 rs. Otra donde dicen de Santo Domingo D. Antonio Josef Nieto. los Lindones, de 8 fan., 3 cel. y 11 est. á 70® rs. Otra Para el de Paterna, vacante por fallecimiento que enfrenta con la antecedente, de 4 fan., 5 cel.…</t>
  </si>
  <si>
    <t>Nieto, Manuel</t>
  </si>
  <si>
    <t>Manuel Nieto</t>
  </si>
  <si>
    <t>o Vallaría© y D. Sebastian Peñasco; y subte­ nencias á D. Diego Blanco, D. Manuel Miravete, D. Pablo J *¿ica, D. José Camerino, D. Mariano de Miguel, D. Manuel Nieto, Don Juan de Cacho, ü. Agustín Roa, D. Ramón de ArroyueSo, Don Joaquín de Luzuriaga, D. José Francisco de R&amp;viila, D. Vicente Madera, y D. José Caballero. CADIZ …</t>
  </si>
  <si>
    <t>Nieto, Mauricio</t>
  </si>
  <si>
    <t>Mauricio Nieto</t>
  </si>
  <si>
    <t>tarde, se eje­ te de la segunda compañía. cutará la comedia heroica en tres actos del célebre Metastasio, y traducida por D. Ramón de la Cruz , titu­ D. Mauricio Nieto, sargento primero , á sub­ lada el triunfo de Teleisila, ó Ecio triunfante en Roteniente de 1a tercera compañía. trr., adornada con todo su aparato teatral; y …</t>
  </si>
  <si>
    <t>Nightingaie</t>
  </si>
  <si>
    <t>dada por el general Colé, sobre PeneiJa, con el fi i de ase­ gurar el páso del rio Eza y ía comu aleación con E&lt;pi hal, certa de cuyo pueblo el mayor general Nightingaie htbia estado en observa­ ción de los movimientos que hacia el segundo cuerpo enemigo, y es­ to desde el dia 10 de este mes: al mismo tiempo la tercera divisi…</t>
  </si>
  <si>
    <t>Nikitsck</t>
  </si>
  <si>
    <t>na patente, que es un suplemento de la sacos y de servios, qne estaba antiguamente á las del’20 de febrero sobre rentas; el nuevo decteto órdenes del coronel Nikitsck, ha sido puesto á es mui importante en las circunstancias actuales,y disposición de los servios, y actualmente está acan­ so aoncenido se reduce en substancia á…</t>
  </si>
  <si>
    <t>Nimeyer</t>
  </si>
  <si>
    <t>cuen­ del imperio, y se ha hallado que hai en este pais tan el rector de la universidad de llalla» el mas dinero que nunca, lo que ha deternvnado al doctor Nimeyer, miembro de los estados genera­ gobierno á permitir que se extienda la circulación á les del reino de Westfalia, y el señor Augusto los comerciantes europeos, aunq…</t>
  </si>
  <si>
    <t>NipoLon</t>
  </si>
  <si>
    <t>to de húsares de 10 e«- y la malísima situación de la Irlanda, son motivos qaadrones 37® escudos. El regimiento de huíanos rnui poderosos para que el Emperador NipoLon 216® escodo?. Los 4 regimientas de artillería de haga todos los esfuerzos imaginables á fin de crear campaña 344® escudos. Por consiguiente costaba una marina.…</t>
  </si>
  <si>
    <t>Nir</t>
  </si>
  <si>
    <t>r en Leiria. ; les quedab: otro arbitrio que el de vencer, ó m&gt;* EL día 12 de este mes entraron en P.imouth el rir, 6 ser esclavos. Czerni-Jorge , ej coronel Nir bergantín de guerra Peacock y el Northstar de kirsch, y otros muchos gefes de los servios, han vuelta de su ctucero eu el canal de la Mancha y quedado cubi-.rtus de …</t>
  </si>
  <si>
    <t>Nirc</t>
  </si>
  <si>
    <t>, alférez sis nav* &gt; D. Mami¡»-1 G viz^í s de ¡a Y ga, teniente D Mui’ad G &lt;víe ar­ roz •t'-' ios Res, a fj. z D. B tsilio Ro.lr-guez, y subv.-nioníe D Nirc s&gt; S nt; ai ayudante de ea upo de D. Roseado Porlier, D. J.*,é M na B.í t’a , de dragón *s de Eipafbi; al voluntario distinguido D J lia J • tice . que *drve por íio-:-.o…</t>
  </si>
  <si>
    <t>Nit</t>
  </si>
  <si>
    <t>servios, que no eran mas que sión todo el que depende de los caprichos del unos 25®, sostenidos únicamente por 2® rasos i príncipe.” las órdenes del coronel Nit.it. El combate,fue de Aunque nuestros doce directores han sabido los mas sangrientos.. El general en geíe de los ser­ emanciparse y substraerse de una condición tan v…</t>
  </si>
  <si>
    <t>Nixon</t>
  </si>
  <si>
    <t>línea y de infantería ligera que auxiliaran las tropas en Fuentes de Oñoro: igualmente debo mencionar al mayor M. Jntosh del regimiento núm. 85 , al teniente coronel Nixon del regimiento de cazadores portugueses núm. 2, y al teniente coronel Eustace de los cazadores británicos , así como al lord Blantyre. En el discurso de to…</t>
  </si>
  <si>
    <t>Njpoieon</t>
  </si>
  <si>
    <t>, el crédito de los billetes de amor­ de la princesa de Badén , que tiene ya dos meses. tización , y para amortizar el papel, cuyo valor va­ S. M. el Emperador Njpoieon ha sido el padrino, cilante es mui perjudicial á sos fieles súbditos. S. M. y madama la Murgrave viuda de Badén la ma­ piensa ademas ocurrir á las urgencias d…</t>
  </si>
  <si>
    <t>Noain, Juan Ignacio</t>
  </si>
  <si>
    <t>Juan Ignacio Noain</t>
  </si>
  <si>
    <t>nuestras vidas gorio Guruchaga, D. Esteban Castillo, D. Hilario Pe­ en todo tiempo: asi pues, si puede ser, haga vmd. ven­ ralta, D. Andrés Berrueta, D. Juan Ignacio Noain, ga también este gefe , quien le parezca á vmd. ha de te­ D. Francisco Azcarate y D. Antonio Linzoain. ner on destino fixo en esa plaza para el fin que le …</t>
  </si>
  <si>
    <t>Nodo</t>
  </si>
  <si>
    <t>inuar su viage el perihejio en 1811.......... . 12 de setiembre por Calais á Dunqnerque. á las 9 y 48' de la noche. Al venir de Montreuil- del-Mar el Emperador Nodo ascendente.......................... Í40® 13' vadeó el rio Cauche, llegándole el agua hasta las Inclinación.................................. 72°48/ rodillas. Lug…</t>
  </si>
  <si>
    <t>Noguer, Francisco</t>
  </si>
  <si>
    <t>Francisco Noguer</t>
  </si>
  <si>
    <t>Salvador Viñnis , diputado en Cortes , 5000 reales. Don Tomas Barril, encargado de la suscripción, 4000. Don Francisco Ignacio Mar?. ídem , -¿i &gt;00. D. Francisco Noguer , ídem, 5U0. D. M. L., ídem , 320. ú. J. i), id, ídem, 100. IX Mariano Mata! i, ídem, 800. D. Juan Aguílar, úícrn, SOOO. Señores Do»res y CanadeSl, ídem , 4-0…</t>
  </si>
  <si>
    <t>Nogueyra, Agustín</t>
  </si>
  <si>
    <t>Agustín Nogueyra</t>
  </si>
  <si>
    <t>. Dió e principio k ellos por un papel alusivo al objeto que leyó el primer maestro D. Cayetano Fernandez ViHamil. Fueron exami­ nados en aiismética, D. Agustín Nogueyra, D. Conon Auge, D. Mi­ guel O íoste y Vidal , D. 'Domingo González, D. Francisco Otero, I). Juan Teron y D. Francisco Remero ; en aiisméticá y álgebra, 1). F…</t>
  </si>
  <si>
    <t>Noíin</t>
  </si>
  <si>
    <t>o creería, dice Loureiro, á El caballero Giilenhaal, capitán de cazadores no estar de ello convencida por experiencia propia.’* de á caballo. ^ El ab.d Noíin recibió hace unos 10 años un Por S. E. el barón, de Pappenheim, embalador pie de esta planta ; pero no vivió mucho tiempo. de Ilesse, El barón de Lichtenberg, consejero …</t>
  </si>
  <si>
    <t>Nooman</t>
  </si>
  <si>
    <t>ente lord Ellenborongh, Reinolds, de 98 cañones; el Defensor, espitan qne también había hecho un largo discurso contra! Arhans.de 74 cañones; elHeur, capitán Nooman, el editor del diario. Los jurados, después de ha­ de 74 cañones; la fragata Ethahon, de 36. «apilan ber deliberado sobre este negocio por espacio de.; Hayiard, y…</t>
  </si>
  <si>
    <t>Noriega, Ignacio</t>
  </si>
  <si>
    <t>Ignacio Noriega</t>
  </si>
  <si>
    <t>anuel Rodríguez, G. D. José Buelna , 20. D. Xavier Díaz , 25. D. Ignacio León , 25. D. Ignacio Serrano, 10. D. Tomas Valencia, 10. D. José López, 20. D. Ignacio Noriega , 8. D. Manuel Bailo , tesorero interino de la real caxa de Cósala, 120. D. Martin Vázquez Franco, 80. D. Bernabé Escobosa, 20. D. Fran­ cisco Lascuraiiv, 12.…</t>
  </si>
  <si>
    <t>Noriega, Juan Antonio Díaz</t>
  </si>
  <si>
    <t>Juan Antonio Díaz Noriega</t>
  </si>
  <si>
    <t>nte opuesta á la del homo , y luego en movido sobre su paradero por la escribanía d.e pro­ ángulo recto contra él á 200, 100,50, y aun á 25 vincia de D. Juan Antonio Díaz Noriega. Dichos tí­ pasos de distancia, un cañón de á 12 cargado con tulos se pasaron en el añe de 1799 á poder de Don tres libras de pólvora, uno de á 6 co…</t>
  </si>
  <si>
    <t>Noriega, Pablo</t>
  </si>
  <si>
    <t>Pablo Noriega</t>
  </si>
  <si>
    <t>milicia cívica drid no sabria lo que quiere decir ó significa Atalía$ de esta capital quedan promovidos y en esto han procedido seguramente con mucho D. Pablo Noriega , abanderado, á ayudante se­ tino y discernimiento, pues es el verdadero modo gundo del quaito batallón , en reemplazo de D. Gre­ de evitar que las gentes al le…</t>
  </si>
  <si>
    <t>Normana</t>
  </si>
  <si>
    <t>antes que muriese, no han entrado en la tesorería ic0 hombres; la de Rugen esrará á las órdenes del Gran Señor mas que algunos millones en dine­ del coronel Normana, y el coronel Eagelbrechcea ro y piedras preciosas. mandará la de la Pomerania. El plan de Suleiman-baxá era nada menos Hdbiéndose tenido noticias de que varios b…</t>
  </si>
  <si>
    <t>Normand</t>
  </si>
  <si>
    <t>e este deertte = L¡rmado = \ O EL AHI. z= Por S M., el mi-h tro Córdoba rj de febrero. secretario de Estado-siFirmajo ss Mariano Luis de Urquijo.” E' capitán Normand del 51.° de infantería de línea, cuyo zeio es inf.-tigaMe , ha conseguido al­ canzar otra quadrilla de 30 hombres mandada por Noticia de la persona y escritos de…</t>
  </si>
  <si>
    <t>Norrnand</t>
  </si>
  <si>
    <t>664 marido del coronel Norrnand, que devastaba a quilos países; des­ pees de ua fuego de 4 horas, elogió 11! prisioneros, iackjso el Go­ man da rite de dragones, mató 48 , y se recogieron 6 heridos, entra ellos un capitán</t>
  </si>
  <si>
    <t>Nosotros</t>
  </si>
  <si>
    <t>estal , sin acaso son los que meaos merecen serlo. Enfrente duda porque no entraba en el plan de sos obras. de este palacio, que es la habitación del príncipe Nosotros supliremos su silencio , persuadidos de Constantino, está la plaza llamadaIssac, en donde que los lectores verán con gusto una de las em­ se ve la estatua ecue…</t>
  </si>
  <si>
    <t>Nostitz</t>
  </si>
  <si>
    <t>uerdo en qne es necesario establecer un empréstito para ocurrir á los-gastos vo código pénal militar, para lo que ha nombrado S. M. úna comisión. 'El ministro Nostitz y el te­ extraordinarios. La creación de nn nuevo papel- niente. general Jeschau se hallan al frente de esta moneda ha encontrado muchos obstáculos é incon­ com…</t>
  </si>
  <si>
    <t>parejar la esquadra mandada pór El señor conde de Reicheribach ; el conde de el contra-almirante Tronde , la qual executó dife­ Nostitz, el mayor; el conde Nostitz, meoor, y rentes maniobras á distancia de muchas leguas de el barón de Tschirschki. la costa. Por el Excmo. Sr. barón de Lagerbieíke » mi­ SS. MM. almorzaron á las…</t>
  </si>
  <si>
    <t>Nostitz, Josef</t>
  </si>
  <si>
    <t>Josef Nostitz</t>
  </si>
  <si>
    <t>tales para el enemigo. El te­ car , ha destinado este año 82© para el mismo ob­ niente general Sass ha acorralado detras de los pan­ jeto: en fin, ei conde Josef Nostitz ha sacado ya tanos a todas las tropas turcas que han pasado á la de los arces de sus estados suficiente cantidad do orilla izquierda del Danubio, las quales …</t>
  </si>
  <si>
    <t>Not, José</t>
  </si>
  <si>
    <t>José Not</t>
  </si>
  <si>
    <t>ones, y conducir un gran convoy de toda especie de ganado á Barcelona 5 en donde debían entrar la nv che del mismo ip,5 Elogia á varios ofic ales, al sargento José Not, qúe se arrojó solo á 4 granaderos enemigos porque le faltó el tiro, mató de un culatazo á uno y rindió á -los otros 3 , al soldado Juan Queral, que mató á un …</t>
  </si>
  <si>
    <t>Nota, Ma</t>
  </si>
  <si>
    <t>Ma Nota</t>
  </si>
  <si>
    <t>Porce, D. Jósef Rainon A guiar, teniente, á capitaa Caprara, Avecilla , Suarez, Contador, Ca.anova y kbiani. de lh quinta compañía , én reemplazo de D. Ma­ Nota. Mañana lúnes te ejecutará en e! mismo teanuel Palomino Lozano. tro la ópera en dos actos titulada la Siciliana, en la «¡u: Octavo batallón. hará el papel de dama la …</t>
  </si>
  <si>
    <t>Notario, Manuel</t>
  </si>
  <si>
    <t>Manuel Notario</t>
  </si>
  <si>
    <t>itanes. Tercer batallón. D. Antonio de Várgas._ D. Francisco Lefebvre, ayudante segundo, á D. Antonio Andrés Galiano. «apitan de la segunda compañía. D. Manuel Notario. D. Francisco Sinz Ruiz, teniente, á capitán D. Pedro Miguel de tuque. de la tercera compañía. Tenientes. Quarto batallón. D. Ramón de la Peña. D. Gregorio Alf…</t>
  </si>
  <si>
    <t>Nourri</t>
  </si>
  <si>
    <t>1084</t>
  </si>
  <si>
    <t>de esta nites, excelente: la manda el general de división Tamil, cion. = Firmado= Juan Antonio Martínez.,, Pont-de-Moulin 19 de agosto de 18it." y el general Nourri ha levantado y dirigido todas las A S. E. la junta principal dei principado de Ca­ baterías, de las quales algunas habían sido construidas taluña. á distancia de …</t>
  </si>
  <si>
    <t>Nova</t>
  </si>
  <si>
    <t>549</t>
  </si>
  <si>
    <t>ar de la del adorno de la sala, las inscripciones, las canta­ Flora dinamarquesa iluminado. tas y las coplas ^análogas al objeto, y compuestas por el profesor Nova, junto con la concurrencia REINO DE ITALIA. de señoras y de caballeros vestidos con la máyor elegancia, todo esto hizo qne la fiesta faese mag­ Sondrio 26 de marzo…</t>
  </si>
  <si>
    <t>Novoa, Mateo</t>
  </si>
  <si>
    <t>Mateo Novoa</t>
  </si>
  <si>
    <t>inmemorial del Jlcjr compañías á D. Felipe Marcenaro y á D. Antonio Sánchez; ayudantía á D. Ratael Miion ; tesei?cias á D. Juan.Amores, D. José Rico, D. Mateo Novoa, D. Juan MonterrosoD. Manuel Hernández, I). Dionisio Sií?c,h:s, D. Fe lio. Mariis Carnea, D. Rimon Vázquez y D. Ber­ nabé Fae-zsubtenencias i D. Juan-Castellanos,…</t>
  </si>
  <si>
    <t>Nryra, Sautiaíro</t>
  </si>
  <si>
    <t>Sautiaíro Nryra</t>
  </si>
  <si>
    <t>Santiago fritaron: cías á D. Santiago la Rejilla, D. Itadro del Yerro, IX Víctor R.?strebada y D. Francesco Doñas; subtenencias á Do» Miguel Villar, D. Sautiaíro Nryra, D. Ignacio Barros, D. José 1^ í~lo T-oloiTW^ - Antonio Sonto, D. Juan Garmon , D. Juan García y F ~ o*uk***£ v/wj Xiraenez ; subtenencia de bandera á D. Ansel…</t>
  </si>
  <si>
    <t>Nú, Joauuín Buk</t>
  </si>
  <si>
    <t>Joauuín Buk Nú</t>
  </si>
  <si>
    <t>paso por Buza.— Dios guarde :í Y. E. muchos año». Cua;1el general ds Afeantariha 18 de agosto da íbl i.—Exorno. Sr.— IS'Jahzud Fre^re. — Esotro. 9i. D Joauuín Buk-\ Nú¿a. l.° Oficio dti general &amp;. José O-IJonnell al general en gefe Don JManiidl Frryre. Luego qu ? recibí la óídea de V. S. por su ayu/lante ds cam­ pe, dirigí po…</t>
  </si>
  <si>
    <t>Nu, Miguel</t>
  </si>
  <si>
    <t>Miguel Nu</t>
  </si>
  <si>
    <t>séptimo, 1 y 4 rs. D. Juan Bautista Ríos , oficial octavo, 1. D. José Alvarez , escri­ biente primero , 1. D. Juan Manuel de Oroe , id. ¡segundo , 1. D. Miguel Nu­ dez , id. tercero, 1. D. Tomas González Camero, oficial agregado , 1. D. Mi­ guel Román , portero , 1. D. José de la Rosa , oficial primero de la tesorería, 2. D. …</t>
  </si>
  <si>
    <t>Nú-ja</t>
  </si>
  <si>
    <t>A rctdo, teniente coronel. D. Luis Malo, coronel. D. José María Segura, car» . genio-mayor. D. Francisco Mmacarenascoronel. D. Luis Lara, te­ nis nte coronel Nú-ja. 2.° Ra zon de la artillería tomada á los insurgentes en la derrota que padecieron el 21 de marzo de 1811. Veinte y quatro cañones de á 4, 6 y 8 montados : tres Id…</t>
  </si>
  <si>
    <t>Nuestra</t>
  </si>
  <si>
    <t>e D. E .lebas Cortijo , y el de. igual claj?a -D. A atondo Marcado, empleado en este estado mayory ruego a Y. Id. lo haga conocer asi á S. A. S. ■ ■; d Nuestra pérdida, ha,sido tan corta, que-- no- pasaré de 20 muer­ tos'y 100 heridos en todas A&amp;s tropss: tal ka - sido y-, tal ser* siem­ pre ei resultado de s taquea decididos…</t>
  </si>
  <si>
    <t>Nueva</t>
  </si>
  <si>
    <t>l detall topo­ mandados por ei coronel Millet, todos tres á las gráfico de las islas. Su precio 20 rs. vn. órdenes del Coronel Kliski, componiendo el coronel Nueva carta, que compreliende todas las costas del Kosinouski con Jos fusileros del t.° del Vístala Seno Mexicano, ei golfo de Honduras, y Jas islas á un mismo tiempo la…</t>
  </si>
  <si>
    <t>Nugues, Saint-Cir</t>
  </si>
  <si>
    <t>Saint-Cir Nugues</t>
  </si>
  <si>
    <t>Íi6 fistos de escala!. Confié e! mando de estas tropas unir ac© hombres catalanes ó valencianos á cinco al ayudante comandante Saint-Cir-Nugues, coro­ leguas de nuestros campamentos, y se preparaba á nel de trinchera en aquel dia, el qual se puso al atacarnos hoi y hacernos levantar el sitio. Ur.a divi­ frente de los carabine…</t>
  </si>
  <si>
    <t>Núm, An</t>
  </si>
  <si>
    <t>An Núm</t>
  </si>
  <si>
    <t>de terciopelo, para D. Juan bién se ignora su dueño por falta de guia, y Antonio Serrano de Granada. contiene libros. Núm. 36. Un paquete rotulado á D. An­ Núm. 103.. Otro, con rótulo á D. Henritonio Samper, gefe del estado mayor, venido que Suleau, que contiene muestras de Fran­ con guia de Victoria de 7 de marzo de i8w8, ci…</t>
  </si>
  <si>
    <t>Nuñez, Cándido</t>
  </si>
  <si>
    <t>Cándido Nuñez</t>
  </si>
  <si>
    <t>200 D. Juan Bautista Iribarren....................... 106653.. 4 D. Josef Aguirre, ex-franciscano, porv.. 2200 Doña Joaquina Vicuña , por mano de Don D. Cándido Nuñez, ex-frantiscano, re­ Josef Antonio Rendon................................. 9929-25 sidente en Miraflores de la Sierra, por 2200 D. Felipe de la Torre , por mano…</t>
  </si>
  <si>
    <t>Nuñez, Donato</t>
  </si>
  <si>
    <t>Donato Nuñez</t>
  </si>
  <si>
    <t>o............. j 79 á f Oro español contra plata........ ...................j ij á | la octava compañía, en reémplazo de D. Mariano S. Juan. TBATSCS. D. Donato Nuñez, sargento primero, A sub­ En el del Príncipe, á las ocho de la noche, se rtteniente de lá quarta compañía , en ia vacante de presentará por la compañía española …</t>
  </si>
  <si>
    <t>Nuñez, Francisco López</t>
  </si>
  <si>
    <t>Francisco López Nuñez</t>
  </si>
  <si>
    <t>3 5806..27 Estado. D. Josef Antonio Girard...... 980 En nuestro palacio de Madrid^ 17 de agos­ D. Pedro Pablo Pastor.......... 4929..1 a to de 181 x. D. Francisco López Nuñez. 525o Don Josef Napoleón por la gracia d .-.Dios D. Juan Andurco................... 54.. 18 y por la constitución del estado, REI de las D. Pedro Meruen…</t>
  </si>
  <si>
    <t>Nuñez, José</t>
  </si>
  <si>
    <t>José Nuñez</t>
  </si>
  <si>
    <t>o capitán D. José Ignacio Vizcaya , las des de Méxco al de los capitanes D. Rodrigo Neyra y D. Cristóbal Veasco^ y las de Puebla ai de ía misma c ase D. José Nuñez , y los subalternas DóMiguel Guillen y D Bernardo Maroco, á tomar otras dos alturas Íonr de estaban situados ios enemigos con artillería., y desde «clon de hacían …</t>
  </si>
  <si>
    <t>Nunez, Manuel</t>
  </si>
  <si>
    <t>Manuel Nunez</t>
  </si>
  <si>
    <t>rtes , 10. D. Juan José Zambrano, 10. El barón de Bastrop, 100. D. Pedro Giral, 50. D. Manuel Delgado, 10. D. Luis Galan, 10. D. Félix Mencliaca, 50. D. Manuel Nunez, 10. Varios individuos 144 y 6 rs. Los vecinos de la misión de la Espada, 24. El cura D. José Clemente Ároclia , 50. Sulxliacono D. Juan Manuel Zambrano, 50. El …</t>
  </si>
  <si>
    <t>Núñez, Manuel</t>
  </si>
  <si>
    <t>Manuel Núñez</t>
  </si>
  <si>
    <t>asnr Vi11 alóbos, 42 y 4. El capitán de milicias agregado D. Antonio Vellan , 71 y 5. Los sub­ tenientes de milicias agregados 1). Francisco Concha y D. Manuel Núñez, 113 y 2.. Los sargentos ~ cabos , -artilleras y tambores de la brigada , 3356 y 5. Eos cabos-y saldados milicianos , acuartelados, y.no acuartelados , 203. El, …</t>
  </si>
  <si>
    <t>Nuñez, Miguel Mana</t>
  </si>
  <si>
    <t>Miguel Mana Nuñez</t>
  </si>
  <si>
    <t>go Fragoso, Don Vicente María López, D. Víctor Urquiza, D. José Cameiro., Doa Manuel Cid, D. Anselmo Quíroga y D. José Tefi; subtenencia de bandera á D. Miguel Mana Nuñez. En el batallón-de infantería .ligera primero de Cataluña; los em­ pleos de capitán primero á D. Antonio Ferrer, D. Francisco Montros y D. Vicente Sánchez; …</t>
  </si>
  <si>
    <t>O'lviras, Francisco Trespalacios y Don Joaquín</t>
  </si>
  <si>
    <t>Francisco Trespalacios y Don Joaquín O'lviras</t>
  </si>
  <si>
    <t>Friipe Escrio, D. Manuel Cas2.jus,ü. Juan Chaca, D. Cris­ tóbal de B ;ña,-D. Carlos Arias y D. Alexandro Patison; las ayudauitía3 primera y segunda á D. Francisco Trespalacios y Don Joaquín O'lviras; tenencias á D. Francisco Cano, D. Benjamín D woia, D. Ensebio F reyre, D. Gasnar Escapa, D. Benjamín Barríe, D. Pedro Sánchez, …</t>
  </si>
  <si>
    <t>O, Amustia</t>
  </si>
  <si>
    <t>Amustia O</t>
  </si>
  <si>
    <t>o elogio , se habla adqui ido el ju-to 3 precio de sus g’f?s : los dos efi :r&lt;drs h¿.viles lo soy. , el unien­ te t~l re'imi *r?t*í ds 1a P/i ••.nesn D. Amustia O» ando , y el subtei.imte de a&amp;ndera de Cariñena D. Perro Pabla Martin, y los p.is: n r b Cl t nL»o.tí: ú'kx re-(.crido de la P focos?. i). P..¡.b¿o JLotcc . y el su…</t>
  </si>
  <si>
    <t>O, Antonio</t>
  </si>
  <si>
    <t>Antonio O</t>
  </si>
  <si>
    <t>mo; El Consejo de Regencia ha dispuesto que se in­ serte en la gaceta, y haga pública esta generosidad. / El oficial segundo del ministerio de marina D. Antonio O cofre González, ha cedido á favor de la real hacienda y para alivio de las necesidades que se padecen en el departamento del Ferrol, á cuya dotación corresponde, un…</t>
  </si>
  <si>
    <t>O, Daniel</t>
  </si>
  <si>
    <t>Daniel O</t>
  </si>
  <si>
    <t>erpos de Tarragona , Fernando Vil. y caballería de Santiago que formaban la vanguardia (única que entíó en acción) al mando de los bizarros coroneles D. Daniel O suiivan y D. José Ma­ na Torrijos, batieron completamente ai enemigo, arrojándole de sus posiciones y obligándole á huir disperso. Entonces se empeñó mas viva -, men…</t>
  </si>
  <si>
    <t>O, I V I S I</t>
  </si>
  <si>
    <t>I V I S I O</t>
  </si>
  <si>
    <t>*"a&gt; (4 41 irt Kjr* r—' «■—« &amp;4 •+o 9&gt; *r _ ■ ri . . n no 0) «5 £4 R c tí O R »—■&lt; 'O . « O ® xi;p t-t tí (A O» G» *—t »o o l's^S * l* 14 o ^ o* lisá D I V I S I O N . 4 .® E X E R C I T O . tJ s £- o3 o&gt; “ no *h W 'S o CQ t« O a +* V&gt; H ai « o g ^ V&gt; « 14 a» 6d 'Xá^ fc&gt; S no Tí &lt;&gt;&gt; Ij cs&gt; -*'■» t/i c« o ir ^ o» a&gt; o O .lo O …</t>
  </si>
  <si>
    <t>O, Ignacio</t>
  </si>
  <si>
    <t>Ignacio O</t>
  </si>
  <si>
    <t>de S. Juan, »D Blas Manuel Te-ue? , p. ‘José "María Dana , ‘D. Vicente Sánchez, D. Joaqui« d i la G qz , D Raf el dél-Barrio , D. Miguel S.mtillana y D. Ignacio O ovas: á capitanes á los tenientes D Juan Manuel Carmen/, D José Montes y Fíores, D. Pedro Bringas , D. José A*uirfe, ’D José Segoyia j D Bartolomé'A nat VD. Mariano…</t>
  </si>
  <si>
    <t>O, Lorenzo Gómez</t>
  </si>
  <si>
    <t>Lorenzo Gómez O</t>
  </si>
  <si>
    <t>sus compañeros de armas. — El mismo superior ge fe se ha servido pre­ miar sobre el campo de batalla al scldado distinguido de volunta­ rios de Leen D. Lorenzo Gómez O so rio con el empleo de subte­ niente de infantería, por su conducta á las inmediaciones de Molina Seca, digna de elegió é imitación. — Moscoso.” Del .14 de se…</t>
  </si>
  <si>
    <t>O, Manuel</t>
  </si>
  <si>
    <t>Manuel O</t>
  </si>
  <si>
    <t>deTÜvacoba, teniente coronel de! expresado cuerpo : para la del cuarto al teniente coronel D. Pídro Solazar; y para- la del sexto al ele igual cías* D. Manuel O.eimis. Igualmente ha nombra­ do S. A. para ayudantes mayores primeros de’ los expresados bata­ llones 2.° , 3, 4.® y 6.® á los tenientes del referido cuerpo de in­ ge…</t>
  </si>
  <si>
    <t>O-connell</t>
  </si>
  <si>
    <t>esar y me importa mui poco que me lleven adonde que eo «te negocio no había obrado ni querido quieran. obrar personalmente con rigor ni aspereza.) El consejero O-connell. Es imposible qae nin­ El presidente y todos ¡os miembros de la asam­ gún miembro de esta asamblea trate de resistir a blea le dieron las gracias. la; leyes;…</t>
  </si>
  <si>
    <t>O-Doimeli, Carlos</t>
  </si>
  <si>
    <t>Carlos O-Doimeli</t>
  </si>
  <si>
    <t>ol descalabro que. padecieron al tiempo de forzar el puente. — l): a gu arde á V. E. muchos años. Alctsb as 5 de octubre de 1811. —José Obispo. — Sí. D. Carlos O-Doimeli.” Por el ministerio de la guerra se circula al exército la orden si­ guiente : El consejo supremo de guerra y marina interino, en consulta de 28 de setiembre…</t>
  </si>
  <si>
    <t>O-Donell</t>
  </si>
  <si>
    <t>ecarias............................ í,6\ a | sido posible al general Quadra concertar su* ope­ Certificaciones del tesoro público N), raciones con el general O-Donell por las razone) Oro español contra plata..................... le a i que expresa. Este último get'o asegura que con 2 batallones mas hubiera vencido en Zuj^r, d…</t>
  </si>
  <si>
    <t>O-Donnell</t>
  </si>
  <si>
    <t>compañar original él parte que dicho general me ha dado, por el cuál se enterará Y. E. de todívs Sus operaciones: las cua'es no pudo concertar con el general O-Donnell, por las razones que claramente manifiesta y demuestra con ios documentos que in­ cluye. — Dios guarde á V. E. muchos años. Alcantarilla 17 de agos­ to de 1811…</t>
  </si>
  <si>
    <t>O-Donnell, Enrique</t>
  </si>
  <si>
    <t>Enrique O-Donnell</t>
  </si>
  <si>
    <t>mo en to­ das las ocasiones que se les ha ofrecido. Dios guarde á Y. E. muchos arlos. Monblanch 21 de Diciembre de 1810.— Miguel Tranzo. — Excmo. Sr. D. Enrique O-Donnell.” El general en gefe satisfecho del modo qoe se lia comportado la oficialidad y tropa que han tenido la gloria (le hallarse en esta peque­ ña acción, se lia…</t>
  </si>
  <si>
    <t>O-DotLt, Enrique</t>
  </si>
  <si>
    <t>Enrique O-DotLt</t>
  </si>
  <si>
    <t>3000 selectos hubieran dexado de existir. Dios guarde á V. E. muchos años. Olot 10 de diciembre de 1810. Excmo. Sr. — El barón de Eróles— Excmo. Sr. D. Enrique O-DotLt'll. CADIZ 2 DE ENERO. * • . .1 •. . Antes de? ayer fondeó en este puerto la corbeta del rey la Paloma^ procedente de Alicante, al mando del teniente de navio D…</t>
  </si>
  <si>
    <t>O-Farríl, Gonzalo</t>
  </si>
  <si>
    <t>Gonzalo O-Farríl</t>
  </si>
  <si>
    <t>r. Dei &lt;T. duque del Campo de Alaoge, ministro de Nego­ cios extrañgeros de S. M. católica; el Excmo. Sr. S. M. ha recibido esta mañana i ona diputa­ D. Gonzalo O-Farríl» ministro de la Guerra, y ción del senado del reino de Italia, á los obispot el Excmo. Sr. D. Mariano Luis de Urqnijo» mi­ de este reino y á los diputados de…</t>
  </si>
  <si>
    <t>O-Farril, Gonzalo</t>
  </si>
  <si>
    <t>Gonzalo O-Farril</t>
  </si>
  <si>
    <t>s: D. Santiago Arias. = D. Vicente den del REI nuestro Señor su instalación el exce- Martorell. r= D. Ra morí García del Postigo. = Don lentímo señor D. Gonzalo O-Farril,,ministro de la Carlos T’Serclaes. = D. Miguel García Sacrimn.= Guerra y capitán general de los reales exércitos, D. Francisco Meruendano. z= D. Tomas de Ara…</t>
  </si>
  <si>
    <t>O-fJouneli, Obles</t>
  </si>
  <si>
    <t>Obles O-fJouneli</t>
  </si>
  <si>
    <t>garía ni rendirla hasta morir, haciendo en razón de cao pierio ko¿ raenagA , cual se requiero según f&amp;ero y costumbre dé España, en manos del genera! D. Obles O-fJouneli, comisienado al efecto por* el señor general en ge fe. Hecho esto, ge enárcelo por primera vea rn el ea*tiil© la bandera espgfiola, y Fié saludada con 21 cañ…</t>
  </si>
  <si>
    <t>O-JJonnell</t>
  </si>
  <si>
    <t>ortijo de Yaquez á las 2 de la madrugada del 9 de agoste de 181 í.— Manuel Freyre. — Sr. Don José O-Donne'l.-—Es copia. — Freyre. Núm. 3.° Oficio del general O-JJonnell al general en gefe, Al recibo de la orden de Y. S?. &gt; fecha á las 2 ele esta mañana, despaché segundo aviso al general. Cuadra , repitiendo lo , mis­ mo qüe ,…</t>
  </si>
  <si>
    <t>O-RiaM</t>
  </si>
  <si>
    <t>106</t>
  </si>
  <si>
    <t>tisfacción, igualmente que el batallón ligero de Tarrago­ na, el que maniobró con el mayor acierto , baso la dirección de su acreditado remandante el teniente coronel O-RiaM.La pérdida del enemigo no baxadeGOO hombres entre muertos y heridos , sin contar los prisioneros que aun van llegando : asimismo se lian cogido muchos ca…</t>
  </si>
  <si>
    <t>Oareli, Nicolás</t>
  </si>
  <si>
    <t>Nicolás Oareli</t>
  </si>
  <si>
    <t>el patriotismo valenciano, des­ de TaJayuelas con fecna de 26 del mismo mes. — Del resto del dona­ tivo ha dispuesto la juma, á propuesta de su vocal D. Nicolás Oareli, que se haga ua sable de honor para presentarlo en nombre dé este pueblo al benemérito general Villaeampa. Sevilla 14 de mano. Gaceta extraordinaria de Sevilla…</t>
  </si>
  <si>
    <t>Obando, Manuel</t>
  </si>
  <si>
    <t>Manuel Obando</t>
  </si>
  <si>
    <t>tercera compañía. art. viii. En la milicia de la villa de Lora D. Vicente Paris , sargento primero, á subtenien­ del Rio. te de la primera compañía. D. Manuel Obando , teniente, á capitán de la pri­ D. Joaquín Suarez, sargento primero, á subte­ mera compañía en la vacante de D. Bartolomé niente de la décima compañía. Quintani…</t>
  </si>
  <si>
    <t>Obelle, Juan Antonio</t>
  </si>
  <si>
    <t>Juan Antonio Obelle</t>
  </si>
  <si>
    <t>dir que el señor juez D. Josef Santiago Concha fuese al presidente la suspensión de la orden que estaba nombrado fiscal general. dada para embarcar á D. Juan Antonio Obelle, Se leyó al pueblo este decreto; y respondió D. Josef Antonio Roxas, y el doctor Vera, que que quedaba contento y satisfecho: al retirarse la estaban pres…</t>
  </si>
  <si>
    <t>Obig</t>
  </si>
  <si>
    <t>estino el 24 anterior por el cuartel general del exército, que se hal aba á ía s ^cn et la V* ere. de Magaz. El dia anterior 23 reunidos lo? enemigos d. Obig^, B o. abiles é inmediaciones en número 3600 iníV-Ls y alga? ©i. cabal os, atacaron la freganda sección de la segunda división ai mar do &amp;t*I coronel Don Manuel Mascar r…</t>
  </si>
  <si>
    <t>Obispo</t>
  </si>
  <si>
    <t>les franceses , y apoyar y acalorar el amia * mentó de los habitantes. El mariscal de campo D. Carlos O-DíurneH", á cuyas órdenes inmediatas está el general Obispo, y que cubría rucstra izquierda en la orilla de la huerta con kc división volante de! general D. Pe • dro Villac&amp;mpa, y í&amp; de caballería del general D, J sé S. Jua…</t>
  </si>
  <si>
    <t>Obispo, José</t>
  </si>
  <si>
    <t>José Obispo</t>
  </si>
  <si>
    <t>nel PierTard del regimiento de Alcántara contribuyeron mucho al feliz sii-; ceso del dia. — Altafulla y noviembre 30 de 1810.—Pedro SctrsJield. — Sr. D. José Obispo.” • Algeciras 28 de diciembre. A las 11 del dia 3 del corriente se pre­ sentaron los enemigos en número de 1700 á 2000 hombres con tres cañones de á 24 , dos obus…</t>
  </si>
  <si>
    <t>Obrador, Juan</t>
  </si>
  <si>
    <t>Juan Obrador</t>
  </si>
  <si>
    <t>D. Martin Albert; ios sargentos Gil Clos y Pe­ dro Olivet que quedó gravemente herido, y el cabo Pedro Palmada. Se señalaron igualmente les capitanes D. Juan Obrador, D. Mariano Duran y D. Pedro Plandiura; los tenientes D. Salvador Frígola y D. Pedro Costa, y él subteniente D. Francisco Planafarrana. Cuenca y febrero 28 de i&amp;…</t>
  </si>
  <si>
    <t>Obregon, Octaviano</t>
  </si>
  <si>
    <t>Octaviano Obregon</t>
  </si>
  <si>
    <t>D. Joaquín Manían , contador general de la renta (leí tabaco. De Mtrida de Yucatán : el Sr. Dr. D. Miguel González Lasíiri. De Gua­ nal unto : el Sr. D. Octaviano Obregon , oidor honorario de la real audiencia de México, residente en España. De S. Luis Potosí; el Sr. D. Jasé Florencio Barragan , teniente coronel de milicias. …</t>
  </si>
  <si>
    <t>Obrenúmero, Antonio</t>
  </si>
  <si>
    <t>Antonio Obrenúmero</t>
  </si>
  <si>
    <t>ria en tal caso de una Para capitán de la tercera compañía á D. Fer­ quinta parte del exército, á no ser que un gran nando La-Puente; para teniente á D. Antonio Obrenúmero de franceses prefiriese la vida militar, sus gon, y para subteniente á D. Antonio Ximenez. gloriosas aventuras y peligros honoríficos á un des­ Para capitá…</t>
  </si>
  <si>
    <t>Obreskow</t>
  </si>
  <si>
    <t>sar á Vera-Cruz. En efecto , te­ i too hombres; por nuestra parte solo hemo* per­ nia ya juntos y equipados estos 2® hombres , y dido al ayudante del general en gefe Obreskow, andaba buscando transportes para enviarlos á Cá­ á un segundo teniente del regimiento 27.0 de ca­ diz,donde deben agregarse 'á otros 2® para enviar­ za…</t>
  </si>
  <si>
    <t>Ochaira, Raimundo</t>
  </si>
  <si>
    <t>Raimundo Ochaira</t>
  </si>
  <si>
    <t>ticularmente la A taha del inmortJ * Racine; pero mera compañía del segundo batallón, en la vacante nuestros comediantes roe han demostrado qne yo de D. Raimundo Ochaira. y los que pieman del mismo rrudo, que no son art. vi. En el primer batallón de milicia cí— ♦ poeps, estábamos mui equivocados. Ále persuado vica de la ciuda…</t>
  </si>
  <si>
    <t>Ochaita, Raimundo</t>
  </si>
  <si>
    <t>Raimundo Ochaita</t>
  </si>
  <si>
    <t>omercio. Esto há­ Subtenientes. bil dado motivo á que se esparciese la voz de que D- Joaquín Muñoz. había proposiciones de paz con la Inglaterra. Nos D. Raimundo Ochaita. Judiamos autorizados para desmentir estas voces. D. R afael de la Vega. No b.ti ninguna conferencia cutre los dos gobier­ D. Rafael de Lucena. nos, ni puede…</t>
  </si>
  <si>
    <t>Ochando, Adrián</t>
  </si>
  <si>
    <t>Adrián Ochando</t>
  </si>
  <si>
    <t>ecomendar el mérito contraído por los coman­ dantes de somatenes el Dr. D. Miguel Guillen!, y su segundo I). Pa­ blo .Viñes , y el rector de la Palma D. Adrián Ochando, que coi? su gente distraxeron al enemigo en las alturas de la ermita del Remedio, sosteniéndola por mucho tiempo contra fuerzas muy superiores. C ihaces 8 do …</t>
  </si>
  <si>
    <t>Ocharan, Josef María</t>
  </si>
  <si>
    <t>Josef María Ocharan</t>
  </si>
  <si>
    <t>media de la mañana*del i.c dei corriente sevido nombrar regidor de ia municipalidad de Me se presentó la partida: la infantería cortó el cami­ drid á D. Josef María Ocharan. no , obligando í aquella á huir precipitadamente Por resolocioo del expresado dia S. M. ha or­ hácia donde se hallaba el comandante con sn com­ denado qu…</t>
  </si>
  <si>
    <t>Ocon</t>
  </si>
  <si>
    <t>nlo había de haber brindado por la salud de! Reí y del Prín­ tomado las medidas nocesari is para privar al enemigo cipe regente, se brindó por la de! abogado Ocon- de todos los recursos capaces de evitar la suerte que ¡e nel, por la junta católica, y por otras varias per­ esperaba. Martínez,'dBjmcs de haber apurado sus vivere…</t>
  </si>
  <si>
    <t>Ocon, Juan</t>
  </si>
  <si>
    <t>Juan Ocon</t>
  </si>
  <si>
    <t>1382 D. Dionisio Ruiz de Gaona ai de Rejas de Uce- te de D. Tomas de Cos y Cosío, á D. Juan Ocon, rb ,'á D. Manuel de Sebastian , presbítero ex-fran- Clérigo de prima. ciscano. Para el de Alcozar, vacante por muerte de Para el de Vilfanueva de Gumi I, vacante por D. Ramón Llórente, con</t>
  </si>
  <si>
    <t>Odilio, José</t>
  </si>
  <si>
    <t>José Odilio</t>
  </si>
  <si>
    <t>zya.tz Cabrera : en el de Aragón, el sihmo emp-ea á D. Gaspar Gabcrt, la coffiandíiBcia del tercer batallón í Dan Juan P¿aznan y la sargentía mayor i D. José Odilio: en el de vo­ luntar ¿os de i a C jroiv,a, sgrcgicion de sargento mayor ú D. Domin­ go Brand-s : ®a el de v&amp;:usiiaries de Lton, la tenor.cía corose'a a D. José Yá…</t>
  </si>
  <si>
    <t>Odoné, Joan</t>
  </si>
  <si>
    <t>Joan Odoné</t>
  </si>
  <si>
    <t>Regimiento de infantería Real Extrangero. -Gozarán el de 135 con’ el grado de subtenien­ tes anexo á él, usán­ dolo como un mero Sargento primero. . D. Joan Odoné....;.. distintivo, y sin obíiv&gt;n - Ro/» _ I» ntinííoJ ’»/4 r**1 V. D Cabos primeros... "ÍD. • j u«ll &lt;«*ivu •* • m mi» *\ •M |M»I Juaa Schumaker. si verifican el as…</t>
  </si>
  <si>
    <t>Odonell, Josef</t>
  </si>
  <si>
    <t>Josef Odonell</t>
  </si>
  <si>
    <t>ra: yo no culpo en general á este exército, qoe de 60 ducados, en que le conmutó el mayor gene­ ce mponeo soldados de los mejores de España, ni á ral D. Josef Odonell; acaso, señores, no se trata los muchos g-fes y oficiales de un mérito bien y á los esclavos con mayor ignominia, y jamas se ha gloriosamente conocido: culpo so…</t>
  </si>
  <si>
    <t>Odoneü</t>
  </si>
  <si>
    <t>baxa debe volver inmediatamente al canal para po­ día mas qne 100 florines. Es verdad que S. E. el ner en seguridad su esquadra durante el invierno. conde Odoneü hizo dorante su ministerio que se Lá iTHi-'rte del baxr de Bagdad ha tranquiliza­ aumentase algo el sueldo de los empleados, ¿ pero do á la Puerta, la qual tiene un …</t>
  </si>
  <si>
    <t>Oestreicher</t>
  </si>
  <si>
    <t>n ella, desde la qual , que cía «uní ventajoso. Sin embargo, el señor Baader era del piso segundo, se cayó á la calle, sin hacer­ ha encontrado en el doctor Oestreicher un contra­ se mas que una ligera contusión en el pie. rio acérrimo; pero la comisión ha informado á fa­ Pero la siguiente caída es mucho mas peligro­ vor del …</t>
  </si>
  <si>
    <t>Offerrall, Juan José</t>
  </si>
  <si>
    <t>Juan José Offerrall</t>
  </si>
  <si>
    <t>D. Lodulfo Christian. •Whtooir, 300. D. N, 20. I). Joaquín Viüamieva, 160. D. José María Sán­ chez , 100. XX Domingo Duch, hermanos y compañía, 300. D. Juan José Offerrall, 30Í). D. Manuel Ranees, 3000. Sres. Hoig yoFerrer, 2000. D. Fran*. cisco Puíg, 320. D. Francisco Fustegueras, 100. D. Juan Pedro Irigoyen, 500. D. Tomas d…</t>
  </si>
  <si>
    <t>Oficiales</t>
  </si>
  <si>
    <t>..... ito Firmadoshapoleon =Por el Emperador, el mi­ Médicos, cirujanos y sirvientes.................. 150 nistro secretan.» de Estado = Firmado = el conde Oficiales. Sargentos 8¡c. Daru.” Total............. ................. 497 9284 Por otro decreto de S. M., dado en el palacio Resúmen. de Sdnt Cloud el 9 de julio de 1811 ,…</t>
  </si>
  <si>
    <t>Oflbey</t>
  </si>
  <si>
    <t>spo, en Ja misma mañana con el segundo cuerpo; peí o hab¡endo este general man­ dado que el segundo batallón de la legión lusitana, ¿ los órdenes del teniente coronel Oflbey , jasase como pasó ei vado de Dos-casas, apoyado por la infantería ligera de la quinta división, obligó esto, al enemigo á retirarse. En el discurso déla…</t>
  </si>
  <si>
    <t>Ogorman</t>
  </si>
  <si>
    <t>e-a tala de árboles, quando rompió El presidente propuso después que se brindase un fuego terrible sobre su coiuta, le mató 400 hom­ por la salud del abogado Ogorman , y de la barra bres, y le obligó á revirarse á la plaza. En la mañana católica de Irlanda. Este brindis foe aplaudido por del 195c haWndido á discreción, pidien…</t>
  </si>
  <si>
    <t>OH, Pedro</t>
  </si>
  <si>
    <t>Pedro OH</t>
  </si>
  <si>
    <t>y por sus tres hijos D. Xav&gt;er, D. José y Doña Dionisia de Palacios, 500. D. José de Orne, contador de exército de la provincia de la Luisiana, 500, D. Pedro OH— ver y compañía , por oferta del comercio de la villa del Puerto del Prín­ cipe , 539. El c-'ron el D. Mauricio de Zúñiga, -comandante del tercer ba­ tallón del regim…</t>
  </si>
  <si>
    <t>OI, Francisco</t>
  </si>
  <si>
    <t>Francisco OI</t>
  </si>
  <si>
    <t>ín Salvador, alférez de id.: los capitanes D. Juan de la Chaussá y D. Francisco de Paula Arco , alféreces del pri­ mer batallón de guardias walonas : D. Francisco OI i ver , capitán de voluntarios de la Patria : D. Ramón Sicíta, subteniente de id.: D. Francisco Ordoñez y Don Antonio Martin , tenientes de imperiales de Toledo …</t>
  </si>
  <si>
    <t>Oíaegui, Antonio Cu</t>
  </si>
  <si>
    <t>Antonio Cu Oíaegui</t>
  </si>
  <si>
    <t>13 e&gt;o&gt; de'Alcalá, y para abanderado á D. Antonio Cu­ Oíaegui, y subteniente D. Rafael de Arroyo y bero, Pcrez. í • Para capitanes y oficiales de las 3 compañías art. vilr. En ia villa de Be'.mez se formsrá quedan nombrados los individuos siguientes:</t>
  </si>
  <si>
    <t>Oír</t>
  </si>
  <si>
    <t>a finalizada ti 7 ael corriente. "1 Para Vtracruz : b^aatin Borb:;'.—Para Urna: fragata San Miguel, alias el Comercio. — Para Poniente : mí-íicos del rey Oír&lt; me i , Almu-ante y Soledad.— Para A'grciras : escampavía S. Franci*ro.— Para Ceuta: x.beque-c^r^eo (V. Sr-&gt;. da Africa-—Para A/d - i id S. Antonio. —Para Mallorca: sabo…</t>
  </si>
  <si>
    <t>Oiwai</t>
  </si>
  <si>
    <t>r exa­ geradas , y yo ro quería ceder el "puesto á fuerzas inferieres ,. mandé al 13 de dragones ligeros, y á la brigada dé caballería portuguesa del coronel Oiwai, que atravesasen el arroyo á la izquierda de la vi rarse por los mismos pasos en caso de necesidad. La brigada Besada brí iónica con la artillería quedó de reserva…</t>
  </si>
  <si>
    <t>en executar y obedecer mis órdenes. — Asimismo estoy muy satisfecho del coronel Di -Grey, comandante de la brigada británica de caba­ llería , y del coronel Oiwai de la.portuguesa, mandados por el bri­ gadier general Long; del coronel lord. Eduardo Somerset,. coman­ dante del 4 de diagones; del coronel Hwad , comandante del 1…</t>
  </si>
  <si>
    <t>Ojenstjerna, Benito</t>
  </si>
  <si>
    <t>Benito Ojenstjerna</t>
  </si>
  <si>
    <t>yec­ conocer que semejantes noticias no son otra cosa to de epitafios del Kei Carlos vui Kmrzoa; del que ardides imaginados por ciertos especuladores Conde Benito Ojenstjerna, senador y prefiniente con el fin de impedir los progreses de nuestras fá­ de la chanciiletía; y del conde Magnus btembock, bricas de paños, y de que es…</t>
  </si>
  <si>
    <t>Ojesja, Francisco de Paula</t>
  </si>
  <si>
    <t>Francisco de Paula Ojesja</t>
  </si>
  <si>
    <t>se reti­ ró el enemigo con dirección al Ballestero: én cuyo caso, según'mis órdenes, la tropa situada en Sta. Bárbara á cargo del teniente coro­ nel D. Francisco de Paula Ojesja^, baxó de las alturas y picó la reta­ guardia del enemigo todo eFttempo que lo permitió el'terreno venta­ joso hasta eí puente dé Cortes, y le mató 3…</t>
  </si>
  <si>
    <t>OJooell</t>
  </si>
  <si>
    <t>corre otra vez la voz ■ nente, y no hai oingona apariencia de que.seaa de que se va á poner en exfecucioo el plan del di­ turbadas tan pronto. funto ministro OJooell, y que se venderán en be­ Se ha presentado en estos últimos dias al Rei nefició del estado todas las tincas de los conventos el plan de un nuevo arreglo d» las p…</t>
  </si>
  <si>
    <t>Ojorio</t>
  </si>
  <si>
    <t>uella ocasión Ies fran­ ceses en algunas calles de Baza, eo iraterrempierc-n !a marcha ni de un bsgngs. A. mi paso por ei rio de B --za, hice que el -brigadier Ojorio quedase observando los movínrteoíos da tes conirar.os de la p’«r£e a.á bastante retirado,y ¿ates de llagar á Baza, despaché á un oficial pnra que previo íes© ai…</t>
  </si>
  <si>
    <t>OJriozola, José</t>
  </si>
  <si>
    <t>José OJriozola</t>
  </si>
  <si>
    <t>l cuerpo de artillería , en atención á la aplicación y aprovechamien­ to que han manifestado en la academia militar de la Isla de León, á los alumnos D. José OJriozola, subteniente del regimiento de infante­ ría de ía Patria , D. Atanajio Navas, D. C ndido María Bozada, O. Manuel Rodríguez, D. Fernando López, D Faustino Navar…</t>
  </si>
  <si>
    <t>Ojuda, Baltasar</t>
  </si>
  <si>
    <t>Baltasar Ojuda</t>
  </si>
  <si>
    <t>ió á la fe cristiana por la lectura de una biblia pas que mandan los capitanes D. Baltasar Vargas de dd cristiano de ia Armenia. En los estados ma­ y D. Baltasar Ojuda. = Firmado = Josef Rondean. hometanos se castiga con pena de muerte á quuí:=Quartel general de Aliqneíete.” quiera persona de nacimiento ilustre que abra­ za e…</t>
  </si>
  <si>
    <t>OKDBH, DB IA</t>
  </si>
  <si>
    <t>DB IA OKDBH</t>
  </si>
  <si>
    <t>476</t>
  </si>
  <si>
    <t>476 ___________________ El 14. AVISO DEL ADMINISTRADOR GENERAL DB IA OKDBH „Los libramientos de encomiendas serán individuaREAL DE ESPAÑA. »les á nombre de cada comendador ó del apoderado «que le representa.” Conforme á providencia del Excmo. Sr. gran teso­ rero de la Orden Real, están tomadas en esta adminis­ El 15. tración</t>
  </si>
  <si>
    <t>Olbers</t>
  </si>
  <si>
    <t>o Hamburgo 13 de agosto. lo serán aun mucho mas, nuestras relaciones de comercio con las Provindas-Ilíricas, si se confirma Extracto de una carta del doctor Olbers, de la noticia de haberse entablado negociaciones con Brema, al profesor Bode, en 28 de julio de 1811. los países limítrofes. ,,E1 cometa que Mr. Flauguergues desc…</t>
  </si>
  <si>
    <t>Oli, Cosme</t>
  </si>
  <si>
    <t>Cosme Oli</t>
  </si>
  <si>
    <t>re el puntó de Bañólas, y á este efecto dispuso que saliesen el capitán D. Miguel Recasens con 200 hombres del batallón del mando del mismo Llovera y D. Cosme Oli­ veras con .350 de los suyos. Las .descubiertas de estos, mandadas por el capitán D. Lorenzo Martí y él teniente D. Salvador Frígola, en­ contraron al enemigo dueño…</t>
  </si>
  <si>
    <t>Oliver</t>
  </si>
  <si>
    <t>pequeña isla que está situada á Ousse de de 74, capitán A. M. Renzie; el Valiente, de 74» Dagerot; de allí á poco se presentó el Valeroso, capitán R. D. Oliver; el Maiborougk&gt; de 74, capi­ y tomó á su bordo todo el equipage y todas las tán, Scort; el Atrevido , da 74, capitán U. Camp­ inaniciones qae se habían "salvado. ” bel…</t>
  </si>
  <si>
    <t>Olivera, Hipólito</t>
  </si>
  <si>
    <t>Hipólito Olivera</t>
  </si>
  <si>
    <t>, 1. Juan de Dios Martínez,!. Rafael Pavía, 1. D. Gregorio Feroz, vecino de Kalkini , 100." D. Juan Ignacio Cosgaya, 50. D. Gregorio Marcad al, líX). D. Hipólito Olivera, vecino de Bacalar, 50. D. José Nicolás Guerra , 25. Dona Juana Felipa Romero , 100. D. Juan da Dios Cosgaya , subdelegado de la intendencia de esta provinci…</t>
  </si>
  <si>
    <t>Oliveras</t>
  </si>
  <si>
    <t>y acémilas, no se sabe con que cbjetoj y en Lérida han entrado algunos víveres de Tortosa y perdón de ha­ rina de Mcquif eriza. El 27 del pasado, el comandante Oliveras desta-fóuna guerrilla para perseguir á Jos ladrones , y reconocer la? fuerzas del enemigo en BañoJas i la cual se batió con el mayor denuedo con oí* a. enemig…</t>
  </si>
  <si>
    <t>Oliveras, Juan Fábrega y Don Cosme</t>
  </si>
  <si>
    <t>Juan Fábrega y Don Cosme Oliveras</t>
  </si>
  <si>
    <t>haber sido co­ gido al cabo de 28 campañas un bodegón , creyéndose seguro por estar á tiro de cañón de Gerona. Las compañías organizadas del mando de D. Juan Fábrega y Don Cosme Oliveras hn.n dado las mas relevantes pruebas de su valor , man­ teniendo la independencia y la libertad en la parte superior del corre ­ gimiento de…</t>
  </si>
  <si>
    <t>Oliveros, Antonio</t>
  </si>
  <si>
    <t>Antonio Oliveros</t>
  </si>
  <si>
    <t>invasión francesa ha acumulado sobre esta desgraciada provincia, son capaces de abatir ni entibiar el ardiente patriotismo de sus habitantes. El Sr. D. Antonio Oliveros , uno de sus diputados en las Cortes generales y extraordinarias del rey no. acaba de dar una piu ba de su desinterés y celo, cediendo á favor de la proviscia…</t>
  </si>
  <si>
    <t>Olmedo, Francisco</t>
  </si>
  <si>
    <t>Francisco Olmedo</t>
  </si>
  <si>
    <t>a Concepción, carmelita. Fr. Pedro Bastamante, mercenario. Clérigos. D. Miguel Hidalgo, ex - gener¿ lí d m o. D. Mariano Be­ lleza, teniente general. D. Francisco Olmedo. D. Nicolás Nava. Don desé María Salqido. D. Antonio Ruiz. D. Antonio Bclan. D. Ignacio Hidalgo. Seculares. D. Ignacio Jo*é Allende, generalísimo. D. Mariano…</t>
  </si>
  <si>
    <t>epción, carmelita. Fr. Pobo Bustamanis, mérceos río. Clérigos. D. Miguel Hidalgo , ex-g^nera]r imo. D. Médano Ba­ ilesa y teniente- general retirado. D. Francisco Olmedo. D. Nicoi&amp;s •Nava.- D. Antonio Ruiz. Di Antonio Belan.-D. Ignacio Hidalgo. Seculares. D. Ignacio José Alteado,-generalísimo. D. Müña’ao Ximenez, capitán gene…</t>
  </si>
  <si>
    <t>Olmos, Vicente</t>
  </si>
  <si>
    <t>Vicente Olmos</t>
  </si>
  <si>
    <t>D. Jo3¿ García Saez, D. Bernardo González'y D. Ramón Luciano de Villamaríin; y cu el dei segundo de Soria, ayudantía á D. Andrés Aguirre; tenencias á D. Vicente Olmos, Don Francisco Rica Tillaren!, D. Marcelino Morales, D. Nerbsrto Flo­ res, D. Fernando dei R:o, D. Ramón Pi aillos y D. Antonio Pala­ cios; y subtenencias á D. …</t>
  </si>
  <si>
    <t>Olot</t>
  </si>
  <si>
    <t>6ÍCampoverde que manda en Cataluña, habiendo salid * en Tarra­ gona la venirji obtenida por la traición de Efgüeras, sa ló ron 8000 hombres, y marchó d Olot cotí la idea de levantar * n ma&lt;a toda la Ca­ taluña alta . mas no pudo conseguirlo. Los miqveletes que habían toma­ do y guarnecido á Figüeras, servían de centro r¿ difr…</t>
  </si>
  <si>
    <t>Oña</t>
  </si>
  <si>
    <t>l mando de los capitanes D. Francisco de O ña y D. Jasé AUliro, dis­ putaron • el terreno á palmos, batiéndose con el mayor orden y bi­ zarría : y el capitán Oña se situó en u¡i ribazo s la orilla izquierda del barranco que cubre todo el frente de esta pcsicion , do cuyo punto n© pudo desale jarle el enemigo por mas esfue* za…</t>
  </si>
  <si>
    <t>Oña, Manuel</t>
  </si>
  <si>
    <t>Manuel Oña</t>
  </si>
  <si>
    <t>.. ........ ..................... ..... 2 200 provincia de Toledo, residente en su pueblo, por 2200 D. Pc.Iro de Vega, tutu ni de Ciliar de hbcaloiu, D. Manuel Oña , natural de Madrid , residente cu residente en ToLdo,por.............. ............... ........ 2 200 Telado, for................................ 2200</t>
  </si>
  <si>
    <t>Ondaiza, Antonio</t>
  </si>
  <si>
    <t>Antonio Ondaiza</t>
  </si>
  <si>
    <t>llen por la heroica acción que sostuvieron sobre la loma de la izquierda ; y al voluntario distinguido que sirve en la misma com­ pañía de gastadores D. Antonio Ondaiza, por el valor que acreditó llevando órdenes á su capitán y al conde de la Cadena por entre las partidas desordenadas da insurgentes que inundaban el campo. Lo…</t>
  </si>
  <si>
    <t>Onieva, Josef</t>
  </si>
  <si>
    <t>Josef Onieva</t>
  </si>
  <si>
    <t>miento. D. Fernando Miguel del Corral. S. E. tuvo después una vistosa parada, en la Subtenientes. que dio el primer lugar i la milicia cívica; y este D. Josef Onieva. lucido cuerpo se distinguió por sus maniobras y D. Manuel Segura.</t>
  </si>
  <si>
    <t>Onofre</t>
  </si>
  <si>
    <t>tenía camisas muy averia­ meros 122 y 123 , venidos con guia de Victo­ das, y en unes botones sueltos está estampado ria de 30 de abril de 1808, para D. Onofre eí núm. 66. Lorcada de Murviedro, con quincalla. Núm. 98. Dos fardos sellados, venidos dé' Núm- 3.3. Un caxon,• marca D. J. F., nú­ Francia antes de 1808, con rótulo a…</t>
  </si>
  <si>
    <t>Don Francisco I^nragorta, mariscal. D. Vicente Valencia, director de ingenieros.- B Manad Ignacio Solia, intendente de exército, con 22 de servicio. D. Onofre Portugal, brigadier. B, Juan Bautista Cax(I) No sé ha recibido esta minuta.</t>
  </si>
  <si>
    <t>Ontoria, Josef</t>
  </si>
  <si>
    <t>Josef Ontoria</t>
  </si>
  <si>
    <t>con el continente. pañía. Para capitán de esta compañía está nombrado ESPAÑA. D. Tomas Galarza ; para teniente D. Cristóbal Muñoz, y para subteniente D. Josef Ontoria. Madrid 13 de marzo. art. vi. Eo la villa de Chipiona se formarán dos compañías: Extracto de las minutas de la secretaría de Quedan nombrados para capitanes y o…</t>
  </si>
  <si>
    <t>Oovarruhias, Juan</t>
  </si>
  <si>
    <t>Juan Oovarruhias</t>
  </si>
  <si>
    <t>uela Teresa Caballero , por el prest de 2 'Soldados -"en 2 meses, 36. D.&gt; Manuel Artazo, teniente de rey , -por t i de 4 saldados en tres meses , 60. D. Juan Oovarruhias, capitán de milicias de infantería , 4 cuenta da su oferta de 300 pesos anuales, 100. D. Juan Ihañez , secretario de la capitanía general, por el prest de 4 …</t>
  </si>
  <si>
    <t>Opizotji, Nicolasa Rcn</t>
  </si>
  <si>
    <t>Nicolasa Rcn Opizotji</t>
  </si>
  <si>
    <t>j rs. diarios.......... 610 3 Doña Constanza Lita, como madre, D- Ignacio» Agudo y Andrade, corno tiutora y curadora de D. Francisco ‘, apoderado de Doña Nicolasa Rcn- - ■ Opizotji, su apoderado D. Vicen­ queret,, por real-orden'de 2 s de te González Arnao..............................‘ 3041 1 ctavo dé: 1795 se la concedió un…</t>
  </si>
  <si>
    <t>Oquendo, Miguel Antonio</t>
  </si>
  <si>
    <t>Miguel Antonio Oquendo</t>
  </si>
  <si>
    <t>os la pensión que le va señalada, D. PeJro García Pinillos................................. 5463-33 mientras no goce otra renta 6 sueldo equivalente. D. Miguel Antonio Oquendo......................... 3217..16 art. I11. Nuestros ministros de Negocios eclesiásti­ D. Juan Manuel Ortiz de Traspeña............. 12577..16 cos y el…</t>
  </si>
  <si>
    <t>..,............ 3M4 14 D. Juan de Gaona , como tutor de D. Bernardo Iriarte.............. ......... 35641 19 D. Manuel Estébaq Catatan...... I4883 22 D. Miguel Antonio Oquendo....... 4696 ¿4 D. Ignacio Martin Agudo.............. 10200 Doña Rafaela Ortiz de Rosas, mar­ D. Domingo de Arangoiti............. 8505 quesa del Socorr…</t>
  </si>
  <si>
    <t>Or, Franc'seo</t>
  </si>
  <si>
    <t>Franc'seo Or</t>
  </si>
  <si>
    <t>D, Antonio Marga­ do; ayudantía á D D o Asió de Arce ; tenencias á D. José Viiiaroel, D. José de los Jtav'js, D. Francisco Puebla, D. Antonio Nieto, D. Franc'seo Or iuda? D.-Francisco de Ibarra, D. Manuel Caba­ llero, D Juan Magollo D. José D:az y D P^dro Peynador; subtenenc as á D. Sebastian Salado, D: Felipe Treus,D Santos …</t>
  </si>
  <si>
    <t>Orbaneja, Pablo Ojnááléz</t>
  </si>
  <si>
    <t>Pablo Ojnááléz Orbaneja</t>
  </si>
  <si>
    <t>con ei espíritu de los antiguos car . nes , y Noáibramos para cothandante de las tres com­ justifican al mismo tiempo la conducta de los di­ pañías a D. Pablo Ojnááléz Orbaneja * capitán dé ferentes gobiernos qne se han sucedido entre nosola primera compañía. trós, los quales, lejos de introducir novedades des­ Para capitán d…</t>
  </si>
  <si>
    <t>Orben, D</t>
  </si>
  <si>
    <t>D Orben</t>
  </si>
  <si>
    <t>e Soto, pireció al conde que era poco decoroso, teniendo 600 cabal íes,,sufrir d que 300 del enemigo con 400 infantes permane­ ciesen en Asmaga.‘ 151 coronel D’ Orben opinó del mismo modo, ysa consecrada marchó la caballería en columna por escuadrones coa al­ guna cbiicuiisd hacia la izquierda: se adelantó el ccude con el te­…</t>
  </si>
  <si>
    <t>OrdeiVz, Aetonjo</t>
  </si>
  <si>
    <t>Aetonjo OrdeiVz</t>
  </si>
  <si>
    <t>1127</t>
  </si>
  <si>
    <t>Cuevas del Becerro , compuesta de las corapañiss de escopeteres de Getares, Estopean y Marbelfa, al car¿ o deí capiíes, giaduado de teniente coronel, D. Aetonjo OrdeiVz, el regimicrio de Sigü¿Eza al mando de su coronel D. Francisco Texta, y el dz Ronda, ai man­ do de su sargento mayor D. Antonio Aviíés, reforzada coa el bata­…</t>
  </si>
  <si>
    <t>Ordoñez, Antonio</t>
  </si>
  <si>
    <t>Antonio Ordoñez</t>
  </si>
  <si>
    <t>de Tenientes. Inglaterra han recibido orden de izar las señales si­ D. Antonio Hernández Méndez. guientes para avisar que hai á la vista algao boque D. Antonio Ordoñez. enemigo. D. Francisco Crpero Cuevas. Para señalar una &lt;5 mochas fragatas enemigas, D. Matías Perez. una bo a ó giobo sobre el pabellón. Subtenientes. Para señ…</t>
  </si>
  <si>
    <t>ría de Gort.-zar.. ................... 14401-32 calzado , residente en Chinchón , por... 2200 D. Santiago Gutiérrez de Arintero............. 9661..14 D. Antonio Ordoñez, id., por.................... 2200 D. Fe rmin de Urja Nafarrondo................... 24ü3I3-1^ D. Josef Clemente , id., por........................ 2200 D. Jos…</t>
  </si>
  <si>
    <t>Orellana, Bernabé</t>
  </si>
  <si>
    <t>Bernabé Orellana</t>
  </si>
  <si>
    <t>viriego con una guerrilla de 20 patriotas 5 que les hizo frente, mien­ tras que 5 hombres háeian la misma operación por ei peñón de Mu­ res. En ésto' D. Bernabé Orellana se reunió a Peralta c on su partida de Montejaque; y sin embargo de la superioridad del enemigo , Jo re­ cibieron con firmeza y lo rechazaron. Atacados segun…</t>
  </si>
  <si>
    <t>Ornek</t>
  </si>
  <si>
    <t>to y de los que pensamos abrir en otros pun­ enemigos situados entre Widditi y Timok: el co­ tos de nuestros estados, para asegurar en lo veni­ ronel conde Ornek, qne mandaba el destacamento, dero los recursos necesarios á nuestra hacienda , es­ llegó á dicho pueblo el día 23 de agosto, y,s¿- tableceremos inmediatamente una c…</t>
  </si>
  <si>
    <t>Oro, Eu</t>
  </si>
  <si>
    <t>Eu Oro</t>
  </si>
  <si>
    <t>........ 9S ta tragedia con extraordinaria pompa y magnifi­ Certificaciones del tesoro público.... 78 h i cencia. Su traducción se encargó al erudito D. Eu­ Oro español contra plata.................. &gt;4*4 genio de Llagnno y Amírola , quien desempeñó Napoleones de oro............................ tan árdua empresa con el aciert…</t>
  </si>
  <si>
    <t>Orobio, Juan Antonio</t>
  </si>
  <si>
    <t>Juan Antonio Orobio</t>
  </si>
  <si>
    <t>e D. Juan Fran­ co , tomaron al enemigo entre el Visillo y la venta de Cárdenas un nú­ mero considerable de piezas de paño, y oíros efectos de valor. D. Juan Antonio Orobio, comandante del escuadrón de Valerosos de Torralba, que pasó á las Andalucías á resucitar el valor español, y fomentar y sostener el entusiasmo y espíritu…</t>
  </si>
  <si>
    <t>Orondo, Rafael</t>
  </si>
  <si>
    <t>Rafael Orondo</t>
  </si>
  <si>
    <t>los irimodiatanier.te. — Gon este aviso me puse en marcha hácia di­ cho punto para sostener Jo, y al llegar á Bcnieari© recibí ei parte si­ guióme de D. Rafael Orondo: Pane. — a En cumplimiento de las órdenes de V. S. de perseguir ai enemigo en su retirada, llegué á las inmediaciones de Ulldecona. Man­ eé si capitán Don Ferna…</t>
  </si>
  <si>
    <t>Ororbia, Diego Grao</t>
  </si>
  <si>
    <t>Diego Grao Ororbia</t>
  </si>
  <si>
    <t>Ahumada i cura de S. Martin de Rejas. dice*, al ex-carmelita descalzo D. DL'go Garúa Para el de Zaraves, vacante por maerte de Ororbia , debe decir \D. Diego Grao Ororbia. D. Tomas Roiz Corchon , á D. Plácido Martínez Cabello, clérigo de prima. Para el de Paredes Royas y sn anexo Torral- TEATROS. 'billa, vacanre por muerte de…</t>
  </si>
  <si>
    <t>Orozco, Juan Francisco</t>
  </si>
  <si>
    <t>Juan Francisco Orozco</t>
  </si>
  <si>
    <t>. D. Felipe Hernández, capitán del partido de Piñal del Rio, por oferta de los vecinos de ía jurisdicción de Filipinas, 13G7 y un real. El oresbítero D. Juan Francisco Orozco, 11 y 6. Juan Fabre / garzón de la plana mayor de Blancos , agregada al batallón de Morenos , por dos meses de su oferta mensual , 12. D. Juan Naranjo ,…</t>
  </si>
  <si>
    <t>Orozco, Niuolas Biazco</t>
  </si>
  <si>
    <t>Niuolas Biazco Orozco</t>
  </si>
  <si>
    <t>o Amoros............... 541 su apoderado D. Estéban Corones. 17099 29 j-,6 , 1.P39210 7 2 D. Trifon Joliau Cabeza.......... ......... 7181 22 1 rec.&gt; D. Niuolas Biazco Orozco, su apode* cer.j . rado D. VicenteGonzález Arnao. 2278 Certificaciones procedentes, de acciones y réditos iD. Estéban Corones...........................…</t>
  </si>
  <si>
    <t>Ortega, Casimiro Gómez</t>
  </si>
  <si>
    <t>Casimiro Gómez Ortega</t>
  </si>
  <si>
    <t>poder soberano en la persona del refor­ dispuesto de real orden para la enseñanza de la juven­ mador , lo qnal dió á Abdul Wahab una influen­ tud por D. Casimiro Gómez Ortega, segunda edición, en dos tomos en 4.0 con láminas, á 24 rs. Véndese en cia preponderante eu todo el noi-este de la Ara­ la librería de Castillo y en la …</t>
  </si>
  <si>
    <t>Ortega, José Martin</t>
  </si>
  <si>
    <t>José Martin Ortega</t>
  </si>
  <si>
    <t>toriano Ma­ na Gallego : el de Uniente coronel agregado al regimiento de infan­ tería d' Ibernia á D. Luis Rnuan: tenencia en el Inmemorial del R y i D José Martin Ortega ; y subtenencia en él de Zamora á D/Ñicolas Piñeiro. Buques que han recogido correspondencia en la administración de correos de Cádh durante la semana que f…</t>
  </si>
  <si>
    <t>Ortegi, Juan</t>
  </si>
  <si>
    <t>Juan Ortegi</t>
  </si>
  <si>
    <t>a del Rio queda promovido En nuestro palacio de Madrid á 23 de octu­ D. Josef María Birco á comandante de este bre de 1811. batallón, en reemplazo de D. Juan Ortegi. Don Josef Napoleón por la gracia de Dios y art. iii. En el regimiento de milicia cívica de por la constitución del estado, REI de las Espa­ Granad * queda igualm…</t>
  </si>
  <si>
    <t>Ortegon, Antonio</t>
  </si>
  <si>
    <t>Antonio Ortegon</t>
  </si>
  <si>
    <t>, 100. D Marcos de los Ríos , 100. D Juan Perez , 100. D. Mateo Rodríguez, 100. D. José Pedrosa, 100. D. José Rasilla, 60. D. Eugenio Gutiérrez, 100. D. Antonio Ortegon, 100. D. Manuel Sánchez , 100. D. Francisco de la Ve­ ga, 100. D. Manuel Velez Campa, 100. D. Santiago García, 100. D. José García del Barrio , 100, D. Alexau…</t>
  </si>
  <si>
    <t>Ortigosa, Juan</t>
  </si>
  <si>
    <t>Juan Ortigosa</t>
  </si>
  <si>
    <t>os de Bacuvirito , 148 y 4 rs. Los del Valle de Oposura, 49 y 1 rs. — S. Sebastian, El subdelegado D. Ignacio Guerrero , 10. D. Miguel Arrieta , 150. D. Juan Ortigosa , 50. D. Antonio Inchauitegui, 10. D. Lorenzo Lizagarra, 10. D. Manuel Tirado, IG. D. Ig­ nacio Fletes, 20. D. Joaquín de Osuna, 10. D. Pedro Chiquete, 40. Don …</t>
  </si>
  <si>
    <t>Ortiz, Antonio</t>
  </si>
  <si>
    <t>Antonio Ortiz</t>
  </si>
  <si>
    <t>n del regimiento de Escudero (D. Pedro Joaquín), presidente déla Toledo, 2° de infantería de línea. junta crimioal extraordinaria de Paleada. Zárate (D. Antonio Ortiz de), presidente de Iz Fcrrer ( D. Magín), presidente de la audiencia de junta criminal de Segovia y Avila. Extremadnra. art. ir. Nuestros gran canciller y gran …</t>
  </si>
  <si>
    <t>Ortiz, Diego García</t>
  </si>
  <si>
    <t>Diego García Ortiz</t>
  </si>
  <si>
    <t>plazo de D. Mariano Vergara. » Extracto de las minutas de la secretaría de Et- Don Cipriano Fernandez Cid á ayudante setado. ^ gundo en la vacante de D. Diego García Ortiz, En nnestro palacio de Madrid á 18 de diciem­ art. iv. En et regimiento de la ciudad de bre de iStt. Granada Don Josef Napoleón por la-gracia d,e Dios y Do…</t>
  </si>
  <si>
    <t>Ortiz, Francisco</t>
  </si>
  <si>
    <t>Francisco Ortiz</t>
  </si>
  <si>
    <t>os Menche................ ................. :9o.. 8} D. Fernando Diaz.................................... *965..27 La real congregación de S- Fermín, D. Francisco Ortiz.................................... 1684 por mano de D. León de Galarza.. 180.. 17 D. Josef Vázquez Espinosa.................... 1684..31 D. Anselmo Revenga..…</t>
  </si>
  <si>
    <t>Ortiz, Gabriel</t>
  </si>
  <si>
    <t>Gabriel Ortiz</t>
  </si>
  <si>
    <t>de Castilleja de la Cues­ esto puerto. El día 12 de diciembre salieron de ta se formará una compañía. Toloo , y se detuvieron unos dijs en Porto-Fer- D. Gabriel Ortiz está nombrado capitán ; Don rayo. Su navegación ha sido mui feliz; no han te­ Fernando Ortiz teniente, y D. Juan Manuel Már­ nido ninguna avería ni contratiempo…</t>
  </si>
  <si>
    <t>Ortiz, José</t>
  </si>
  <si>
    <t>José Ortiz</t>
  </si>
  <si>
    <t>o dei R:o, D. Ramón Pi aillos y D. Antonio Pala­ cios; y subtenencias á D. Cristóbal Julián, D. Tomas de Torres, D. Juan Garasa, D. Lorenzo Martínez, D. José Ortiz, D. Juan B-AIido, y D. Calixto de Rozas. En el batallón de infantería ligera de voluntarios de Mérida; los empleos de ayudante á D. José Florez Galan y D. Juan Sán…</t>
  </si>
  <si>
    <t>Ortiz, Juan</t>
  </si>
  <si>
    <t>Juan Ortiz</t>
  </si>
  <si>
    <t>ucirá ciertamente una saludable desconfianza Para el de Alquería de Adra, vacante por pro­ en todos aquellos que buscan medios de embarcar­ moción de D. Juan Ortiz á beneficio de Lorta , al se para el continente, y sabrán cómo sacrifican es­ presbítero D. Francisco Hidalgo. tos infames, baxo el velo aparente de beneficencia, …</t>
  </si>
  <si>
    <t>Ortíz, Lorenzo</t>
  </si>
  <si>
    <t>Lorenzo Ortíz</t>
  </si>
  <si>
    <t>anciscano. Para el de Terradillos, vacante por muerte de Para el de Valcavado, vacante por promoción D- Juan García, al cx-reguiar del mismo árdea de D. Lorenzo Ortíz al de Fresno, á D. Simón D. Manuel Santo Domingo. Cavia, habilitado. Para el del Cubo de la Sierra, vacante por Para el de Almarza,'vacante por muerte de muerte…</t>
  </si>
  <si>
    <t>Ortiz, Luis</t>
  </si>
  <si>
    <t>Luis Ortiz</t>
  </si>
  <si>
    <t>enientes. D. Francisco Medina. D. Josef Aragón y Villalba. Subtenientes. THATXOS. D. Antonio Moyano. En el del Príncipe, á las quatro de la tarde, s* D. Luis Ortiz. * representará por la compañía española la tragedia en. art. iv. Eo la villa de la Carlota y aldeas ad­ cinco actos titulada Blanca, ó los Venecianos, y el sai­ j…</t>
  </si>
  <si>
    <t>Ortiz, Manuel</t>
  </si>
  <si>
    <t>Manuel Ortiz</t>
  </si>
  <si>
    <t>; ademas de 25 ps. mensuales que ha ofrecido durante la guerra , 500. El tesorero D. Francisco de Paula Hornillos, en cada mes , 15. El oficial mayor D. Manuel Ortiz , en cada un año , 80. El segundo D. Blas Valladares, en cada mes , 5. El tercero D. Gerónimo Medina . 30. El quai'to D. Juan de Dios Centeno , en cada mes, 2. E…</t>
  </si>
  <si>
    <t>anda , contador, por 10 meses de su oferta en cada uno , 250. D. Francisco de Paula Hornillos, tesorero, por 10 meses de su oferta en cada uno , 150. D. Manuel- Ortiz , oficial primero , ha ofrecido ei 10 por 100 ele 800 pesos que disfruta de sueldo , y ha entregado 9-3 y 4 rs. J). Blas Valladares, segundo, por 6 meses de su …</t>
  </si>
  <si>
    <t>Ortiz, Pedro</t>
  </si>
  <si>
    <t>Pedro Ortiz</t>
  </si>
  <si>
    <t>subteniente del regimiento de milicias blan­ cas disciplinadas de infantería , 100. D Juan de Dios de Avala, gobernador de Santiago de Veragua, 300. D. Pedro Ortiz, por recaudación hecha en el mismo Santiago de Veragua de varios individuos , 203. El Dr. D. Ma­ nuel de LTrriola , en plata labrada, y en una barrita de oro , 123…</t>
  </si>
  <si>
    <t>Ortiz, Santos</t>
  </si>
  <si>
    <t>Santos Ortiz</t>
  </si>
  <si>
    <t>cienda quedan encargados de la execu­ D. Timoteo O Scalan de Laci..................... 816ÓS..14 cion del presente decrefo.= Firmado. =: YO EL REI.=e D. Santos Ortiz..................... ............................. Í7Í Por S. M., el ministro secretario de Estado = Firma­ Doña María Magdonell.................................…</t>
  </si>
  <si>
    <t>0 1 D. Lope García Salazar de Mazarredo. 2700 2 Doña Carolina López de la Huerta.. 13 53 25-*- 10 D. Matías Bayo................................... 3 D. Santos Ortiz.................................. 361 I7486 21 15 Doña Carolina López de la Huerta, 9 D. Clemente de Cabía, como apo­ como heredera de su padte Don derado de D. …</t>
  </si>
  <si>
    <t>Oruck</t>
  </si>
  <si>
    <t>1181</t>
  </si>
  <si>
    <t>después han peleado, dowitza se había visto precisado á abandonar las orillas del Timok, parece que va avanzando otra PRUSIA. vez hacia dicho rio. EL general Oruck ha envía lo últimamente una división de fusileros á GurgusBerlín 3 de setiembre. cheoza para sostener á los servios en caso da Los discípulos de Federico el Grande…</t>
  </si>
  <si>
    <t>Orúi</t>
  </si>
  <si>
    <t>ndo solamente en !a ciudad unos 360 hombres, m lu­ sos 60 gendarmaa, coa el intruso corregidor D. Antonio Y&amp;zqucz. El dia 22 se acercó á la ciudad el capitán Orúi con 80 tiradores, llegando basta el convento de carmelitas : los franceses se encerra­ ron inmediatamente en el Seminario, al que hicieren algún fuerro quatro tirad…</t>
  </si>
  <si>
    <t>Oruk</t>
  </si>
  <si>
    <t>mandó que en Kutno , y el 21 en Varsovia. viniese una parte de este exército á reforzar la di­ Los personages que componen la comitiva in­ visión del general Oruk, encargado de defender el mediata de SS. MM. son el ministro de Relacione» paso del Timok. En efecto, se pusieron en marcha exteriores; el ministro secretario de li…</t>
  </si>
  <si>
    <t>Orurk</t>
  </si>
  <si>
    <t>alaridos horribles ’de Los turcos, ¿ nuestro campo atrincherado al mando del visir quienes sin embargo no‘quisieron todavía consen­ Achrnet-Rumid. El general Orurk se limitó por tir-en la capitulación. Ei cañoneo cesó al entrar la ser corto el número de sus tropas á rechazar al noche, y la guarnición intentó escapar por el ca…</t>
  </si>
  <si>
    <t>Os, Ma</t>
  </si>
  <si>
    <t>Ma Os</t>
  </si>
  <si>
    <t>Nuestros hijos se sacri- Queda nombrado para capitán de esta compa­ • ficarán por au dicha y su gloria. ;, ñía D. Josef Candan y Peña; para teniente D. Ma­ „ Os do i gracias por los sentimientos que me erpresáis." nuel Taboada, y para subteniente D. Fidel Corchon. Después de estas audiencias.el tribunal de Casación, art. 111.…</t>
  </si>
  <si>
    <t>Osbeck</t>
  </si>
  <si>
    <t>marca haa do en Viena en el cuerpo de comerciante: por ma­ sido convidados á úna comida campestre. yor, si no acredita antes que posee 50® fi''-1-*El doctor Osbeck acaba de presentar al cole­ «a billetes de amortización. gio de medicina un nuevo remedio descubierto por Del 2 8. éi para curar las enfermedades sifilíticas. Uno …</t>
  </si>
  <si>
    <t>Oscanlan, Timoteo</t>
  </si>
  <si>
    <t>Timoteo Oscanlan</t>
  </si>
  <si>
    <t>eón por la gracia dé Dios y por D. Rafael Riesco....................................... 91 24..13 la constitución del estado, REI de las Españas y de D. Timoteo Oscanlan................ .............. 87849.. 10 las Indias. Vistas las consultas de la comisión de liquidación Rs. vn... 146918.. 12 de la deuda del estado, lo exp…</t>
  </si>
  <si>
    <t>Oscar</t>
  </si>
  <si>
    <t>con la toma Se Mérida tienen abierta la puerta para Bad.joz, qoe Estockolmo »$ de enero. 4 la hora de esta estará ya atacada par los france­ S. A. el príncipe Oscar, hijo del Príncipe Real ses. Si llegan á apoderarse de esta plaza no queda de Suecia, ha sido nombrado corooel de los tref otra sino Yelves que pueda impedirles p…</t>
  </si>
  <si>
    <t>del Austria, y quisieran qnu tes distinguidos de la SuJenmnia tuvo ayer au­ aquella provincia se pusiese baxo la protección de diencia de S. A. R. el príncipe Oscar , para felici­ esta potencia, aunque otros preñerea la de la tarle con motivo de su nombramiento en calidad Rusia. de duque de aquella provincia. El comercio de e…</t>
  </si>
  <si>
    <t>les senti­ go que se halla á punto de volver á principiar la mientos nos acogernos humildemente baxo la pro­ campaña. tección y favor de V. A. R.” El príncipe Oscar respondió en los términos si­ SAXONIA. guientes : Dresde 18 de febrero. ,, Agradezco las felicitaciones qne me dirigís. Aunque soi demasiado joven todavía, conozc…</t>
  </si>
  <si>
    <t>sin duda el teatro de sucesos mui impor­ Las últimas noticias que se han recibido del tantes. viage de SS. AA. RR. el príncipe heredero y el Del T£. príncipe Oscar son de íechi del 5 de Lincoping. La circular relativa á la dieta de Hungría con­ SS. AA. salieron el 2 del palacio de MiUgarn ja­ tiene en substancia lo siguiente:…</t>
  </si>
  <si>
    <t>Oscoloza</t>
  </si>
  <si>
    <t>tes. ,,No extrañéis que en estos dias de dolor os En la sesión de las cortes del 15 del corriente hablemos cou el noble lenguage de la verdad (2), el diputado Oscoloza , ponderando lo sensible que ni atribuyáis á miras poco respetuosas lo que solo le había sido la noticia que corría de la pérdida de son inspiraciones del mas …</t>
  </si>
  <si>
    <t>Osio</t>
  </si>
  <si>
    <t>de Jano Augusto. núm. 8o.) , Entre los muchos varones célebres que produDel 8. xo en aqaella época, son los mas conocidos los Sé­ necas , Lucano y el obispo Osio. Asegúrase que algunos diputados de las pro­ No se sometió á los godos, aunque estos inun­ vincias disidentes de América han representado, daron las Españas desde pr…</t>
  </si>
  <si>
    <t>Osman-Elmaprincesa</t>
  </si>
  <si>
    <t>anunciado con una sal­ merciantes habían creído tener allí seguras sus ri­ va de arciUctia del serraho el nacimiento de una quezas. Se asegura que el príncipe Osman-Elmaprincesa, hija de S. A., á la que le le ha puesto desi, que ha socorrido como vencedor las pro-</t>
  </si>
  <si>
    <t>Osorio</t>
  </si>
  <si>
    <t>­ mo de la nuestra. Una columna francesa de 300 caballos y 8Q0 infan­ tes con 2 piezas de artillería , penetró en dicho tiempo hasta Al­ bacete, y el brigadier Osorio que se hallaba solo con 300 caba­ llos, se vió obligado á retirarse á Tobarra; pero reforzado con 300 hombres del regimiento de Burgos determinó atacarlos. No l…</t>
  </si>
  <si>
    <t>zanares , é inmediatamente se juntaron los paisa­ nos armados de He lin con corto destacamento de tropa, y se dirigie­ ron á Tobaría. La división del brigadier Osorio dicen que estaba hacía el campo de Ciiptana. Sevilla 29 de abril. Los buenos españoles, quiere decir,, la casi to­ talidad de este vecindario, no pueden menos d…</t>
  </si>
  <si>
    <t>Osrtiz, Tomas</t>
  </si>
  <si>
    <t>Tomas Osrtiz</t>
  </si>
  <si>
    <t>'1 dia 27 del mismo acometió á los rebeldes. que en numero de 8 á 10000 hombres se hallaban en el cerro do Z ’yrs, mandados po¿ D. F.llx Rodríguez y D. Tomas Osrtiz, sobrino de Hidalgo, y los derrotó nuevamente, matándoles 400 hombres , y lomándoles LO cañón s, un repuesto de municiones , una porción de banderas , estas Ja rí…</t>
  </si>
  <si>
    <t>Ossolíoski</t>
  </si>
  <si>
    <t>es que le han apresado son el pe de Clari; el señor Schwiuner le reemplazará en LoUantij el Alsen y el Samsoe. la burgomaestría, A petición del señor conde Ossolíoski, biblio­ HUNGRIA. tecario mayor, ha mandado S. -M. que se destinen 6o0 florines anuales para enriquecer la biblioteca Scmlin 2 de setiembre. imperial con las me…</t>
  </si>
  <si>
    <t>Ostañcn</t>
  </si>
  <si>
    <t>pero tuvieron que encerrarse de nutvo con una tercera parte m&gt;:s de pérdida. Por nuestra parte hubo 3 muertos y 12 heridos.—Ei mismo dia participó el brigadier Ostañcn que el co­ mandante del regirnierto de Siero Don Francisco Celleruelo atacó á los enemigos en Vidaviciosa., y los encerró en el convento, causán­ doles la perd…</t>
  </si>
  <si>
    <t>Osterman</t>
  </si>
  <si>
    <t>dado raso, se há; dis­ en la actualidad éstá viajando por los países meri­ tinguido mui particularmente en la última campan dionales de la Enropa. El general Osterman y el ña, y ha llegado d« grado en grado al de sobte- general Tolstoi, como también el general Tutsh— niente. S. M. I., en recompensa del valor que ha koff, vive…</t>
  </si>
  <si>
    <t>Ostermann</t>
  </si>
  <si>
    <t>, ni pagarle», sus. jornale* para que los ayuden á pescar la madera flotante, Moscou, jo de abril. y á recoger ei heno para el invierno. El canciller conde Ostermann, qne en el reí— Por falta también de drogas medicinales hacen □ado de Catalina 11 sirvió la plaza de ministro de bastante estrago las enfermedades de pecho, muí …</t>
  </si>
  <si>
    <t>Ostolaza</t>
  </si>
  <si>
    <t>en sus empleos, mirable. El enemigo ha ¡atentado destacar algunos «ó provistos de otros mayores.” barcos para echar la sonda; pero el contra-aimi- Ei diputado Ostolaza ; ,, Sabemos , dixo , que rante L'Hermite, prefecto marítimo de este puer­ «algunos de nuestros empleados estuvieron cobranto , ha enriado muchas embarcaciones…</t>
  </si>
  <si>
    <t>Osuliban, Daniel</t>
  </si>
  <si>
    <t>Daniel Osuliban</t>
  </si>
  <si>
    <t>nel D. Diego de Vega, teniente co­ ronel del de Almería: al coronel D Pedro Sarsfield, comandante del batallón de infantería ligera de Tarragona, y á D. Daniel Osuliban, teniente coronel del batallón de voluntarios, distinguidos, dé Ultonia. Tenientes coroneles de los regimientes, de Palma , Santafé, , Fer­ nando VII, Almería…</t>
  </si>
  <si>
    <t>Otacgui, Sebastian</t>
  </si>
  <si>
    <t>Sebastian Otacgui</t>
  </si>
  <si>
    <t>z y Urrutia, El convento de religiosas deSanta Clara por mano de D. Valentín Ursueguia. 12837-26 de la villa de CLnpczuelus................. 27°..25f D. Sebastian Otacgui.............................. 6012 D. Juan de Lecanda........................ 6407.. 251 D. Julián Ruiz de Reajal........ .............. 3039.. 4 D. Ignacio…</t>
  </si>
  <si>
    <t>Otañez, Dolores</t>
  </si>
  <si>
    <t>Dolores Otañez</t>
  </si>
  <si>
    <t>u lujo D. Lucas, 100. El. regidor marques de Casa-Penal ver, por el prest de quince soldados en 6 meses durante la guerra, 810. Don Juan lumano, 100. Doña Dolores Otañez, 1. Lie. D. Juan Rafael de Al jo-, rin , cura de Quivican, á nombre de Doña Juana María González de Nie-, bla, 20. Ei capitán. D. Juan Menerulez, habilitado …</t>
  </si>
  <si>
    <t>Otermin, Agustín</t>
  </si>
  <si>
    <t>Agustín Otermin</t>
  </si>
  <si>
    <t>dantes primeros al segundo D. Cayetano D gres, y .al sargen­ to mayor del mismo cuerpo ¿te 11 gen teros D. José Aguado ; y el de ayudantes segundos á D. Agustín Otermin, D. Jote María Pa­ nlagua y D. Rafael Sánchez 8 ravia, capitanes riel batallón de in' fantería ligera de Mérida, y de los regimientos de caiwritesía de Espa­ …</t>
  </si>
  <si>
    <t>Otero, Francisco</t>
  </si>
  <si>
    <t>Francisco Otero</t>
  </si>
  <si>
    <t>ayetano Fernandez ViHamil. Fueron exami­ nados en aiismética, D. Agustín Nogueyra, D. Conon Auge, D. Mi­ guel O íoste y Vidal , D. 'Domingo González, D. Francisco Otero, I). Juan Teron y D. Francisco Remero ; en aiisméticá y álgebra, 1). Feiíx Labrada ; en geometría elemental y. trigonometría plana, D. Nicolás Fernandez y D. …</t>
  </si>
  <si>
    <t>Otero, Nicolás</t>
  </si>
  <si>
    <t>Nicolás Otero</t>
  </si>
  <si>
    <t>942</t>
  </si>
  <si>
    <t>; une,.? llábana 10 de julio. El 7 déT comente entró en-éste puerto ía: goleta-correo de la real armada-Fénix ¡ su comandante el teniente de n?; vio D. Nicolás Otero-, que dtxé la bkhiá de Cádiz 25 de mayo último. Destusa que entregó Ía córrespo ídénciá que-trafá para ía^siá de Pudrtorieo, seguía con la deésth, y hálfándcsé e…</t>
  </si>
  <si>
    <t>Otondo, Agustín</t>
  </si>
  <si>
    <t>Agustín Otondo</t>
  </si>
  <si>
    <t>cio. A continuación decretó el destierro de 56 vecinos do la ma­ yor distinción, con 2 horas de plaza para la salida, entre ellos e! pa­ dre felpease D. Agustín Otondo, sacerdote v -noreble si dad., quien hallándose en cania enfermo, y próximo á recibir el</t>
  </si>
  <si>
    <t>Otra, O</t>
  </si>
  <si>
    <t>O Otra</t>
  </si>
  <si>
    <t>s, ca­ Otra , plazuela de San Alateo,. lle de Alquiladores, núme- H O núm. 8................................. 638 5104 ros 85, 86 y 87............... D O 1290 Otra , calle de la Carne , nú- Otra única dentro de ios reamero 41............... ................ 990 7920 les Alcázares...................... . 612 4896 Otra,calle de…</t>
  </si>
  <si>
    <t>Otro, Anto</t>
  </si>
  <si>
    <t>Anto Otro</t>
  </si>
  <si>
    <t>cho término y pago de Ce­ rendado á Francisco Garnacho , arrendadas á D. An­ cía......................................... 1325 1590© tonio de Casas y D. Anto­ Otro en dicho término, y pa* nio Josef Prieto.............. .. 1081 12972 go-de Bib¡s,.de 6o¿ fane­ Diez fanegas de tierra de rie­ gas de tierra de secano...... 700 840…</t>
  </si>
  <si>
    <t>Otro, Isidoro Xi</t>
  </si>
  <si>
    <t>Isidoro Xi Otro</t>
  </si>
  <si>
    <t>l pago de Cede tierra de riego en el tér­ iin , arrendado a D. A, to— mino de dicho lugar, ar­ «¡o Fernandez..................... 648 7776 rendados á D. Isidoro Xi- Otro de 288 celemines de id., meneayD. AntonioCadro. 800 ■ 9600 en la cañada de Galiana, guádix. arrendado á D. Juan de. Una huerta de ó fanegas de Dios Asien....…</t>
  </si>
  <si>
    <t>Otto</t>
  </si>
  <si>
    <t>l de hoi se lee el extrac­ que está mui ocupado, y tiene también muchas to siguiente de! informe presentado por el secreta­ conferencias con S. E. el conde Otto, embaxador rio de la academia de las ciencias de esta ciudad. de Francia. El señor Pallhanssen, archivero, inventor de El decreto imperial, que en atención á las ac­ …</t>
  </si>
  <si>
    <t>Otto'ha</t>
  </si>
  <si>
    <t>unido con e! de los gra des río* quíteles de invierno en ia Valaquia. v qne desaguan en el mar, ha disminuido conside­ S. E. el embaxador de Francia conde Otto'ha- rablemente esta renta. El grao deque túrne que re­ dado una espléndida función, á la que han asis­ clamar por su parte una cantizal de 600® fl tri­ tido los minist…</t>
  </si>
  <si>
    <t>Oudinot</t>
  </si>
  <si>
    <t>ta Valladolid. — Aseguran que en las fronteras de Polonia reúnen los franceses un exército de 8c2) hombres, para el cual ha salido ya de Aimterdam e' general Oudinot.—■ Tniebault regresó aquí de Ciudad-Rodrigo. £&gt;e ios restos de los regimientos 8 y 10 de dragones, y algunos del 3 , 6 y 25 han vuel o unos 250 hombres , que dic…</t>
  </si>
  <si>
    <t>Oudirsot</t>
  </si>
  <si>
    <t>res para sitiar á Figueras”; y otro ie respondió al momento: ,7sí, sí, eso será como les 30000 que &amp;os dixeron hace tiempo esti ban en Burdeos con el general Oudirsot para reforzar loi exércitss do Espa­ ña , y aun no han llegado ni llegarán.” Del 27. A principios de esta semana entró en Escalona la .par­ tida de Abril, y aco…</t>
  </si>
  <si>
    <t>OuitaTt, Juan Bautista</t>
  </si>
  <si>
    <t>Juan Bautista OuitaTt</t>
  </si>
  <si>
    <t>ernativamente causas y efectos los Estándose siguiendo un expediente civil por el juz­ enos de los otrox; y qne (sirviéndonos de las ex­ gado del Sr. D. Juan Bautista OuitaTt, del consejo de presiones dei doctor ) tjdas i as series suce­ S. M., juez de primera instancia, y por la escribanía sivas 6 círculos de nuestras accion…</t>
  </si>
  <si>
    <t>Ouk</t>
  </si>
  <si>
    <t>arón de Berthon, frente de Nicópolis. Las tropas que hai actu.lque hacia de presidente, representó á S. M. la ca­ mente en la Servia á las órdenes dd general Ouk restía de las materias primeras, y que la subida han sido reforzadas con 4O hombres. La guarni­ los géaeros no permitía ya á los fabricantes conti­ ción de Rudschuck…</t>
  </si>
  <si>
    <t>Ouvarc-ff</t>
  </si>
  <si>
    <t>oncluido, y el dia neral en gefe , ha vuelto á la Moldavia: se dice que 23 de este mes se celebró coa toda solemnidad ia vendrá también mui pronto el general Ouvarc-ff. abertura de su paso. S. A. la duquesa de Neubur­ Escriben de Wichuer-Wototchock que varios go , algunos ptrsonages de distinci h j todas las au­ trabajadores …</t>
  </si>
  <si>
    <t>Oxin, Pedro</t>
  </si>
  <si>
    <t>Pedro Oxin</t>
  </si>
  <si>
    <t>D. Antonio Pineda. tallón D. Francisco María Lechuga; para ayudan­ tes D. Carlos Buil y D. Francisco A nropio Queve'Tenientes. do, y para abanderado D. Pedro Oxin.tgaD. Bartolomé Arando. Asimismo qiíedan nombrados p-ra capitanes y</t>
  </si>
  <si>
    <t>P, Andrés</t>
  </si>
  <si>
    <t>Andrés P</t>
  </si>
  <si>
    <t>ta h\zo fuego con mucho Para el de L Coeva de Roa , vacante por muer­ acierto contra la corbeta y el bote enemigo, y uno te de D. Reidor Z (patero, a D. Andrés P..scual y otro buque fuero» bastante maltratado*. S*nz , cura de Vi laciervillos. Para el de Torra&gt;ba y so anexo Valde^billo, Rochela 30 de octubre. vacaite por muert…</t>
  </si>
  <si>
    <t>P, Torras</t>
  </si>
  <si>
    <t>Torras P</t>
  </si>
  <si>
    <t>nizadas y aguerridas, otras muchas partidas de patriotas, mas ó menos numerosas: entre las cuales ron las mas nom­ bradas las de D- Gerónimo Saornil, D. Torras P.-íici , D. Fran­ cisco Castilla, D. Juan Abril, Marlgucla, Morales , S dechero, Or­ tega, Fuente, Campillo, el Mé lico, el Cocinero &amp;c. Si á esto se agregan la divis…</t>
  </si>
  <si>
    <t>P-Dicha, Armsbre</t>
  </si>
  <si>
    <t>Armsbre P-Dicha</t>
  </si>
  <si>
    <t>los ingle­ que la notificación de la Francia no tiu:a ningún ses tespetasen sus derechos antes del i°. de noviem­ sentido, ó que lo que anunciaba al general Armsbre P-Dicha proclama no hubiera podido producir troog era la revocación positiva de ios decretos ningún efecto directo ó inmediato contra la Ingla­ franceses. terra ;…</t>
  </si>
  <si>
    <t>P-rcz, Lorenzo</t>
  </si>
  <si>
    <t>Lorenzo P-rcz</t>
  </si>
  <si>
    <t>asageros á bordo, sin ninguna P«r* el d.- Zayas de Barcones, y Z&lt;yuelas su mercancía. Este buque ha gastado un mes en su anexo, vacante por muirte de D Lorenzo P-rcz, viage, y ha tenido que pagar una cierta cantidad á D. Julián Martínez , cura de la T-ir e.deBLcos. de dinero á un corsario ingles de Guernesei para Para el de P…</t>
  </si>
  <si>
    <t>Pa, Gabriel de Castro</t>
  </si>
  <si>
    <t>Gabriel de Castro Pa</t>
  </si>
  <si>
    <t>, 270. D. Juan José de. Sotolongo , por sí y su hijo D. Pió, cadete del regimiento de Puebla, 100. Doña María de la Cruz Morales, viuda y aíbacea de ]D. Gabriel de Castro Pa­ lomino, por oferta que este habia hecho antes de su fallecimiento, 200. Tras­ ladados del común de real hacienda, y que D. José Antonio Ramos, oidor de­…</t>
  </si>
  <si>
    <t>Pa, José</t>
  </si>
  <si>
    <t>José Pa</t>
  </si>
  <si>
    <t>enes del teniente coronel D. Mi­ guel Nueros, su sargento mayor D. Francisco Alzamora; una guer­ rilla de reales zapadores mandada por el subteniente D. José Pa­ reja , otra del regimiento de Burgos al cargo de los tenientes Don Pablo Bscerril y D. Tomas Suarez; el batallón de cazadores de Ve­ jez-Málaga de mi caigo á las órd…</t>
  </si>
  <si>
    <t>Pa, Jote María</t>
  </si>
  <si>
    <t>Jote María Pa</t>
  </si>
  <si>
    <t>egundo D. Cayetano D gres, y .al sargen­ to mayor del mismo cuerpo ¿te 11 gen teros D. José Aguado ; y el de ayudantes segundos á D. Agustín Otermin, D. Jote María Pa­ nlagua y D. Rafael Sánchez 8 ravia, capitanes riel batallón de in' fantería ligera de Mérida, y de los regimientos de caiwritesía de Espa­ ña y luisaris de Cas…</t>
  </si>
  <si>
    <t>Pa, Juan</t>
  </si>
  <si>
    <t>Juan Pa</t>
  </si>
  <si>
    <t>nto de infantería de .Osuna. También se ha servido promover en el real cuerpo de ingenieros á tenientes C&lt; róñeles á los sargentos mayores de brigada D. Juan Pa­ lomino, D. 'Juan Scciats , D Pedro Saípzar y D Migue! A ochávala: á s^rggntos mayores dé'brigada 9. á‘Iosr¡capitanes D Séb^sf an de S. Juan, »D Blas Manuel Te-ue? , …</t>
  </si>
  <si>
    <t>Pa, Juan Bautista</t>
  </si>
  <si>
    <t>Juan Bautista Pa</t>
  </si>
  <si>
    <t>barco insumergible, construido El Sr. D. Agustín Bigarré.............................. 200 para liberrar á los náufragos. Todas las maniobras El Sr. D. Juan Bautista Pa roisse................... ico se execuraron con mucha celeridad y precisión. El Sr. D. Juan Quimano.................................. 100 De vuelta de Schevel…</t>
  </si>
  <si>
    <t>Paaatier</t>
  </si>
  <si>
    <t>nes : mandé unirlas en la villa de Sorlada para comutacarles ciertos avisos, y con estas pude resistir la furia de la caballería enemiga al mando del general Paaatier, que aunque ocupaba este punto, lo abandonó, ignorando mis movimientos, y me perseguía con celeridad. Una avanzada mi?, y la primera que me dió ayiso de la prox…</t>
  </si>
  <si>
    <t>Pab</t>
  </si>
  <si>
    <t>en J.eon, dente en Idem....................................................... 2 3CO reddeute en su pueblo, por................................ 2100 D. Pab oPumn, natural y residente en Toledo, por 2300 d. 11. k-r ji uso Solór/ano , natural de Toledo , don­ D. G regorio Pamo, idetn........................................ 2300…</t>
  </si>
  <si>
    <t>PABIO</t>
  </si>
  <si>
    <t>y pintarlo con tal verdad, que sus critos en francés. Es en la escena sexta del primer acto. producciones son la historia mas perfecta y acabada del D. PABIO. hombre. Varios escrirores se han dedicado también á cen­ No, hermano, yo no pretendo surar nuestros vicios,)’ á manifestar nuestras locuras y Ser doctor, ni saber mas d…</t>
  </si>
  <si>
    <t>Pableu</t>
  </si>
  <si>
    <t>ue cias y disposiciones que puedan ser necesarias pa­ fue trasladado de Cronstadt á esta capital. ra mantener esta resolución , y conservar la tranEl conde Pableu, coronel del regimiento de qui.idad y seguridad que de ellas deben resultar. guardias nobles, y el señor Eogclmann, coronel de 2° ,,Si ei antiguo Rei de Suecia , ó …</t>
  </si>
  <si>
    <t>Pablo</t>
  </si>
  <si>
    <t>Gaceta de Madrid n.º 24</t>
  </si>
  <si>
    <t>yy . páeoÑM levadizo*: esta ¿ra 1a 'habitación favorita mado otra en el pagado de la Ermita con mcíor del Emperador Pablo i. Entre* ios singulares ca­ órJcn y arreglo. C-da pintor tiene tu Safen partíprichos que tuvo este pfíhcípe &gt; uno tiíe mandar cular en quanto se puede. Esta disposición tiene por un ukase qu</t>
  </si>
  <si>
    <t>para la defen­ otro del de cazadores del Rei, de dos batallones sa de las costas, que en pocos días se han presen­ del i.*de infantería de línea del príncipe Pablo, tado para servir en las tropas 7742 hombres, de de otros dos del 2.0 de infantería de línea del du­ los qudes mas de 2© han marchado á su destino. que Guillclmo, …</t>
  </si>
  <si>
    <t>854</t>
  </si>
  <si>
    <t>sunción; otro, que se 'dirigió dvsde Candelaria al-'pueble de Iiapua con igual comisión , fué Teci» fcido con todas 'las p-récaucieaes necesarias por D. Pablo .Tóm-pson* comandante dé las partidas de- la izquierda; y-'habiéndole lincha--re­ gresar 9 enrió- á mi disposición los papeles que coúducia. Este su­ ceso no dexó duda …</t>
  </si>
  <si>
    <t>Pablo, Juan</t>
  </si>
  <si>
    <t>Juan Pablo</t>
  </si>
  <si>
    <t>Dos majuelos en dicho sitio; las monjas de Santa Ana de el uno con 40 o vi jes, tér­ Jaén , del convento de la mino de Bacza; el otro de Merced , de D. Juan Pablo 2400 y 7c estacas, térmi­ Casanova, y con la vereda no de Ibros , ambos pertereal........................................ IJ3S .1 8420. . necientes á los Trinitario…</t>
  </si>
  <si>
    <t>osef Carranza............................. 209380 Boan.................... 7050 D. Josef Pelaez................................................ 16440 D. Juan Pablo.Imbrea........................... 154-50 El marques de Muzquiz............................... 44866..19 D. Jaime Felipe , D. Juan Lucas, D. Jo­ D. Gregorio Pereira…</t>
  </si>
  <si>
    <t>Pacca</t>
  </si>
  <si>
    <t>te guardia, oído si ru­ mor , tocaron la campana , dispararon el fusilazo de alarma, y que­ rían arrojarse sobre aquella canalla ; pero los detuvo el cardenal Pacca por orden expresa de 1 Paos. Siguieron aqncrios malvados echan­ do abaxo las puertea hasta la de in. s^Ja de audiencif*s ; y á los primeros golpes que dieron en e…</t>
  </si>
  <si>
    <t>Pacheco, Diego</t>
  </si>
  <si>
    <t>Diego Pacheco</t>
  </si>
  <si>
    <t>chez, D. Joan Zaldivar, D. Manuel Zeldivar, í). Mdro Caballero, D. Bernabé Santibañ***,- D. Manuel de Vargas y ü. Joan Dow.de Brizo; y subtenencias á D. Diego Pacheco, Don Ramón Sancho, D. Juan Estraus, D. Máximo - Reynoso, D. Agus­ tín O e ti veros, D. Miguel de las Meras, y D. -Joaquín Robín. Tarnbien se ha dignado Goacedcr…</t>
  </si>
  <si>
    <t>Pacheco, Francisco</t>
  </si>
  <si>
    <t>Francisco Pacheco</t>
  </si>
  <si>
    <t>a, D. Ramón Rienda, E). Joaquín Frayle, O. Manuel del Rio, D. Juan Peña; y ásus ayudances D. Joaquín Castañeda, D. Narciso Salinas, D. Tomas Bermado, D. Francisco Pacheco, y al cabo de voluntarios D. Juan Valdes. El enemigo tuvo de pérdida un gran número de muertos y heridos y 300 prisioneros. Por nuestra parte tuvimos muerto…</t>
  </si>
  <si>
    <t>Pacheco, Rafael</t>
  </si>
  <si>
    <t>Rafael Pacheco</t>
  </si>
  <si>
    <t>. Antonio Fialio , contramayoral, 1, D. Santiago de Tagie, sobrestante dé la cigarrería, 2, D. Juan Francisco Godoy ,.sobrestante del encajonado , 1. D. Rafael Pacheco, portero , 1. Don José Felipe García , sobrestante del rapé, 1 y un real. D. Nicolás Nuñez de Acosta, sobrestante primero de la fábrica de cigarros de la Benef…</t>
  </si>
  <si>
    <t>Pack</t>
  </si>
  <si>
    <t>quedaba á su retaguardia.— En el mismo dia los ataqué en esta po­ sición con ía tercera y cuarta división ligera de infantería , y con la brigada del general Pack y la caballería: las ctras tropas formaban ia reserva. — El puesto del pinar sobre la derecha del enemigo, fué primero forzado por el mayor general Erskine con la d…</t>
  </si>
  <si>
    <t>Gaceta de Madrid n.º 219</t>
  </si>
  <si>
    <t>dido unirse con'Soult, llevando 2j® hom­ excepción de dos ó tres batallones que se han que­ bres, y dexando un cuerpo de reserva en Ciudaddado coa et general Pack para guardar el paso del Rodrigo. Hemos dicho también que la caballería francesa era tan superior eo número, que hacia su­ Coa.Sir B. Spencer antes de ponerse ea mo…</t>
  </si>
  <si>
    <t>ds caballería á retirarse doAldea de la Puente, de cuyo tugarse apoderó. El teniente g..:me . ral Colé lo atacó de nuevo con parte de la brigada del general Pack.srham, y lo desalojó del lugar; paro como era ya de noche, y dich^ general ignoraba lo que pasaba en sus ilúteos , no sabien­ do el número del enemigo, y al-mismo ti…</t>
  </si>
  <si>
    <t>Pack-snbnm</t>
  </si>
  <si>
    <t>piquetes de caballería situados en Aldea de la Puente, obligándolos á retroceder, y siguiéndolos bada -cerca-de AlfayatéR. A este tiempo mandé que el general Pack-snbnm los atacase con la brigada de su mando, perteneciente á la cuarta división, y que ei leu ¡ente general Colé con el resto de la mi3ma división y ia caba­ llerí…</t>
  </si>
  <si>
    <t>Padi, Manuel</t>
  </si>
  <si>
    <t>Manuel Padi</t>
  </si>
  <si>
    <t>de 1775Las dimensior.es de las alas de los molinos de viento, zado. su forma, el modo de orientarlas, los modos de des­ Para la de; Timar y Lobres á D. Manuel Padi­ plegar y recocer las velas, son otros tantos problemas, lla , ex-carmclita descalzo. que han llamado la atención de los sabios y de los ar­ Para la de Fondon á D.…</t>
  </si>
  <si>
    <t>Padilla, Antonio</t>
  </si>
  <si>
    <t>Antonio Padilla</t>
  </si>
  <si>
    <t>, que sacó :una herida contusa en el pie izquierdo en el ataque del cerro de la Higuera, y el -de la mistm clase ayudan­ te del batallón de Huictapan D. Antonio1 Padilla, desempeñaron con acierto sus encargos y obligaciones, y lo mismo los del cuartel maes­ tre general capitanes D. Saturnino Samaniego, D. Francisco D.¿z de Bu…</t>
  </si>
  <si>
    <t>Padilla, Félix</t>
  </si>
  <si>
    <t>Félix Padilla</t>
  </si>
  <si>
    <t>reet, in­ Para el de Darrical y Beninar, vacante por mediato á Goodman, hijo, núm. 19, en Lon­ promoción de D. G.briel Callejón al de Cadiar, á dres. D. Félix Padilla, presbítero. Homes, dueño del barco la Sirena, en Blak- Para el de Domingo Perez, vacante por pro­ wall, inmediato á Londres, orillas del Támesis. moción de D. …</t>
  </si>
  <si>
    <t>Padilla, Juan Cervantes</t>
  </si>
  <si>
    <t>Juan Cervantes Padilla</t>
  </si>
  <si>
    <t>ps. y 1 y cuarto rs. D. Jacobo de Villaurrulia , varias piezas de la misma .clase que importaron 230 y 4 y cuarto rs. D. Ignacio García Saenz , 500. D. Juan Cervantes Padilla , 400Ó. La archicofradia del-Sino. Sacramento de la Sta. iglesia de México , 8000. D. h rano ¡seo Xavier Borbovi , 500. El licenciado D. Juan Martiñena,…</t>
  </si>
  <si>
    <t>Padilla, Juan José</t>
  </si>
  <si>
    <t>Juan José Padilla</t>
  </si>
  <si>
    <t>G y 2 rs. — S. Ignacio. El subde­ legado D, Francisco Figueroa, G. D. Juan Luis Elizarde , 25. Doña Manuela Elizarde , 25. D. Macedonio Laranaga, 10. D. Juan José Padilla, 25. D. Xa­ vier Manj arres , 10. D. Ignacio Ramírez, 10. 1). Urbano Ibarra , 10. Va­ rios individuos, 84 y 5 rs. — S. Xavier de Cabaza'n. D. Francisco Barr…</t>
  </si>
  <si>
    <t>Padilla, Salvador</t>
  </si>
  <si>
    <t>Salvador Padilla</t>
  </si>
  <si>
    <t>teniente D. Fernando Escu- * dero , 50. D. Miguel ítoncal , 5. — IMaioya. El cura D. Isidro Camacho , 10. El subdelegado D._ Francisco Padilla , 20. D. Salvador Padilla , 25. Varios (2) Así hablan ¡os franceses , forzados de ¡a verdad, en sv.s cartas confidenciales y pero en sus papeles públicos observan otro lenguage. En las…</t>
  </si>
  <si>
    <t>Padrón, José Ector</t>
  </si>
  <si>
    <t>José Ector Padrón</t>
  </si>
  <si>
    <t>iano, 25. D. Pedro í«opea , 35. D. Ignacio Cantarcy , 25. D. Bartolomé Rusconi , 25. D. Joan Villaseca, 25. D. Pablo Soler , 25. Don José Bobos , 25. D. José Ector Padrón, 25. I&gt;. Antonio Castilla, 25. Don Manuel Salecio, 25. D. Roberto Ciaberot, 35. D. Joaquiu Español, 25. (Se continua* d.J i? CADIZ : EN LA IMPRENTA REAL.</t>
  </si>
  <si>
    <t>Paez, Juan Antonio</t>
  </si>
  <si>
    <t>Juan Antonio Paez</t>
  </si>
  <si>
    <t>írno Vela , 5. D. Manuel de la Garza, 6. Varios individuos, 15. — Parras. Don Juan Tágíe, 50. Don Juan Nava, 25. Don Francisco Antonio Gutiérrez, 50. D. Juan Antonio Paez, 12. D. Pedro España, 10. D. José Castro, 1.0j Varios individuos, 61. — Nueva Bilbao. El subdelegado D. José Herrera, TOÓ.' D. Tomas Ramón de' Z avala,* 12.…</t>
  </si>
  <si>
    <t>Nada mas común , en efecto, que en­ Pareja ; para ayudante á D. Alonso Cabrera , y contrar en España legoas enteras cubiertas de mapara abanderado á D. Juan Antonio Paez. droñoso (1), que no otra cosa viene á ser el ro­ Asimismo quedan nombrados para capitanes y manesco árbol del azúcar. Pero lejos de que esta oficiales de la…</t>
  </si>
  <si>
    <t>Pahvicini, Eugenia</t>
  </si>
  <si>
    <t>Eugenia Pahvicini</t>
  </si>
  <si>
    <t>44866..19 D. Jaime Felipe , D. Juan Lucas, D. Jo­ D. Gregorio Pereira y Pacheco................ 11000 sef María y D. Hipólito Durazo........... 52500 Doña Eugenia Pahvicini............................... 87700 Rs. vu.... 1.043882..27 D. Sebastian de Otaegui...............i.:...... . 31875 D. Antonio Fernandez de Córdoba......…</t>
  </si>
  <si>
    <t>Pain, Juan</t>
  </si>
  <si>
    <t>Juan Pain</t>
  </si>
  <si>
    <t>lio. I). Pedro Martínez Moreno, 12 camisas. Doña M. G. B 4 camisas. .Ora TV.lipe de Arando, 12 camisas. Una patriota, 6 camisas. 1). Juan Buentlia y D. Juan Pain ,-20 gruesas de botones de cascabel. D. Domingo Pcrruqúeti, una caxa de gu^ra-, un fusil , una llave, 2 pistolas, 24 piedras, u cantip loras para agua , una ojia de …</t>
  </si>
  <si>
    <t>Paine</t>
  </si>
  <si>
    <t>ericanos tienen p^rte en estos cor anos. la Fantasma , de iS , capitán T. Lawrance; el De todos los corsarios franceses no hai ninguno Creían, de r8, capitán Paine; !a Primorosa, de que haya hecho tantas presas como el Duque de 18 | capitán Phillat ; el Osprei, de .18, capitán Dantzick y el Marengo. A bordo de una de ¡as Cliu…</t>
  </si>
  <si>
    <t>Paiomeque, Salvador Rodríguez</t>
  </si>
  <si>
    <t>Salvador Rodríguez Paiomeque</t>
  </si>
  <si>
    <t>añez................ 894 8 por Doña Francisca Xaviera de Osma.. 2 ico I D. Salvador Rodríguez Palómeqae.. 596 5 por D. Pedro Moreno Lombardo, tu­ t x D. Salvador Rodríguez Paiomeque, tor de Doña Polooia Moreno como apooderado de D. Benito Al* Díaz.................. .......... .................. 13003 r8 ] faro A guando.......…</t>
  </si>
  <si>
    <t>Pairi</t>
  </si>
  <si>
    <t>allo en grande apuro.” El capí: *n ron llamados para ir ee ia tartana el S. Juan, man­ Bingham desmiente positivamarite esta aserción , y dada por el capitán Pairi, el marinero Francisco dice al contrario , que quando se le hizo esta pre­ Gaobert, llamado vulgarmente Prusia.y Juan Bau­ gunta, respondió que no. También quieren…</t>
  </si>
  <si>
    <t>Pajares, Victoriano</t>
  </si>
  <si>
    <t>Victoriano Pajares</t>
  </si>
  <si>
    <t>y glorioso día , en que con la sangre de tantas isíocríníes' víctimas fue sellada nuestra libertad é indepen­ dencia. Se h díará en Cádiz en casa da D. Victoriano Pajares, calle Ancha, y t.n la de NaVctno, junto á S. Agustín. «Usía de tos donativos hechos en la Habana para auxiliar la vanguardia del séptimo exército que manda…</t>
  </si>
  <si>
    <t>5212 Amonio Vivanco , 1000. D. Victoriano Pajares , y su tertuliá, 8600 , y 12 ca­ misas. D. Manuel Sauturio García Sala, 160. El patriota J. C. , 1420 y una ISO y 17 tnrs. Otro patriota J. C., 782. D. Francisco de Paula Martines Sal­ cedo</t>
  </si>
  <si>
    <t>Pala</t>
  </si>
  <si>
    <t>general de U ñas y de las lnoias. superintendencia de la real casa. Vista la solicitud que ha hecho D. Cipriano R&lt; candió de Somodevi.ia (D. Cenen ), intendente Pala fox pidiendo ia confirmación dei título de conde - de Falencia. de Teva; y oido nuestro consejo da Estado , he­ Romero ( D. Gerardo), oficial de la compañía de m…</t>
  </si>
  <si>
    <t>Palacio, Antonio</t>
  </si>
  <si>
    <t>Antonio Palacio</t>
  </si>
  <si>
    <t>1. Los de üalanga , 64. I .os do Nueva Ecija., 76. Los Je .Cavile , 273. El de Santa María , 15. D. IVIarliut "Flores , 500. D. José Fernandez , 200. D. Antonio Palacio, director de. la venta del tabaco , 100. D. José Luis Calderón , 300. D. Joaquín Aecverlo 309. K! real tribunal clel- consulado , del fondo de averías y contr…</t>
  </si>
  <si>
    <t>Palacios, José Santiago</t>
  </si>
  <si>
    <t>José Santiago Palacios</t>
  </si>
  <si>
    <t>20. D. Bernardo García de los Ríos, 120. I). Tomas del Corral, 130. D. Manuel Tornero y D. Antonio Hidalgo, 140. I). Juan Antonio Díaz de Celis, 100. D. José Santiago Palacios , 109. I). Pe­ dro de Cabiedes , 100. D. Diego de los Ríos , 100. D. Francisco Eugenio del Corral, 100. D. Pedro de Hoyos, 100. D. Ildefonso del Corral…</t>
  </si>
  <si>
    <t>Palacios, Manuel</t>
  </si>
  <si>
    <t>Manuel Palacios</t>
  </si>
  <si>
    <t>an Rafael de Aljovin , cura de Qaivican, por entrega de varias perso­ nas de su feligresía , 77 y + rs. Lio. D. Luis Hidalgo Gato , 103. El ca­ pitán D. Manuel Palacios , 300. El coronel D. Agustín de Ibarra y Do­ ña Rita de la Guardia su consorte , 510. Doña Anastasia de Castillo, ve­ cina de la ciudad de S. Felipe y Santiag…</t>
  </si>
  <si>
    <t>Palacios, Mariano</t>
  </si>
  <si>
    <t>Mariano Palacios</t>
  </si>
  <si>
    <t>ares de la gacela eu que se inserte lo que contribuye cada pueblo de su partido , que pi­ de se le remitan para satisfacción de todos sus habitantes. D. Mariano Palacios, asesor del partido, 25.— Pueblo de Anta. La comunidad de indios y de su anexo, 730. D. Francisco de la Vega, alcalde mayor, 12. D. Mar­ tin Olivera, id., 12…</t>
  </si>
  <si>
    <t>Palacios, Vicente</t>
  </si>
  <si>
    <t>Vicente Palacios</t>
  </si>
  <si>
    <t>mera clase, de tres de segunda niente de ia quaita compañía. clase, y de dos edúcandas, nombradas todas por el Segundo batallón. '! gran canciller. ‘ D. Vicente Palacios, sargeuto primero, á sub­ El gran canciller bará, al menos una vez al año, teniente de la primera compañía. una visita general en la casa real, de educación,…</t>
  </si>
  <si>
    <t>Palamino, Francisco</t>
  </si>
  <si>
    <t>Francisco Palamino</t>
  </si>
  <si>
    <t>molino de aceite dentro Miguel Fernandez............ . 901 - 72x6 de la cerca del convento de Mercenarios calzados, 2799 6..21 2.239892.-32 que ocupa D. Francisco Palamino.................................. 27J0 22000 Una casa, calle de Medina, Importan las rentas de las casas arriba expresadas dos­ núm. 1091......... ........…</t>
  </si>
  <si>
    <t>Palao, José</t>
  </si>
  <si>
    <t>José Palao</t>
  </si>
  <si>
    <t>Tejada, D. Luis Aguirre y D. Joaquín Suarez, ytá los subte­ nientes D. José Tabeada y D. Manuel Capetillo: al teniente del real jueroo de artillería D. José Palao, al sargento mayor de dragones .de TLzteuaro í&gt;. Rafael Ortega, que habiéndoseme presentado en Valladolid deseaba ocasiones de acreditar su valor y patriotismo, co­…</t>
  </si>
  <si>
    <t>Palaree, Joan</t>
  </si>
  <si>
    <t>Joan Palaree</t>
  </si>
  <si>
    <t>r. capitán general D• Francisco Xavier de Castaños desde su cuartel general de Falencia de Alcántara á 25 de agosto, de 1811. „Excnio. Sr.: El médico D. Joan Palaree, exondante de los ese cuad iones de húsares Numantinos, coa fechará 16 ds: julio-último me da parte de la acción que tuvo en Villaviciosa, para preadeí al escrib…</t>
  </si>
  <si>
    <t>Palau, José</t>
  </si>
  <si>
    <t>José Palau</t>
  </si>
  <si>
    <t>onstancia, que en las ocasiones que se ofrezcan deben tener para frustrar las i leas de I03 enemigos. — Valencia 8 de octubre de 1811. — Ramón Pirez” D. José Palau, gefe’ de la primera partida patriótica del rey no de Valencia , participó al Excmo. Sr. O. Joaquín B;ake , que en la madrugada del día 8 del presente , estando em…</t>
  </si>
  <si>
    <t>Palffi</t>
  </si>
  <si>
    <t>ombre de Henrique, ca­ señor Kraskowitz se elevó eu su globo á las cinco pricho de su-esposa Berta de la casa del Tirol y y medía desde el jardín del príncipe Palffi en pre­ de Cariada, la qual por una parre era prima del sencia de un gentío numeroso; atravesó el Danu­ Emperador Hentique vi, y por otra am^bi tier­ bio y la ci…</t>
  </si>
  <si>
    <t>PaLfí, Cipiiano</t>
  </si>
  <si>
    <t>Cipiiano PaLfí</t>
  </si>
  <si>
    <t>dores de montaña de Badajoz. articulo 1. ,,Queda confirmado en su titulo Roxas { D. Feroaudo de ), intendente de Valla- de conde de Teva , que gozaba D. Cipiiano PaLfí &lt;x dolid. antes dei 18 de agosto de 1809 por concesión de Saiz de Villegas (D. Nicolás), comandante de la los Reyes de España nuestros augustos predece­ guardi…</t>
  </si>
  <si>
    <t>Pallan, José</t>
  </si>
  <si>
    <t>José Pallan</t>
  </si>
  <si>
    <t>2. D. Antonio Montero, 12. D. Juan Flota y compañía, 12 D. Antonio Guerra, 10. D. Rafael Castilla, 10. D. Gerónimo García, 10. D. Jacinto Perora, 10. D. José Pallan, 10. D. Juan Cabrera, 10. D. Juan Iriarte , 10. D. Agustín Costa, 10. D. Agustín Riera, 10. D Rafael Tomas, 10. D. Juan Puig, 10. D. Francisco Becerra, 10. Antoni…</t>
  </si>
  <si>
    <t>Palmer</t>
  </si>
  <si>
    <t>británica Afacriti, á su actividad-* á su talento y á-su exemplo se armado de 20 carroñadas de á 32 , al mando del debe el buen éxito que ha tenido. capitán Palmer. Trabóse entre los dos un combate La destrucción de estas guerrillas contribuirá Obstinadísimo, que duró mas de media hora; ba­ mucho para ei restablecimiento uc l…</t>
  </si>
  <si>
    <t>fragata CnZ/pro , apresó en la costa de Jutlandia un corsario de 10 cañones, y destruyó otro, ambos también dinamarqueses. EL 17 la corbeta Pheseant, capitán Palmer, cogió el corsario francés Héroe, de 6 cañones y 46 hombres, que había salido de la Rochela 4 dias íntes.-—El Derwent, capitán Sutton, apresó un cor­ sario de Gra…</t>
  </si>
  <si>
    <t>outh , trae los detalles siguien­ tes sobre la presa de la embarcación de S. M. lg Cassel 2 o de setiembre« Alegría por el brjek francés la Abeja. El capitán Palmer, comandante de la Alearía, El barón de S hole y el barón Schoulk» con­ avistó á la Abeja, anciada en la bahía de Córcega, sejeros de Estado, han sido nombrados mi…</t>
  </si>
  <si>
    <t>Palomar, Josef</t>
  </si>
  <si>
    <t>Josef Palomar</t>
  </si>
  <si>
    <t>uiz, cura de Sinovas. i D. Gabriel Sanz, clérigo de prima. Para el de Regumiel, vacante por promoción Para el de la E'tepa de S. Juan, vacante por de D. Josef Palomar ai de Arévalo, á D. Domin­ muerte de D. Pablo Diaz, al ex-premostratense go Miguel, &lt;x-carmelita descalzo. ; D. Agustín Hiera. Para el de Valderueda, vacante po…</t>
  </si>
  <si>
    <t>Palombiui</t>
  </si>
  <si>
    <t>er un exemplar terrible, y á aterrar pa­ ,, Pasados ios primeros instantes de ardor y fo­ ra siempre á la Cataluña y á la Espafla coa la gosidad , el general Palombiui y el coronel Roberg, destrucción de uua ciudad entera. comandantes de trinchera, tomaron las disposicio­ ,, Nuestra pérdida en esta acción tan viva, peto nes n…</t>
  </si>
  <si>
    <t>Palómeqae, Salvador Rodríguez</t>
  </si>
  <si>
    <t>Salvador Rodríguez Palómeqae</t>
  </si>
  <si>
    <t>......... 834 20 por D. Juan Estéban dé Trido........... •13563 1 D. Pedro llnañez................ 894 8 por Doña Francisca Xaviera de Osma.. 2 ico I D. Salvador Rodríguez Palómeqae.. 596 5 por D. Pedro Moreno Lombardo, tu­ t x D. Salvador Rodríguez Paiomeque, tor de Doña Polooia Moreno como apooderado de D. Benito Al* Díaz..…</t>
  </si>
  <si>
    <t>Palomino, Antonio de Castro</t>
  </si>
  <si>
    <t>Antonio de Castro Palomino</t>
  </si>
  <si>
    <t>para las urgencias de la presente guerra, 166 ps. y 5 rs. D. Juan Pártales, teniente de milicias de infantería, por el de un soldado en 4 meses, 36. D. Antonio de Castro Palomino , subinspector del batallón de Pardos, por el de 2 soldados en un mes, 18. Doña Bárbara de Estrada, por 4 me­ ses-de _ su'oferta anual, 83 y 2 rs. S…</t>
  </si>
  <si>
    <t>Palomino, José</t>
  </si>
  <si>
    <t>José Palomino</t>
  </si>
  <si>
    <t>ar, D. Bjrnabó Vda, D. y ícen­ te N¿ñaz Cortes, O. Alfonso • C Jbach* * D. José QaFós López, D. JáL&amp;íi Pardo i D. Francisco López, D. Carlos Ls.iréu, D. José Palomino, D. Juüao M-tTiíaez, D. José Toas, D. Mnmié! Lnaif, D. jLmon P*sl, D. Fauetia© Vidal, D Juan Murcio, D. Pascual'</t>
  </si>
  <si>
    <t>Palomino, Matias de Castro</t>
  </si>
  <si>
    <t>Matias de Castro Palomino</t>
  </si>
  <si>
    <t>tercero, 1. D. Tomas González Camero, oficial agregado , 1. D. Mi­ guel Román , portero , 1. D. José de la Rosa , oficial primero de la tesorería, 2. D. Matias de Castro Palomino , oficial segundo, 1. D. Francisco Alvarez, reconocedor primero, 3. D. Nicolás Ceca, id. segundo , 3. D. José Hernández de Acosta , id. agregado , 1…</t>
  </si>
  <si>
    <t>Palomlongindola</t>
  </si>
  <si>
    <t>te del Fuerte-Real, apoyando su iz­ estrépito esta larga lucha. quierda en el baluarte de Santo Domingo, y pro- • . ,,Merecen elogios particulares el general Palomlongindola hácia 1a orilla del mar. Al amanecer biui y el coronel Robert, comandantes de trincher presentábamos ya an aspecto formidable á la guar- ra y del asalto,…</t>
  </si>
  <si>
    <t>Pamplona, Kcylle</t>
  </si>
  <si>
    <t>Kcylle Pamplona</t>
  </si>
  <si>
    <t>teila, para que persigáis á Mina día y noch;, y ¿o cor fun­ dáis con la superioridad de estas fuerzas $ coa este motivo el honor de saludar í V. — El conde Kcylle Pamplona 19 de febrero de 181 r.-—Sr. general Panatiei.” (Se continuará).</t>
  </si>
  <si>
    <t>Panadero, Mariano Sánchez</t>
  </si>
  <si>
    <t>Mariano Sánchez Panadero</t>
  </si>
  <si>
    <t>ón Aivarez Iturza, niente de la primera compañía. D. Paulino de la Bodega á teniente en reemplazo D. Josef de Vclasco, sargento primero, á abande­ de D. Mariano Sánchez Panadero. rado. D. Juan de Antuñano á teniente en la vacante de D. Juan Bautista de Orbe. Sexto batallón. D. Miguel Gómez á subteniente en reemplazo de D. Aht…</t>
  </si>
  <si>
    <t>Panatiei</t>
  </si>
  <si>
    <t>cor fun­ dáis con la superioridad de estas fuerzas $ coa este motivo el honor de saludar í V. — El conde Kcylle Pamplona 19 de febrero de 181 r.-—Sr. general Panatiei.” (Se continuará).</t>
  </si>
  <si>
    <t>Panatier</t>
  </si>
  <si>
    <t>y acó caballos al mando del general Ha rispe. La ribera de los Arcos, Estelia y sus inmediaciones lo eran igualmente por otra diviriozi al mando del general Panatier , en tanto que tres columnas móviles per­ seguían con furcr mis batallones. Creí deber trastornar el p’an del enemigo, resolví rucarle , p?ro en vano. Marchando,…</t>
  </si>
  <si>
    <t>1361</t>
  </si>
  <si>
    <t>valles, en donde atacó á ios francesas ; ks h.;zo 6 muertos y 19 heridos , encerrando les demas en la íóiüfi W---. O í 0&gt; 1 • V La .noche del 18 , el general Panatier con 3000 íufeírs y 100 .caballos llegó á Pü.xvíe la Rsyoa, distante 3 papn^ñac ñgaas de mi posición da EsíePa. Tomé ia marcha para Santa Ci¿z de Cbmpezu, .y Pan…</t>
  </si>
  <si>
    <t>Paniagua, Juan</t>
  </si>
  <si>
    <t>Juan Paniagua</t>
  </si>
  <si>
    <t>obispo n»a* - D. Ramón Isutiza. antiguo de la provincia eclesiástica. Vemos en es­ D. Juan de Orbe. te derecho, reconocido por el derecho^ público y D. Juan Paniagua. por las constituciones mismas de Ja iglesia , un me­ I&gt;. Mariano Panadero. dio seguro para que el depósito sagrado de la ju­ Subtenientes. risdicción episcopal …</t>
  </si>
  <si>
    <t>Pannetier</t>
  </si>
  <si>
    <t>l 15 de octubre una relación á su mod® de este acontecimiento. Supone que ios franceses no eran mas que 1000 infantes y 100 caballos, enviados por el general Pannetier, y mandados por el coronel Rerthet; que los patriotas eran en mucho mayor número; que estos tuvieron mas de 300 muertos, y los franceses . ninguno. En la misma…</t>
  </si>
  <si>
    <t>Pannttier</t>
  </si>
  <si>
    <t>ida por D. P.einon de la Cruz , titu­ de infantería y 400 de Caballería, fueron batidas lada el triunfo de Teleisüa , ó Ecio triunfarte en Ro? por el general Pannttier en los dias 23 y 24 del ma , adornada con todo su aparata teatral; y se dará fin corriente. Espoz Mina ocupaba cor. todas sus fuer­ con un gracioso baile nuevo…</t>
  </si>
  <si>
    <t>Pansa, Frustiso</t>
  </si>
  <si>
    <t>Frustiso Pansa</t>
  </si>
  <si>
    <t>alentín Navarro, y D. Manuel Sai? Roznan: y subtenencias á D. Disgaio Hernández, D. Pedro de la Riva, 0. Pedro da Torres, D. A to ni©. Castellanos ,' D. Frustiso Pansa, B. Jasé María Ptrvz, 1). José Carrón, D. Saturnino Viyanco, D. Pedro Chiega y D. Do­ mingo Lobo: y en el tercer batallo a de cazadores dé Valencia, com­ pra ñ…</t>
  </si>
  <si>
    <t>Papigní</t>
  </si>
  <si>
    <t>iva se principió á las escalas á las escarpaduras de la. garganta , y tre­ construir en la p&gt; ña viva una paralela á distancia paba sobre la obra. El capitán Papigní fue muerto de 50 toesas de los atrincheramientos tomados al de un balazo al dirigir sus zapadores. enemigo , para lo qual fue preciso valerse de ces­ ,,La segund…</t>
  </si>
  <si>
    <t>Par, Agustín</t>
  </si>
  <si>
    <t>Agustín Par</t>
  </si>
  <si>
    <t>..... 9767 25 diarios .p«nr vía de pensión............... 4575 10 D- Lope García Salazar de M^zarreDoña Josttfj y Dona BóuifacL Gon­ do, su apoderado D. Agustín Par­ zález, |)«or. real órden de 16 de oc­ do y Soler.................. ...................... 974t 9 tubre Ja .17 97» y como bif. s de *4 Doña Francisca X-aviera de …</t>
  </si>
  <si>
    <t>Par, Angel</t>
  </si>
  <si>
    <t>Angel Par</t>
  </si>
  <si>
    <t>er® del citado batallen,: D. Francisco Gi­ nesta!, D. Engodo Moya y D. Dsmiugo Bdlerino, cadetes de Ies regimientos de Cananas, y segundo de Sjvilla, D. Angel Par­ rilla, subtentente de infantería y cadete da Irlanda, los cuatro alum­ nos de k citada acadf-taia, y D. Norato Rabadilla, cadete de Cantabria; y para la subtenenci…</t>
  </si>
  <si>
    <t>Par, Jóuls</t>
  </si>
  <si>
    <t>Jóuls Par</t>
  </si>
  <si>
    <t>CIO. . * . ; . . '. : &gt;.Cv, ■ El 25 de junio salió dé, Itt HAÜíÉiadb^goleta ¿briso dé la arma­ da nombrarla; IWtnsit&amp;ríf marido dél teniente de.navio D Jóuls Par­ do , .y bálHEhdosé el 9 de julio enía latitud de 23° Ñ.-,- y en la lon­ gitud de 68O, de Cádizse vio ¿cometida dé un 'huracán del Ñ. que rolando toda la rguja se fi…</t>
  </si>
  <si>
    <t>Para, Francisco Ñi</t>
  </si>
  <si>
    <t>Francisco Ñi Para</t>
  </si>
  <si>
    <t>de Ab­ ñaparda. zaga á D. Juan de Sarasola, ex-regular del mis­ Para el de Villar de Puerco y su aoexo Bar­ mo órden. quilla , vacante por maerte de D. Francisco Ñi­ Para la rectoría de Aizarnazabal, en /a misma flas* á D. Francisco Cabezas* vicario de la Bou- provincia, vacante por muerte de su último po­ 2a* con la obligaci…</t>
  </si>
  <si>
    <t>Para, Gandí</t>
  </si>
  <si>
    <t>Gandí Para</t>
  </si>
  <si>
    <t>dado las órdenes necesarias á los señorej al­ caldes de los valles para que cumplan con las órdenes y objeto de que V. habla en su carta del xo — Él coronel Gandí*1 Para quando pasaron el punto de Olleta , habla pasado mi tropa el Carrascal , con dirección al punto de reunión, desde donde , después de evacuada, prometo á V. E…</t>
  </si>
  <si>
    <t>Para, Pedro</t>
  </si>
  <si>
    <t>Pedro Para</t>
  </si>
  <si>
    <t>López Redondo, al Francisco. Para el de la parroquial de Santiago de la villa presbítero D. Eugenio Josef Gómez. de Gibraleon , vacante por muerte de D. Pedro Para el mas antiguo de Manzanilla, vacante Tamariz Escalera, á D. Juan Camacho, presbíte­ por fallecimiento de D. Alonso Fernandez Cruza­ ro, ex-regular del orden de S.…</t>
  </si>
  <si>
    <t>Parada, Aláximo</t>
  </si>
  <si>
    <t>Aláximo Parada</t>
  </si>
  <si>
    <t>Para las vasijas que sirven para conservar las Mamu-l Jáuregui, y la resulta al oficial segundo Carnes, las aves, los pescados , los h nevos £kc. el D. Aláximo Parada. autor ha tenido que vencer mayores dificultades; no solo porque estas vasijas no tienen regularmen­ te el anillo que las botellas, y que sirve en estas para ac…</t>
  </si>
  <si>
    <t>Paradisi</t>
  </si>
  <si>
    <t>ados los qne neral en el palacio de las ciencias y de las artes, y aseguraban que se iban á publicar varios decretos nombró por presidente al senador conde Paradisi. nu-vos sobre las rentas públicas, que modificarían la patente imperial, y que estaban ya imprimién­ Del 11. dose, y aun ¡legaban á decir su contenido. Pero á El …</t>
  </si>
  <si>
    <t>so para saquear la casa del cor­ S. M. I. y R., por el que ha sido nombrado su regidor, porque sobreviniendo á la sazón algu­ presidíate ordinario el conde Paradisi. nos hombres de caballería francesa, cayeron sobre aquellos facinerosos y los pusieron en huida, ma­ ESPAÑA. tándoles algunos, y haciéndoles bastantes prisione­ r…</t>
  </si>
  <si>
    <t>Parata, Francisco</t>
  </si>
  <si>
    <t>Francisco Parata</t>
  </si>
  <si>
    <t>ngas de Tineo. Nicolás López , sargento de los cazadores de D. Miguel Begoerit, snbtenienti de ídem. montan: de ja'villa de 15erj. , fue herido en un D. Francisco Parata , cirujano. muslo por la partida del Alcalde, en cuyas manos cayó el infeliz el dia 17 de noviembre. Sin mas Madrid 24 de diciembre. delito que servir á su R…</t>
  </si>
  <si>
    <t>Pardo, Domingo Sainz</t>
  </si>
  <si>
    <t>Domingo Sainz Pardo</t>
  </si>
  <si>
    <t>D. Fernando Gutierre*;, 500. D. Mi­ guel Duque de Estrada, 500. D. José Perez Medina, 500. D. Hemeterio Dalias, 500. D. Juan Agustín de Ibarra , 300. D. Domingo Sainz Pardo, 200. D. Pedro Rosell, 200. D. Buenaventura Gualba, 200. D. José Goma, 100. D. Andrés Ibarra, 100. D. -Juan de la Fuente y Valle , 100. D, An­ tonio de Es…</t>
  </si>
  <si>
    <t>Pardo, Gabriel de Lamas</t>
  </si>
  <si>
    <t>Gabriel de Lamas Pardo</t>
  </si>
  <si>
    <t>Tomas Ruiz Solana , sobrestante segundo, 3. D. Rafael Rensoli, id, tercero , 1. D. Marcos Fernandez Castañe­ da, id. cuarto y fiel de peso, J y 4 rs. D. Gabriel de Lamas Pardo, agrega­ do, 1 • D. Sebastian de Rives y Noriega , capellán de la factoría, 8 y 2 y me­ dio rs. D. Vicente Cremata, sobrestante «el embotado, 2. D. Jos…</t>
  </si>
  <si>
    <t>Pardo, Joaquín</t>
  </si>
  <si>
    <t>Joaquín Pardo</t>
  </si>
  <si>
    <t>; los de capitán segundo á D. Juan Antonio CxOtygz, D- Pedro Meriel, D. Pedro Cortijo, D. Francisco Delirado. y DfFarn&amp;ndo Rosales; los de teniente á D. Joaquín Pardo, Don Aosilpüo Mayoral, D. Pascual Perez, D. Manuel Inostrosa, y Don Ssbíiiiían Sánchez; los de subteniente i D. Facundo Rodríguez, D. Fernandez Camino, D. Joaqu…</t>
  </si>
  <si>
    <t>Pardo, Máximo</t>
  </si>
  <si>
    <t>Máximo Pardo</t>
  </si>
  <si>
    <t>.............. 812.. 8j D. Francisco lien sal.................................. 1460.. 2 D. Gabriel de Alcaraz.............................. Ó3Í..25Í D. Máximo Pardo...... ........ 151~“i4 D. Marcos López Gonzalo..................... 722 Josef Montero de la Concha........... 1123.. 6 D. Pedro Irigoen y Almansa................…</t>
  </si>
  <si>
    <t>Pardo, Nicolás</t>
  </si>
  <si>
    <t>Nicolás Pardo</t>
  </si>
  <si>
    <t>ec, D. Juan Ma­ nuel Suero y D. Isidro' Parrado; los de subteniente á D. Bernardo Cohniro, D J mn La*o Policarpo, D. Juan Corvera, D. Manuel T-boada, D. Nicolás Pardo, D. Juan Mosquera. D. Manuel Varo, D. Francisco García, D. Ojmingo de Torres y D. Andrés Lapido; el de subteniente de bandera á O. Santiago Esteban. En el batal…</t>
  </si>
  <si>
    <t>Pardo, Rampn</t>
  </si>
  <si>
    <t>Rampn Pardo</t>
  </si>
  <si>
    <t>línea por las inmedia­ del señor Laporte, gefe de batallón de artillería, ciones de las Cinco-Villas. Tal ha sido la suerte comandante de Fraga, y de D. Rampn Pardo, ar­ del orgulloso exército de 20© hombres , que ha­ quitecto de Zaragoza, consta de 22 arcos, que se ciendo creer al gobernador de Tarragona intercep­ extienden …</t>
  </si>
  <si>
    <t>Pared, José</t>
  </si>
  <si>
    <t>José Pared</t>
  </si>
  <si>
    <t>:é de Hennsbalse y D. José L'inch, ayudantía á ü. José ds Castro y XJlioa, tenencias á D José Mma Brsque, D. Juan Berro­ cal, D.” Santiago de Riv&amp;s y D José Pared ? : y subtenencias &amp; Bou •Joaquín De?gádo y Díaz y .0. José de Alorará: en el de míVmteda ligera primero de cazadores, compañías á D. Francisco A ib:: zuza y D. Fra…</t>
  </si>
  <si>
    <t>Paredes, Félix</t>
  </si>
  <si>
    <t>Félix Paredes</t>
  </si>
  <si>
    <t>Chiavi, 100. D. Felq e Fábrega , 40. D. José Toribio Frontis a , 25.|D. Francisco Ximenez en diñe, o y alhajas, 92, G y medio rs.D. Pedro Chiari, 36. D. Félix Paredes, 36. D. Ma* too Matos , 3G. Subtenientes. D. José María Ayala , 25. D. Carlos del Casti­ llo , 20. D. José María Velarde , 29. D. Juan Paredes , 29. D. Sebastia…</t>
  </si>
  <si>
    <t>Paredes, Juan</t>
  </si>
  <si>
    <t>Juan Paredes</t>
  </si>
  <si>
    <t>, 36. D. Félix Paredes, 36. D. Ma* too Matos , 3G. Subtenientes. D. José María Ayala , 25. D. Carlos del Casti­ llo , 20. D. José María Velarde , 29. D. Juan Paredes , 29. D. Sebastian Biasini , 10. D. José Antonio Velarde , 25. D Manuel Rodríguez 10. D..Eduar­ do de la Guardia vecino de Peronomé , 7- D Pedro Ortiz, á nombre …</t>
  </si>
  <si>
    <t>aquella ciudad , 478, IL Juan Covarrubias, capitán de milicias de EL-'ratería, á cumita de 800 pesos animales que ha ofrecido durante la guerra, iUU. D. Juan Paredes , teniente de Has mismas milicias , por el prest de un sol­ dado en 4 meses , 86. D. Pedro Gordiiio , síndico dei monasterio de religiosas ■ carmelitas , á cuent…</t>
  </si>
  <si>
    <t>Paredes, Luis</t>
  </si>
  <si>
    <t>Luis Paredes</t>
  </si>
  <si>
    <t>opios de la misma , 100. Don Santiago Bautista por donativo de varios vecinos de Remedios y S. Loren­ zo de Chiriqui , 513. y 7 medio rs. El teniente D. Luis Paredes 50. El tenien­ te D. Antonio García , 10. D. Juan de Dios Perez, cura intetino de Pacora ,8 D. Manuel Lira , cura de Yáviza,10. (Se continuaran.) CADIZ : EN LA I…</t>
  </si>
  <si>
    <t>Pareja, Jcasé</t>
  </si>
  <si>
    <t>Jcasé Pareja</t>
  </si>
  <si>
    <t>sta dicho pueblo de G jr, distante una legua de este campo, de donde le echaron á balazos- También se distinguió el subteniente de reales z?. pudores D. Jcasé Pareja , que contuvo usa guerrilla de dragones enemigos, matando á 3 de ellos.—• Durante el fuego, fui reforzaik» por tres compañías de la seguida tóivhúon de infanterí…</t>
  </si>
  <si>
    <t>Pareja, José Sánchez</t>
  </si>
  <si>
    <t>José Sánchez Pareja</t>
  </si>
  <si>
    <t>1 prisioneros : por nuestra parce hubo solo un herido de flecha. bib tnos que después de esta acción el mismo París réfotzado con los tro as eo.t que D. José Sánchez Pareja , comandante de la séxtd di vi io. i había acudido á su socorro , haciendo una marcha forzada dé 70 leguas , se preparaba á atacar á los rebeldes reunidos…</t>
  </si>
  <si>
    <t>Pareja, Josrf</t>
  </si>
  <si>
    <t>Josrf Pareja</t>
  </si>
  <si>
    <t>acuel. E'tas dos acciones, hacen mucho honor á los D. Miguel Serrano. oficiales y soldados que han tenido parte en ellas. D. Pedro García. Tenientes. D. Josrf Pareja, PLAZA DI MADRID. BOLSA. D Francisco de Ltiba. DIA 17 DS AGOSTO DB l8ll. D. Francisco Santaella. Subtenientes. Efectos públicos. D. Francisco González. Vales rea…</t>
  </si>
  <si>
    <t>París</t>
  </si>
  <si>
    <t>&lt;263 corporarse con el general París, dispuso que el coronel Gayan fuete á perseguirlos para impedir la destrucción de las lab-ricas de armas del señorío de Molina. Llegaron con efecto los franceses á esta villa el 28, pero re</t>
  </si>
  <si>
    <t>es han jurado ,, Esta época tan deseada ha llegada ya por fia. no tomar las armas contra la Francia. ,,El zeloso cabildo metropolitano de París há Ei general París, al frente de qoatro batallones abierto con su representación, hecha en 6 de eneró y de ajo caballos, salió á fines de enero pata las último al trono augusto de nu…</t>
  </si>
  <si>
    <t>Paris</t>
  </si>
  <si>
    <t>s civilizadas, ni se ven los Continuación del Itinerario de Varis d Je rusa- nombres de sus mayores en los fastos de los impe­ len , y lie Jeras ale» d Paris , yendo por la rio' ; eternas encinas , que todavía viven , son ¡os Grecia, y volviendo por el Egipto, Berbería contemporáneos de sus abuelos; y las tumbas de y España: …</t>
  </si>
  <si>
    <t>pas, y facilitar tiembre.') Ja defensa contra toda salida que pueda intentar Del 5 de octubre. la guarnición. EXERCITO 1)E ARAGON. El mismo dia 24 el general Paris marchó con sn brigada y 150 húsares á hacer un reconoci­ Campo delante de Murviedro 2 5 de setiembre miento hasta Albalate, pueblo situado á legua y de 18 ti. medi…</t>
  </si>
  <si>
    <t>París, Andrés</t>
  </si>
  <si>
    <t>Andrés París</t>
  </si>
  <si>
    <t>de línea. Madrid 20 de diciembre. D. Miguel Barrego , teniente, que lo era del expresado regimiento, Extracta de las minutas de la secretaría de Es­ D. Andrés París, subteniente, que lo era del tado. mismo cuerpo. En nuestro palacio de Madrid á 17 de diciem­ Nuestro ministro de la Guerra queda encar­ bre de 181I. gado de la e…</t>
  </si>
  <si>
    <t>Paris, Francisco</t>
  </si>
  <si>
    <t>Francisco Paris</t>
  </si>
  <si>
    <t>icar el míulto del v'rey de i2 de noviembre -.on algunas restric¿cioneí que exigían las circunstancia?. ' El comiédante de Ja qui ta división del Sur D. Francisco Paris netiwijsu de que los insurgentes , mandados por el padre Muidos,</t>
  </si>
  <si>
    <t>París, Francisco</t>
  </si>
  <si>
    <t>Francisco París</t>
  </si>
  <si>
    <t>345</t>
  </si>
  <si>
    <t>ratadó^que sea compatible cóndadígnidád de* este imperio. Firmado (Correo de Inglaterra.) ' * r - -i , . .............‘ ESTAÑA. : México 10 de enero. D. Francisco París ¿ comandante-de la quinta divislqti del Sur , conTechai de 14 dél pásado diciembre participa á este . superior gobierno el resultado' de' sus operaciones en P…</t>
  </si>
  <si>
    <t>París, Francisco Hernández</t>
  </si>
  <si>
    <t>Francisco Hernández París</t>
  </si>
  <si>
    <t>...... 3a 49 D. León García Serrano.......................... 12949 D. Pedro de Faura....................... 433 a D. Antonio Juan de Vildoslada, por D. Francisco Hernández París.............. 4512..17 mano de L). Fermín Ripando............ 25631 D. Domingo Ortiz y Zarate................... 7039.. 17 Doña María Antonia del Rí…</t>
  </si>
  <si>
    <t>Paris, Vicente</t>
  </si>
  <si>
    <t>Vicente Paris</t>
  </si>
  <si>
    <t>lazo D. Francisco Izquierdo, abanderado, á teniente de D. Josef González Pastor. de la tercera compañía. art. viii. En la milicia de la villa de Lora D. Vicente Paris , sargento primero, á subtenien­ del Rio. te de la primera compañía. D. Manuel Obando , teniente, á capitán de la pri­ D. Joaquín Suarez, sargento primero, á su…</t>
  </si>
  <si>
    <t>Parizacola</t>
  </si>
  <si>
    <t>el conde Codronchi, limosnero mayor, Se da por seguro, dice na diario de la nueva ha presentado hoi á S. A. I. en nombre del pue­ Orleans, que Folk , gobernador Parizacola , es­ blo de Ravena un modelo de plata sobredorada ta én camino p.iira Biyon-Sjria y B-stoo Rozo de! hermoso mausoleo del Rei Teodórico , llamado' al frent…</t>
  </si>
  <si>
    <t>Park</t>
  </si>
  <si>
    <t>icado dichas pro­ general Crawfurd debía dar principio al ataque testas á nuestros lectores , 1 no ser porque según por nuestra derecha , mientras el general Park de­ los reglamentos de la cámara estos diarios deben bía rodear con los porruguests el flanco del ene­ estar expuestos al público para que Los firmen las migo. El c…</t>
  </si>
  <si>
    <t>Parker</t>
  </si>
  <si>
    <t>ela 4 dias íntes.-—El Derwent, capitán Sutton, apresó un cor­ sario de Granville, y ia corbeta Violeta envió á Guernesey 2 corsa­ rios pequeños. — Ei capitán Parker, comandante de la Amazona, se apoderó el 30 de julio de un buque enemigo; y su teniente Wcstphall con las chalupas de la fragata apresó otras 3 embarcaciones, y d…</t>
  </si>
  <si>
    <t>sionados para la mili­ trado en elTexel, habiendo parlamentado antes cea cia se retiraron, pretextando que en virtud de un el Aboukir, y obtenido del capitán Parker el per­ decreto existente qualquier individuo que tomado miso de entrar. La esquadra qoe tiene el enemigo las armas contra los franceses seria privado de ro­ en e…</t>
  </si>
  <si>
    <t>Parodi</t>
  </si>
  <si>
    <t>e el cor­ por la constitución del estado, REI de las Espasario el Deffin, armado en este puerto por Mr. Ma- ñas y de las Indias. glione, al mando del capitán Parodi, entró el dia Hemos decretado y decretamos lo que sigue; 29 de mayo último en Cotrooa de Calabria con articclo 1. ,, En los batallones y compañías tres buques ing…</t>
  </si>
  <si>
    <t>Parodi, Pedro</t>
  </si>
  <si>
    <t>Pedro Parodi</t>
  </si>
  <si>
    <t>erto el corsano siciliano el Meniscales , de Sudaba 28 de julio. 4 cañones y 20 hombres de diputación. Habiendo empleado el general- Chlopulci una El capitán Pedro Parodi, que manda e! Del­ colima de tropas en seguimiento de .Pesoduro, lo fín , conduxo también á Cotrone á prmcipir.s de b'tió completamente, y le hizo 17 prisin…</t>
  </si>
  <si>
    <t>Parodi, Santiago</t>
  </si>
  <si>
    <t>Santiago Parodi</t>
  </si>
  <si>
    <t>00. D. Juan .Mar­ ti y Robus , 62 v 6 rs. D. José Ferrer, 75. IX Matias Rere/., 50. D. Gaspar Bavi , 50. D- Jaymc Pont, 50. I). Juan Plá , 35 y 5 rs. D. Santiago Parodi, 30. D. Domingo Esiaracbe , 60. D. Domingo íJarcia , 45 y 3 rs. D. Francisco Grana, 52 y 2 D. Pedro "Rumen , 183 y 3. D. Ignacio Tubores , 30. D. Juan. Rosoli…</t>
  </si>
  <si>
    <t>Paroisse, Joan Bautista</t>
  </si>
  <si>
    <t>Joan Bautista Paroisse</t>
  </si>
  <si>
    <t>tocha , casa de Portago. León _9 de noviembre. Sr. D. Ignacio Lozuriaga, carrera de S. Geró­ nimo. Por carta del general cu gef« del exército del Sr. D. Joan Bautista Paroisse, plazuela del Corcorre se sabe que el 6 de este mes había entrado don. en Oviedo el genera) Bouet, y ocpp^do seguida­ mente el pnrrto de Gijon. 1 os en…</t>
  </si>
  <si>
    <t>Paroiste, Juan Bautista</t>
  </si>
  <si>
    <t>Juan Bautista Paroiste</t>
  </si>
  <si>
    <t>e navegación de los ingleses, t.iti favorable to, á D. Pedro Sainsere , á D. Ignacio Luzmiaga, 4 sus iutereses mercantiles , como distante del de y á D. Juan Bautista Paroiste. los demás pueblos. E¡ nombre de los americanos se art. m. Autorízanos á nuestro ministro ¿¿ ha tomado para pedir co.as que no desean. La lo I' tenor á…</t>
  </si>
  <si>
    <t>Parra, Manuel</t>
  </si>
  <si>
    <t>Manuel Parra</t>
  </si>
  <si>
    <t>113</t>
  </si>
  <si>
    <t>s: prisioneros al sitió en que yo me hallaba, donde fueron curados los heridos, con generosi­ dad propia de españoles, por el tísico de mi regimiento D. Manuel Parra. Luego que anocheció, pasé a la villa .con ánimo de solicitar la rendición del castillo; pero hallé que era totalmente imposible en­ tonces. Informado de que que…</t>
  </si>
  <si>
    <t>Parras, Francisco</t>
  </si>
  <si>
    <t>Francisco Parras</t>
  </si>
  <si>
    <t>de Domingo Perez. siendo arregladas. Para el de Pinos Pnente, vacante por muerte de D. Joaquín Marrinez Herrera, al presbítero ex-, agustino descalzo D. Francisco Parras. TBATRCS.' Para el dePortubus, vacante por fallecimiento de D. Antonio Perez Barquero, al presbítero ex- En el del Príncipe, á las siete de la noche, se re-_…</t>
  </si>
  <si>
    <t>Parroisse, Juan Bautista</t>
  </si>
  <si>
    <t>Juan Bautista Parroisse</t>
  </si>
  <si>
    <t>.de diciembre de 171,9;.. plazas -vacantes en la suprema juota directiva de la Después dé .haber oíd» el informe Je ¡a ccaii-. taenltad de «niedicina D. Juan Bautista Parroisse, sion especial.de siete miembros nombrados en la D. Ignacio María Lufcuriaga y D. Tomas García misma sesión,: i • r- . ...... Sueltoi ■■ ■ ■ Ha acorda…</t>
  </si>
  <si>
    <t>Pártales, Juan</t>
  </si>
  <si>
    <t>Juan Pártales</t>
  </si>
  <si>
    <t>osefa de las Cuevas , por !a tercera parte de la pensión que esta disfruta, y que ha cedido para las urgencias de la presente guerra, 166 ps. y 5 rs. D. Juan Pártales, teniente de milicias de infantería, por el de un soldado en 4 meses, 36. D. Antonio de Castro Palomino , subinspector del batallón de Pardos, por el de 2 solda…</t>
  </si>
  <si>
    <t>Partera, Rafael Rando</t>
  </si>
  <si>
    <t>Rafael Rando Partera</t>
  </si>
  <si>
    <t>nica lo siguiente. que asi es onestra voluntad. Una partida de 50 vecinos de Andujar, que á ,,D(dbeb' el palacio de Saint-Cloud. =Fir- las órdenes de D. Rafael Rando Partera salió de madossNapoleon.i Por el EmperadorcrEl ministro aquella ciudad el 2Ó del mes próximo anterior en secretario de Estado = Firmado =El conde Daru.” …</t>
  </si>
  <si>
    <t>Parts</t>
  </si>
  <si>
    <t>ar la acta relativa ai impuesto sobre los sombreros en VARIEDADES. Inglaterra y en Irlanda. Itinerario de Parts d Jerusalen , y de Jerstsa SUIZA. ¡en d Parts , yendo por la Grecia, jr volvien­ do por el Egipto , Berbería y España: por JP. Coira 14 de mayo. A. Chateaubriand: tres volúmenes en 8.° con Ayer á las tres de la tard…</t>
  </si>
  <si>
    <t>tan envilecida y tan humillada, Continuación del Itinerario de París d Jerusa- y casi tan bárbara como sus báibaros de miradores, len, y de Jerusalen d Parts, yendo por la oprime el corazón del autor, y le inspira una elo­ Grecia» y volviendo por el Egipto, Berbería cuente indignación contra los estúpidos opresores y pipan.’:…</t>
  </si>
  <si>
    <t>Pas</t>
  </si>
  <si>
    <t>ancisco Verges ; el co­ mandante agregado D. Juan Diego Marín; los capitanes D. Francisco Maíknt, D, Francisco Catarla y D. Diego Roca, les tenientes D. Pas­ cual la Rosa, D. Antonio Garniel, D Francisco Bemabeu y D. Ni­ colás Dodero; el segundo ayudante D. Antonio Torró; el subteniente D. Pedro Perales ; los cadetes D. Anton…</t>
  </si>
  <si>
    <t>an entregado en Alcona» Las des fragatas que huyeron eran francesas, y los demas buques italianos. La fragata apresada es la Corona , de 46 cationes, capitán Pas­ cua Jin i : ía corbeta es dé 28'cánones, y su capitán Duodo fue muerta en la acción. También lo fué el comandante de la escuadra francesa D iubervi;&lt;e, que se halla…</t>
  </si>
  <si>
    <t>Pascalis, Juan</t>
  </si>
  <si>
    <t>Juan Pascalis</t>
  </si>
  <si>
    <t>el almirantazgo has­ El Sr. Pairoux..................................................... 150 ta el otro extremo de la ciudad , tantas chalupas El Sr. D. Juan Pascalis................................... 60 como acompañaban á la del Emperador, tantos El Sr. marques de Bertnui.............................. 300 barquichuelos que …</t>
  </si>
  <si>
    <t>Pascual</t>
  </si>
  <si>
    <t>cisco López, D. Carlos Ls.iréu, D. José Palomino, D. Juüao M-tTiíaez, D. José Toas, D. Mnmié! Lnaif, D. jLmon P*sl, D. Fauetia© Vidal, D Juan Murcio, D. Pascual'</t>
  </si>
  <si>
    <t>Pascual, Gabriel</t>
  </si>
  <si>
    <t>Gabriel Pascual</t>
  </si>
  <si>
    <t>rnat (D. Antonio), miembro del consejo guerra de primera clase. supremo de sanidad pública. Mateas (D. Santiago), subteniente de granaderos Girardin (D. Gabriel Pascual), primer tenienie de nuestra guardia real. de artillería de nuestra guardia real. Manre (D. Pedro), soldado del regimiento de Ma­ Glutz Ruchts, antiguo landam…</t>
  </si>
  <si>
    <t>Pascual, Nicolás</t>
  </si>
  <si>
    <t>Nicolás Pascual</t>
  </si>
  <si>
    <t>409</t>
  </si>
  <si>
    <t>ñola. Ei 16 fué á Rubieios el general con 600 hombres, y regresó aquí el 23 trayendo algunas cargas de dinero, y presos al marques de Villasegura y á D. Nicolás Pascual, porque el pueblo no pudo aprontar des­ de luego el medio millón de contribución que se le-había impuesto. El 24 salieron á exigir de los pueblos que dominan,…</t>
  </si>
  <si>
    <t>Pascual, Pedro Mártir</t>
  </si>
  <si>
    <t>Pedro Mártir Pascual</t>
  </si>
  <si>
    <t>00. Don. Juan Antonio Cobo y Tanderas, 100. D. Miguel Xiqucs,200. D. Guillermo Power, 500. D. Martin de Ujoeta, 400. D. Francisco Buch y Verges, 400. D. Pedro Mártir Pascual , 200. 1). José TraseiJas, 150. D. José Sopeña , 3,20. IX José Alvareda , 3000. D. Manuel Ferrer y Sans, 1000. D. José Closa, 4-00. D. Antonio Guirií'au …</t>
  </si>
  <si>
    <t>Pastor, Francisco</t>
  </si>
  <si>
    <t>Francisco Pastor</t>
  </si>
  <si>
    <t>río Na vaca , alférez. Lio. D. Raraon Garces. II. D. Mamirl Car­ ees. O. ■ Antonio Nieva. D. Gerónimo BaÜeza. D Joaquín Xiinanez. D. Teodoro C3iab;U. D. Francisco Pastor. D. José Mari* Canal. D. Vicente. Fría». D. Pedro Taboada. D. Juan Echáis. D. Sebaptiun Conejo. D. Manuel María Lanza sorta. Lie. D. Jcsé Marín Chicc. D. Lui…</t>
  </si>
  <si>
    <t>Pastor, Josef González</t>
  </si>
  <si>
    <t>Josef González Pastor</t>
  </si>
  <si>
    <t>Bailaca. bildo metropolitano de París y la del de Floren­ Para subteniente de la primera compañía ¿ cia, y se ha dado noticia de las de algunos obis­ D. Josef González Pastor feñ la Vacáht'é dé U. Ma­ pos de Italia , hemos creído sin embargo hacer oa nuel de Santo D .mingo. servicio á la nación publicando las de otros prelado…</t>
  </si>
  <si>
    <t>adas. D. Cirios Reboul, capitán, á ayudante primero. D. JPedro Navarrete á subteniente en reemplazo D. Francisco Izquierdo, abanderado, á teniente de D. Josef González Pastor. de la tercera compañía. art. viii. En la milicia de la villa de Lora D. Vicente Paris , sargento primero, á subtenien­ del Rio. te de la primera compañ…</t>
  </si>
  <si>
    <t>Pastor, Manuel</t>
  </si>
  <si>
    <t>Manuel Pastor</t>
  </si>
  <si>
    <t>de es»opeteros y patriotas dé S u Luis, al cargo del teniente coronel D. Juan Nepomueeno de Oviedo, y el piquete de dragones de Querétaro al del Sr. D. Manuel Pastor, todo á las órdenes del Sr. D. Miguel de Emparan , general de la ca­ ballería, se dirigiese por la izquierda de las citadas ai taras á tomar el camino de Silao y…</t>
  </si>
  <si>
    <t>Pastor, María Petra</t>
  </si>
  <si>
    <t>María Petra Pastor</t>
  </si>
  <si>
    <t>6 Estado. D. Pedro Alonso Rodríguez. 46027..13 En nuestro palacio de Madrid a 17 de agos­ D. Pedro Ibañez........ ........... 13808.. 7 to de 1S i 1. Doña María Petra Pastor..... 2 5 074 2.. 1 5 Don Josef Napoleón por la gracia de Dios D. Manuel de Barbería........ 6 3870..23 y por Jar .constitución del estado, REI de las Rs.…</t>
  </si>
  <si>
    <t>....... .............. 3039.. 4 D. Ignacio Coma....................................... 1083 Doña María Arquedas............................... 202 50 Doña María Petra Pastor.......................... 1263.. 17 D. Martin Antonio de Iiuici.................. 25740 D. Facundo Requejo................................. 2819..17 Doña…</t>
  </si>
  <si>
    <t>Pastor, Pedro Pablo</t>
  </si>
  <si>
    <t>Pedro Pablo Pastor</t>
  </si>
  <si>
    <t>s de la secretaría de renzo de Iruegas............... 23 5806..27 Estado. D. Josef Antonio Girard...... 980 En nuestro palacio de Madrid^ 17 de agos­ D. Pedro Pablo Pastor.......... 4929..1 a to de 181 x. D. Francisco López Nuñez. 525o Don Josef Napoleón por la gracia d .-.Dios D. Juan Andurco................... 54.. 18 y por…</t>
  </si>
  <si>
    <t>Iglesias............... 6242 16 D. Lope García Mazarredo........... 7569 24 D. Francisco Lop-z de Ncñez....... 2625 El convento de rñonjas franciscas D. Pedro Pablo Pastor.................* 2464 23 de Sta» Clara de la villa de CicmD. Josef Badan................................ 4286 18 pozuelos.................................…</t>
  </si>
  <si>
    <t>Patk</t>
  </si>
  <si>
    <t>sex. La infantería ligera de Merioñeth, la infan­ canías de Pinhel, y se asegura que la brigada dei tería real de Caruanon y las milicias de Northum- general Patk ha pasado á Almeida , y que estará á berland llegaron el martes último á la ciudad de la vista de Ciudad-Rodrigo, cuya guarnición ha Covk. Este último regimiento se…</t>
  </si>
  <si>
    <t>Patriarca</t>
  </si>
  <si>
    <t>con la misma constancia con que das ha-.¡ b'eis observado hasta• el presente, y seréis-'invencibles* Palacio del Go-1 bierno á qo de marzo de iffn.— Obispo Patriarca* electo:.— P.rin cipal Smtsa. — Carlos Slmrl. — Marques Montero, mayor.— Conde del Redondo.— Ricardo Ray mundo Nogueira.” Parles de lord WcUington á D. Miguel Pe…</t>
  </si>
  <si>
    <t>Patricio</t>
  </si>
  <si>
    <t>viendo con regocijos públicos el triunfo que habían alcan­ él que yo no Je contestaba, me interpeló diciendo: ¡Y zado.” qué piensa vmd. de esto, Sr. D. Patricio? ¡Cree vmd. ESPAÑA. que este mal tiene algún remedio? Uno solo, le respon­ dí con frialdad, pero no el que vmd. piensa; y aun este Madrid 28 de setiembre. ¡quién sabe…</t>
  </si>
  <si>
    <t>l habia cegado «dc5c V. E. de lo que entonces me dixo repetidas veá los españoles para que no viesen lo que todo el mun­ « ccs: no hai remedio, amigo D. Patricio; nuestra suerdo veía, y los habia privado de la razón para que no « te _se ve en gran riesgo: se ha roto el velo que nos cnconociesen el peligro que les amenazaba, n…</t>
  </si>
  <si>
    <t>Paul, Manuel</t>
  </si>
  <si>
    <t>Manuel Paul</t>
  </si>
  <si>
    <t>, 200. Sres. Gordon Shaw y com­ pañía , 10Ó0. D. Joaquín y D. Juan Casaldaero, 400. D. Pedro Boullcsa y Mii anda, 100. Doña Ana María González , 400. D. Manuel Paul, 200. D. Joa­ quín de la Vega , 400. D. Domingo de Heras, 1000. D. Martin Irazoqui, 400. D. T. B, 500. D. Pablo Riera, 500. D.» Antonio de Alsazua, 1000. D, Barto…</t>
  </si>
  <si>
    <t>Paul, Ramón</t>
  </si>
  <si>
    <t>Ramón Paul</t>
  </si>
  <si>
    <t>Royas y sn anexo Torral- TEATROS. 'billa, vacanre por muerte de D. Francisco Xavier Eri el del Príncipe , á las siete de la noche, se re­ Bordigé, á D. Ramón Paul, cura del Angosto. presentará por la compañía española la comedia en cin­ Para el de Alcubilla de Avellaneda, vacante co actos titulada el Astrólogo fingido, y el s…</t>
  </si>
  <si>
    <t>Paulina</t>
  </si>
  <si>
    <t>ra ir a pasar algunos días en compa* Se ha celebrado anteayer el cumpleaños de nía de sus familias , y el dia señalado para so re­ S. A. I. madama la princesa Paulina con todo el greso no faltó ninguno ; todos concurrieron al entusiasmo que inspira una fiesta tan grata á nues­ punto de reunión, y todos han marchado acompa­ tr…</t>
  </si>
  <si>
    <t>el primer innosaero á derecha é iz­ la Familia imperial. quierda dd palio. Todos los cardenales y los obispos estaban co­ Detras de este S. A. I. \? princesa Paulina, y locados en el presbiterio. tin oficial de su casi, el qeal llevaba la cela del El senado y el consejo de Estado se colocaron manto de S. A. ; en el coró, y de…</t>
  </si>
  <si>
    <t>ipsick 28 de mayo de \%\ \.-ret.oxprohom­ S. M. la Emperatriz , S. M. la Reina Horten­ bres y diputados del comercio de tita ciudad* sia* S. A. I. la princesa Paulina , S. A. I. y R. el gr. ii düque de Wurtzburgo, y S. A. R. el gran baviera. duque de Francfort estaban en una tribuna. El ciicrpo diplomático ocupaba otra. Los o…</t>
  </si>
  <si>
    <t>Paulino</t>
  </si>
  <si>
    <t>D. Juan), cabo del regimiento Real Ex- Echazarreta ( D. Manuel), prefecto de Jaén. trangero. Elexaga ( D. Luis), teniente de navio retirado. Bnnifdz (D. Paulino ) , canónigo de Salamanca. Escalera (D. Francisco), capitau de la milicia cí­ Bom ijh ( D. Santiago) , granadero de nuestra guar­ vica de la villa de Fuentes. dia rea…</t>
  </si>
  <si>
    <t>Pavía, Boiáingo</t>
  </si>
  <si>
    <t>Boiáingo Pavía</t>
  </si>
  <si>
    <t>an de Molina, teniente coronel de-Artillería. D. Fernando Garri­ do, ce-mar. dan te del reveno escuadrón de Gayada, ge fe de panda, teniente coronel. D. Boiáingo Pavía, del regimiento ce León, infan­ tería de lí.iea, idem. D. Atanaslo Ximenez, caballería de Cacocrv, capitán. D. Juan Ncguen , agregado á guardias W¿lenas , íí.L…</t>
  </si>
  <si>
    <t>Pavía, Francisco de Paula</t>
  </si>
  <si>
    <t>Francisco de Paula Pavía</t>
  </si>
  <si>
    <t>­ ronel á D Francisco Dionisio Vives, comandante del primer bata­ llón de voluntarios de Cataluña: el de comsndante de! de volunta­ rios de Mérida, á D. Francisco de Paula Pavía, sargento mayor del regimiento da infantería provincial de Traxiiio : los de sargentos mayores, en el batallón de tiradores de Castilla Á D. Cristóba…</t>
  </si>
  <si>
    <t>Paz, Narciso</t>
  </si>
  <si>
    <t>Narciso Paz</t>
  </si>
  <si>
    <t>n compuesta de los principales va en dos actos titulada la Siciliana, música del maes­ contribuyentes en el repartimiento peculiar al ob­ tro español D. Narciso Paz. jeto de que se trata. En el de la Cruz, á las quatro y medía de la tarde, Una escuda de música que se acaba de esta­ se executará la comedia en tres actos titula…</t>
  </si>
  <si>
    <t>a defender la nación, no para es­ en dos actos titulada la Siciliana , música del maestro clavizar los pueblos; Jas leyes señalan sos límites español D. Narciso Paz, y el fin de fiesta titulado el Payo de la carta. Actores en la ópera. Señoras Llcdó ¿ la autoYrdad militar y ¿la civil, y estos límites y Vargas. Señores Muñoz, …</t>
  </si>
  <si>
    <t>entonces ya no será el valor ordi­ en des actos titulada la Siciliana, música del maestro nario infártente, sino la firmeza, la confianza, la español D. Narciso Paz, y el fin de fiesta titulado al Payo de la caita. cocjstancla en e! trabajo, el animo en las fatigas, y las priv*cS&lt;*oe«, lo que deberán manifestar lo? sol­ . Efl…</t>
  </si>
  <si>
    <t>ola Ja ópera nueva en todas las comedias españolas antiguas fuesen co­ dos actos titulada la Siciliana, música del maestro es­ mo la dd Barón." pañol D. Narciso Paz, y el un de fiesta titulado el Pa­ yo de la carta. En los párrafos siguientes manifiesta el motivo En el de ia Cruz, á las quatro y media de la tarde, que ha teni…</t>
  </si>
  <si>
    <t>quiere presentará la ópera nueva en dos actos titulada la Sici­ transformar otro, y en las casillas horizontales se liana, música del maestro español D. Narciso Paz, y el fin de fiesta el Payo de centinela. ponen rodos Jbs exemplos de esta transfiirmacion, En el de la Cruz, á las quatro y media de la tarde, es claro que se po…</t>
  </si>
  <si>
    <t>Pcironer, Guillermo</t>
  </si>
  <si>
    <t>Guillermo Pcironer</t>
  </si>
  <si>
    <t>464 23 de Sta» Clara de la villa de CicmD. Josef Badan................................ 4286 18 pozuelos........................................ 28548 D. Guillermo Pcironer.................. 6450 24 D. Fernando Antonio Moran......... 2923 22 D. Nicolás de los He-ros........• 8750 D. Mariano Herran....... ,,............... 930 …</t>
  </si>
  <si>
    <t>Pclaez, Joaquín</t>
  </si>
  <si>
    <t>Joaquín Pclaez</t>
  </si>
  <si>
    <t>las correspondientes cédulas D. Tomas Conde............................................. 3471 hipotecarias, en conformidad á lo prevenido en el artí­ D. Joaquín Pclaez................................. 4459 culo m de nuestro real decreto de 9 de juniode 1809. D. Pedro Anseimo Marchal......................... 9166..23 art. 111.…</t>
  </si>
  <si>
    <t>Pcllou, Josef</t>
  </si>
  <si>
    <t>Josef Pcllou</t>
  </si>
  <si>
    <t>e IMPERIO FRANCES. «1 decantado Espoz acaba de cometer con la persona de mi diputado D. Joaquín Gerónimo Navarro . y con Uaná a5 de setiembre. las de D. Josef Pcllou , L&gt;. Francisco Aguirrc , y Sebas­ En la mayor parte de los países de viñedo tie­ tian de Iriso, primo del mismo Espoz, en el acto en que á ruegos de este iban á…</t>
  </si>
  <si>
    <t>Pcñalver, Manuel</t>
  </si>
  <si>
    <t>Manuel Pcñalver</t>
  </si>
  <si>
    <t>1071</t>
  </si>
  <si>
    <t>línea. Joan Regidor..................... 1.... Í Bernardo Monereo......................................................... 1.... Sargento segundo... D. Manuel Pcñalver............................................................. Santiago Salina*.. i..,. ► t'SM Cabo segundo.......... Francisco Viilamisa r {■Antonio Bezan......…</t>
  </si>
  <si>
    <t>Pcñuelas, Luis Perez</t>
  </si>
  <si>
    <t>Luis Perez Pcñuelas</t>
  </si>
  <si>
    <t>aprehendidos postura en 30® en la misma moneda. Quien quisiere coa ellos. {Redactor general tiúm. j&gt;y.) mejorarla acuda á la escribanía de número de D. Luis Perez Pcñuelas , que despacha su habilitado D. Jacinto Del 18. Gaona y Loeches, en donde se admitirán las que hicie­ Gaceta de la regencia del 17. Contiene el ren siendo …</t>
  </si>
  <si>
    <t>Pcreíra, Luis Marcelino</t>
  </si>
  <si>
    <t>Luis Marcelino Pcreíra</t>
  </si>
  <si>
    <t>apitán de vandoleroá ia señora Manuela' Carmona; y Los consejeros de Estado D. Bias de Aranza, concluida se bailará él bolero. Actores principales en D. Luis Marcelino Pcreíra y £&gt;. Joaquín María la ópera: Señoras María López y Manuela Carmóna. Sotelo, que set vían interinamente las prefecturas Señores Gregorio Reina, Euiebio…</t>
  </si>
  <si>
    <t>Pcrez, Ignacio</t>
  </si>
  <si>
    <t>Ignacio Pcrez</t>
  </si>
  <si>
    <t>ez Don José Bernardino Montero, 50. La tropa, 494. —-Compañía de la T*U2iía de Lampazos. El capellán D.. Cipriano Garza, 50. La tropa, 491. — JScxar. D. Ignacio Pcrez, 200. D. Francisco Montes, 50. D. Manuel Barrera, 40. D. Francisco de los Santos, 30. D. Fernando Baramendi, 30. D. Clemente Delgado, 10. D. Vicente Travieso, 1…</t>
  </si>
  <si>
    <t>Pcrlier, Juan Biáz</t>
  </si>
  <si>
    <t>Juan Biáz Pcrlier</t>
  </si>
  <si>
    <t>o de in­ fantes. Se les cogieron 3 prisioneros , 3 caballos con sus monturas, bastantes comestibles , maletas, &amp;?. Mandaba esta acción el briga­ dier D. Juan Biáz Pcrlier, y te distinguieron en eila los tiradores cántahes. El brigadier X). Federico Castañon con fecha de 14 de este m^s dio parte de que D. Gregorio Pifian , cap…</t>
  </si>
  <si>
    <t>Pcrruqúeti, Domingo</t>
  </si>
  <si>
    <t>Domingo Pcrruqúeti</t>
  </si>
  <si>
    <t>M. G. B 4 camisas. .Ora TV.lipe de Arando, 12 camisas. Una patriota, 6 camisas. 1). Juan Buentlia y D. Juan Pain ,-20 gruesas de botones de cascabel. D. Domingo Pcrruqúeti, una caxa de gu^ra-, un fusil , una llave, 2 pistolas, 24 piedras, u cantip loras para agua , una ojia de campaña , 4 morriones., una casaca , ,un pantalón…</t>
  </si>
  <si>
    <t>Pdarea, Juan</t>
  </si>
  <si>
    <t>Juan Pdarea</t>
  </si>
  <si>
    <t>ceden de pedir N.polson tro.:as de las que hay en España. Ei dia 6 salió la contaduría general cotí todos sus dependien es para Burgos. Ei partidario D Juan Pdarea, por otro nombre el Médico, atacó cerca de Cebohaal comandante francés Souvereau, i quien &lt;u-;n hizo prisionero con parte de sus soldados y un edecán del pri-icipe…</t>
  </si>
  <si>
    <t>Pdt</t>
  </si>
  <si>
    <t>681</t>
  </si>
  <si>
    <t>dades y privaciones. (TheCeurir.) El 28 del pasado hubo en esta ciudad un convite solemnísimo para celebrar ti aniversario del nacimiento del célebre ministro Pdt, con asistencia de los personajes mas visibles y respetables. D spues de varios brindis ál rey y familia real, á la inmortal memoria de Guillermo V ti , á la marina…</t>
  </si>
  <si>
    <t>Pé, Francisco</t>
  </si>
  <si>
    <t>Francisco Pé</t>
  </si>
  <si>
    <t>10. D. Juan Puig, 10. D. Francisco Becerra, 10. Antonio Ordz , 10. D. José Espinosa, 10. Doña Rita Viñas , 10. Tomas Herrera , 12. D Juan Ibas , 10. D Francisco Pé­ rez Díaz , 10 D. José Cabrera , G. D. Francisco Púa , 6. D. Roque Beyroa , G. D Venancio Ramírez , 6. D. José M-.irí i Sevilla, G. D. Luis Mén­ dez , 5. D. Antoni…</t>
  </si>
  <si>
    <t>Pe, Hilario</t>
  </si>
  <si>
    <t>Hilario Pe</t>
  </si>
  <si>
    <t>itar mente á los Sres. D. Francisco Espoz y Mina, D. Gre­ de algún carácter, que podría asegurar nuestras vidas gorio Guruchaga, D. Esteban Castillo, D. Hilario Pe­ en todo tiempo: asi pues, si puede ser, haga vmd. ven­ ralta, D. Andrés Berrueta, D. Juan Ignacio Noain, ga también este gefe , quien le parezca á vmd. ha de te­ …</t>
  </si>
  <si>
    <t>Pe, Miguel</t>
  </si>
  <si>
    <t>Miguel Pe</t>
  </si>
  <si>
    <t>Núm. 8.° 61 GACETA DE LA REGENCIA DE ESPAÑA E INDIAS DEL JUEVES 17 DE ENERO DE 1811. PORTUGAL, Lisboa 31 de diciembre. Oficios del lord WelUngton á D. Miguel Pe* reyra Forjaz. (í Cartaxo 22 de diciembre de 1810. Él enemigó permanece toda­ vía en su posición de Santaren , en la que no ha hecho alteración de consecuencia desde …</t>
  </si>
  <si>
    <t>Pea'cs, Pedro Bayle</t>
  </si>
  <si>
    <t>Pedro Bayle Pea'cs</t>
  </si>
  <si>
    <t>estre de Ar- articulo 1. „Se declaran acreedores del regui................................ 5400 Estado á D. Blas Sánchez Pueitas..... 396 Los señores D. Pedro Bayle Pea'cs. Mrs. D. Juan Manuel Sorzano y y compañía, por............ 1000 Soria.................................. 10920.-19 Doña María de la Concepción D. Josef Bada…</t>
  </si>
  <si>
    <t>Pechari</t>
  </si>
  <si>
    <t>ereses del emprés­ aquí el señor Lorr, mayor al servicio de Austria, tito......................... ....................................... 19000 y el capitán Pechari, que iban de Víena á París: el príncipe Gail.tzin; el conde Sawurski y el con­ Mr. Forsterpropone otros dosimpnestos, aun­ de Schunwaloíf, que veniati de Petersb…</t>
  </si>
  <si>
    <t>Ped</t>
  </si>
  <si>
    <t>..................... . 2 D. Pedro Memendauo......................................270 25I 1444 1 D. Rafael Rodrigues.......................... 2888 2 D. Ped ro del Campo, por su apode­ 6 D. Angel Gerónimo Alvart-z............... 63r7 *7 rado D. Andrés Abrisguieta.......... 1444 1 D. Domingo Antonio de Herrero...,,. - 180 17 2…</t>
  </si>
  <si>
    <t>Ped, Juan</t>
  </si>
  <si>
    <t>Juan Ped</t>
  </si>
  <si>
    <t>fanegas de trigo que conduelan para ios franceses desde Celia, y otra guerrilla interceptó una carta y un efi :io qu el corregidor Tazquez dirigía á D. Juan Ped&amp;oja de ia A'omaia. En la carta se qu°ja del apuro en que se halla por falta de luía , vi­ no, aceyte y otros artículos: dice que las paitiias se acercan h'jsta las pu…</t>
  </si>
  <si>
    <t>Pedro</t>
  </si>
  <si>
    <t>e la Garza, 6. Varios individuos, 15. — Parras. Don Juan Tágíe, 50. Don Juan Nava, 25. Don Francisco Antonio Gutiérrez, 50. D. Juan Antonio Paez, 12. D. Pedro España, 10. D. José Castro, 1.0j Varios individuos, 61. — Nueva Bilbao. El subdelegado D. José Herrera, TOÓ.' D. Tomas Ramón de' Z avala,* 12. El cura D. Mariano Riaño …</t>
  </si>
  <si>
    <t>perio; tributo qne, á D. Juan Zapata y Caro; para ayudante á Don asi en tiempo de paz como de guerra , debe satis­ Josef Cremona, y para abanderado á D. Pedro facerse cada año en una proporción mayor ó me­ Buzón. nor. El mínimum de esta proporción debe ser siem­ Para capitán de la segunda compañía á D. Ro­ pre, aun en tiempo …</t>
  </si>
  <si>
    <t>ticado «n otra*.ocasiones; qae de consiguiente el. D. Pedro lístala. parUmeoto podía elegir entre estos dos pted¡Q9r: D. Juan Andoj^r. adoptando el quede-parezca mas conveniente en las D. Francisco Marina. actuales circunstancias. No obstante* en quanto ai</t>
  </si>
  <si>
    <t>el‘ teniente de nivío fíarlotomeu contribu­ yó cotí sus fuegos al logro de esta -operación. , Se desea saber el paradero de, los hijos ó herederos de D. Pedro. Moscoso y Figueroa , corregidor que fue de A’cira, reyno de Valen­ cia , y después oidor de. da real audiencia de Mallorca , para, comunicar­ les asuntos de alguna imp…</t>
  </si>
  <si>
    <t>56</t>
  </si>
  <si>
    <t>igida por sj comandante el teniente coronel D; Ra­ bión Oíais de Ortega, y mandada por su segundo el de rifanteria D.n Juan Diez , por los, tenientes D. Pedro ¿¿agarra y D. Francisco Mon-</t>
  </si>
  <si>
    <t>iqoe ), tirador de . nuestra gaar- Escribano (D. Blas ) , soldado de artillería dia real. Falqués ( D. Antonia), comandante de batallón del Bougard ( D. Pedro), soldado de caballería ligera regimiento de Madrid, i.°de infantería de linea. de nuestra guardia real. Fernandez ( D. Josef), soldado del regimiento de Bourguignon ( …</t>
  </si>
  <si>
    <t>ago), subteniente de granaderos Girardin (D. Gabriel Pascual), primer tenienie de nuestra guardia real. de artillería de nuestra guardia real. Manre (D. Pedro), soldado del regimiento de Ma­ Glutz Ruchts, antiguo landamann de la Suiza. drid, 1° de infantería de línea. González S.aez {D. Julián), capitán de la milicia Mena (D.…</t>
  </si>
  <si>
    <t>312. Pricturdo (D. Pedro de), oficial de lá «ecretaría Villalobos ( D. Josef), comisario ordenador dé del ministerio de Guerra. nuestros reales exércitos. Quesada (D. Pedro de), caballero que fue de la‘ Vilianueva (D.</t>
  </si>
  <si>
    <t>Begiaes de los Ríos, en oficio de 16 Jel corriente al general, en gefe del 4.0 exército, copia el que con fecha del 15 le h bia dirigido el brigidi-r D. Pedro iJívalos , comandante militar de Algeciras. En éi dice, que avisado el dia 10 por el general V.ildenebio de que los enemigos habían hecho una fuerte reunión de tropas e…</t>
  </si>
  <si>
    <t>sin haber habido desgracia por nuestra parte. C'astrapot 30 de marzo, ?X José M*&gt;ntpto, capitán del regimiento de Salas, ha dado 'parte 'a? ‘hrigaJUr D. Pedro de ía Bárcena con fecha de 11 de este'mes desdé Rubias de qne en h. combior. que tuvo de cubrir Ji izquierda de ja dívi-dos?. hespí las Aturas de ir* eco nr.ya ? consig…</t>
  </si>
  <si>
    <t>tllé , 50. D. Cristóbal Sansón , 50. D. Miguel Lanz, 40. D. Rafael Bailester, 25. D. Gaspar Machín , 25. D. Isidro Arecha,25. D. Nicolás Soriano, 25. D. Pedro í«opea , 35. D. Ignacio Cantarcy , 25. D. Bartolomé Rusconi , 25. D. Joan Villaseca, 25. D. Pablo Soler , 25. Don José Bobos , 25. D. José Ector Padrón, 25. I&gt;. Antonio…</t>
  </si>
  <si>
    <t>prohibiciones á las batallón del regimiento t.° de tiradores de la guar­ rentas del estado, debe observarse que ann quan­ dia imperial, el corregidor D. Pedro Di z Lorendo estas restricciones no convidasen á hacer tales zana, y el cura párroco D&gt;.• Josef Ruiz , han con­ permutas, traerían á lo menos la utilidad de sos- tribui…</t>
  </si>
  <si>
    <t>robado es que el pueblo de Aifarnate ha que­ dado saqueado y destruido, y robadas sus muías y las del Colmenar, que estaban allí (2). E i seguida fué D. Pedro á Ronda, donde ha pe­ dido dinero, armas &amp;e. Ésto solo tfe-e nrt remedí©. Este país perece, si no se tbre el puerto (3). Es una_meíiida poc© meditada (4), y que si se s…</t>
  </si>
  <si>
    <t>ico, correo ó persona que viage por orden En el de la Cruz, á las seis de la tarde, se exc‘ del gibivrno. cutara la comedia antigua en tres actos de D. Pedro i.° Del arresto y prisión que los enemigos exe- Calderón titulada la Vida es sueño; seguirá el fjmba­ cuten en todo empleado público dentro del recin­ go, se cantará una…</t>
  </si>
  <si>
    <t>unta criminal extraordinaria 4% pulación » el qual fqe apresado al dia siguiente por Madrid. el brick de S. M. el Raposo, y conducido á uno Crosaltz (D. Pedro), ayudante del regimiento de los poertos del gol lo. Real Irlandés. Dantezac ( D. Alexandro), papitao del regimiento Parts 1 $ de julio. Real Extrangero. Las cartas que…</t>
  </si>
  <si>
    <t>Pu£Tor«t{ D: J4me de), ministro civil de la aoA Extracta de las .minutas de la secretaría de dieric'u de Aragón. Estado. Perez (D. Pedro), sargento primero del regí- En nuestro palacio de Madrid á 22 de abril miento de Castilla, i.° de infantería ligera. de 1811. ■ Prado ( D. Felipe de), canónigo y gobernador del Don Josef N</t>
  </si>
  <si>
    <t>9121 „m ta de S. Roque', porque el Tállente espitan de caballería D. Pedro , JE^íeticz, olvidándose de que tenia una pierna bastante mala, se apeó, y marchando á la ermita coa pocos soldados , obligó á rendirse á ios que la ocupaban. Amor decidió la acción por el o</t>
  </si>
  <si>
    <t>. Por nuestra parto se reduxo la nérdida á 50 heridos ó contusos levúnn píe, entre ellcs el citado Vriárdo. Hab.éndose dirigido rj pueblo de Huexutla D. Pedro xlntonio Ma lera , .capitán-del regimiento de Veracruz , de 'resultaste! aviso ,qn&amp;Je dieron de-que- dicho-pueblo iba á ser acometido1 por lós sedi­ ciones , supo que e…</t>
  </si>
  <si>
    <t>tes que él dos arquitectos provincia , vacante por muerte de D. Blas de Arde Milán llamados Getli, los quales habian toma - radúm , al ex-franciscano D. Pedro ltecalde. do la idea de ella de los dibuxos de Leonardo de Y para el arciprestazgo de Armentía en dicha Vinci. provincia , vacante por muerte de D. Joaquín de Lezana , …</t>
  </si>
  <si>
    <t>or D. Alfonso Calbacho...................... 2938 1 D. Nicolás ÜUIazco de Orozco............. 834 20 por D. Juan Estéban dé Trido........... •13563 1 D. Pedro llnañez................ 894 8 por Doña Francisca Xaviera de Osma.. 2 ico I D. Salvador Rodríguez Palómeqae.. 596 5 por D. Pedro Moreno Lombardo, tu­ t x D. Salvador Rod…</t>
  </si>
  <si>
    <t>último desembarco ha habido una cir- Para el de S. Andrés de Granada, vsc.mie por ctfnstanciíi singular: algunos marineros ingleses han promoción de D. Pedro de "'rega al de Gn.xarfásido cogidos con la chalupa que fue arrojada por raguit, al ex-agustino descalzo D. Andrés Mortuo, las olas á la costa. Esta vez no pudieron para…</t>
  </si>
  <si>
    <t>Pedro, Crisanto Barrio</t>
  </si>
  <si>
    <t>Crisanto Barrio Pedro</t>
  </si>
  <si>
    <t>gento prime­ be considerarse sino como un paliativo, al qual ro, á subteniente de la sexta compañía. contendrá substituir una medida permanente en la D. Crisanto Barrio Pedro, sargento primero, próxima sesión. á subteniente de la séptima compañía. El lord canciller puso en votación la proposi­ Décimo batallón. ción que habia …</t>
  </si>
  <si>
    <t>Pedro, Don</t>
  </si>
  <si>
    <t>Don Pedro</t>
  </si>
  <si>
    <t>que de 6 mil infantes y 300 caba­ llos ; dispuso su salida de esta plata con las divisiones que en ella ha­ bia, al mismo tiempo que dió la orden al coronel Don Pedro ^artfuld estuviese pronto para atacarlos con las divisiones de su mando, en combinación con las suyas. En la tarde de ántes de ayer la vanguardia del exército e…</t>
  </si>
  <si>
    <t>Pedro, Ignacio</t>
  </si>
  <si>
    <t>Ignacio Pedro</t>
  </si>
  <si>
    <t>junta sagrando en favor del exército imperial la señalada criminal extraordinaria de Alava. victoria constguída en los campos de A.huera el Revuelta (D. Ignacio Pedro de ), canónigo y ar­ 26 de mayo ú timo , en la que logré el principal cediano de la colegiata de Vitoria. objeto que me h.bia propuesto , que era «I de hs- Sala…</t>
  </si>
  <si>
    <t>Pedro, Juan</t>
  </si>
  <si>
    <t>Juan Pedro</t>
  </si>
  <si>
    <t>rel (D. Fuleran), capitán de granaderos de Efectos públicos. nuestra guardia real. Vales reales...................................... pi pl. Thibaud (D. Juan Pedro), sargento de tiradores Cédulas hipotecarias..... ................... 94? á i de idem. Certificaciones del tesoro público.... 7ii Torregrosa (D. Manuel), teniente …</t>
  </si>
  <si>
    <t>PedroMuró</t>
  </si>
  <si>
    <t>DE MADRID. BOLSA. -D. Mariano Sancho.......................... 4542 32 DfA l6 DB DICIEMBRE DB l3ll. ■D. Raimando Ruiz de Alegría por • : su apoderado D. PedroMuró... 3600 Doña Ana María de Llano y el En­ Efectos públicos. cinal...,.............................. 2700 Sor Alfórisa de S. Nicolás............... 2587 17 Vales real…</t>
  </si>
  <si>
    <t>Pedros, Hipólito</t>
  </si>
  <si>
    <t>Hipólito Pedros</t>
  </si>
  <si>
    <t>............... 561..2X D. Josef Amezcua.................................... 270.-251 D. Santiago Sedaño.................................... 247*-. 7 D. Hipólito Pedros».................................. 812.. 8j D. Francisco lien sal.................................. 1460.. 2 D. Gabriel de Alcaraz............................…</t>
  </si>
  <si>
    <t>Pedrosa, José</t>
  </si>
  <si>
    <t>José Pedrosa</t>
  </si>
  <si>
    <t>00. I). José Gutiérrez y D. Pedro Hidalgo, 100. D. Francisco Fernandez, 100. D Marcos de los Ríos , 100. D Juan Perez , 100. D. Mateo Rodríguez, 100. D. José Pedrosa, 100. D. José Rasilla, 60. D. Eugenio Gutiérrez, 100. D. Antonio Ortegon, 100. D. Manuel Sánchez , 100. D. Francisco de la Ve­ ga, 100. D. Manuel Velez Campa, 10…</t>
  </si>
  <si>
    <t>Pedroso, Carlos</t>
  </si>
  <si>
    <t>Carlos Pedroso</t>
  </si>
  <si>
    <t>. Ambrosio María de Zuazo , por el prest en 4 meses de dos soldados que ofrece mantener durante la guerra en el exército de Andalucía, 72. El íegidor D. Carlos Pedroso, por el de tres soldados en 3 meses, 81. El regidor D. Juan Crisóstomo Peñalver, por el de 5 id. , 135. El regidor D. Francisco Loynaz , por el de 3 id., 81. E…</t>
  </si>
  <si>
    <t>Pédroso, Carlos</t>
  </si>
  <si>
    <t>Carlos Pédroso</t>
  </si>
  <si>
    <t>. Juan Francisco Manrique , oficial.de éorvéós j 100: B. Santia­ go Gi ráuclVpor el prest dé 2 soldados en un mes durante l*a guerra, 20. El re-gidor D. Carlos Pédroso , por maño débmayórdomo de propios Di Juan Luis IVJorqnéti estuvo énc Monta! vo uiéntc;éórr..-. , . . , , , . ,. _ t , 36. El capitañ? Bl Bomiñgb Bontbñx' de I…</t>
  </si>
  <si>
    <t>Laso, teniente ayudante , habilitado del batallón de Morenos milicias disciplinadas, á nom­ bre de su plana mayor y dornas individuos , 822 y medio. D. Carlos Pedroso, regidor de esta ciudad , por el prest de 3 soldados en 6 meses , 162. (Se continuará.) CADIZ ; EN LA IMPRENTA REAL.</t>
  </si>
  <si>
    <t>Pedroso, José María</t>
  </si>
  <si>
    <t>José María Pedroso</t>
  </si>
  <si>
    <t>, 30. El mismo , á nombre de dicho señor , por entrega de los individuos de la nación Carabali Suquato , del cabildo de S. Benito de Pal enrío , 20. D. José María Pedroso, teniente de la compañía urbana del real consulado , por el prest de 5 soldados en un mes durante la guerra, 45. El superintendente director del ramo de tab…</t>
  </si>
  <si>
    <t>Pedroso, Pedro Regalado</t>
  </si>
  <si>
    <t>Pedro Regalado Pedroso</t>
  </si>
  <si>
    <t>1000. El M. R. arzobispo de Guatemala D. Luis Peñalver, 2000. El marques de Someruelos, presidente, gobernador, Y capitán general de esta isla, 1000. D. Pedro Regalado Pedroso, 1000. I). Martin Ügarte , coronel del regimiento de milicias de caballería de esta plaza , por sí , varios oficiales y tropa de dicho regimiento , 357…</t>
  </si>
  <si>
    <t>Pegó</t>
  </si>
  <si>
    <t>nsejado al duque de Sns- El dia de ayer ha sido para nosotros el mas sex que salga de Inglaterra por algunos meses pa­ alegre que ser podía. S. M. la Emperatriz Pegó á ra restablecer so salud en un clima mas benigno. esta ciudad á la una del día , y fue á visii^r .'a igle­ E¡ capiran de la Sabrina, sloop de guerra de sia de S…</t>
  </si>
  <si>
    <t>Pelaez, Baltasar</t>
  </si>
  <si>
    <t>Baltasar Pelaez</t>
  </si>
  <si>
    <t>e la señorita Tilney-Long son inmensas. de Abruguieta.................................. *9223 8;| Las haciendas que le dexará su padre dan de renta I D. Baltasar Pelaez...................... .......... . 1083 73© fibras esterlinas, ademas de un capital de 80. D. Josef Antonio de .Cuide, por 25c©. £1 total de sus rentas ascend…</t>
  </si>
  <si>
    <t>Pelaez, Joaquín</t>
  </si>
  <si>
    <t>Joaquín Pelaez</t>
  </si>
  <si>
    <t>ofíl-l.............. 1444 cía, y los herederos de D. Manuel D. josef de Roxas y Hierro.................... 1985..17 Joset García y Barón, por mano de D. Joaquín Pelaez..................................... 1173.. «i Don Valentía de Ursueguia.............. 4318.-26 La real sociedad económica de esta cor­ D. Félix Ugarte y Doña …</t>
  </si>
  <si>
    <t>Pelaez, Josef</t>
  </si>
  <si>
    <t>Josef Pelaez</t>
  </si>
  <si>
    <t>.................. 12183.-25^ D. Antonio María y D. Vicente María D. Josef Carranza............................. 209380 Boan.................... 7050 D. Josef Pelaez................................................ 16440 D. Juan Pablo.Imbrea........................... 154-50 El marques de Muzquiz...............................…</t>
  </si>
  <si>
    <t>Pelayo, Andrés</t>
  </si>
  <si>
    <t>Andrés Pelayo</t>
  </si>
  <si>
    <t>baton, D. Andrés Pelayo, D. Martin Cariaga, D. Ramón Rienda, E). Joaquín Frayle, O. Manuel del Rio, D. Juan Peña; y ásus ayudances D. Joaquín Castañeda, D. Narciso Salinas, D. Tomas Bermado, D. Francisco Pacheco,</t>
  </si>
  <si>
    <t>Peliicei, Joaquín</t>
  </si>
  <si>
    <t>Joaquín Peliicei</t>
  </si>
  <si>
    <t>D. Pascual Perez, D. Manuel Inostrosa, y Don Ssbíiiiían Sánchez; los de subteniente i D. Facundo Rodríguez, D. Fernandez Camino, D. Joaquín Rubenes, D. Joaquín Peliicei, D. Cayetano Sexto, D. Diego Silva, D. Pedro Pita y Don Manuel Se uto Gonzálezy el de subteniente de bandera á D. Manuelsantos. hule que el gefe del estado ma…</t>
  </si>
  <si>
    <t>Pellicer, José</t>
  </si>
  <si>
    <t>José Pellicer</t>
  </si>
  <si>
    <t>endiar los restantes; v deseando yo sacar de esta empresa todas las ventajas posibles, dispuse que los oficiales del 2.° de Saboya D. Manuel Grau , y D. José Pellicer ( que .voluntariamente habían pedido pasar) , se embarcasen en medio del vivo fuego que se hacia, lo que executarbn con la mayor bizarría, no habiendo podido re…</t>
  </si>
  <si>
    <t>Pellou, Josef</t>
  </si>
  <si>
    <t>Josef Pellou</t>
  </si>
  <si>
    <t>de todo lo te en 1* misma tina. En los años como este, en acaecido. que la fermentación de la uva se hace con violen­ Bien público fue en Navarra que D. Josef Pellou cia, y en que el ga* carbónico se desprende con mu­ cayó en manos de los bergantes , y que anduvo con ellos elle tuerza, es quando el peligro es mas inminente. e…</t>
  </si>
  <si>
    <t>ierno. El valor no debe confundirse con la temeri­ Amigo Sebastian: anoche he recibido un oficio de dad; es propio de hombres valientes emprender con D. Josef Pellou, haciéndome algunas prevenciones, que sangre fría empresas difcilrs; pero es temeridad empe­ vmd. sabrá: no me han disgustado; pero admiré que tales ñarte en imp…</t>
  </si>
  <si>
    <t>Pén, Fernando</t>
  </si>
  <si>
    <t>Fernando Pén</t>
  </si>
  <si>
    <t>Nicolás Giimoens ; y subtenencias en el regi­ miento de infantería de Zamora, á D. Jasé Vicario, es dete del pro­ pio cuerpo: y en el de Valencia, á D. Fernando Pén&amp;rrubia, ayu­ dante de la batería de la purria de Serranos de la ciudad do Valencia. En el regimiento de infantería primero de Burgos ha conferido el Consejo de R …</t>
  </si>
  <si>
    <t>Peña, Cristóbal</t>
  </si>
  <si>
    <t>Cristóbal Peña</t>
  </si>
  <si>
    <t>. Antonio Brihuega y Morales. que la recaída que ha tenido S. M. á mediados de D. Gerónimo Diego. la semana última, ha sido originada de un paseo de­ D Cristóbal Peña. masiado ,-gitado y de muchas horas que dio S. M. D. Rafael Barragan Cañas. por el parque del palacio. (The Sun.) Las embarcaciones que están en las costas de T…</t>
  </si>
  <si>
    <t>Peña, Juan</t>
  </si>
  <si>
    <t>Juan Peña</t>
  </si>
  <si>
    <t>baton, D. Andrés Pelayo, D. Martin Cariaga, D. Ramón Rienda, E). Joaquín Frayle, O. Manuel del Rio, D. Juan Peña; y ásus ayudances D. Joaquín Castañeda, D. Narciso Salinas, D. Tomas Bermado, D. Francisco Pacheco, y al cabo de voluntarios D. Juan Valdes. El enemigo tuvo de pérdida un gran número de mue</t>
  </si>
  <si>
    <t>Peña, Juan Ñepomuccno</t>
  </si>
  <si>
    <t>Juan Ñepomuccno Peña</t>
  </si>
  <si>
    <t>é María Guadiana, 60. Id. segundo D. Franciscoddam, 60. Alférez primero D. Juan José JSlguczabal, 50. Id. segundo D. José Andrés Cadena, 40. Capellán D. Juan Ñepomuccno Peña, 50. Los sargentos , cabos y soldados, 1718.—Aguaverde. Capitán D. José Joaquín ligarte, 100. Teniente D. Miguel Me­ sa, 6. Alférez primero D. José Mam d…</t>
  </si>
  <si>
    <t>Peñaiver, Juan Crisóstomo</t>
  </si>
  <si>
    <t>Juan Crisóstomo Peñaiver</t>
  </si>
  <si>
    <t>Herrera , 243 y medio. D. Luis Ignacio Caballero , 933 y G rs. I). Carlos Pea roso, 1138 y 4. El conde de Santa María de Loreto , 518. y 6 y me­ dio. D. Juan Crisóstomo Peñaiver, 1377 y uno. El capitán D. Antonio de Castro Palomino , subinspector del batallón de Pardos, por ei prest de dos soldados en un mes durante la guerra…</t>
  </si>
  <si>
    <t>Penal, Desalía</t>
  </si>
  <si>
    <t>Desalía Penal</t>
  </si>
  <si>
    <t>uville , por el de i Ó soldados eii 4 meses durante la guerra, 300, JO. José Joaquín fie Sola, por el de 3 soldadlas en un mes durante la guerra, 27. Doña Desalía Penal,ver, por el de 5 soldados en un mes, 45. D. José Padrón de la Peña, capitán de la segunda compiupín urbana de naturales de islas Canarias, por sí y á nombre d…</t>
  </si>
  <si>
    <t>Penal, Rosalía</t>
  </si>
  <si>
    <t>Rosalía Penal</t>
  </si>
  <si>
    <t>María Escovar y D. Francisco Loynaz / por donativo de los barrios extramuros..de esta ciudad que JicRos señores lian colectado, 103?- y 3 y medio rs. Doña Rosalía Penal ver, por el prest de 5 soldados en un mea. darante la guerra , 45. D. Francisco López del Pulgar , por 3 meses de su ofer­ ta en cada tino, 45. El conde de $t…</t>
  </si>
  <si>
    <t>, por 2 meses de su oferta , 20. Doña Mariana Antayo , 35. D. Francisco López del Pulgar , por el prest de un soldado de caballería en 5. meses , 90. Doña Rosalía Penal ver , por el de 5 soldados en 2 meses, 90. D. Esteban de Zayas, 500. D. Tornas de Juava, síndico del convento de Ca­ puchinos, á nombre del hermano Snmboy , 6…</t>
  </si>
  <si>
    <t>Peñalver, Don Juan Crhóstomo</t>
  </si>
  <si>
    <t>Don Juan Crhóstomo Peñalver</t>
  </si>
  <si>
    <t>, 100. I&gt;. ¿ c, n Rafael Aljovin, cura beneficiado de la iglesia del partido de Quibicar., á nombre Je varios vecinos de su feligresía, 96 y 0 rs. El regidor Don Juan Crhóstomo Peñalver, por el prest de 5 soldados en 3 meses durante ia guerra, 135. D. Antonio Robredo, 400. Deña Rosalía Peñalver, por el prest de 5 soldados en …</t>
  </si>
  <si>
    <t>Peñalver, Rosalía</t>
  </si>
  <si>
    <t>Rosalía Peñalver</t>
  </si>
  <si>
    <t>rra, a nombre y por oferta de los individuos que la componen , 3400 y 2 rs. El mismo, por oferta particular de varios individuos de su compañía, 253. Doña Rosalía Peñalver, por el prest de 5 soldados en 4 meses, 180. Don Francisco José Granado , 103. D. José Nicolás López Ganuza , por 10 meses de su oferta de 8 pesos en cada …</t>
  </si>
  <si>
    <t>Peñaranda, Joaquín</t>
  </si>
  <si>
    <t>Joaquín Peñaranda</t>
  </si>
  <si>
    <t>tC de enero. D. Francisco Escalera. Hace algunos dias que cruza entre nuestro puer­ D. Josef Escalera. to y el de Trieste una esqoadriüa inglesa com­ D. Joaquín Peñaranda. puesta de tres fragatas y algunos boques pequeños Tenientes. de guerra. No por esto se ha interrumpido nuestra D. Manuel Galindo. navegación; pero las emba…</t>
  </si>
  <si>
    <t>Peñasco, Sebastian</t>
  </si>
  <si>
    <t>Sebastian Peñasco</t>
  </si>
  <si>
    <t>*. P. Juan Antonio Martines Salazn? 100. D. Tomas Urrntia , 2000. D. .Sebastian Martínez Torrecilla , 600. Sres. Yugla, CcHiellet y compañía. , 1G00. D. Sebastian Peñasco , 1000. D. Toma* Fleming, 300. 1&gt;. Domingo Pont y Closas . 300. X). Miguel do Mendizabal, 500. D. Francisco Lerda de Tejada, 1000. ÍX Juan Bautista Cheiraso…</t>
  </si>
  <si>
    <t>José deGaiilenea, D. Esteban S. Miguel, D. José Anto­ nio Romero, D. Ram&amp;n de Larrieta, D. Manuel Sanz, D. Domin­ go Cierto, I). Antonio Vallaría© y D. Sebastian Peñasco; y subte­ nencias á D. Diego Blanco, D. Manuel Miravete, D. Pablo J *¿ica, D. José Camerino, D. Mariano de Miguel, D. Manuel Nieto, Don Juan de Cacho, ü. Agu…</t>
  </si>
  <si>
    <t>Peón</t>
  </si>
  <si>
    <t>vimiento la tercera división con un grueso y brillante cuerpo de raigos, al mitmo tiempo que la sección del coronel Mascare ñas, apo­ yada por la del general Peón, que marchaba por su izquierda con hx artillería volante-y alguna caballería, se dexase caes sobre su ‘dere­ cha, situada en la llanura. Luego que observaron los en…</t>
  </si>
  <si>
    <t>Perales, Manuel</t>
  </si>
  <si>
    <t>Manuel Perales</t>
  </si>
  <si>
    <t>l de Fer­ nando VII: á D Domingo Loaces, comandante agregado al de Amé­ rica: á D. Dominga Díaz Perez , sargento mayor del propio cuerpo : al corcnei D. Manuel Perales, sargento mayor del de Alman­ ta : al teniente coronel D. Francisco Cebollino , sargento mayor del mismo cuerpo: al coronel D. Juan María Gamez, sargento ma­ y…</t>
  </si>
  <si>
    <t>Perales, Pedro</t>
  </si>
  <si>
    <t>Pedro Perales</t>
  </si>
  <si>
    <t>s tenientes D. Pas­ cual la Rosa, D. Antonio Garniel, D Francisco Bemabeu y D. Ni­ colás Dodero; el segundo ayudante D. Antonio Torró; el subteniente D. Pedro Perales ; los cadetes D. Antonio Aus?j.&gt; y D. Juan Artaíejr; ti sargento primero Ju?.n Monera, y los segu idos José Badirto, Mi­ guel Aguiiar, Bruno G¿lan, Martin Alber…</t>
  </si>
  <si>
    <t>Peralta, Francisca</t>
  </si>
  <si>
    <t>Francisca Peralta</t>
  </si>
  <si>
    <t>rera , G. D. Francisco Púa , 6. D. Roque Beyroa , G. D Venancio Ramírez , 6. D. José M-.irí i Sevilla, G. D. Luis Mén­ dez , 5. D. Antonio Calero, 5. D. Francisca Peralta , 6. Pedro Saboila, 4. X&gt; Ramón Totosans, 4. D. Juan Perez, 4. D. Valerio Grau , á D. Juan de Dios \randa, 8. D. Esteban Borom, 3. D. José García, 2. D Pedr…</t>
  </si>
  <si>
    <t>Peralta, Hilario</t>
  </si>
  <si>
    <t>Hilario Peralta</t>
  </si>
  <si>
    <t>te capitán mi ayudante... D. Esteban Castillo. nar en la anarquía; y esté vmd. bien persuadido que Idem.............................................. D. Hilario Peralta. muchos hai que realizan el adagio que dice: A rio re­ Idem..................... D. Andrés Bcrructa. vuelto ¡anancla de fescadores. No ignoro que vmd. y Subte…</t>
  </si>
  <si>
    <t>Peralvo, Martin</t>
  </si>
  <si>
    <t>Martin Peralvo</t>
  </si>
  <si>
    <t>do, Por S. M., el ministro Secretario de Estado = Firmados' residente en id., por..................................... 2200 Mariano Luis de Urquijo.” D. Martin Peralvo , ex- trinitario calzado, residente en Pozoblanco , provincia de Extracto de las minutas de la secretaría de Estado. Córdoba , por...- ........................…</t>
  </si>
  <si>
    <t>Perci</t>
  </si>
  <si>
    <t>sorero del te­ putados ton general satisfacción del público de Ir­ soro privado, y llamado al gabinete pur uu verit landa. (The Star.) particular. El conde Perci, caballerizo mayor , y llamado Del *7. al gabinete por un ivrit particular. Ya hace tiempo que se decia que Iba á hacer­ El lord vizconde Melviile, gobernador gene­ …</t>
  </si>
  <si>
    <t>Pere, Juan Alonso</t>
  </si>
  <si>
    <t>Juan Alonso Pere</t>
  </si>
  <si>
    <t>io González Cadisna, interventor genera! ., alemas de 9 pesos mensuales con que contribuye en la capitanía general , 1?. D. Miguel Baso, jiovtero, 4. D. Juan Alonso Pere&gt;;, portero del rastrillo do la factoría , 4, -— Total de donativos por xpia vez ,542pesos. Mcnsuahnente,-r~ D. Pedro Antonio de. Gamón , administrador genera…</t>
  </si>
  <si>
    <t>Pere, Miguel</t>
  </si>
  <si>
    <t>Miguel Pere</t>
  </si>
  <si>
    <t>El 3 del corriente por la noche llegó á esta ca­ pital d mariscal, comandante en gefe del exército, Sir G. C. Baresford. Oficio del lord Wellington á D. Miguel Pere?/ra Forjaz desde su cuartel general déla quinta de S. Juan á 27 de junio de 1811. “El enemigo hizo ua reconocimiento con na cuerpo numeroso de caballería sobre Ye…</t>
  </si>
  <si>
    <t>Perei, Miguel</t>
  </si>
  <si>
    <t>Miguel Perei</t>
  </si>
  <si>
    <t>936 PORTUGAL. Lisboa 28 de agosto. -—Oficio del lord WeMington á D. Miguel Perei/ra Forjas, desde su cuartel general de Fuente-Guinaldo á 21 de agosto de 1811. ~ ¡ „ Él enemigo no ha hecho movimiento alguno de importancia, desde que dirigí á V. E. mi oficio del 14. — En la tarde</t>
  </si>
  <si>
    <t>Pereira, Juan Pablo</t>
  </si>
  <si>
    <t>Juan Pablo Pereira</t>
  </si>
  <si>
    <t>subteniente, á teniente de la por los sagrados cánones: que los cabildos no pue­ primera compañía. den exercer eo.cuerpo la jurisdicción episcopal, y D. Juan Pablo Pereira, sargento,primero, á subte­ niente de la tercera*compañía. que asi deben delegarla, so pena de hacerla nula: que comunicándola á nn gobernador, la exerce e…</t>
  </si>
  <si>
    <t>Peres, Cristóbal</t>
  </si>
  <si>
    <t>Cristóbal Peres</t>
  </si>
  <si>
    <t>.. vacante por promoción de D. Vicente Revilla al de Cebico de la Tor re. TEATRO. A D. Felipe Velasco para el de la Torre, va­ cante por promoción de D. Cristóbal Peres al del En el del Príncipe, 4 las siete de la noche, se re­ logar de Collazos. ’ presentará por la compañía española Ja comedia de Calderón en cinco actos titu…</t>
  </si>
  <si>
    <t>Pereyra, Francisco</t>
  </si>
  <si>
    <t>Francisco Pereyra</t>
  </si>
  <si>
    <t>guirre , 10. D. Cristóbal Domín­ guez , 25. D. Francisco Aguirre, 15. D. Pedro Valdes, 10. Eos veci­ nos pobres de toda la jurisdicción , 186 y 5 rs. D. Francisco Pereyra, 50. D. José Lobo y su yerno, 40. D. Román Letona, 25. D. Teodo­ ro Carrillo, 50. D. Martin del Rio y D. Pedro de la Fuente , J.3, JD. Pedro Velez Cosío, 80…</t>
  </si>
  <si>
    <t>Pereyra, José</t>
  </si>
  <si>
    <t>José Pereyra</t>
  </si>
  <si>
    <t>to cíela ciudad de S. Felipe y Santiago por en­ trega de varios vecinos de aquella jurisdicción , 724 y 7 rs. Doña Rosalía González del Corral, 1030. D. José Pereyra, teniente ayudante de la pla­ na mayor da Blancos , agregada al batallón de Pardos, 16.-D. Agustín Ra­ mos, en cada mes, 18. El obispo diocesano D. Juan José Día…</t>
  </si>
  <si>
    <t>Perez</t>
  </si>
  <si>
    <t>878</t>
  </si>
  <si>
    <t>er nada bueno en favor de ella ni ci jo espinóla, bendecirán la mano que se la ha de la península. proporcionado, y se apresurarán á renovar y es­ El diputado Perez se quejó amargamente al trechar los vínculos que los unen á la madre patria, congreso en el referido dia 24 de mayo, diciendo y á rendir sus homenages al Soberano…</t>
  </si>
  <si>
    <t>Perez, Andrés</t>
  </si>
  <si>
    <t>Andrés Perez</t>
  </si>
  <si>
    <t>cuerpos de infas&gt;loria de! exército los empleos siguientes: ff-n «l regsrafertáo.dc infantería de voluntarios de Cádiz: rompañi.2R á -D. Jusú-Ufeiña, D. Andrés Perez, D. Francisco Mogollen y D. Pablo Senderos : ayudantía á D Jo -é Otero ; tenencias á D. Joan Rodríguez, D. Alfonso. Tercero, D. Tomas Manzanar-?, D. Jocó Yszquez…</t>
  </si>
  <si>
    <t>Pérez, Antonio María</t>
  </si>
  <si>
    <t>Antonio María Pérez</t>
  </si>
  <si>
    <t>ata ha Ifig-do á los mercados de Europa desde D- J uan Antonio Zimácola, que despacha el habilita­ la mina con cerca de seis veces menos trabajo y do D. Antonio María Pérez , ó si no al acto del remate. coste que antes , y cada quintal de oro con cerca de quitro veces menos que en los tiempos anterio­ res. Ha debido pues baxa…</t>
  </si>
  <si>
    <t>Perez, Antonio María</t>
  </si>
  <si>
    <t>Antonio María Perez</t>
  </si>
  <si>
    <t>de ellos en Castellón de la Plana. provincia de D. Juan Antonio Zamácola, que despa­ Un esquadron de dragones vino el dia 12 á ata­ cha su habilitado D. Antonio María Perez , se ha seña­ car -las avanzadas qne tenia el general Mosnier eo lado para el remate ds una casa sita en esta corte y su Benicarló. Sesenta húsares del 4.…</t>
  </si>
  <si>
    <t>su objeto. Ademas de la inmensa fecha de 26 de junio, por ante el escribano de provin­ población de Paris ha presenciado también estas cia habilitado D. Antonio María Perez, se ha señala­ fondones una grao multitud de extrañgeros de to­ do para el remate de la obra titulada Calenturas remi­ das clases. tentes rf intermitentes…</t>
  </si>
  <si>
    <t>La persona que da dé Blouquier. quisiere hacer postura acuda á la escribanía de provin­ Sin embirgo, aunque faltan pruebas terminan­ cia que despacha D. Antonio María Perez, en donde so tes, hai sospechas contra estos quatro individuos, admitirán ras que hicieren siendo arregladas. Y se pre­ y asi se les ha puesto baxo la vig…</t>
  </si>
  <si>
    <t>Pérez, Bernardo</t>
  </si>
  <si>
    <t>Bernardo Pérez</t>
  </si>
  <si>
    <t>línea de voluntarios distinguidos de Cádiz compañías á D= José Ignacio de Lazcano, D. Bartolomé de Iturraido, Don Juan Francisco de Llano y Sangines,'D. Bernardo Pérez, D. Joa­ quín Casalduero, D. Pedro Juan de Zulueía, marques de Villareal de Purullesa, D. Manuel Goicolea, D. Gaspar Aguado y D. Fran­ cisco Noguer; tenencias …</t>
  </si>
  <si>
    <t>Perez, Carlos</t>
  </si>
  <si>
    <t>Carlos Perez</t>
  </si>
  <si>
    <t>hospital y congregación de S. Pedro de go, por.......................................................... 1100 clérigos naturales de Madrid , por mano D. Carlos Perez, ex escolapio, lego, por 1100 de D. Agustín López Hermosa................. 41340.. S D. Juan Clemente, ex-agustino calzado, D. Felipe Hoyos......................…</t>
  </si>
  <si>
    <t>Perez, Carlos Antonio</t>
  </si>
  <si>
    <t>Carlos Antonio Perez</t>
  </si>
  <si>
    <t>or muerte de á los'infelices que se fian de ellos. D. Pablo Roxo, al presbítero ex-regu!ar francis­ Creemos hacer un servicio á la humanidad ma­ cano D. Carlos Antonio Perez. nifestando, pata desprecio é indignación del pueblo Para el de Bmquistar, vacante por fallecimiento ingles, el nombre y domicilio de los infames, que de…</t>
  </si>
  <si>
    <t>Perez, Dominga Díaz</t>
  </si>
  <si>
    <t>Dominga Díaz Perez</t>
  </si>
  <si>
    <t>ona , al coro* nel D. Manuel Fernandez Villamil, comandante agregado al de Fer­ nando VII: á D Domingo Loaces, comandante agregado al de Amé­ rica: á D. Dominga Díaz Perez , sargento mayor del propio cuerpo : al corcnei D. Manuel Perales, sargento mayor del de Alman­ ta : al teniente coronel D. Francisco Cebollino , sargento …</t>
  </si>
  <si>
    <t>Perez, Eugenio</t>
  </si>
  <si>
    <t>Eugenio Perez</t>
  </si>
  <si>
    <t>ónimo. Quarto batallón. D. Josef Domínguez , sargento primero, á sub­ teniente de ¡a quinta compañía, en reemplazo de TEATROS. D. Josef María Abades. D. Eugenio Perez, sargento primero, ¿ aban­ En el del Príncipe , á las siete de la noche, se re­ presentará por la compañía española el drama en cinco derado. actos, de K.ot2bue…</t>
  </si>
  <si>
    <t>Perez, Félix</t>
  </si>
  <si>
    <t>Félix Perez</t>
  </si>
  <si>
    <t>Nicolás Den i tez , 100. ‘Alférez* Don -iJosd Cayetano Cáritú , 60. La tropa ,' 500. ^Sexka ¡idi -Capitán Jb. Jüán Jésé . .SaVitoJ ,■ 200.« Teniente D. Félix Perez , 100. alférez D/rPedro' Tríe v moí,' 50. La trópa , 452 ;¡—Primera compañíai /leí Ñucvó,Santanderi Capitán P. Ignacio Tj^eviño , 20Q. Teniente D. Juart Canté, lOQ…</t>
  </si>
  <si>
    <t>Perez, Francisco</t>
  </si>
  <si>
    <t>Francisco Perez</t>
  </si>
  <si>
    <t>Travieso, 10. I). Francisco de Arocha, 9. D. José Antonio de la G irza, 10. D. Víctor Blanco, 20. D. Apolinar de Marrnela, 40. D. Be nito Antón, ,20, D. Francisco Perez, 10. I). Antonio Vaca, 50. D. José Antonio Saucedo, 20. D. José Angel Navarro, 10. D. José María Zambrano, 10. D. Pedro L'ongueville, 30. D. Félix Estrada, 10…</t>
  </si>
  <si>
    <t>10 rotulas dp las.robadas, qu5 devolví en ei mis x-o ¿ sus dueños; Por iineutra» parte na ha habido la menor desgracia.— R comiendo en particular al soldado Francisco Perez, que fué el que cogió ai prmier cantinela;- 4 Antonio S^sma, que me acompañó al segundó , y al sargento segundo Vicente Sjla, qué dió pruebas de todo valo…</t>
  </si>
  <si>
    <t>Pérez, Francisco</t>
  </si>
  <si>
    <t>Francisco Pérez</t>
  </si>
  <si>
    <t>................................. 2200 Mancha, residente en Toledo , por.................... . 1200 D. Felipe Díaz, natural del lugar de Escalunilla, D. Francisco Pérez , natural de Gata , provincia de residente en supueblo, por.................................. 2200 Badajoz , residente en Toledo , por..................... 2 …</t>
  </si>
  <si>
    <t>ercera edición : un tomo en 4.*, Tenientes. con una estampa fina, á 24 rs- en pasta. —El Azote de tunos, holgazanes y vagamundos: obra utilúima v va­ D. Francisco Pérez. dosa, en Ja quai se descubren los engaños y fraudes de D. Leandro Sainz Vaiderrama. los que corren ej inundo i costa agena; traducido d:l Subtenientes. tosca…</t>
  </si>
  <si>
    <t>Perez, Gibrüel</t>
  </si>
  <si>
    <t>Gibrüel Perez</t>
  </si>
  <si>
    <t>o por fjurcu.ia, cjino habían llegad» ya los 1 bat Uones de tirad eres y voluntarios y los rechace, y se volvieron á C^aSeras.” Valencia; 5 dz marzo. D. Gibrüel Perez, capitán de dragmes de la Rey na, comandante -de la columna colante de caballería,‘destinada á llamar ia atención del enemigo, iLscruir sus obras de di feas a C…</t>
  </si>
  <si>
    <t>Perez, Gregorio Justo</t>
  </si>
  <si>
    <t>Gregorio Justo Perez</t>
  </si>
  <si>
    <t>idente en to de ía Encarnación de.esta corte, por 2200 Almoguera, por.............................. 2200 Doña Rita de Adan Martínez, id., por... 2200 D. Gregorio Justo Perez, id., residente Doña María Antonia García de León, id., en Alcalá de Henares, por...................... 3200 por.................................. 2200 D…</t>
  </si>
  <si>
    <t>Perez, Ignacio</t>
  </si>
  <si>
    <t>Ignacio Perez</t>
  </si>
  <si>
    <t>hez del Pezo; los de capitán segundo á D. Juan Vivas, D. Calixto Gar­ cía Buj.anda, D. Liocente^Argüello, y D. Juan Antonio Tostado; los deteniente á D. Ignacio Perez, D. Vicente Descalz,D. Juan Hi­ dalgo Chacón, D. José Carrasco, D. . Ra r on González y D. Ra­ món Novoa; los de subteniente á D. Juan Rosales y D. Ramón Gonzál…</t>
  </si>
  <si>
    <t>Perez, José</t>
  </si>
  <si>
    <t>José Perez</t>
  </si>
  <si>
    <t>refuerzos. Así lo verifiqué, destacando*al capitán de las Tres-Villas D. Antonio Arguelles con 50 hombres de su cuer­ po , y al de dragones de España D. José Perez con 20. caballos. Los rebeldes forzaron el paso antes que llegasen estas tropas , las quales hicieron frente á las enemigas , y me participaron que se dirigían por…</t>
  </si>
  <si>
    <t>Diego del Solar. !()0= L. Manuel Gutiérrez y D. Manuel Riaño, 100. D. Félix García , IO0. D. Pe­ dro García dejos Ríos, 100. D. Manuel Mancina, 100. D. José Perez, 100. L. Manuel Rodríguez, 100. D. José Alonso, 100. D. Marcos de los Ríos, 100. L. Antonio Gómez de la Madrid, 100. D. Estanislao de Hoyos , 100. L. Juan</t>
  </si>
  <si>
    <t>Perez, José Antonio</t>
  </si>
  <si>
    <t>José Antonio Perez</t>
  </si>
  <si>
    <t>es rentas &amp;c., y en el de que nos hallamos con la porción de reos que se han apresado (entre ellos 13. José Mercado , padre del eclesiástico difunto, D. José Antonio Perez, los coroneles D. José Manuel Gómez y D. Pablo Covarrubias, el guardia de corps D. Pedro del Castillo, y otros eclesiásticos de los mismos honores ) sin cá…</t>
  </si>
  <si>
    <t>Perez, José Fernandez</t>
  </si>
  <si>
    <t>José Fernandez Perez</t>
  </si>
  <si>
    <t>talidad y urgencia de los presentes. La mercante ha contribuido no poco a la execucion de esta empresa, y se ha distinguido parti­ cularmente en ella D. José Fernandez Perez, capitán de la fragata nombrada Marques de ia Romana, creyé ndolo el comandante general de la escuadra acreedor á premio en recompensa de su mérito y par…</t>
  </si>
  <si>
    <t>Perez, José Mafia</t>
  </si>
  <si>
    <t>José Mafia Perez</t>
  </si>
  <si>
    <t>ías. Pe­ ro este esperó el refuerza de 20 hombres, con que se le incorporó Iíurbide, y cubriendo su retaguardia con 30 hombres al mando del ca­ pitán D. José Mafia Perez, acometió apoderándose á las prime­ ras descargas de la primen y segunda batería del enemigo, ponién ­ dolo en completa fuga, y tomándole 9 cañones de bronce…</t>
  </si>
  <si>
    <t>Perez, Josef</t>
  </si>
  <si>
    <t>Josef Perez</t>
  </si>
  <si>
    <t>sub­ lada el triunfo de Teleisila, ó Ecio triunfante en Roteniente de 1a tercera compañía. trr., adornada con todo su aparato teatral; y se dará fia D. Josef Perez, sargento primero, á subte­ con un gracioso baile nuevo pantomimo, compuesto niente de la quinta compañía. por el señor Sandalio Luengo, titulad» la Vieja astuta. …</t>
  </si>
  <si>
    <t>Perez, Juan</t>
  </si>
  <si>
    <t>Juan Perez</t>
  </si>
  <si>
    <t>mírez , 6. D. José M-.irí i Sevilla, G. D. Luis Mén­ dez , 5. D. Antonio Calero, 5. D. Francisca Peralta , 6. Pedro Saboila, 4. X&gt; Ramón Totosans, 4. D. Juan Perez, 4. D. Valerio Grau , á D. Juan de Dios \randa, 8. D. Esteban Borom, 3. D. José García, 2. D Pedro Ferrer , 2. D. Domingo Marera , 1. D. José María Suarez , 2. Ant…</t>
  </si>
  <si>
    <t>ocios eclesiás­ la concha , donde ha sido calafeteado uno, que ha­ ticos ; bia sufrido varias averías de resaltas de una tem­ Nombramos al ex-regular D. Juan Perez para pestad. El puerto exterior y la concha estarán con­ la sacristía de la parroquia de Valdecarros, con la cluidos en 1812. Las obras solamente de Cherbur­ renta…</t>
  </si>
  <si>
    <t>o, 100. D. Francisco Rodríguez de los Ríos, 100. I). José Gutiérrez y D. Pedro Hidalgo, 100. D. Francisco Fernandez, 100. D Marcos de los Ríos , 100. D Juan Perez , 100. D. Mateo Rodríguez, 100. D. José Pedrosa, 100. D. José Rasilla, 60. D. Eugenio Gutiérrez, 100. D. Antonio Ortegon, 100. D. Manuel Sánchez , 100. D. Francisco…</t>
  </si>
  <si>
    <t>Perez, Manuel</t>
  </si>
  <si>
    <t>Manuel Perez</t>
  </si>
  <si>
    <t>de Huerta de Reí, vacante por pro­ Para el de Almarail y Rituertillo su anexo, moción de D. Pedro Rascones ai de Rioseco, á vacante por promoción de D. Manuel Perez á caD. Bemardino Zaldombidc, presbítero ex-do- nongía de Burgos, á D. Josef Rodrigo, cura de las m utico. Dombellas. Para el de Monasterio, vacante por promoción …</t>
  </si>
  <si>
    <t>Perez, María GuadaiupeSy Doña María de la Asunción</t>
  </si>
  <si>
    <t>María GuadaiupeSy Doña María de la Asunción Perez</t>
  </si>
  <si>
    <t>dríguez, 20. Martin Fornes, 15. Cristóbal Sala, 11 y 2. Narciso Ño­ ñez , 22 y 4. Antonio Vidal., 20. D. Narciso , D. Tomas, D. Domingo , Don Antomo, Doña María GuadaiupeSy Doña María de la Asunción Perez Guer­ ra, 451 y ó. Francisco Oramas, 20. Guillermo Caumil,'- ISO. José Borras, 10. Atanasio de Vargas, 1S9. Andrés Carazo …</t>
  </si>
  <si>
    <t>Perez, Matías</t>
  </si>
  <si>
    <t>Matías Perez</t>
  </si>
  <si>
    <t>tes para avisar que hai á la vista algao boque D. Antonio Ordoñez. enemigo. D. Francisco Crpero Cuevas. Para señalar una &lt;5 mochas fragatas enemigas, D. Matías Perez. una bo a ó giobo sobre el pabellón. Subtenientes. Para señalar que andan cruzando corsarios ó bar­ cos pequeños enemigos, dos bolas 6 globos encima D. Juan Lópe…</t>
  </si>
  <si>
    <t>Perez, Pascual</t>
  </si>
  <si>
    <t>Pascual Perez</t>
  </si>
  <si>
    <t>io CxOtygz, D- Pedro Meriel, D. Pedro Cortijo, D. Francisco Delirado. y DfFarn&amp;ndo Rosales; los de teniente á D. Joaquín Pardo, Don Aosilpüo Mayoral, D. Pascual Perez, D. Manuel Inostrosa, y Don Ssbíiiiían Sánchez; los de subteniente i D. Facundo Rodríguez, D. Fernandez Camino, D. Joaquín Rubenes, D. Joaquín Peliicei, D. Caye…</t>
  </si>
  <si>
    <t>Perez, Rafael</t>
  </si>
  <si>
    <t>Rafael Perez</t>
  </si>
  <si>
    <t>; Hemos decretado y decretamos lo que sigue : AitTicuLO 1. „Con arreglo á nuestro decreto Capitanes. de 19 de abril del año próximo pasado, se forma­ D. Rafael Perez. rán en los pueblos que á continuación se expresan D. N ¡colas de Avila. los batallones y compañías de miliqia cívica que á D. Francisco de la Torre. cada uno se…</t>
  </si>
  <si>
    <t>Perez, Sebastian</t>
  </si>
  <si>
    <t>Sebastian Perez</t>
  </si>
  <si>
    <t>gaciones con ellos eñótraiáas (a). De lo contrarío Isidora de Sevilla* á D. Sebastian Perez, vicario nuestras esperanza*, maestras quejas no podrán de Pastores. menos de ser vagas é infundadas...... ¡Líbrenos el Y para la vicaría de Guadapero, vacante por cielo de la fatal discord</t>
  </si>
  <si>
    <t>Peries, Firmas</t>
  </si>
  <si>
    <t>Firmas Peries</t>
  </si>
  <si>
    <t>rzas para combatir contra los tur­ mieux, inventor da la pasigrafia, de quien se de­ cos, amenes hacen también por su parte demos­ clara discípulo el conde Firmas- Peries. He aqui traciones de ataque por ]a parte de Bosnia y de uo pasage extractado literalmente de esta obra. Widdin. Si se ba de juzgar por los preparativos „ A…</t>
  </si>
  <si>
    <t>Perora, Jacinto</t>
  </si>
  <si>
    <t>Jacinto Perora</t>
  </si>
  <si>
    <t>Alexmidro del Campo, 12. D. Antonio Montero, 12. D. Juan Flota y compañía, 12 D. Antonio Guerra, 10. D. Rafael Castilla, 10. D. Gerónimo García, 10. D. Jacinto Perora, 10. D. José Pallan, 10. D. Juan Cabrera, 10. D. Juan Iriarte , 10. D. Agustín Costa, 10. D. Agustín Riera, 10. D Rafael Tomas, 10. D. Juan Puig, 10. D. Francis…</t>
  </si>
  <si>
    <t>Perraud</t>
  </si>
  <si>
    <t>203</t>
  </si>
  <si>
    <t>qtte dicen de tí; 31' de longitud ¿ la fragata francesa la Estrella, pero tú eres ttn excelente hombre, y con el tiempo de 44 cañones, mandada por el capitán Perraud, sentareis bien la mano d todos ellos. Los que leen que había salido de Cherboargo hace 6 semanas, el Statesman se acordarán de lo que diximos quany había apresa…</t>
  </si>
  <si>
    <t>Pese</t>
  </si>
  <si>
    <t>dice el poeton Duran, encargado de la execucion del presente decreto, zs, Porque te miran las musas con desdea, Firmados: YO EL REI. =sPor S. M. , el ministro Pese á tu alma , límale holgazán ; secretario de Estado = Firmados Mariano Luis de Que Apolo asi le aplaudirá también, Urqnijo.” Sin tonta sabia todos le verán, Y en su…</t>
  </si>
  <si>
    <t>Peset, Luís</t>
  </si>
  <si>
    <t>Luís Peset</t>
  </si>
  <si>
    <t>Molina , cada año y siempre que ocurra nuevo donativo , 200. D. Francisco Molina , 25. Don Francisco Xavier Molina, 50. Doña Sebastiana Guzman , 100. D. Luís Peset, 25. D. Bartolomé Ballester, 50. D. Ventura Martínez, 10. D. Pedro Bonet, 25. D. Bartolomé Cabrera, 10. D. Gregorio López , 10. D. Lope Menendez, 25. D¡* Silvestre…</t>
  </si>
  <si>
    <t>Pesiroekowt</t>
  </si>
  <si>
    <t>ven para manifes­ dad ai a rreo una carta» con. un paquetito sin cer­ tar hasta qué punto son capaces algunos hombres rar , con este sobreseí ito: Al alférez Pesiroekowt de llevar su terquería y tenacidad, á trueque de en el quartel general del conde Kamenski, gene­ mantenerse en sus empleos. ral en gefe del exército del lado…</t>
  </si>
  <si>
    <t>Pesquera, Juan</t>
  </si>
  <si>
    <t>Juan Pesquera</t>
  </si>
  <si>
    <t>tó esta tropa su buena disposición y deseos de llegar á las manos, con el enemigo , haciéndose recomendables por su celo los comandantes de escuadrón D Juan Pesquera, D. Martin Collado, D. F^ancicco Or rancia , D. Manuel Oviedo y Cosío, D. Matías A í;u ir­ re, D. Ramón Cardona, D. Francisco Goyenechey D José Gabriel Armijo. E…</t>
  </si>
  <si>
    <t>Pesquero, Cristóbal</t>
  </si>
  <si>
    <t>Cristóbal Pesquero</t>
  </si>
  <si>
    <t>D. Cristóbal Pesquero. paredes; la armonía de dos soberbios coros de mú­ D. Manael Iturriaga. sica, y la elegancia de los trages de mas de 30a D. Tomas Locano. señoras que' asistieron, hicieron de este espectácu</t>
  </si>
  <si>
    <t>Pessche</t>
  </si>
  <si>
    <t>o Ja forta­ to-rortei Li'siriesvitsch que atec.ss el campo póí&gt;!é\ leza por mar , al mismo tiempo que la atacaba por flanco derecho , mientras que el coronel Pessche/»-^ tierra un cuerpo raso que vina de Georgrír; «1 qual kií bácia-io-inumo por el izquierdo. Nuestras'tro^ abrió lar Hinchera por. la5 parte del miar.-.Quatro- p…</t>
  </si>
  <si>
    <t>Petan, Jcsé</t>
  </si>
  <si>
    <t>Jcsé Petan</t>
  </si>
  <si>
    <t>ías á D. José Cta.5, O. Cirios S-Jdos y D. Alberto Urbiaa; ayudantía á Don Jtaé Mo-renG; tenencias 3 D. José Mosquera, D.B ¿as Feynador, D. José Vui, D. Jcsé Petan, D. Benito (Grabarre, D. José Pruna, id. Fernando Oríiz, D. Francisco Atonso, D. Antonio VaUscillo, D. José Velas-"ío y, J&gt;. José Armada; subtenencias á D. Santiag…</t>
  </si>
  <si>
    <t>Peteyra, Luis</t>
  </si>
  <si>
    <t>Luis Peteyra</t>
  </si>
  <si>
    <t>e JCerez publicada en el suplemento á la gaceta de la Regen* eia del 24 de agosto próximo pasado, y la correspondencia del arzo­ bispo de Crrmada con D. Luis Peteyra, inserta en el suplemento á la de 14 de setiembre. Se citan estos documentos por públicos y por­ que son con fesión de parte. Los de Xerez se qu jaban de que est…</t>
  </si>
  <si>
    <t>Petril, Máceos</t>
  </si>
  <si>
    <t>Máceos Petril</t>
  </si>
  <si>
    <t>zquez. Acaban-de llegar de la- isla de Corfú tj buques Para el de Foensalída, vacante por muerte de con la noticia de haber entrado en dicha isla con D. Máceos Petril, á D. Demetrio Ramón Moraletoda felicidad la expedición que salió de aquí el da , cura de Lozoyuelal dia 22. En Corfú ha¡ víveres en abundancia; es Para el de S…</t>
  </si>
  <si>
    <t>Philippon</t>
  </si>
  <si>
    <t>el señor canónigo D. Joscf Isidoro Morales y del resaludo, porque durante U batalla hizo una sa­ señor racionera D. A'.gjl María de Guzman; y lida el general Philippon, y demolió las obras de abierta la caxa , y reeouuci los por todos ios docu­ ataque que los ingleses habían construido. De este mentos Jos restos de Arias Mont…</t>
  </si>
  <si>
    <t>l coronel González, y del géfe de esUn comisario de guerra. I quadron Horré, ambos al servicio de $. M. Coronel de attillerí i........ ......... 1 El general Philippon, gobernador de Badajos!, .•Empleados en diferentes ramos luce un elogio particular de la fortaleza de carác­ del servicio....................... 12 ter que mos…</t>
  </si>
  <si>
    <t>l n su quartel Parts 7 He julio. general en Badajoz. Esperamos de uri momento á otro !á relación Noticias oficiales de los exercitos del sitio por el general Philippon, el qual-se ha DE ESPAÑA. cubierto de gloria, y también ia guarnición, pues Exército imperial del Mediodía. la brecha era asaltable por rodas partes. El duque …</t>
  </si>
  <si>
    <t>Philíppon</t>
  </si>
  <si>
    <t>s Santos, donde estaba son dos di­ del mismo dia se adelantó el exército, y recibí una visiones., y que se dirigiesé á Baños y á Plasencia. carta del general Philíppon , gobernador de Bada­ Mi marcha se. retardó por no híber llegado de Ma­ joz , que me coníirrhaba la retirada del enemigo, y drid el equipase de puente, con el …</t>
  </si>
  <si>
    <t>e entre los enemi­ pales hechos que han ocurrido, y suplicar á V. A. go* , mientras que la guarnición los precipitaba á se digne presentar á S. M. al general Philíppon bayonetazos por la brecha: en na momento se lle­ como un sugeto benemérito y acreedor á sus gra­ naron los fosos de cadáveres y de heridos, entre cias ; por mi…</t>
  </si>
  <si>
    <t>Pi, Ramón</t>
  </si>
  <si>
    <t>Ramón Pi</t>
  </si>
  <si>
    <t>tía á D. Andrés Aguirre; tenencias á D. Vicente Olmos, Don Francisco Rica Tillaren!, D. Marcelino Morales, D. Nerbsrto Flo­ res, D. Fernando dei R:o, D. Ramón Pi aillos y D. Antonio Pala­ cios; y subtenencias á D. Cristóbal Julián, D. Tomas de Torres, D. Juan Garasa, D. Lorenzo Martínez, D. José Ortiz, D. Juan B-AIido, y D. C…</t>
  </si>
  <si>
    <t>Pía, Tomas</t>
  </si>
  <si>
    <t>Tomas Pía</t>
  </si>
  <si>
    <t>, De Juan Zubiras y D. Antonio Martínez, 2SI y 2. Jil ayu­ dante mavor D José IIinojosa, 75 y 3. Los subtenientes de compañías Don Enrique del 'Sol, D. Tomas Pía v i). Alexandro Herrera , T69' y 7. EÍ ca­ pel SaiTD.. Felipe Mata, 43 y 6. El médico-cirujano D. Btitasnr Vi11 alóbos, 42 y 4. El capitán de milicias agregado D. An…</t>
  </si>
  <si>
    <t>Pias, Manuel</t>
  </si>
  <si>
    <t>Manuel Pias</t>
  </si>
  <si>
    <t>D. José Morera; les de teniente i D. Antonio García , D-' Mateo Peñaranda, D. Pedro Vizcaíno. D. Tomas Rodríguez, D Pedro García, D. Frutos Bo­ ros, D. Manuel Pias ncia y D. Fado Mera; los de subteniente á D. Martin García, D. Manuel Plaza , D Juan, Domínguez, Don Manuel Paez, D.'Rafael Pato, D. Juan Sánchez Bandito, D. Joré …</t>
  </si>
  <si>
    <t>Piav</t>
  </si>
  <si>
    <t>­ fantería, que se i p sxi¿uaba á las puntas de sur bayonetas, y de ia dhcipH&amp;a do mi caballería, nuevamente te retiraren, y penetrando por oí pueblo d Piav encía, é su salida renovaren por terco a vea. su. romiacion de cuadre-*. Nuevamente se ks obligó é desbece.:,lo y man­ char ;- pvso eargodés sin cesarte femaron por cuaií…</t>
  </si>
  <si>
    <t>Piazuelo, Bartolomé Barbero</t>
  </si>
  <si>
    <t>Bartolomé Barbero Piazuelo</t>
  </si>
  <si>
    <t>i costa agena; traducido d:l Subtenientes. toscano, tercera impresión: un tomo en 8.° en pasta, 7 rs.C=Lícito recreo casero, primera y segunda pirte: D. Bartolomé Barbero Piazuelo. la primera contiene una colección de juegos conocidos D. Antonio Benitez. con el nombre de juegos de prendas, y la aeeimda cuen­ art iv. En Ja vil…</t>
  </si>
  <si>
    <t>Piccpn</t>
  </si>
  <si>
    <t>cab'dlerí* realizaron al enemigo sob-e su c-¡ rpo princip 1 en Coaieix En é:;ta oc. sion se distinguieron ia inf-nterij li­ gara de la división, dei general Piccpn ai mando del coronel Wiiiiums, y el batallón de cazadores número 4 al del coronel Regó. El dia 13 todo el exército francés, á excepción deisgundo cue pp que estaba…</t>
  </si>
  <si>
    <t>Picha, Domingo</t>
  </si>
  <si>
    <t>Domingo Picha</t>
  </si>
  <si>
    <t>cia al subteniente D. Fausto .Lozano, y subtenencia al cadete graduado, de subteniente D. Benito Ximenez : en el de Can' tabria, compañía al ayudante D. Domingo Picha rdo, ayudantía.fd teniente/D. Sebastian de Arcos, y tenencia al subteniente D: Fran­ cisco Granadilla^; y eñ el de Irlanda , tenencia al subteniente, D. José de…</t>
  </si>
  <si>
    <t>Pickernoi</t>
  </si>
  <si>
    <t>tan extraordinario se ha apodera­ comercio. Se dice, esto en confianza, que en Amé­ do de las cabezas de nuestros periodistas! Ellos rica el terrible coronel Pickernoi, que está paga­ nos dicen que Ginebra se ha decidido genetosamendo por la casa de Walsh, Trabcr y compañía, te á entrar en la coalición contra la Francia, para…</t>
  </si>
  <si>
    <t>Picnrdo, Benito</t>
  </si>
  <si>
    <t>Benito Picnrdo</t>
  </si>
  <si>
    <t>ud , 400. D. Esteban Gas'taca y sobrino Vadillo , 300. I). Jorge Montañés. 500. D. Antonio Suris, 200. í&gt;..Domingo Gual, 500. DrAntonio Pizano , 200. D. Benito Picnrdo, 1000. IX- Francisco Escudero, 500. D. Ramón Eguilus, 300. Sres. Somera Hermanos,.500.. D. Serafín Alaix , 300. D. Claudio Itoioero, 500, D. Ramón Romero, ¿00.…</t>
  </si>
  <si>
    <t>Picolomini, Antonio</t>
  </si>
  <si>
    <t>Antonio Picolomini</t>
  </si>
  <si>
    <t>ía. D. Josef Manuel López Sanabria, subteniente, á PLAZA DE MADRID. BOLSA. teniente de la novena compañía. DIA 24 DB JUIIO DH l8ll. 'Décimo batallón. D. Antonio Picolomini, sargento primero, á sub­ Efectos públicos. teniente de la sexta compañía. Vales reales............. ................................ 93i á 94 art. ni. En …</t>
  </si>
  <si>
    <t>PicoTomini, Antonio Benito</t>
  </si>
  <si>
    <t>Antonio Benito PicoTomini</t>
  </si>
  <si>
    <t>ovena compañía, en la vacante de julio de j8ii. = EI general en gefe — Firmado es D. Ventura Cordero. Mariscal duque de Dalmacía. — Por copia confor­ D. Antonio Benito PicoTomini, subteniente, í me. = El general de división , gefe del estado ma­ abanderado, en la vacante de D. Francisco Xa­ yar general del exércitoconde G’aia…</t>
  </si>
  <si>
    <t>Pictoa</t>
  </si>
  <si>
    <t>ion ligera. Entonces pudimos formar las tropas'en la llanura á la otra parte del de? filadc ro : al mismo pasóla tercera división del mando dJ rcryor general Pictoa se formó en las márgenes del pinar en dos lí neas c igualmente 3cbre la derecha : la cuarta división mandada por él rsayor general Colé, formada eri dos lineas en…</t>
  </si>
  <si>
    <t>Picton</t>
  </si>
  <si>
    <t>isión ligera , hacían retroceder con dirección á Cjndeixa sus prin­ cipales fuerzas. — La infantería ligera perteneciente á la división del mando del general Picton , mandada por el teniente coronel Villiams, y los cazadores número 4 á las órdenes del coronel R go , fueren las tropas que principalmente tuvieron parte en esta …</t>
  </si>
  <si>
    <t>y el teniente coronel Eider, se dis­ tinguieron particularmente , como también los batallones de infuutrí* i¡g; ra, pertenecientes i la división del general Picton, y mandados por el teniente coronel Williams, los cazadores número 4 mandados por el coronel R-go , y la artilles íi vaU ite dirigida por ios capitanes R ;ss y Bul…</t>
  </si>
  <si>
    <t>Erskine, había tenido orden de apoderarse de algunas délas alturas situadas inmediatamente sobre la Foz de Arouce, mientras que la división del mayor general Picton se movía á lo largo del camaio real, con el fin de atacar la posición de la izquierda en ei lo^ar y fue­ ra de é. La sexra división á las órdenes del mayor genera…</t>
  </si>
  <si>
    <t>Pictón</t>
  </si>
  <si>
    <t>Slade, debían pasar el Coa por dos diferentes vados, la caballería en la derecha de la división ligera, y la tercera división ó las órdenes del mayor general Pictón, por un vado á su izquierda una milla mas arriba del Sabugal ; la quinta di­ visión, mandada por el mayór general‘Dunlop , y la artillería per él puente del Sabug…</t>
  </si>
  <si>
    <t>opas, y para este fin había ya puesto en movimiento una columna sobre su izquierda, quando la infantería ligera perteneciente á la división del mayor general Picton, mandada por el teniente coronel Wiíliams , y sostenida por la brigada del ma­ yor general Colville, se presentó y rompió su fuego contra el ene­ migo. En este mi…</t>
  </si>
  <si>
    <t>el Willia -ns, del quinto bata­ llo:* y regimiento mira. 60, que mandaba los bata Iones de infante­ ría ligera pertenecientes á la división del mayor general Picton, apo­ yado por los de infantería ligera de la brigada del mayor general iNightingale , que mandaba el mayor Dick del regimiento núm. como asimismo por ios batallo…</t>
  </si>
  <si>
    <t>sus esfuerzos merecían otro re­ to 85.*, mandado por el mayor Macintosh: el destaca­ sultado. mento avanzo hasta el pie de Ja brecha con la mayor „E1 general Picton dirigia las operaciones en Ja iz­ intrepidez y en el mejor orden , á pesar del fuego mui quierda del Guadiana, y el general Houston en la de­ vivo de fusilería y …</t>
  </si>
  <si>
    <t>l, en Villaviciosa y en el puerto, donde se les habia obligado ¿ entrar. Barba. ■ 1 Dichos capitanes do encontraban ni pan ni agua,'ni. 3.a división: general Picton, en Castel-Branco." provisiones de ninguna espfcfcie , y lo mas particular 4.a división: general Colé, en Estremoz. es qpe la ciudad estaba .sitiada por la parte …</t>
  </si>
  <si>
    <t>Piedras</t>
  </si>
  <si>
    <t>and© ti nos so habías refugiado á las barrancas por huir de ios rebe'.des , y que los mas que seguían á csf.es eran forzado.*; pos lo que resolvió ti comandante Piedras no embargar Ies ganados ni demas efectos de les ausentes- ni aun-de los agreg&amp;dos á k$¡ revoltosos y se contentécoa dirigirles proclamas, ex fcoit Indoles ^á.…</t>
  </si>
  <si>
    <t>Pierrard, Smntírgo</t>
  </si>
  <si>
    <t>Smntírgo Pierrard</t>
  </si>
  <si>
    <t>e á su teniente corend agregado D. José Maten, á quien mataron el caballo, núeaírcs que la valiente caballería de Alcántara, mandada por í íi cerón 1 D. Smntírgo Pierrard, practicaba por la derecha igual operación. Las bayonetas de la sección y las espadas de Alcántara vi ni--, roa á un mismo tiempo sobre el enemigo, y eu men…</t>
  </si>
  <si>
    <t>PierTard</t>
  </si>
  <si>
    <t>do ayudar á sus hermanos •en el combate. La ocasión no lo exigía , y sí el que quedasen es­ pectadores : no obstante las excelentes disposiciones del coronel PierTard del regimiento de Alcántara contribuyeron mucho al feliz sii-; ceso del dia. — Altafulla y noviembre 30 de 1810.—Pedro SctrsJield. — Sr. D. José Obispo.” • Alge…</t>
  </si>
  <si>
    <t>Pieton</t>
  </si>
  <si>
    <t>xarso acuchillar ¿ abandonarlas. La coifiducíá del mayor general C. Col villa que en esta ocasión mandaba la infantería por hsber quedado el teniente general Pieton con las tropas del Bodorí , es superiór á todo elogio. — V. E, veri por el detalle que he hecho de. la ecoion , los motivos que teí?go para esfor muy satisfecho d…</t>
  </si>
  <si>
    <t>Pifian, Gregorio</t>
  </si>
  <si>
    <t>Gregorio Pifian</t>
  </si>
  <si>
    <t>Juan Biáz Pcrlier, y te distinguieron en eila los tiradores cántahes. El brigadier X). Federico Castañon con fecha de 14 de este m^s dio parte de que D. Gregorio Pifian , capitán del regimiento de Cangas de Ooii atacó á los enemigos en Llanes, matándoles 7 hombres] é hi­ riéndoles 15 : nosotros tuvimos 3 heridos y un contuso.…</t>
  </si>
  <si>
    <t>Pigem, Isidro</t>
  </si>
  <si>
    <t>Isidro Pigem</t>
  </si>
  <si>
    <t>dores-de Gerona, se apestó.á mediados de diciembre en las alturas de Sarriá. ,A! anochecer distribuyó su 'gente: una partida al mando del subteniente D. Isidro Pigem, pasó Puente mayor y calle del lado:de Gerona: otra al cuidado del sargento (Mariano Colabret, por ía parte de Figúeras : otra por el cabó Crciihet por la iglesi…</t>
  </si>
  <si>
    <t>Pignataro, Nicolás</t>
  </si>
  <si>
    <t>Nicolás Pignataro</t>
  </si>
  <si>
    <t>icas desconcertaron los proyectos del de mimbres pintados de distintos colores. Los mú­ enemigo. sicos de los regimientos han dibnxado cada uno la El sargento Nicolás Pignataro se distinguió en era ó quadro de su j &gt;rdin conforme á la figura de esta ocasión yendo í buscar á nado, expuesto al su instrumento. Las lamillas de es…</t>
  </si>
  <si>
    <t>Píicque</t>
  </si>
  <si>
    <t>os. Los conserges de estos establecimientos serán "Zaragoza a 5 de setiembre. pagados de estos caudales, y sus sueldos formarán Noticia de oficio. El coronel Píicque escribe una de las partidas del presupuesto anual del pue­ de Exea qne el famoso gefe de salteadores Pesw~ blo, y en lo sucesivo serán elegidos por eL maire duro…</t>
  </si>
  <si>
    <t>Píkz, Peéío</t>
  </si>
  <si>
    <t>Peéío Píkz</t>
  </si>
  <si>
    <t>to de infantería Ordenes Militares se ha ¿servido el Consejo de Regencia conferir compañías á D. Jfsé María Celaya y TL Nicolás Guiñaría; tésecciar á D. Peéío Píkz, D. Fran­ cisco Macias y D. * Jaáqúin- Ató';GW«íl«*; ¿úbtenéndas á !&gt;¿*Mannel Quinte, ^.Valentín de 3á Infanta y :Di .José- de la 'Iñfakfei. Eh eí dé infantería de…</t>
  </si>
  <si>
    <t>Pimentel, Diego</t>
  </si>
  <si>
    <t>Diego Pimentel</t>
  </si>
  <si>
    <t>legitimidad por lis­ Subtenientes, tas y demás pormenores de su procedencia , su D. Santos Sabugo. expedirá á favor del tesoro público la correspon­ D. Diego Pimentel. diente carta de pago de lo recibido por mano de! Para ayudante D. Josef Caro. interesado, y una certificación de resto en caso dé art. vil. En ibs batallones d…</t>
  </si>
  <si>
    <t>Pimentel, Mariano</t>
  </si>
  <si>
    <t>Mariano Pimentel</t>
  </si>
  <si>
    <t>, 12. Doña Eulalia Girón , 12 — Guaracorido. La co­ munidad de indios , 280. El alcalde mayor D. Angel Reyes, 25. El re­ caudador de reales tributos. D. Mariano Pimentel por sí y por su tía Doña Cristina,Salís , 2-5. -r- Suriti, El cura Dr. D. José Castañeda, como vecino principal, ademas de io que ha dado por mino de su prel…</t>
  </si>
  <si>
    <t>Pineda, Angela</t>
  </si>
  <si>
    <t>Angela Pineda</t>
  </si>
  <si>
    <t>D. Luis Eiizalde , su apoderado Doa 4 D. Juan Cal tí lio.................................... 4061 8§ .5 Juan Bautista Goitia................. 31500 H Doña Angela Pineda........... ................ ' ' 3SSO 2i-| 10 D. Diego Tórdesillas, su apoderado 3 D. Antonio Fernandez de Córdoba.. 1173 8¿ D. Clemente de Cabía...... .......…</t>
  </si>
  <si>
    <t>Pinedo, Ignacio</t>
  </si>
  <si>
    <t>Ignacio Pinedo</t>
  </si>
  <si>
    <t>la Fuente, Don José Psreyra, D. Antonio T«rrer, D. Francisco Corrales, D. Fiancisco Lomban y á D, Antonio Pravía : subtenencias á D. Tomas Sal­ cedo, D. Ignacio Pinedo, D. Ignacio Chamuia, D, José Rahamonde,' D. Mariano Cadles, D. José María' Montero, D. Tomas de Castro y D. Baltasar Peusan; subtenencias de bandera á D. Diego…</t>
  </si>
  <si>
    <t>Pineí, Francisco</t>
  </si>
  <si>
    <t>Francisco Pineí</t>
  </si>
  <si>
    <t>depósito ; siendo la nuestra un soldado muerto del regimiento del Rey. Se han distinguido por sil mucho va­ lor y acierto el teniente de ai ti l ría D. Francisco Pineí, el alférez graduado de teniente D Juan Romera (lijo- del famoso alcalde de MoatéL’ane, tan conocido en nuestros capeles públicos por el patrio­ tismo é intrep…</t>
  </si>
  <si>
    <t>Piñeíró, Joaquín María</t>
  </si>
  <si>
    <t>Joaquín María Piñeíró</t>
  </si>
  <si>
    <t>baca. Jenta ( D. Josef), teniente de la compañía de in­ Limosnero válidos de S. t defonso. Lachelot ( D. Jorge), cabo primero def regimiento Al señor D. Joaquín María Piñeíró. Real Extrangero. López Calvo ( D. Miguel), cura párroco de Sa- samon. - ■■ Gran cancillería de la Orden Real de España. Marip ( D. Pedro), capitao de t…</t>
  </si>
  <si>
    <t>Piñeiro, Juan</t>
  </si>
  <si>
    <t>Juan Piñeiro</t>
  </si>
  <si>
    <t>Vicente Sánchez; el de primer ayudante á D. Francisco Fer­ nandez, y el de segundo á D. J ay rae Carrera; los de capitán segundo á D. J osé Carriezo, D. Juan Piñeiro, D. Publo Ibero, D. Pascual de la Calle, D. Ignacio Piñena y D. Angel García Salcedo; los de uniente á£&gt;. José Ramón Rodil*, D. Pascual Casal Aideo, D. An­</t>
  </si>
  <si>
    <t>Pini</t>
  </si>
  <si>
    <t>r se publicó aquí la circular signiente tragos el año 1804. Una de dichas carras del 27 de la regencia del Austria i .ferior : de cctubre dice que el doctor Pini y otros facul­ ,,Como se h.n introducido muchos abusos en tativos habian advertido en muchos enfermos de la el modo de trítar los negocios en la bolsa ó lonja plaza …</t>
  </si>
  <si>
    <t>Pinillos, Pedro García</t>
  </si>
  <si>
    <t>Pedro García Pinillos</t>
  </si>
  <si>
    <t>s diferentes interesados reales anuales................................................ 34200 que se expresan á continuación y por las cantidades si- D. Pedro García Pinillos, por 6300 rea­ b Reales vellón. les anuales............................. 63000 D. Arnaldo Desmaissieres............................ 154041.. 2 Rs. vn...…</t>
  </si>
  <si>
    <t>Pinillos, PeJro García</t>
  </si>
  <si>
    <t>PeJro García Pinillos</t>
  </si>
  <si>
    <t>deberá satisfacer á cada D. Joaquín Martina.......................................... 2538-29 uno de estos individuos la pensión que le va señalada, D. PeJro García Pinillos................................. 5463-33 mientras no goce otra renta 6 sueldo equivalente. D. Miguel Antonio Oquendo......................... 3217..16 ar…</t>
  </si>
  <si>
    <t>Pino</t>
  </si>
  <si>
    <t>infiere que Lisboa está Libre Severoli, que viene dei exército de Cataluña, don­ de esta carga, á lo menos momentáneamente. Esta de por ausencia del general Pino ha sido coman­ ventaja es incontestable. Pero lo que conviene dante interino de las tropas italianas. Ha traido considerar ahora es qué ventajas resultan al enemi­ p…</t>
  </si>
  <si>
    <t>Pinta, Manuel</t>
  </si>
  <si>
    <t>Manuel Pinta</t>
  </si>
  <si>
    <t>estando sobre las armas la guarnición, el nú­ de D. Manuel Jorrin al de Santa María de Scpulmero 8.° y la guardia cívica fueron á la catedral veda, á D. Manuel Pinta , cura de Siguero. precedidos de roda la música , donde se cauto misa Para el de Villaverde de Iscar, vacante pot solemne y Te Deum, diciendo nn sermón oportu­ m…</t>
  </si>
  <si>
    <t>Pinto</t>
  </si>
  <si>
    <t>ia primera división mandados por los mayores Bik , Maekdoaald y Aiy ; por el regimiento de cazadores portugueses núm. 6 á las órdenes del te­ niente coronel Pinto, perlas compañías ligeras déla brigada por­ tuguesa del coronel Ckampalimond, mandadas por el coronel Sutton, por las de las mismas tropas de la brigada portuguesa …</t>
  </si>
  <si>
    <t>Pinto, Juan</t>
  </si>
  <si>
    <t>Juan Pinto</t>
  </si>
  <si>
    <t>do de la pérdida del exército del rey. — Infantería: el coman* dante en segundo conde de la Cadena, ei teniente agregado al regi­ miento de la Corona D. Juan Pinto, y 7 soldados muertos ; y 53 he­ ridos y contusos. Ei cirujano mayor del exército L). Jtáíé Sauz , salió! también herido en el pie izquierdo del rechazo de una bal…</t>
  </si>
  <si>
    <t>Pinto, Miriano</t>
  </si>
  <si>
    <t>Miriano Pinto</t>
  </si>
  <si>
    <t>sbítero D. Marianb Castro , 12. D. Juan García de los Ríos*, 16. D. Lorenzo Miranda , 12. D José de la Quintana, 12. D. Gregorio de la Quintana , 13. D Miriano Pinto , 12 D. Antonio Alfaro y José María legarte , 12. D. Isidro Dábalos y D. Domingo León , 12. E&gt;. Ignacio Martínez' y P. Juan 'Otazo , 12. D. Andrés y D. Narciso L…</t>
  </si>
  <si>
    <t>Pintor, Juana</t>
  </si>
  <si>
    <t>Juana Pintor</t>
  </si>
  <si>
    <t>rocedentes del préstamo'de 20 millones, con que sirvió 2 D. Josef Lazameta................ ............ 90240 al Rei el comercia de Madrid en 1805. I Doña Juana Pintor, por real orden libranzas. de 6 dé octubre de 1804, por vía de limosna............... ........................ 768 1 D. Juan Antonio Medina......... . ; 4661 1…</t>
  </si>
  <si>
    <t>Piñuela, Sebastian</t>
  </si>
  <si>
    <t>Sebastian Piñuela</t>
  </si>
  <si>
    <t>de julio , y i.°. Angulo. BIENES NACIONALES. „ Lista y numeración de 1544 certificaciones del tesoro público, lentísimos señores consejeros de Estado D. Sebastian Piñuela, ¡{aportantes 20.324612 reales y 10 maravedís y un noveno de D. Pedro Ramón de Echeverría y D. José!'Ignacio Joven de Savellón, extraídas del arca de. tres …</t>
  </si>
  <si>
    <t>mado — Piñuela. — Echeverría. = Jóven. =5 Espinosa. BIENES NACIONALES. Lista y numeración de 1604 certificaciones del tesoro público, jeros de Estado D. Sebastian Piñuela, D. Pedro Ramón de Eche* importantes 1 1.258094 reales y 2 maravedís vellón, extraídas del vertía , y D. Josef Ignacio Jóven d« Salas para su cancelación; a…</t>
  </si>
  <si>
    <t>Piñuela. — Echeverría. = Jóven. = Espinosa. 1604 11.253094., ; BIENES NACIONALES. Lista y numeración de las cédulas hipotecarias, vales reales, tado D. Sebastian Piñuela, T&gt;. Pedro Ramón de Echevcrn r cédulas de la caxa de descuentos, extraídas del arca de tres Ha- D. Joscf Ignacio Jóven de Salas para su cancelación; j ¡as, '…</t>
  </si>
  <si>
    <t>x8 11. — Firmado = Piñuela. ~ Echeverría. _ Jóven. = Espinosa. BIENES NACIONALES. Lista y numeración de las cédulas hipotecarias, vales reales, tado D. Sebastian Piñuela, D. Pedro Ramón de Echeverría y cédulas de la caxa de descuentos, extraídas del arca de tres lla­ D. Josef Ignacio Jóven de Salas para su cancelación-; y son…</t>
  </si>
  <si>
    <t>Piñuela, Simón</t>
  </si>
  <si>
    <t>Simón Piñuela</t>
  </si>
  <si>
    <t>l de Alcaraz, como marido de Doña Margarita Ximenez del Olmo...... 874-25 Rs. vn. 66000 El colegio de niñas de nuestra Señora de Loreto, por tnano de D. Simón Piñuela. 5815 27..21 art. 11. El tesoro público deberá satisfacer á cada D. Joaquín Martina.......................................... 2538-29 uno de estos individuos la…</t>
  </si>
  <si>
    <t>Pió</t>
  </si>
  <si>
    <t>la Espada, 2000. El regidor D. Juan Crisóstomo Peñalver , por el pre.st de 5 soldados en 6 meses, 270. D. Juan José de. Sotolongo , por sí y su hijo D. Pió, cadete del regimiento de Puebla, 100. Doña María de la Cruz Morales, viuda y aíbacea de ]D. Gabriel de Castro Pa­ lomino, por oferta que este habia hecho antes de su fall…</t>
  </si>
  <si>
    <t>Piqueras, José</t>
  </si>
  <si>
    <t>José Piqueras</t>
  </si>
  <si>
    <t>erno, á fia de que tan buenos servidores de la oatria obtengan las satisfacciones -fique los considero acreedores.” Recomienda también al facultativa D. José Piqueras que ha asistido con infatigable celo á tedes los heridos españoles y franceses, é igualmente al cabo de SgUenz-i Sal­ vador Batanero que se halla incluso en dic…</t>
  </si>
  <si>
    <t>Pirez, Ramón</t>
  </si>
  <si>
    <t>Ramón Pirez</t>
  </si>
  <si>
    <t>retaría de Es­ ESPAÑA. tado. Valencia 2&lt;T de octubre de 1811. Eu nuestro palacio de Madrid á 6 de noviem­ bre de 1811. Aviso al público , firmado por D. Ramón Pirez. Don Josef Napoleón por la gracia de Dios y por la constitución del estado, REI de las EspaEstado mayor.__ Segundo exército. ñas y de las Indias. ,,Habiéndose pro…</t>
  </si>
  <si>
    <t>Piró, Santiago</t>
  </si>
  <si>
    <t>Santiago Piró</t>
  </si>
  <si>
    <t>ería y cadete da Irlanda, los cuatro alum­ nos de k citada acadf-taia, y D. Norato Rabadilla, cadete de Cantabria; y para la subtenencia de bandera á D. Santiago Piró, soldado abito gaido del regimiento de Madrid y alumno de la refa­ cía acauemiü. ' Buques qué Jum recogido correspondencia en la administración de correos de Cá…</t>
  </si>
  <si>
    <t>Pírreno</t>
  </si>
  <si>
    <t>-las 5 de ia mañana de ayer se presentaron los franceses de Momblanch en número de 80 in­ fantes al-pueblo de Sargal, de donde so. llevaron presos al cura Pírreno, y tres individúes de! mismo pueblo. Sabido por .una partida de los CórrocuUs, acudieron para impedir que se acercasen , y á pesar de cuaxtos medios fueron dables:,…</t>
  </si>
  <si>
    <t>Pita, Manuel de Porras</t>
  </si>
  <si>
    <t>Manuel de Porras Pita</t>
  </si>
  <si>
    <t>por el prest de un soldado en 6 meses, 54. Francisco Segura, sargento primero de granaderos de milicias , por el prest de un soldado en 6 meses , 54, D. Manuel de Porras Pita, cadete délas compañías de infantería ligera, á cuenta de 100 pesos que ha ofrecido, 30. Antonio Acosta, sargento de dichas com­ pañías, por 4 meses de …</t>
  </si>
  <si>
    <t>Pitilla, José López Juana</t>
  </si>
  <si>
    <t>José López Juana Pitilla</t>
  </si>
  <si>
    <t>ta por el reglamento aprobado por las Cortes generales del reyno. Se compone hasta el día de ios señores D. Vicente García, nombrado viré-presidente, D. José López Juana Pitilla, intendente de la pro'vinera., D José E adio Garces, D. Lucas García Gutiérrez, D. Da­ mián A cocer, D. Joaquín Verdugo y D. Matías Sauca, nombrado s…</t>
  </si>
  <si>
    <t>Piúeiro, Antonio</t>
  </si>
  <si>
    <t>Antonio Piúeiro</t>
  </si>
  <si>
    <t>. Andrés de Abrisqueta.............. 54i *7 drigo........................... ....... ...... . D. Lorenzo Recacoechea............... 59758 3a 929? *5f D. Antonio Piúeiro, marque* de El real colegio de Avapies............. “73 8f Vendada...................................... 60964 2 J D. Manuel Sardina..........................…</t>
  </si>
  <si>
    <t>Piugóc</t>
  </si>
  <si>
    <t>, et brick ingles Orion, cargado de másti­ esta acción brillante. También son dignos de elo­ les, bordage y duelas, apresado por los corsarios gio el capitán Piugóc y los teoientes Rateau (et Dorada y Molenaire. qnal cogió 30 prisioneros, y mató por so propia EL 16 se perdió junto al cabo de Belle-Isle una mano á tres insurge…</t>
  </si>
  <si>
    <t>Pizarro, Antonio</t>
  </si>
  <si>
    <t>Antonio Pizarro</t>
  </si>
  <si>
    <t>tillera posición , y el enemiga se retiró inmediatamente por escalones en diversas columnas. Nuestra pérdida fúé de 9 muertos , in­ cluso e: te :cn:e D. Antonio Pizarro; 8 heridos con el coronel de Borbon , u«í c; pi-an y un teniente del mismo, y 11 prisioneres. De caba­ llos tm imer 9 muertos, 6 prisioneros y 3 extraviados. …</t>
  </si>
  <si>
    <t>PJau, Salvador</t>
  </si>
  <si>
    <t>Salvador PJau</t>
  </si>
  <si>
    <t>1191 tires Lima, D, Jáan Antonio Gil, D. Salvador PJau , D. José Manri£b&gt;, D. Rimon Lanza, D. Agustín Magi Domenec, D. Juan Ma­ nuel Suero y D. Isidro' Parrado; los de subteniente á D. Bernardo Cohniro, D J mn La*o Policarpo, D. Juan Corvera, D.</t>
  </si>
  <si>
    <t>Pjrilar</t>
  </si>
  <si>
    <t>de mayo que 2500 franceses que se reunieron para entraren Liébana, retrocedieron rá­ pidamente para Valladolid. Una partida de tropas del comandauíe general Pjrilar que salió de las Bavias, escoltando una remesa de mu­ niciones á Potes, fué atacada por 200 franceses de infantería y 60 caballos; y sin embargo de que la escolta…</t>
  </si>
  <si>
    <t>Planafarrana, Francisco</t>
  </si>
  <si>
    <t>Francisco Planafarrana</t>
  </si>
  <si>
    <t>igualmente les capitanes D. Juan Obrador, D. Mariano Duran y D. Pedro Plandiura; los tenientes D. Salvador Frígola y D. Pedro Costa, y él subteniente D. Francisco Planafarrana. Cuenca y febrero 28 de i&amp;j1. (Carta farticular del Empecinado.') «t Muy señor mío y amigo: en el dia 23 fueren noticiosos los fran­ ceses por un espía…</t>
  </si>
  <si>
    <t>Plancho, Manuel González</t>
  </si>
  <si>
    <t>Manuel González Plancho</t>
  </si>
  <si>
    <t>onzález, 600. I). Bernardo Salceda, 600. D. José San Juan, 600. D. Manuel Gutiérrez de Caballos, 600. D. Manuel de Olea, 500. Mozos de tas tiendas. — D Manuel González Plancho , 500. D. José Gó­ mez Soldado, 300. D. Antonio Tagle , 300. D. José del Rivero, 200. D. Ma3uu-[ Salceda, 200. D. José Candido Sánchez , 300. D. Juan G…</t>
  </si>
  <si>
    <t>Planos, Antonio</t>
  </si>
  <si>
    <t>Antonio Planos</t>
  </si>
  <si>
    <t>do, doxando lo ca­ dáveres y algunos prisioneros en nuestro poder: por nuestra parte solo tuvimos un dragón muerto. liscomícnda A mirada al capiían ' D. Antonio Planos , al administrador de correos 1). Manuel Domin­ go Paalin, y á los paisanos D. Mariano Ncgrete.y 1). S ba:í.ua García que lo acompañaron de voluntarios ch esta…</t>
  </si>
  <si>
    <t>Platow</t>
  </si>
  <si>
    <t>s los dios de poaer en execacíon esta providencia. eneraíes conde Kamenski, MarJcow y St.-Priest. Se continúa el interrogatorio del asesino Sch- S 11 general Platow, gefe de los cosacos, ha vuelto meerfeeldt; pero á pesar de la impaciencia del pú­ al exército. blico , nada se ha publicado de oficio acerca d« Del 10. este part…</t>
  </si>
  <si>
    <t>Plau, Juan</t>
  </si>
  <si>
    <t>Juan Plau</t>
  </si>
  <si>
    <t>teniente ritus débiles, ó qae carecen de luces y conoci­ de la quinta compañía del segundo batallón. mientos, y cuya solemne declaración puede acaso D. Juan Plau á subteniente de la primera com­ influir notablemente para arrancar de raíz las se­ pañía del primer batallón. millas de la discordia, qne sobradas veces ha afli-* D…</t>
  </si>
  <si>
    <t>Plaza, Manuel</t>
  </si>
  <si>
    <t>Manuel Plaza</t>
  </si>
  <si>
    <t>D. Pedro Vizcaíno. D. Tomas Rodríguez, D Pedro García, D. Frutos Bo­ ros, D. Manuel Pias ncia y D. Fado Mera; los de subteniente á D. Martin García, D. Manuel Plaza , D Juan, Domínguez, Don Manuel Paez, D.'Rafael Pato, D. Juan Sánchez Bandito, D. Joré Birrientos, D. Joaquín Cárdeno, O. Calixto Ximenez B cerra y I). Valentín G…</t>
  </si>
  <si>
    <t>Pliáfro, Andrés Rodrigue</t>
  </si>
  <si>
    <t>Andrés Rodrigue Pliáfro</t>
  </si>
  <si>
    <t>la qual podrán caber hasta 40 navios. Nombramos para la referida sacristía al presbí­ ,, La esclusa de Ostende está concluida , y de tero eX-fegnlar D. Andrés Rodrigue* Pliáfro. ella resulta macho bien al puerto: la de Dunquer- Nuestros ministros de Negocios eclesiásticos y que estará corriente á fin de año: la del Havre es­ …</t>
  </si>
  <si>
    <t>Plicy</t>
  </si>
  <si>
    <t>nfluencia para que después de derrotado el exército de Campohacer que sean arrestados varios individuos de él, Verde, intentaban escapar por allí. El coronel Plicy según el tono y el ascendiente que va tomando, que, ayudante de la gendarmería, persiguió repe­ puede creerse que mui pronto se alzará con el po­ tidas veces con b…</t>
  </si>
  <si>
    <t>Plique</t>
  </si>
  <si>
    <t>ñas de la de Francia , entregó también al REÍ uaa carta de Cataluña superior, con intención de sublevar algu­ su Soberauo. nos partidos de Aragón. El coronel Plique fue el Uno y otro tuvieron el honor de comer coa 3 de enero á reconocer la posición de los enemi­ S. M. , ’ ‘ gos: estos en número de joo hombres, teaúdádos por'S…</t>
  </si>
  <si>
    <t>Plumilron, Axel</t>
  </si>
  <si>
    <t>Axel Plumilron</t>
  </si>
  <si>
    <t>En el del Príncipe , á las siete de la noche , se re­ Mr. de Monlgomeri, capitán de húsares, presentará por la compañía española la comedia en Mr. el conde Axel Plumilron, sueco, tres actos titulada los Gemelos,y se concluirá con un Mr- de Tibell, mayor general al servicio del divertido sainete. Reí de Suecia, Mr. el conde Ad…</t>
  </si>
  <si>
    <t>Pmsonid, José María</t>
  </si>
  <si>
    <t>José María Pmsonid</t>
  </si>
  <si>
    <t>n González , teniente cura , 25. D„ Vicente Solanilla, sacristán mayor , 4. D Francisco Xavier ttuiz , presbítero ,• 10. 1). Tomas Yangucz , id. , 4. D. José María Pmsonid , 25. D José Amo­ nio Masias , id., 4. Fr. Domingo Sampelayo , prior del convento de Sun Juan de Dios , 10. D. Antonio Cipriano Jaén , cura de Antón , 25. …</t>
  </si>
  <si>
    <t>Pobla, José Vicente</t>
  </si>
  <si>
    <t>José Vicente Pobla</t>
  </si>
  <si>
    <t>eban de Requena , 10. Agregado / el capitán D. Gerónimo Horruytiner/ 12. — Tlllál cuerpo'de artiO/ería. J1); Baltasar García , capitán segundo , ÍOO. D José Vicente Pobla­ ciones , subteniente., 100.- D. Manuel de Mediavilla , guarda-almacén ordi­ nario , 100. D,. Domingo Liergo, distinguido , 10. D: Ignacio Gómez, dis­ tingu…</t>
  </si>
  <si>
    <t>Poblaciones, IX Leandro</t>
  </si>
  <si>
    <t>IX Leandro Poblaciones</t>
  </si>
  <si>
    <t>Á los 'gastos de 'la guerra que, sostiene la nación española contra Na­ poleón Bonaparte. " . . Estado mayor de la, plaza. Comandante* el teniente de rey IX Leandro Poblaciones , 500. ps. ís. 'Sargento mayor, el teniente coronel D. Juan de Ojeda, 200. Ayudante mayor , el capitán D. Juan Esteban de Requena , 10. Agregado / el …</t>
  </si>
  <si>
    <t>Pocierta, Consrautino</t>
  </si>
  <si>
    <t>Consrautino Pocierta</t>
  </si>
  <si>
    <t>te año será doblo Parts 2$ de abril. del que bai ahora. Algunos de estos alumnos se mantienen í expensas de S. M,, y otros pagan Hat» llegado aquí el príncipe Consrautino Pocierta pensión; pero no se hace distinción ninguna ciatnwski y el príncipe Constantino Cratowinski. entre los nebíes y ios que no lo ron: todos lucea EL d…</t>
  </si>
  <si>
    <t>Podier</t>
  </si>
  <si>
    <t>nto, se retiraron precipitada­ mente , dexa-ido en nuestras manos varios de sus heridos, y víveres para subsistir el exército 3 dias. La división del general Podier, del séptimo exército, se apoderó el 14 del pasado de la ciudad y fuertes de Santander después de nn /'nmKof» 1 a «A’t.-» Cs_* X-» J itto.'lrt ^ nn VJ'l rt 1.1 ■ …</t>
  </si>
  <si>
    <t>Podio</t>
  </si>
  <si>
    <t>el ; y empleos de ayudantes primeros á ios segundos ,D. F.: ante seo Mcnñwil ./D. Antonio Q-droga,, graduado du te siente coronel, Biái Jc-áé R¿vsrt, D. Podio. Laiap-srez , graduado do teniente cbroiie?, y D. Juan Dez. CADIZ : E® LA IMPRENTA REAL. ..y</t>
  </si>
  <si>
    <t>Poiik, Roseado</t>
  </si>
  <si>
    <t>Roseado Poiik</t>
  </si>
  <si>
    <t>d y bizarría en su colocación respectiva, y se han cubierto de gloria; pero debo por honor á la justicia reco-nen Air á V. S. á mi segundo el corone! D. Roseado Poiik r, al teniente co­ ronel de dragones de España D. Francisco Rodríguez, que heroica­ mente, y á la cabeza del cuerpo de dragones que mandaba, atacó toda la reuni…</t>
  </si>
  <si>
    <t>Poíous, Juan</t>
  </si>
  <si>
    <t>Juan Poíous</t>
  </si>
  <si>
    <t>lón del regijmesto de B irgos, y ambos cuerpos cumplterou perfectamente mis encaraos, dirigidos por el segundo ge ib d:i estado mayor, el briga­ dier D. Juan Poíous. Ea esta situación esperaba la noche, que llegó muy en brnv.1*, y á poco mas de las 8 empecé á execntar el hk.v entente de ¡crinada del exército. La principiaba l…</t>
  </si>
  <si>
    <t>Póitugal, Ouofré</t>
  </si>
  <si>
    <t>Ouofré Póitugal</t>
  </si>
  <si>
    <t>ra?. Don Pedro Anuida, mariscal.’ D. Manuel Sasta M-ría,.mariscal. D. Frarrebeo L^nzagorta, mariscal. D. Vicente Valencia, director de 'in­ genieros; D. Ouofré Póitugal, brigadier. D. Juan B iribú Carrasco, 'brigadier. D. José Salios Villa, coíenel. D. Pedro Leen, m^yor de plaza. D. Ignacio Garuargo, mariscal. U. Mariano Hida…</t>
  </si>
  <si>
    <t>Pole</t>
  </si>
  <si>
    <t>mento de Irlanda de 1793 , que prohibe to­ gan por’ el noble conde. En quanto á la partida, da reunión pública, cuyo objeto sea ocuparse y. dixo, del secretario Pole, puedo asegurar á la cár tratar de asuntos políricos. Es tan importante es­ mata que su viage á Irlanda no ha tenido absolu­ te acontecimiento, y va acompañado d…</t>
  </si>
  <si>
    <t>cxercicio de sus de­ „ Tengo el honor de ser con el mayor respeto rechos incontestables.” vuestro mas humilde &amp;c. refirmado =sFrench.= Al mui ilustre secretario Pole.” Correspondencia del lord French y de Mr. Pole. En consecuencia de lo que se ha manifestado Palacio de Dublin 24 de febrero de 18IT d positivamente en la asambl…</t>
  </si>
  <si>
    <t>Pole, Welleslei</t>
  </si>
  <si>
    <t>Welleslei Pole</t>
  </si>
  <si>
    <t>de alimen, tar y echar leña. Su señoría concluyó pidiendo qnn Sesión del 18 de febrero. se presentase á la cámara una copia de ona carra circular del secretario Welleslei Pole , fecha en el. El conde de Moira se levantó y dixo que es­ palacio de Dublin á 12 de febrero de 1811. taba persuadido que todos los nobles lores habían…</t>
  </si>
  <si>
    <t>Polo, Antonio</t>
  </si>
  <si>
    <t>Antonio Polo</t>
  </si>
  <si>
    <t>ía. frente de este cuerpo , recomendable por su patrio­ Nombramos para comandante de esta milicia á tismo y gallardía , el qnal llevaba sus banderas, D. Antonio Polo; para ayudantes á D. Antonio del que debian bendecirse aquel dia mismo. Rio y D. Antonio Vargas, y para abanderado á A la hora señalada, en medio de la alegría d…</t>
  </si>
  <si>
    <t>Polo, Mariano Miguel</t>
  </si>
  <si>
    <t>Mariano Miguel Polo</t>
  </si>
  <si>
    <t>mbra­ do S. A. para ayudantes mayores primeros de’ los expresados bata­ llones 2.° , 3, 4.® y 6.® á los tenientes del referido cuerpo de in­ genieros D. Mariano Miguel Polo , D, Pudro de la Cautoltá, Don Francisco Preysler y Moreno, y D. J[osé Segundo Izquierdo. Eí Consej o de Regencia s* ha servido conferir ea• el 'regiaaiea…</t>
  </si>
  <si>
    <t>Polo, Ramón</t>
  </si>
  <si>
    <t>Ramón Polo</t>
  </si>
  <si>
    <t>manteniéndolos de este modo indecisos en: la espectativa de mis movimientos. Para esto'dispuse una corta expedición á Moguer al mando del bri­ gadier D. Ramón Polo, compuesta de 2 batallones de granaderos y cazadores reunidos , el primero á las órdenes del sargento mayor Dota Lorenzo Calvo, y el segundo á las del teniente cor…</t>
  </si>
  <si>
    <t>Pompeya</t>
  </si>
  <si>
    <t>pub icarse una guia para los viage- tencia del carbón de tierra?" ros, ó u» itinerario descriptivo de las ruinas de Las memorias deberán remitirse al secretario Pompeya ,.de Herculano y de Pesto, por el abate de la academia antes del 15 de m .yo de 1812, ■Domingo Romarieni. ll.icia ciertamente falta un con una carta cerrada, …</t>
  </si>
  <si>
    <t>Pon</t>
  </si>
  <si>
    <t>1010</t>
  </si>
  <si>
    <t>ente la Ru« sia se niega á seguir el sistema continental, y la guerra con Francia parece inevitable* El regimiento quinto de dragones, mandado por él coronel Pon* sonby, d ó la Ve-a de Spilhead c&lt; n varios destacamentos de reclutas para el 79, el 92 y ot es muchos regimientos del exército del lord VV cllington. No tardará en …</t>
  </si>
  <si>
    <t>Ponce, Francisco</t>
  </si>
  <si>
    <t>Francisco Ponce</t>
  </si>
  <si>
    <t>so que su precipitada fuga, dexando en las calles 8 muertos, y conduciendo porcien de heridos; habiéndole sido levemente el subteniente de mi partida D. Francisco Ponce, y muerto un granadero. Dios guarde á Y. E. muchos años. Y anquera 6 de diciembre de 1811. — Excxno. Sr. — Benito Pelli. — Exeme. Sr. D. Francisco Ballesteros…</t>
  </si>
  <si>
    <t>Ponce, Juan Mana</t>
  </si>
  <si>
    <t>Juan Mana Ponce</t>
  </si>
  <si>
    <t>n se han dirigido á Lion, donde uno solo se ha que­ Fernando Osorno,' y el'ihlterino de Extremadura dado enfermo en el hospital: los otros 67 sjguett D. Juan Mana Ponce. disfrutando de la mejor salud , y han continua­ La confianza que se manifiesta al conde de Mon­ do su camino á'Chalón*, donde llegaron el dia taren es debida…</t>
  </si>
  <si>
    <t>Poniatowki</t>
  </si>
  <si>
    <t>o mayor; el seño* de, y el fin de fiesta el Alcalde tonto discreto. Actores en la comedia. Señoras García, Maqueda y Torres. Se­ Beszimki, edecán del príncipe Poniatowki, y el ñores Ponce, Caprara , Avecilla, Suarez y Fabianí. señor Mathuszewic, consejero de Estado del du­ En el de la Cruz, á las cinco de la tarde, se execado…</t>
  </si>
  <si>
    <t>Poniatowski</t>
  </si>
  <si>
    <t>Madrid 4 2 de mayo. SAXONIA. Los días de S. M. la Reina bao sido anuncia­ Dresde iS de abril. dos con una salva de artillería, que se ha repetido El príncipe Poniatowski ha llegado aquí con 8 durante el dia: ha habido gran gala con uniforme; oficiales polacos, y un acompañamiento imii nu­ y por la noche se ha iluminado la vil…</t>
  </si>
  <si>
    <t>Poníatowski</t>
  </si>
  <si>
    <t>mo también una gran canti­ Dresde 8 de setiembre. dad de géneros del Báltico, como barras de hier­ ro, sebo, velas, cola de pescado, Lona, cáñamo» El príncipe Poníatowski ha llegado á Dresde, lino, cera &amp;c. y ha pasado inmediatamente.al palacio de Pilnitz, donde S. M. le recibió con el mayor agrado. El TRANSILVANIA. dia 1© de…</t>
  </si>
  <si>
    <t>Póniatowski, Josef</t>
  </si>
  <si>
    <t>Josef Póniatowski</t>
  </si>
  <si>
    <t>mayo. En conformidad de lo dispuesto por el Excmo. Sr. S. M. el Emperador ha ido hoi í caza. El gran tesorero de la Orden Real, están tomadas en esta príncipe Josef Póniatowski y el conde Kaas han administración general de Madrid las medidas oportu­ tenido p&gt;&gt;r la primera vez el honor de cazar en nas para satisfacer á los cab…</t>
  </si>
  <si>
    <t>Ponsombi</t>
  </si>
  <si>
    <t>dominante , y no se quería neros algunos hombres de un destacamento de mi­ que los ministros de esta experimentasen perjuicio licias , mandado por el teniente coronel Ponsombi, t.i sus emolumentos por la tolerancia de otras. La que habia salido de Abrantes para reconocer la ri­ constitución, que establece el exercício libre d…</t>
  </si>
  <si>
    <t>Pont</t>
  </si>
  <si>
    <t>la muerte de un hijo del mismo, que exemendo fun­ ciones de comisario, pereció victima de lo imprudencia á mares de la tropa que mandaba el referido coronel Pont, hará coja de 10 u 11 mer.es. No puedo convencerme de que V. JE. autorice unos actos tan vio­ lentos como contrarios al derecho de la guerra, pues fuera de que los c…</t>
  </si>
  <si>
    <t>Ponte, Nicolás Llano</t>
  </si>
  <si>
    <t>Nicolás Llano Ponte</t>
  </si>
  <si>
    <t>Arríe­ te y D. Tomas O -Col gañí , á mi asesor D. Pedro Ruado Sánchez, y al comandante general de ardil'ría I). Luis Mencndez. El tenien­ te genera!, D. Nicolás Llano Ponte . y el brigadier í). Francisco Mangíano, subinspector de este exéreito, se conservaron constan­ temente á mi lado. Manifestaron las mejores disposiciones …</t>
  </si>
  <si>
    <t>Pontero, Rosa de Siman</t>
  </si>
  <si>
    <t>Rosa de Siman Pontero</t>
  </si>
  <si>
    <t>real colegio de Avapies............. “73 8f Vendada...................................... 60964 2 J D. Manuel Sardina.......................... 3068 Doña Rosa de Siman Pontero...... 810 D. Ramón de Arana....................... 20559 8f Doña Juana de Muga.................... 900 D. Guillermo Uhagon.................... 6coo D. …</t>
  </si>
  <si>
    <t>Pontero, Rosa Simón</t>
  </si>
  <si>
    <t>Rosa Simón Pontero</t>
  </si>
  <si>
    <t>os Jo 42637 x7 siguiente •. D. Julián Ruiz de Rcasal......... 21Ó0 D. Miguel Antonio de Oquendo... 176250 articulo i. uSe declaran acreedores del es­ Doña Rosa Simón Pontero............. tado á 69 5 23 D. F rancisco Amorós.................... . 12003 28 Rs. de vn. D. Gaspar García........................... 3500 D. Luis Gabal…</t>
  </si>
  <si>
    <t>Ponton, Cayetano</t>
  </si>
  <si>
    <t>Cayetano Ponton</t>
  </si>
  <si>
    <t>ses de su oferta mensual durante la guerra, 0-1. D. Manuel Basilio Botan-, eourt, oficial primero de la administración general de rc-ntas.de mar, ¿8. D. Cayetano Ponton, escribano publico, de orden del enpitan general en-: tregó el resto del depósito para el traft-sp'orre. de las familias pobres de fiante» Domingo, 127. D. Ju…</t>
  </si>
  <si>
    <t>Poquis, Alejandro</t>
  </si>
  <si>
    <t>Alejandro Poquis</t>
  </si>
  <si>
    <t>isco Elias, escribano del juzgado, 83 y 2 y medio. D. José da Echa* arria, oficial de id., 95. D. Justo Mesdoza y Toledo , cobrador , 33 y 2 y medio. D. Alejandro Poquis , intérprete , $ y 2 y medio. Pablo García , procurador del número, 33 y 2 y medio. Vi-' cente Ninahiica , id., 33 y 2 y m dio. Isidro Viica, id. supernumera…</t>
  </si>
  <si>
    <t>Por</t>
  </si>
  <si>
    <t>nos cañonazos que el ter­ reno permitía dirigirles, se logró rechazarlos, obligando á los que no murieron á escapar á carrera tendida. Entre tanto el brigadier Por-, livr atacó el fuerte de la columna enemiga con un denuedo extraor­ dinario, consiguiendo hacerla huir, persiguiéndola, sostenido por la división auxiliar, hasta …</t>
  </si>
  <si>
    <t>Gaceta de Madrid n.º 98</t>
  </si>
  <si>
    <t>acha. y repique geoeral de campanas. Los oficiales y los soldados han sido convidados á na batí tueve que ESP A. se les ha dado en nombre de la cittd-d. Por el mal Madrid t de abril. estado en que se hallaban los quarteles del castillo, Extracto de las minutas ds la secretaría de Estado. se han alojado interinamente los so'da…</t>
  </si>
  <si>
    <t>dad de S. M., y de quantos tienen el ho­ perando á pie i S. M. el arzobispo y canónigos di­ nor de acompañarle. putados del cabildo metropolitano; él comandante Por decreto de ayer, dado en esta ciudad , el de la plaza, que presentó las llaves de ella á S. M.; REI ha nombrado caballeros de la Orden Real de el corregidor y mun…</t>
  </si>
  <si>
    <t>l fuerte de O iva. españoles d&gt;. xaron en el campo de batalla 300 hombres muertos, y tuvieron mas de 600 heridos. Parte remitido por el conde Snchet, comandante Por nue-tra parte tuvimos too hombres entre en gefe del exército de Aragón , d S. A. S. el muertos y hetidos. príncipe de Neitfdintel, mayor general. En la tarde del …</t>
  </si>
  <si>
    <t>mente 24000 hombree. L* fuerza de las tropas y partidas patrióticas que discurren por esta parte de C estilla la-vieja, desde Soria hasta la frontera d Por­ tugal por arabas márgenes del Duero, asciende, según cálculo mo­ derado , ú 5000 hombres de infantería y otros tantos de caballería, En esta suma se comprehenden, ademas …</t>
  </si>
  <si>
    <t>Por, A</t>
  </si>
  <si>
    <t>A Por</t>
  </si>
  <si>
    <t>r----- D. R. ¡ Qué rae dice vmd.! Yo creía D. R. Bueno va : allí está el centro del go­ que todo ¡!&gt;a perfectamente...» En las cortes hai bierno----- D. A Por f. 11 tuna supe que habia un hombres de tomo y lomo, y talentos que se pier­ amigo nuestro , D. Z.ic.rías , en las cortes : le es­ den de vista; jigo empiezan á extravi…</t>
  </si>
  <si>
    <t>Poríier</t>
  </si>
  <si>
    <t>s y heridos de fuera. Hoy han dicho que á Talayera habían llegado 150 de estos ú Timos. — So confirma la evacuación total del principado de Asturias. brigadier Poríier se halla en Potes con 4000 hombres. Del 5 de julio. Las partidas de país iotas co:itiiúm alarmando é incomodando á les franceses. Una de el'as llegó la meche d…</t>
  </si>
  <si>
    <t>Poriier</t>
  </si>
  <si>
    <t>acto de una carta de Santo ña fecha el 16 á las 9 de la noche. — Ua cuerpo de 7QÓ * 800 infieles y. alputa caballería, perteneciente á la diviskm del brigadier Poriier, después de andar 8 leguas én la noche del 13 al l4 del corriente, llegó á las 4 y media de la mañana á Santander , y sorpreheudiéndo y matando los oéntinelas …</t>
  </si>
  <si>
    <t>Porlier</t>
  </si>
  <si>
    <t>de campo D. Mariano de Renovales. La expedición fon­ deo el 17 en Gijon á tiempo que un cuerpo de españoles , mandado, ftegun se supo después, por el brigadier Porlier, combada con otro francés en las cercanías del pueblo. Lo íiierte del viento int pidió ;que desembarcasen las tropas Hasta el 18, guando ya habían evacuado á G…</t>
  </si>
  <si>
    <t>127</t>
  </si>
  <si>
    <t>lleguen todos los soldados que se han separado desús cuerpos, líe presenciado por mí mismo el vigoroso ataque que hizo so­ bre la columna enemiga el brigadier Porlier, el qual se ha cubier­ to de gloria. Todas sus tropas se han portado como yo podía de­ sear. Debo hacer de ellas los mayores elogios , y particularmente de la c…</t>
  </si>
  <si>
    <t>asta que los gefes le obligaron á retirarse , y D. Cayetano Suarez de ía Vega , que quedó herido y prisionero. En la-segunda divi­ sión del mando del brigadier Porlier se distinguieron, sú caballería, el coronel de está D. Juan José de Riva, el cabo primero Antonio Es­ canciarlo, los capitanes D. Felipe Mazas y D. Francisco L…</t>
  </si>
  <si>
    <t>ificaciones hechas muy de antemano. Por mi parte, habiendo reunido el batallón de Miceda, la tropa disponible de la división cántabra ma idada por el brigadier Porlier , y como unos 400 hombres que tra'xo consigo para esta expedición el mariscal de campo Renovales, hice en el dia 20un amago por el Fresno sobre Grado, "en cuya…</t>
  </si>
  <si>
    <t>t iteres. Santiago 4 de diciembre. -— Noticias de Asturias. — El 23 del mas pisado ocupaban ¿ Vslíavicioaa las■ tropas • del general M diza ;al, y ei brigadier Porlier so dirigía ai latíoste. El mismo día se hallaba el partidario D. Francisco Lcnga en S. Vicente dc Aaranzo, distante 6 leguas «le Santas-der, con 2000 ílUíúis ■…</t>
  </si>
  <si>
    <t>Porlier, D Juan Díaz</t>
  </si>
  <si>
    <t>D Juan Díaz Porlier</t>
  </si>
  <si>
    <t>e la atención re V. ü., per la Celeridad y expedición en circular mis .órdenes. Quartel de Fez 27 de ncbiembre ele i8iO: — Federico Castañon. ”. ‘ El brigadier D Juan Díaz Porlier, Comandante general de la di vi sion cántabra , ha dirigido al misrno general Losada el parte que sigue: J C{Para verificar el ataque propuesto con…</t>
  </si>
  <si>
    <t>Porlier, Juan Diaz</t>
  </si>
  <si>
    <t>Juan Diaz Porlier</t>
  </si>
  <si>
    <t>e­ neral eñ gefe D. Nicolás Mahy , recomendándole los militares, que se­ gún las relaciones individuales de los brigadieres D. Pedro de la Bar­ cena, D. Juan Diaz Porlier y conde de Priegue, comandantes délas divisiones de suexército, se distinguieron en la acción de'Grado de 29 de noviembre. — En la división del i.° , el pri…</t>
  </si>
  <si>
    <t>Porlier, Roseado</t>
  </si>
  <si>
    <t>Roseado Porlier</t>
  </si>
  <si>
    <t>s de ¡a Y ga, teniente D Mui’ad G &lt;víe ar­ roz •t'-' ios Res, a fj. z D. B tsilio Ro.lr-guez, y subv.-nioníe D Nirc s&gt; S nt; ai ayudante de ea upo de D. Roseado Porlier, D. J.*,é M na B.í t’a , de dragón *s de Eipafbi; al voluntario distinguido D J lia J • tice . que *drve por íio-:-.or y á kus expensas, y al cura de Tula D. …</t>
  </si>
  <si>
    <t>Porlkr, Rosendo</t>
  </si>
  <si>
    <t>Rosendo Porlkr</t>
  </si>
  <si>
    <t>s de^inquietud; que había en la provincia de Htichapai?, jefa 4 del mismo ?ni?S , y reviéndosele aquella noobe en S. Juan de' Rio el cipitan de navio D. Rosendo Porlkr con 2 batallones y 6 pi zas de artiíierír, roa chó áQuetétarq, donde eptró la mañana del 16. El 20 salió para Celaya, donde supo que en la villa de Aeambaro se</t>
  </si>
  <si>
    <t>Porras, Antonio</t>
  </si>
  <si>
    <t>Antonio Porras</t>
  </si>
  <si>
    <t>enemigo, como en efecto lo fue : ci que leuniio en el puerto de Valdeptñvs con I03 refuerzos de Iufantes, Almagro y Manzanares con mas la partida de D. Antonio Porras, compuerta como de SO caballos mentados por españoles y mandad os por el in­ fiel y renegado D. Pedro Vclasco, gasó á intentar sia duda una sor­ presa sobre mi …</t>
  </si>
  <si>
    <t>Porras, Antonio Gómez</t>
  </si>
  <si>
    <t>Antonio Gómez Porras</t>
  </si>
  <si>
    <t>D. Francisco Eugenio del Corral, 100. D. Pedro de Hoyos, 100. D. Ildefonso del Corral , lOU. D. José González de Rueda , 60. D. Juan Diaz Cosío. 10Q. D. Antonio Gómez Porras, 100. D. Joaquín Sánchez, 1.09 D. José Vela Mesones, 100. D. Manuel Sán­ chez de la Torre, 100. D. Carlos de Hoyos, 100. D. Felipe Argumedo , 100. D. Man…</t>
  </si>
  <si>
    <t>Porras, Manuel</t>
  </si>
  <si>
    <t>Manuel Porras</t>
  </si>
  <si>
    <t>pas Se dí.tmguiero-; D. Juan B danzateg.a ; coman- ■ dame de la caballería de la izquierda y los oficiales de. la mis,na arma . D. Francisco Rubín, y D. Manuel Porras. Sevilla 20 de marzo. El aia 13 salió de aquí el gobernador con 150 dragones, ióo infantes y 48 artilleros, y volvió el ié por la tarde sin haberse atrevido á a…</t>
  </si>
  <si>
    <t>Porrua, José</t>
  </si>
  <si>
    <t>José Porrua</t>
  </si>
  <si>
    <t>nte ía y iso de caballería , ascendiendo su pérdida entre muertes, heridos y prisioneros á 100 hombres: por nuestra parte fue on muertos el-el ferez D. José Porrua, cuya pérdida me ha s ido ftítuy sensible, porque era un oficial digno de todo aprecio, por su valor y demas prendas que le adornaban , un cazador del mismo cuerpo…</t>
  </si>
  <si>
    <t>Portier</t>
  </si>
  <si>
    <t>s­ tilla la vieja. El general español de esta división ha entrado en Ovie­ do, do ¡ule va á establecerse el gobierno civil del principado. Escribe el general Portier que los patriotas han batido la escolta de Massena mas allá de Vitoria, y habla al parecer de otra acción pobteriór á la del 25 de raa^o: como quiera se sabe con…</t>
  </si>
  <si>
    <t>Portifo, Pablo</t>
  </si>
  <si>
    <t>Pablo Portifo</t>
  </si>
  <si>
    <t>36 A D. Pablo Portifo: y los de ayudantes segundos á D. Agustín Cusa, D. Francisco Mo tenegra, D. Mariano Villa y D. Vicente Ugarce. En, el regimiento de reales guardias españolas ha conferido el Con­ sejo de Rj</t>
  </si>
  <si>
    <t>Portillo, José</t>
  </si>
  <si>
    <t>José Portillo</t>
  </si>
  <si>
    <t>de el principio de la campaña, y que en .las acciones que precedieron á la toma de Guanaxu«.to tuvo á su car­ go uno de los cánones de vanguardia ; á D. José Portillo , también vo­ luntario, que se empleó en el servicio &lt;ie la artillería ; al guarda-parque D. Juan Bemal, al sargento primero Santiago Aguirre, yr.al cabo se­ gu…</t>
  </si>
  <si>
    <t>Portillo, Manuel</t>
  </si>
  <si>
    <t>Manuel Portillo</t>
  </si>
  <si>
    <t>imen , 132. D. José Salinas, 224. D. Pedro Robles , 3G7. D. Feli­ pe Rafael de Robles, 938. D. Antonio M azuco y Chazari, 500. D. José Mon­ tano, 52. D. Manuel Portillo, 64. D. José Mergarejo , 132. D. Juan Ayllon, 32. Doña Ana Rabel , viuda de Conturie , 100. D. Mateo Rodríguez Sánchez, 1215. i). Lorenzo Rodríguez, 4768. D. …</t>
  </si>
  <si>
    <t>Portillo, Pedro</t>
  </si>
  <si>
    <t>Pedro Portillo</t>
  </si>
  <si>
    <t>oiia, persiguiendo al enemigo, como también las guerrillas del rey no cíe Jaén que mostraron ns» valor sin igual. El ayudante primero de estedo mayor D. Pedro Portillo ge dis­ tinguió, hallándose siempre ea lo roas acalorado de la acción y don­ de era necesaria su presencia y mayor el riergo, oenriando á su lado al subtenient…</t>
  </si>
  <si>
    <t>Porto, Francisco Xavier</t>
  </si>
  <si>
    <t>Francisco Xavier Porto</t>
  </si>
  <si>
    <t>. D. Raimundo Ruiz de Alegría..... D. Pascual Trotíaga...................... . 33°45 iS 4188 238 [j D. Martin de Vergara.................... 13076 8f D. Francisco Xavier Porto.......... D. Joaquín de Cordero y Vargas. 1354 22 90 D. Ambrosio María Cerdan........... 1 80 24 P. Antonio de Castilla.....f............ 280 17 Doña M…</t>
  </si>
  <si>
    <t>Portsmouth, Alexan</t>
  </si>
  <si>
    <t>Alexan Portsmouth</t>
  </si>
  <si>
    <t>s tur­ cos han continuado atriucheráodose, y haciendo GRAN BRETAÑA. pasar el rio á mayor número de tropas. Se cree que lioi, que son dias de S. M. el Emperador Alexan- Portsmouth 13 de setiembre. dto, darán los rusos un ataque general contra tos Hoi ha llegado á la altura de la isla de W¡ght atrincheramientos de los turcos. L…</t>
  </si>
  <si>
    <t>Porúefa</t>
  </si>
  <si>
    <t>tes de Lator,. Envesg y Montluis han partido para ei valle de Aran, por haber en­ trado en Francia^ por aquella; partey penetrado hasta S. Girón s el coronel Porúefa con una partida de tropas nuestras, y dicen que ha derrotado á 700 francqwis, causándoles grandísima pérdida. Esta es la noticia que ha tenido' el general francé…</t>
  </si>
  <si>
    <t>Posada, Isidro Breña</t>
  </si>
  <si>
    <t>Isidro Breña Posada</t>
  </si>
  <si>
    <t>1064 D. Isidro Breña Posada........................ 3a 49 D. León García Serrano.......................... 12949 D. Pedro de Faura....................... 433 a D. Antonio Juan de Vildoslada, por D. Francisco Hernández</t>
  </si>
  <si>
    <t>Potocki, Aíexandro</t>
  </si>
  <si>
    <t>Aíexandro Potocki</t>
  </si>
  <si>
    <t>imo de esta ciudad Francfort r&gt; de noviembre. para Modlin, en cuyo viage ha ido acompañándo­ Una diputación del rito judío de esta ciudad le S. E. el conde Aíexandro Potocki , su caballe­ Salió de aquí dias pasados para Eulda. Se cree va rizo mayor. El coche de S. M. iba escoltado por encargada de tratar del derecho de ciudad…</t>
  </si>
  <si>
    <t>Potoki</t>
  </si>
  <si>
    <t>de condesa de LLag. nuestra tone, GRAN BRETAÑA. BAVIERA. Londres // de junio. Munich jg de junio. Hace unos días que se ha bor..do al agua en el ~ El conde Potoki, coronel de ingmieros al ser­ arsenal de Mr. Mansell de Brliro! un baxd de vicio de S. M. el Emperador de Rusia , ha heiho nueva cor.struceion , d» £,'3 pies de lar…</t>
  </si>
  <si>
    <t>Pototan, Alexandro</t>
  </si>
  <si>
    <t>Alexandro Pototan</t>
  </si>
  <si>
    <t>dades y distrito» cmv.trucciou del monumento que va á erigirse á del gran ducado. la memoria de Mr. Coliín, coya pérdida ha sido El caballerizo mayor conde Alexandro Pototan sensible en toda la Austria. cki, hijo del preíidente del consejo de Estado, ha</t>
  </si>
  <si>
    <t>Pover, Juan</t>
  </si>
  <si>
    <t>Juan Pover</t>
  </si>
  <si>
    <t>s levemente, ademas del citado Ramos Cienfuegos, que después de herido quedó prisionero , y á quien recomienda particularmente , así como al teniente D. Juan Pover, á ios subtenientes D. José de la Fuente , D. Francis­ co Zapico,D. Fernanda S. Martin¿ D; Ricardo Canal, D. Francisca Riesgo, D. Jo é Boldrini y D. Alonso Pabon$ …</t>
  </si>
  <si>
    <t>PóvliéV, Justó</t>
  </si>
  <si>
    <t>Justó PóvliéV</t>
  </si>
  <si>
    <t>cribano publico, de orden del enpitan general en-: tregó el resto del depósito para el traft-sp'orre. de las familias pobres de fiante» Domingo, 127. D. Justó PóvliéV, 520. D. Antonio José \Vides, por entrega de varios niños que i; s; ruye , 148. Doña -.Lntgarda Sal azar , 17 y 6 rs. 1). Nicolás Tabeada, 221. D. José de Oliva…</t>
  </si>
  <si>
    <t>Power, Guillermo</t>
  </si>
  <si>
    <t>Guillermo Power</t>
  </si>
  <si>
    <t>et, 2000. Sres. Su­ birá y Forncs , 1000. D. Manuel Mícheo, 500. D. Lorenzo Camps, 500. Don. Juan Antonio Cobo y Tanderas, 100. D. Miguel Xiqucs,200. D. Guillermo Power, 500. D. Martin de Ujoeta, 400. D. Francisco Buch y Verges, 400. D. Pedro Mártir Pascual , 200. 1). José TraseiJas, 150. D. José Sopeña , 3,20. IX José Alvare…</t>
  </si>
  <si>
    <t>Poza, Antonio</t>
  </si>
  <si>
    <t>Antonio Poza</t>
  </si>
  <si>
    <t>, á D. Josef Rodrigo, cura de las m utico. Dombellas. Para el de Monasterio, vacante por promoción Para ei de Villar de! Ala, vacante por promo­ * de D. Antonio Poza al de Miño, al ex-premos- ción de D. Pedro Agnado a! de Alconabar, al ex­ tratense D. Raimundo Míreles. franciscano D. Francisco García. Para el de la Losilla , …</t>
  </si>
  <si>
    <t>Preste, Juan Bautista</t>
  </si>
  <si>
    <t>Juan Bautista Preste</t>
  </si>
  <si>
    <t>ñaban á la del Emperador, tantos El Sr. marques de Bertnui.............................. 300 barquichuelos que iban detras , tantas banderas y El Sr. D. Juan Bautista Preste...................... 80 pabellones como flotaban por todas partes , y tan­ El Sr. barón Moreubein................................... 200 ta'genre reunid…</t>
  </si>
  <si>
    <t>Priego, Gabriel</t>
  </si>
  <si>
    <t>Gabriel Priego</t>
  </si>
  <si>
    <t>e 28 de agüi­ D. Joief Saavedra. to último. Presidió este acto el gefe superior Don D. Josef Gallardo. Juan María de Retz, mayor coronel, cabañero de D. Gabriel Priego. la Orden Real de España, acompañado del coman­ art. ni. fcn ia villa de Espíe!, de la misma dante de batallón D. Juiiau Albo, y de los 2pro­ prefectura de Cór…</t>
  </si>
  <si>
    <t>Prieto, Sebastian Ramírez</t>
  </si>
  <si>
    <t>Sebastian Ramírez Prieto</t>
  </si>
  <si>
    <t>ano, vacante por desistimiento de D. Felipe Y para el de H de Znfre, vacante por falleci­ García Gallardo, á D. Miguel Barrera, presbítero, miento de D. Sebastian Ramírez Prieto, á Don ex-agustino calzado. Diego Antonio Nieto, presbítero, ex-regular del Para el segundo de la referida villa, de nueva órden de S. Francisco. ere…</t>
  </si>
  <si>
    <t>Primado</t>
  </si>
  <si>
    <t>eo que no ten­ ¿oponen á venir ¿Francfort, centro de los príncipes ga Ja menor apariencia de verdad. He tenido bas­ de ia confederación , al lado del príncipe Primado. tantes ocasiones para conocerlo ; y puedo asegurar con la mayor sinceridad que la conducta de nuestro GRAN BRETAÑA. gobierno para cor» la Francia y la Inglater…</t>
  </si>
  <si>
    <t>Príncipe, Tomas</t>
  </si>
  <si>
    <t>Tomas Príncipe</t>
  </si>
  <si>
    <t>garon para la subsistencia de la división de D. Cárlos España. . /,l . / A principios de noviembre discurrían por Castilla la Vieja las par­ tidas de D. Tomas Príncipe, D. Gerónimo Fomel, los curas Meri­ no, Tupia y Violado , D. Lorenzo Aguilar, D. Agustín Cerezo, Don Vicente Olivera , Afórales, D. Julián Sánchez , y otras me…</t>
  </si>
  <si>
    <t>Prñañ, Manuel</t>
  </si>
  <si>
    <t>Manuel Prñañ</t>
  </si>
  <si>
    <t>r; á los tenientes de dragones de Ebpaña D. Ja­ sé Villamil y D. Ignacio Millas.; al de dragones de México D. José Mantilla; al teniente de Querétaro D. Manuel Prñañ &gt;ri: al tenien­ te de Puebla D. Pedro de la Rosa, y los alféreces de Méx¡co y Qvic­ ié taro D. Miguel Malo y D. Joaquín Ormaechea: á D. Jo é de Can* ]:Ioo de ten…</t>
  </si>
  <si>
    <t>Prosoro'Wski</t>
  </si>
  <si>
    <t>produce anualmente dicha fabrica asciende á Se ha dado árdea á 30 cirujanos de que salgad 40® rublos. inmediatamente para Portsmourh, donde se em­ El príncipe Prosoro'Wski tiene en Tichapplach, barcarán para Portugal. en el gobierno de Ekaterluojlaw, un rebaño de Se calcula, dice uno de nuestros periódicos, 22*o ovejas y carn…</t>
  </si>
  <si>
    <t>Proust, Luis</t>
  </si>
  <si>
    <t>Luis Proust</t>
  </si>
  <si>
    <t>Gaceta de Madrid n.º 65</t>
  </si>
  <si>
    <t>desgraciado Orestes, lebridad del autor! Las adiciones que ha hecho el tra­ víctima del destinó, queda rendido á la fuerza del de­ ductor, debidas á D. Luis Proust, corresponden á la. lirio cruel que ac apodera de sus sentidos. Entre las reputación de que cón tanta razón goza este célebre pro­ muchas bellezas que hat en esta …</t>
  </si>
  <si>
    <t>neros coloniales. 1 como debe de serlo en obras de esta especie. El público sabe ya los medios que empleó Mr. Hnzard, que en el año de 1802 había pu­ D. Luis Proust para-sacar azúcar de las uvas , tos blicado por orden del gobierno la tercera edición de Mr. Parmentier sobre ei xarabe, y las de Mrt de la instrucción para los p…</t>
  </si>
  <si>
    <t>Prowse</t>
  </si>
  <si>
    <t>su bordo todo el equipage y todas las tán, Scort; el Atrevido , da 74, capitán U. Camp­ inaniciones qae se habían "salvado. ” bell; el leseo, de 74* capitán Prowse; ei Mo­ Los mares de las Indias occidentales están cu­ narca, de 74, capitán Lee;el Vanguard, de 74, biertos ds corsarios franceses. Su sistema es «rger capitán Ll…</t>
  </si>
  <si>
    <t>Prudencio</t>
  </si>
  <si>
    <t>e las desavenencias entre Montevideo 63*7 17 3 D. Lorenzo Iruegas............................ J1191 y Buenos-Aires no estaban todavía arregladas el 5 D. Prudencio, D. Juan y Doña Jo­ dia 15, y que según él cree no' llegaría esto á ve­ sefa de Aguirre, por su apoderado rificarse, á pesar de lo ¡caponante que seria para el D. L…</t>
  </si>
  <si>
    <t>Pruna, José</t>
  </si>
  <si>
    <t>José Pruna</t>
  </si>
  <si>
    <t>s y D. Alberto Urbiaa; ayudantía á Don Jtaé Mo-renG; tenencias 3 D. José Mosquera, D.B ¿as Feynador, D. José Vui, D. Jcsé Petan, D. Benito (Grabarre, D. José Pruna, id. Fernando Oríiz, D. Francisco Atonso, D. Antonio VaUscillo, D. José Velas-"ío y, J&gt;. José Armada; subtenencias á D. Santiago de Armas , D. F¡tapisco P.ieto, D.…</t>
  </si>
  <si>
    <t>Psim, Juan JJmtJ-ia</t>
  </si>
  <si>
    <t>Juan JJmtJ-ia Psim</t>
  </si>
  <si>
    <t>atro y media ó' h: ' tA-, D. Joan de la Torre. se cxeeut¿irá la comedia antiesn en tres actos &gt;tr r ■ el D. Melchor Velasen. Negro más prodigioso, de D Juan JJmtJ-ia Psim i1' v’l D. Francisco Vil):.verde. con todo el adorno y »p trato terral cu.- &lt; v-e o i re* art iv. Nuestros ministros de lo Interior y presen tacion , y se d…</t>
  </si>
  <si>
    <t>Pu, Joaquín</t>
  </si>
  <si>
    <t>Joaquín Pu</t>
  </si>
  <si>
    <t>io, D. Pedro Fülol, D. Ignacio José Fo?n&amp;t, Don José María Laroza , D. Francisco Serrano, y D. Padtro Sen-ano; y subtenencias á D.- Francisco Migue!, D. Joaquín Pu%moItó. Don Diego Villeslada, ©. Pedro Rico, D. Rafael Quero], D. José Ro­ chan©, D. F'rancia co Bermudez de Cañas, D. Vicenta SalameT#, D. Rafees González , D. Joa…</t>
  </si>
  <si>
    <t>Púa, Francisco</t>
  </si>
  <si>
    <t>Francisco Púa</t>
  </si>
  <si>
    <t>tonio Ordz , 10. D. José Espinosa, 10. Doña Rita Viñas , 10. Tomas Herrera , 12. D Juan Ibas , 10. D Francisco Pé­ rez Díaz , 10 D. José Cabrera , G. D. Francisco Púa , 6. D. Roque Beyroa , G. D Venancio Ramírez , 6. D. José M-.irí i Sevilla, G. D. Luis Mén­ dez , 5. D. Antonio Calero, 5. D. Francisca Peralta , 6. Pedro Saboi…</t>
  </si>
  <si>
    <t>Puebla, Francisco</t>
  </si>
  <si>
    <t>Francisco Puebla</t>
  </si>
  <si>
    <t>nte Casado, D. Horm'jnegiido- Mancebo y D, Antonio Marga­ do; ayudantía á D D o Asió de Arce ; tenencias á D. José Viiiaroel, D. José de los Jtav'js, D. Francisco Puebla, D. Antonio Nieto, D. Franc'seo Or iuda? D.-Francisco de Ibarra, D. Manuel Caba­ llero, D Juan Magollo D. José D:az y D P^dro Peynador; subtenenc as á D. Seb…</t>
  </si>
  <si>
    <t>Pueitas, Blas Sánchez</t>
  </si>
  <si>
    <t>Blas Sánchez Pueitas</t>
  </si>
  <si>
    <t>253- 3 cretamos lo siguiente: D. Jacinto Silvestre de Ar- articulo 1. „Se declaran acreedores del regui................................ 5400 Estado á D. Blas Sánchez Pueitas..... 396 Los señores D. Pedro Bayle Pea'cs. Mrs. D. Juan Manuel Sorzano y y compañía, por............ 1000 Soria.................................. 10920.…</t>
  </si>
  <si>
    <t>Puente, Luis</t>
  </si>
  <si>
    <t>Luis Puente</t>
  </si>
  <si>
    <t>Ig­ nacio Carrasco, D. Pedro Giménez, D. J?.yme Qjirós, D. Sabas Ma­ rín , D. J isé Ortega , D. Juan Vázquez, D Manuel Sánchez, D. An­ tonio Bermejo, D. Luis Puente, D. Aotolin Sigiienza, D Matías Te­ resa, D. Juan González , D Manuel Calvantes, D. Jé Mora, Don Juan Morgaez, D Alfonso Gírela, D. JranGamez , D. L *&gt;n Acnña, D.…</t>
  </si>
  <si>
    <t>Puerta, Juan de Pablo</t>
  </si>
  <si>
    <t>Juan de Pablo Puerta</t>
  </si>
  <si>
    <t>d Real, por..................... 2209 calzado, por.................................................. . 2200 D. Josef Moraleda Almaiua , id., residen­ D. Juan de Pablo Puerta , ex-mínimo, por 2209 te en Almagro, por..................................... 2200 D. Manuel Galvez, ex-hospitalario de E&gt;. Eusebio Martin Albacete , id.…</t>
  </si>
  <si>
    <t>Puerta, Miguel Calvo de U</t>
  </si>
  <si>
    <t>Miguel Calvo de U Puerta</t>
  </si>
  <si>
    <t>dilapidación d=I ramo de hacienda , y no tado....................*........ ,............. 11340 carecería el soldado de alimento, vestido £cc.” {Id. D. Miguel Calvo de U Puerta....... 31950 núm. í 13.) D ña María Rosa de O-Reilli:...., 24500 Doña María Isidora Martínez.......... 6480 Madrid 16 de diciembre. Rr. vn. r.53960? 1…</t>
  </si>
  <si>
    <t>Puerta, Pedro Simón</t>
  </si>
  <si>
    <t>Pedro Simón Puerta</t>
  </si>
  <si>
    <t>D. Ftrmin Marquina', teniente, í capitán de S. M. el Re i y biep de ^a cata de educación. Asi la primera compañía. Dios me ayude y su santa palabra.” D. Pedro Simón Puerta , subteniente, á tenien­ Se formará un consejo de administración de la te de la quinta compañía. casa, que se compondrá de la superintendenta, de D. jósef …</t>
  </si>
  <si>
    <t>creto.= duos siguientes: Firmados YO EL REI. =: Por S. M.. , el miniéPrimer batallón. tro secretario de Estado = Firmado = Mariano Luis de Uaquijo.’’ D. Pedro Simón Puerta, teniente, á ayudante segundo, en la vacante de D. Francisco Barsanti. D. Camilo González, subteniente, á teniente AVISOS. de la tercera compañía, en reemp…</t>
  </si>
  <si>
    <t>Puerto</t>
  </si>
  <si>
    <t>sterio­ res lo han suspendido. Aunque sin efecto ya y trastornado este ata­ que de b”hía , se hizo ía mañana del 6 un pequeño desembarco en 3a playa ¿d Puerto-, para el cutí se aprontaron mas de 20 bucues, y e i media hora se embarcó en ellos.el regimiento de Toledose dirigió-á ia misma playa; donde ya estaban con nuestros al…</t>
  </si>
  <si>
    <t>Pueyo, Antonio</t>
  </si>
  <si>
    <t>Antonio Pueyo</t>
  </si>
  <si>
    <t>do Oríiz, D. Francisco Atonso, D. Antonio VaUscillo, D. José Velas-"ío y, J&gt;. José Armada; subtenencias á D. Santiago de Armas , D. F¡tapisco P.ieto, D. Antonio Pueyo, D. José Gon­ zález Suarez, D. Ignacio Sánchez, D. Francisco Bureyra, D. Ma­ nuel Rodrigne2, D. Manuel x4ngeira , D. Andrés Raposeiras, y D. José Gaspar y Barca…</t>
  </si>
  <si>
    <t>Püeyo, María</t>
  </si>
  <si>
    <t>María Püeyo</t>
  </si>
  <si>
    <t>Paula Madrigal, por sí y por otro, 40. D. Ramón Valiente, 1200. Un emigrado,! 20. D. Santiago de Aldama, 610. Una emigrada , natural de'Madrid , 80. Doña María Püeyo , 160. Uria patrio­ ta, 200. D. R. B;. D., 590. Di Nazario Fernandez de Castro, 3000. Cinco patriotas de pocas facultades, 1000. El Sr. D Esteban Fernandez de Le…</t>
  </si>
  <si>
    <t>Puig</t>
  </si>
  <si>
    <t>s lo­ gramos quitarles 2 p isioneios que nos habían cogido al principio de la acción. Por nueítra parte solo ha habido un muerto, y herido el bizarro capitán Puig, ¿ quien recomienda Iglesias muy particularmente, así como al subteniente D. Juan Roure, al cabo primero Francisco Vidal, y al sol­ dado Lorenzo IVLsaneüas, que man…</t>
  </si>
  <si>
    <t>Puig, Antonio</t>
  </si>
  <si>
    <t>Antonio Puig</t>
  </si>
  <si>
    <t>gradúa lo de teniente coronel Di José Iglesias ,,y á los capitanes D. Simón Wall, •D. José del Aguila, graduado de teniente coronel, D. Ventura Mena, D. Antonio Puig, graduado de teniente coronel, y Marques de Villacampo; y los de ayudantes segundos á los capitanes D. Angel Saavedra, D. Diego Guillen Buzaran, graduado de teni…</t>
  </si>
  <si>
    <t>Puig, Juan</t>
  </si>
  <si>
    <t>Juan Puig</t>
  </si>
  <si>
    <t>D. Jacinto Perora, 10. D. José Pallan, 10. D. Juan Cabrera, 10. D. Juan Iriarte , 10. D. Agustín Costa, 10. D. Agustín Riera, 10. D Rafael Tomas, 10. D. Juan Puig, 10. D. Francisco Becerra, 10. Antonio Ordz , 10. D. José Espinosa, 10. Doña Rita Viñas , 10. Tomas Herrera , 12. D Juan Ibas , 10. D Francisco Pé­ rez Díaz , 10 D.…</t>
  </si>
  <si>
    <t>Pulí, Félix</t>
  </si>
  <si>
    <t>Félix Pulí</t>
  </si>
  <si>
    <t>diputado en Cortes por América, 2000. D. José Co!í, 1000. Don Ignacio Garceran , 200. D. Pascual Moreno de. Mora, 200. D. Antonio Cortes y Coll, 300. D. Félix Pulí, 200. D. Mariano Lobera, 400. D. José Solernou, 200. D. J. L. F., 150. D. José Ignacio Inciartc, 100. D. Luís de Córdoba, 100. Sres. Viuda de Roberts y compañía, 5…</t>
  </si>
  <si>
    <t>Pumar, Aiidres</t>
  </si>
  <si>
    <t>Aiidres Pumar</t>
  </si>
  <si>
    <t>0. D. Pablo Gual, 100. D. Juan Antonio. Ferreiro , 50. D, Francisco Moreno , 50. D. Juan Diaz , 40. D. Jorge Montero , 25. Don Domingo'Mosqueira, 25. D. Aiidres Pumar , 25. Jóse Antonio Perez, 15. Santiago Forco , 6. D. Agustín Ferrer , 10. D. Juan Antonio Colero , 6. Mar­ celo Perez , 6. Juan de Dios Perez, 6. Andrés Gonzále…</t>
  </si>
  <si>
    <t>Purvis</t>
  </si>
  <si>
    <t>os del enemigo : la caballería bri­ tánica sostuvo, cómo acostumbra, su grande reputación , y tuvieron ocasión de distinguirse ei mayor Dorviile y el capitán Purvis , de los dragones reales, y el capitán Dgvksod del 14 de dragones ligeros. No puedo formar juicio seguro acerca del pian del enemigo : pe­ ro se que salió de Sala…</t>
  </si>
  <si>
    <t>Pust-erlá, Manuel María</t>
  </si>
  <si>
    <t>Manuel María Pust-erlá</t>
  </si>
  <si>
    <t>999 El br? gadter D. Manuel María Pust-erlá, comandante general cel caudado de N/‘b;a , con fecha de 5 del actual, remite al general tn gefe interino del cuarto exércíto, el parte que con la de 3 leí miaño le da el gabsrnado? interin</t>
  </si>
  <si>
    <t>Putsch</t>
  </si>
  <si>
    <t>o de la salud del Reí. 2600 para la reparación dé la igiesia principal, que sc hizo hospital, y para la casa de ios locos: 80 Wíndsof 27 de enero. al ministro Putsch, en el Petit-Jena, que en t8c6 ,,S. M. sigue en el mismo estado.” sirvió de gula al mariscal Lannes: 20 al consejero Extracto de una carta particular. Stark ,?qu…</t>
  </si>
  <si>
    <t>Puyade, José</t>
  </si>
  <si>
    <t>José Puyade</t>
  </si>
  <si>
    <t>Cheirasoo y Vico, ÍÜOÍL D. Santiago José de Tenar ,'500. D. Juan Vaidés 400. D. Fiaticúsco Jert.'s , 200. I). Miguel Mateu, 2000 D. José Balboa, 40. D. José Puyade , 100. D. Tomas SoW y Molins , 100. D. Santiago Castañete», 500. D. Pedro Raynaud , 400. D. Esteban Gas'taca y sobrino Vadillo , 300. I). Jorge Montañés. 500. D. A…</t>
  </si>
  <si>
    <t>Pvzuela, Ignacio</t>
  </si>
  <si>
    <t>Ignacio Pvzuela</t>
  </si>
  <si>
    <t>hecho D. José Amonio de Lar-' rumbide, que la servia interinamente, y tenkcdo én consideración el patriotismo y vastos conocimientos que se reúnen en D. Ignacio Pvzuela; ha venido el rey nuestro Sr. D. Fernando vii , y en su real nombre ei Consejo de Regencia de los rey no»- de España é In­ dias , en nombrarle por secretario …</t>
  </si>
  <si>
    <t>Pym</t>
  </si>
  <si>
    <t>da y la Maga encallaron, y no fué posible saCarlas á pesar de loé mayores esfuerzos. Después de doé dias de resis­ tencia contra él fuego enemigo, el capitán Pym, perdida la-esperanza dé salvar la Maga y la Sirio, les mandó pegar fuego, y sus tripu­ laciones desembarcaron en la isla de Passe. La situación en que er,calló la N…</t>
  </si>
  <si>
    <t>Pynne</t>
  </si>
  <si>
    <t>coronel Ckampalimond, mandadas por el coronel Sutton, por las de las mismas tropas de la brigada portuguesa del co­ ronel Ashworths , mandadas por el coronel Pynne , y finalmente por los piquetes de la tercera división á las órdenes del coronel Freneh. El coronel Caiaeron fué herido gravemente por la tarde, y por esto recayó …</t>
  </si>
  <si>
    <t>Q-droga, Antonio</t>
  </si>
  <si>
    <t>Antonio Q-droga</t>
  </si>
  <si>
    <t>, D. Prancisco Hiitart y D. Rafael Goicoe^hea, éste gradando de coro­ nel ; y empleos de ayudantes primeros á ios segundos ,D. F.: ante seo Mcnñwil ./D. Antonio Q-droga,, graduado du te siente coronel, Biái Jc-áé R¿vsrt, D. Podio. Laiap-srez , graduado do teniente cbroiie?, y D. Juan Dez. CADIZ : E® LA IMPRENTA REAL. ..y</t>
  </si>
  <si>
    <t>Qiu-vedo, Antonio</t>
  </si>
  <si>
    <t>Antonio Qiu-vedo</t>
  </si>
  <si>
    <t>: en dos actos titu Inda el Matrimonio secreto. A t.H-.t. Subtenientes. ñoras Concepción Lledó , López y Cabo. Señores Muñoz , Fernandez y Justo Mas. D. Antonio Qiu-vedo, En el de la Cruz, á las qnatro y media ó' h: ' tA-, D. Joan de la Torre. se cxeeut¿irá la comedia antiesn en tres actos &gt;tr r ■ el D. Melchor Velasen. Negro…</t>
  </si>
  <si>
    <t>Qorsenne</t>
  </si>
  <si>
    <t>. — Póstenomente se sabe qas los enemigos ss retiraron de dieha vida, ebearvad©» por nuestra# tronar. Cartas intercepte,das ési general Bormet. T. Al conde Qorsenne, genercñ en gAf¿ d-el exército del norte de España. — “8#ñ&amp;t gsn&amp;ral: Psr mi cana del 6 ho tenido el ho­ nor de daros parte d© mi p*a«cha León sobro Oviedo» y de …</t>
  </si>
  <si>
    <t>Quadra</t>
  </si>
  <si>
    <t>sido perfectamente executada , á pesar 8© hombres. Tampoco se especifica la fuerza de la de ser de mas de 30 leguas: el enemigo se halla división del general Quadra, que en unión con Oá 3 de Lorca. Las guardias y el regimiento de la Donell debía atacar para contener ¡os movimientos patria han sido sacrificados en la defensa q…</t>
  </si>
  <si>
    <t>acompañan como dreumentos otros varios, entre eilos los del general PLAZA DE MADRID. BOLSA. O- Donell , en que refiere la acción de Zujar, y los del general Quadra, expresando las circunstancias DIA 31 DE OCTUBRE DE l8ll. y necesidad de su retirada. El total de las fuerzas enemigas contra el frente y derecha de la línea pa­ r…</t>
  </si>
  <si>
    <t>Quadrado, Agustín Sánchez</t>
  </si>
  <si>
    <t>Agustín Sánchez Quadrado</t>
  </si>
  <si>
    <t>os de ser vagas é infundadas...... ¡Líbrenos el Y para la vicaría de Guadapero, vacante por cielo de la fatal discordia que nos amena» l La muerte de D. Agustín Sánchez Quadrado, al pres­ desgracia del Empecinado es un nuevo fruto del bítero D. Francisco Sánchez Matas. maldito provincialismo, ó sea federalismo. (i«- Nuestro m…</t>
  </si>
  <si>
    <t>Quadrillero, Gaspar</t>
  </si>
  <si>
    <t>Gaspar Quadrillero</t>
  </si>
  <si>
    <t>..... 158000 En la extracción de la real lotería execntsda D. Livinio Stuyek y Vandergoten. 20000 en la tarde del 11 del corriente han salido sortea­ D. Gaspar Quadrillero,.................. 1500 dos los números siguientes: 61,78 , 75,67 y 18. D. Josef de Riva................ ........... 329x18 ii| D. Juan Hourco.............…</t>
  </si>
  <si>
    <t>Quadro, Julián Sanz</t>
  </si>
  <si>
    <t>Julián Sanz Quadro</t>
  </si>
  <si>
    <t>batallón , en la vacan­ ven anunciado. También me ha parecido mui pru­ te de D. Agustín Tavira. dente é instructiva aquella erudita nota de los car­ D. Julián Sanz Quadro, subteniente, á ayu­ teles en que se explica, con sumo decoro y opor­ dante segundo del sexto batallón, en reemplazo de tunidad , lo que son los coros en an…</t>
  </si>
  <si>
    <t>Quapasado</t>
  </si>
  <si>
    <t>1238</t>
  </si>
  <si>
    <t>primero estaba el geratú en gefe Freire, y los enemigos fueron rechiza­ Nuestra feria ha sido este año mejor qne el dos (i). En el segando mandaba el general Quapasado ; mas de las tres quartas partes de las dra con una división de 6© hombres, á que se ha­ mercancías eran de fábricas del reino; los pa­ bían reunido 3© del cue…</t>
  </si>
  <si>
    <t>Qucipo, Antonio Fernandez</t>
  </si>
  <si>
    <t>Antonio Fernandez Qucipo</t>
  </si>
  <si>
    <t>............................................................... 12 00 drid, residente en Toledo, por........................... 2200 F. X-BUR VAROOS. D. Antonio Fernandez Qucipo, natural y residen­ D. Bernardo U'lo.t. natural del Barco de Valde- te en ídem...................................................... . 2200 01 res , …</t>
  </si>
  <si>
    <t>Queral, Juan</t>
  </si>
  <si>
    <t>Juan Queral</t>
  </si>
  <si>
    <t>les, al sargento José Not, qúe se arrojó solo á 4 granaderos enemigos porque le faltó el tiro, mató de un culatazo á uno y rindió á -los otros 3 , al soldado Juan Queral, que mató á un oficial francés, y á Juan Riba, que se mezcló con la guerrilla enemiga</t>
  </si>
  <si>
    <t>Queriot</t>
  </si>
  <si>
    <t>ento i3.u de dragones, y del teniente Mr. Oro español contra plata.................................. Baune que mandaba la infantería: cita también al brigadier Queriot y al dragón Bittor , los quales se arrojaron sobre los enemigos en medio de la re­ teatros. friega , y mataron por sus propias manos á muchos de ellos. En el d…</t>
  </si>
  <si>
    <t>Quero, Rafael</t>
  </si>
  <si>
    <t>Rafael Quero</t>
  </si>
  <si>
    <t>Laroza , D. Francisco Serrano, y D. Padtro Sen-ano; y subtenencias á D.- Francisco Migue!, D. Joaquín Pu%moItó. Don Diego Villeslada, ©. Pedro Rico, D. Rafael Quero], D. José Ro­ chan©, D. F'rancia co Bermudez de Cañas, D. Vicenta SalameT#, D. Rafees González , D. Joaquín ds Bedoya, D. José Ribslles , Don Pedro Franco j D. Vi…</t>
  </si>
  <si>
    <t>Quesnel</t>
  </si>
  <si>
    <t>se mandaron hacer salvas de artillería en la costa de Bayona en celebridad de la victoria de Coimbra conse­ guida por dicho exército de Portugal. El general Quesnel en lá or­ den que pasó para ello, expresaba que así lo mandaba el emperador, y que las salvas soló debían ser en los puntos y parages desde donde pudiesen oirlas …</t>
  </si>
  <si>
    <t>Quevedo, Antonio</t>
  </si>
  <si>
    <t>Antonio Quevedo</t>
  </si>
  <si>
    <t>bre.) i • ,,t á tenieote en reemplazo, de D. Tomas García. Madrid 19 de diciembre. Don Cayetano Melendez y Peña losa á subte­ niente en la vacante.de D. Antonio Quevedo. S. M. ha celebrado hoi consejo de ministros, al Don Antonio de la Torre y «López á subte­ que se ha dignado convocar á los señores presiden­ niente de la pri…</t>
  </si>
  <si>
    <t>Quevedo, Juan López</t>
  </si>
  <si>
    <t>Juan López Quevedo</t>
  </si>
  <si>
    <t>13*8 D. Mande! drUreca....................... 1680 El hospital de nuestra Señora de la D. Juan López Quevedo................ 1873 31 Misericordia................................ S0800 1). Gerónimo de Iglesias............... 6242 16 D. Lope García Mazarredo........... 7569 24 D. Francisco Lop-z de</t>
  </si>
  <si>
    <t>Quilez</t>
  </si>
  <si>
    <t>taría de Aragón , y en otra* instituciones no menos venéra­ Giacia y Justicia i recoger del primero la consulta ó les. Otro documenta era el voto del ministro Quilez acuerdo que hubiere sobre varios de los puntos que Talón, disintiendo de la consulta proyectada, y reco­ comprehende el manifiesto, y que parece trataba de nocie…</t>
  </si>
  <si>
    <t>Quimano, Juan</t>
  </si>
  <si>
    <t>Juan Quimano</t>
  </si>
  <si>
    <t>r á los náufragos. Todas las maniobras El Sr. D. Juan Bautista Pa roisse................... ico se execuraron con mucha celeridad y precisión. El Sr. D. Juan Quimano.................................. 100 De vuelta de Schevellingoe el Emperador re­ El Sr. D. Pedro Monnertt.............................. 50 cibió á las principal…</t>
  </si>
  <si>
    <t>Quin, José</t>
  </si>
  <si>
    <t>José Quin</t>
  </si>
  <si>
    <t>1372 Gliraent, y D.. Nicolás Eseríbé: en el del infante D. Cérlos, com­ pañías á D. Nicolao Bolea , D, Francisco García y D. José Quin­ tana : ayudantía á D. Jmé Aguado: tenencias á D. R araos Nave-, Ha, D. Vicente Jasen, D. Fernando María, D. Ramón Laraz, D;*n Fatiga, D. Nícoiafí Franco y D. Joaquín Fuentes: en @1 de "Ba­ da…</t>
  </si>
  <si>
    <t>Quiñones, María Teresa</t>
  </si>
  <si>
    <t>María Teresa Quiñones</t>
  </si>
  <si>
    <t>ig lesia de nuestra señora de Loreto, Indias. por mano de sus administradores......... 2881..20 Vistas las quatro consultas de la comisión de liqui­ Doña María Teresa Quiñones, por inano dación de la deuda del estado; lo expuesto por nuestro de su marido D. Luis María de Eeha- ministro de Hacienda, y oido nuestro consejo de E…</t>
  </si>
  <si>
    <t>Quintana</t>
  </si>
  <si>
    <t>s no se quería hacer io que había indicado, se señor Ostolaza era mas subversivo que la esquela retiraba.” Las cortes mandaron que se ie oficiase del diputado Quintana, y que por esto telo debía para que asistiese á ellas, hechas cargo de que aquel formársele causa al autor. Otros diputados hicie­ escrito era efecto del mal h…</t>
  </si>
  <si>
    <t>Quintanar, Angel L'nares y D Luis</t>
  </si>
  <si>
    <t>Angel L'nares y D Luis Quintanar</t>
  </si>
  <si>
    <t>que habiéndoseme presentado en Valladolid deseaba ocasiones de acreditar su valor y patriotismo, co­ mo lo ha executado; á les capitanes de Querétaro D Angel L'nares y D- Luis Quintanar; á los tenientes de dragones de Ebpaña D. Ja­ sé Villamil y D. Ignacio Millas.; al de dragones de México D. José Mantilla; al teniente de Que…</t>
  </si>
  <si>
    <t>Quintero, Gerónimo</t>
  </si>
  <si>
    <t>Gerónimo Quintero</t>
  </si>
  <si>
    <t>iciales de dicho cuerpo, *921. D. Ma­ teo Leal, escribano de la Villa de S. Antonio , por sí y á nombre de los vecinos de aquella jurisdicción, 1000. D. Gerónimo Quintero, capellán de coro de e^ta santa iglesia catedral, por sí, y á nombre del deán y cabildo de dicha iglesia y demás subalternos, 1080. D. Domingo Fonta­ nela, …</t>
  </si>
  <si>
    <t>Quintero, Luis</t>
  </si>
  <si>
    <t>Luis Quintero</t>
  </si>
  <si>
    <t>coroneta á D. Jjsc Carrillo y la coman dar: ele. d D. Manuel Gaminde : en el de Tuy , oi empleo de coronel á D. Joaquín Abren, la tenencia coronela i D. Luis Quintero y la sargentía mayor á D. Cristóbal C/uk-?r O-Boaell: en el de Lugo , el empleo d* coronel n D. Agus­ tín D¿rcourt:.en el de O cense igual empleo i D. Juan M, m…</t>
  </si>
  <si>
    <t>Quiot</t>
  </si>
  <si>
    <t>estado mayor del quinto tenga á bien preseatac estos' honoríficos trofeos á cuerpo, el coronel Veüande , del regimiento 88.°, lo* pies de S. M. y el coronel Quiot del roo.° ,, La rendición de la guarnición de Bidjoz ,, El coronel Bocchu, gefe del estado mayor completa la destrucción del llamado exército de la de la artillería…</t>
  </si>
  <si>
    <t>Quircó, Antonio</t>
  </si>
  <si>
    <t>Antonio Quircó</t>
  </si>
  <si>
    <t>fael, D. Manuel Taquinet©, D. íhdegria Msliana , D. Podro Pascual del Castillo, D„ Antonio Elers, D. Melchor Moya, D. José Matras, D. Aarustin Scrra, D. Antonio Quircó, D. Cristóbal Alvaro, Don José Torreas, D. José María Cazarla, D. Vícente Crosal. D, Ma­ nuel Dorado, D. Francisco Colmenero, D. Juan B anco, D.. Miguel Albert…</t>
  </si>
  <si>
    <t>Quirós, Josef</t>
  </si>
  <si>
    <t>Josef Quirós</t>
  </si>
  <si>
    <t>ia, sin embargo, en las diferentes nacio­ batallón á D. Antonio Perez de la Fuente; para nes , y en tiempos diversos. Yo tengo para mí que ayudante á D. Josef Quirós, y para abanderado hasta en esto influye el clima como en otras mu­ á D. Josef Diaz Gamones. chas cosas, y me parece que seria una cuestión dig­ art. ni. Asimism…</t>
  </si>
  <si>
    <t>Quitart, Juan Bautista</t>
  </si>
  <si>
    <t>Juan Bautista Quitart</t>
  </si>
  <si>
    <t>encias en Arabia, AVISO. viajó luego por la Persia , residió algún tiempo en Bassora, y volvió á so patria, donde se proclamó Por providencia del Sr. D. Juan Bautista Quitart, reformador de la religión musulmana. Reprsentó del consejo de S. M., y juez de primera instancia en á lós diferentes cheiks que gobernaban entonces U e…</t>
  </si>
  <si>
    <t>Quixote</t>
  </si>
  <si>
    <t>Gaceta de Madrid n.º 153</t>
  </si>
  <si>
    <t>627</t>
  </si>
  <si>
    <t>ndali­ bida Marianas que se han teñido las barbas de blanco zar á los que tienen por bueno lodo lo que pueden apo­ para parecer viejo.. Y al modo que D Quixote imita­ yar con la autoridad de un grande hombre; pero el que ba el rmcio lenguage de sus desventurados libros, asi desee saber quín dulce, quán armonioso, y sobre tedo…</t>
  </si>
  <si>
    <t>1025</t>
  </si>
  <si>
    <t>os destinados para costear las semejantes á los de la venta del Baúl, ó á los de fagas del exército del centro; y que de los mis­ nuestro compatriota D. Quixote. mos se mandase por las correspondientes autorida­ En testimonio de lo qual dimos el presente, des satisfacer á este pueblo lo que invirtió en lu­ que firmamos (Gazet…</t>
  </si>
  <si>
    <t>QuiY, Pablo Tarrago y Don Juan</t>
  </si>
  <si>
    <t>Pablo Tarrago y Don Juan QuiY</t>
  </si>
  <si>
    <t>tenencia de bandera á D. Joaquín Rodríguez, Ea ei batallón de infantería ligara primero de B ircelcna; los do capitán primero i D. Bernardo Fiballer, D. Pablo Tarrago y Don Juan QuiY&amp;nte; los de ayudantes á D José A-abez y D. Jo é Fue­ llo ; los de capitán segundo á D. Francisco Sierra y D. José Guiña; les de teniente í D. Jo…</t>
  </si>
  <si>
    <t>Quizó</t>
  </si>
  <si>
    <t>de cansancio berla debilitado todas sos fuerzas en todo género y de hambre, porque el agna del mar había echa­ de disoluciones, yen expediciones á lo D. Quizó­ do á perder la gallera. Luego que llegamos á tier­ te, han recompensado *us servicios confinándola á ra boi declararon prisioneros; pero fuimos bieo</t>
  </si>
  <si>
    <t>Qundro</t>
  </si>
  <si>
    <t>ros puestos. Ei general Diar-.dó salir fuer z xs do ámbso srnes con artillería, y les enemigos fu •■•ron recha­ zaos vigorosa cíente. La división del general Qundro ss vn apro­ ximando á Izo&amp;líoz : ios enemigos por aquella paria llegan i Bjr.aúa y Haé Lago,</t>
  </si>
  <si>
    <t>Qyixote</t>
  </si>
  <si>
    <t>; y ¿tras esta molestia, y de que sns consejos surtirán el veces uo rebaño dé carneros les pare.ee, como Jk buen efecto que siempre he experimentado. D. Qyixote, una armada invencible. 1 “ ,,Es el caso que de algún tiempo á esta-parte .. ,,Niegan las verdades mas. palpables , y sos­ he descubierto en este pueblo una especié d…</t>
  </si>
  <si>
    <t>R, Antonio</t>
  </si>
  <si>
    <t>Antonio R</t>
  </si>
  <si>
    <t>s de edad y 4a de servicies, ma ifescó no habérsele enfriado aun el espíritu en la vej z, saliendo h rido de una estocada en el costado : el teniente D. Antonio R mos, ¿Iferct del mismo regimiento, queriendo socorrer á su coronel, fué ro­ deado de enemigos, y con su esfuerzo pudo desembarazarse de todos, escando por maestra u…</t>
  </si>
  <si>
    <t>R, Cipriano</t>
  </si>
  <si>
    <t>Cipriano R</t>
  </si>
  <si>
    <t>de las EspaPnsle ( D. Juan Bautista ), secretario general de U ñas y de las lnoias. superintendencia de la real casa. Vista la solicitud que ha hecho D. Cipriano R&lt; candió de Somodevi.ia (D. Cenen ), intendente Pala fox pidiendo ia confirmación dei título de conde - de Falencia. de Teva; y oido nuestro consejo da Estado , he­…</t>
  </si>
  <si>
    <t>R, José</t>
  </si>
  <si>
    <t>José R</t>
  </si>
  <si>
    <t>r, marques de Vega Armijo, y al se­ gundo teniente D Jy é Montero; primeras tenencias de fusileros á los segundes tenientes D. Indalecio de ia Torre, D. José R faei Solis, gra­ duado de teniente coronel, D. Manuel Sergeant y D. Antonio Agiier^i, e te de czadores; empleos de segundos ayudantas mayores á los segundos tenientes …</t>
  </si>
  <si>
    <t>R, Josef Ramos Orte</t>
  </si>
  <si>
    <t>Josef Ramos Orte R</t>
  </si>
  <si>
    <t>nez AtcO« P, * 1 Quinto* t#xedo/es ha i en el distrito que repre­ sio, presbítero. sentáis que no tengan ho¡ dia qpe trabajar? Y para el de Encinas i D. Josef Ramos Orte­ R. En el dia no sé quintos habrá ápuntp fixp; pero ga , presbítero. «n el mes de febrero y á principios de marzo se formó Nuestro ministro de Negocios ecles…</t>
  </si>
  <si>
    <t>R, Manuel</t>
  </si>
  <si>
    <t>Manuel R</t>
  </si>
  <si>
    <t>marques de ia Rozna-i 752 fanegas de centenoy. 25 caballos al Sr.. B&amp;liestírds y oíros gxfm. Ea 'Villa. García , al .director de reales provisiones?.D. Manuel R jlrigu^z ■y Valie, 752 fanegas .y 9 celemines de trigo, 507 fanegas y 5'osñmir¿,s de cebada. Ea B ir, guilles , Atalaya y Vaiverde, para saiwn'atro de la tropas 6 fan…</t>
  </si>
  <si>
    <t>R, Pedro</t>
  </si>
  <si>
    <t>Pedro R</t>
  </si>
  <si>
    <t>iai ó 3 semanas qne los médico* no bía» en la provincia de Guipúzcoa, vacante por tienen grandes esperanzas; pero todavía no las han desistimiento de D. Pedro R.&lt;mcr¡, al ex prany.. perdido enteramente. tácense D. Bartolomé de Juzsue. Para el de la villa de Azilu , en la de A’avj, Extracto (Se los diarios publicados esta maña…</t>
  </si>
  <si>
    <t>R, Rafael</t>
  </si>
  <si>
    <t>Rafael R</t>
  </si>
  <si>
    <t>udantía á D. Diego Rodrigues; tenencias ú D. Juan Bsojkmcda, D. José García de! jl rdo, L). u*.sé ivieicuor García y D. Luis Escasi; y subtenencias á D. Rafael R osead e 5 Don Manuel Vazpiez, D. Juan Márquez y D. Marcos B¿v¿.</t>
  </si>
  <si>
    <t>R-go</t>
  </si>
  <si>
    <t>fuutrí* i¡g; ra, pertenecientes i la división del general Picton, y mandados por el teniente coronel Williams, los cazadores número 4 mandados por el coronel R-go , y la artilles íi vaU ite dirigida por ios capitanes R ;ss y Buli. ~ El resultado de tas operaciones ha sido salvar á Coimbra y Ja Bsyra-Alta de la devana i m del …</t>
  </si>
  <si>
    <t>Ra, Agustín</t>
  </si>
  <si>
    <t>Agustín Ra</t>
  </si>
  <si>
    <t>7 rs. Doña Rosalía González del Corral, 1030. D. José Pereyra, teniente ayudante de la pla­ na mayor da Blancos , agregada al batallón de Pardos, 16.-D. Agustín Ra­ mos, en cada mes, 18. El obispo diocesano D. Juan José Díaz de ia Espa­ da, 10.039. Francisco Segura, sargento primero de granaderos del regi­ miento de milicias …</t>
  </si>
  <si>
    <t>Ra, D</t>
  </si>
  <si>
    <t>D Ra</t>
  </si>
  <si>
    <t># y D.'• Cirios Gutiérrez, ,y el cadete:.de -las.tropas veteranas del Nuevo Santander D. Manuel Rosales. El cuartel maestre general de este exército. teniente coronel D Ra­ món Diaz de Ortega, y mi primer ayudante el del mismo grado Don i Bernardo. Villamil, estuvieron á mi lado, djurante toda la acción, ac« tivando mis provi…</t>
  </si>
  <si>
    <t>Ra, Facundo</t>
  </si>
  <si>
    <t>Facundo Ra</t>
  </si>
  <si>
    <t>do Un paquetito, rotulado á D. Juan de Iñi­ libros. go Vicario, con varios quadernos. Nútn. 116. Un barril pequeño con tama­ Un caxoncito, rotulado á D. Facundo Ra­ rindos , cuyo dueño se ignora por falta de guia. mos, con quadernos de cuentas, Núm. isi. Un caxoncito, forrado en en­ Uno dicho, rotulado á D. Francisco de cerad…</t>
  </si>
  <si>
    <t>Ra, Joaquín</t>
  </si>
  <si>
    <t>Joaquín Ra</t>
  </si>
  <si>
    <t>2 del corriente atacaron los enemigos la gran guardia que se hallaba situada en la inmediac o:i do Bote­ ra , ou vo 7 emendante e! teniente carón el D. Joaquín Ra.-.o,i Cav3ro, capita/i dri regiraiento de cazadores de Valencia, n;; solo !os aguardó con firmeza, sino que obligándolos á volver grupa, loa caí-</t>
  </si>
  <si>
    <t>Ra, José</t>
  </si>
  <si>
    <t>José Ra</t>
  </si>
  <si>
    <t>mparo es neinbzo del $r. vírey. Mientras paraban estas cosas, los curas párrocos de Lolst’a , ba­ chiller D. Pedro Ugaide, y d© Tianchiucl, bachiller D. José Ra­ fael Sánchez Espinosa , ocupaban con la gente de su mande ios pueblos levantados de. Tepehuacan, Tamasa y Xscala. Estes dig­ nes párrocos se habían presentado al cap…</t>
  </si>
  <si>
    <t>Rabadilla, Norato</t>
  </si>
  <si>
    <t>Norato Rabadilla</t>
  </si>
  <si>
    <t>de Cananas, y segundo de Sjvilla, D. Angel Par­ rilla, subtentente de infantería y cadete da Irlanda, los cuatro alum­ nos de k citada acadf-taia, y D. Norato Rabadilla, cadete de Cantabria; y para la subtenencia de bandera á D. Santiago Piró, soldado abito gaido del regimiento de Madrid y alumno de la refa­ cía acauemiü. ' B…</t>
  </si>
  <si>
    <t>Rabé, Juan</t>
  </si>
  <si>
    <t>Juan Rabé</t>
  </si>
  <si>
    <t>........................................ T. . rjosef Castillo....................................................... ;.. 1.... Idem segundos....... -^D. Juan Rabé............................................ ....................... . .„ ¿Manuel Nuñcz......................................... ......... . ... 1..... Cabo primero.…</t>
  </si>
  <si>
    <t>Rabel, Ana</t>
  </si>
  <si>
    <t>Ana Rabel</t>
  </si>
  <si>
    <t>Rafael de Robles, 938. D. Antonio M azuco y Chazari, 500. D. José Mon­ tano, 52. D. Manuel Portillo, 64. D. José Mergarejo , 132. D. Juan Ayllon, 32. Doña Ana Rabel , viuda de Conturie , 100. D. Mateo Rodríguez Sánchez, 1215. i). Lorenzo Rodríguez, 4768. D. Sebastian Izquierdo , 500. D. Pascual Cebada , 704. D Juan Córd ido ,…</t>
  </si>
  <si>
    <t>Raf</t>
  </si>
  <si>
    <t>s dé'brigada 9. á‘Iosr¡capitanes D Séb^sf an de S. Juan, »D Blas Manuel Te-ue? , p. ‘José "María Dana , ‘D. Vicente Sánchez, D. Joaqui« d i la G qz , D Raf el dél-Barrio , D. Miguel S.mtillana y D. Ignacio O ovas: á capitanes á los tenientes D Juan Manuel Carmen/, D José Montes y Fíores, D. Pedro Bringas , D. José A*uirfe, ’D…</t>
  </si>
  <si>
    <t>Rafael</t>
  </si>
  <si>
    <t>amos caballeros de la Or­ Ciabnrris (D. Antonio ),-teniente del regimiento den Real de España á los señores: núm. 3.0 de cazadores á caballo. Alcedo (D. Rafael), subteniente del regimiento Cifuentes (D. Joaquín de), oficial de la secreta­ Josef Napoleón. ría del ministerio de lo Interior. Alíaro y Rtmon (D. Ijjedro), oficial …</t>
  </si>
  <si>
    <t>Luna ( D. Domingo ), sargento de húsares de nues­ de cazadores á caballo. tra guardia real. Fraquio (D. Manuel), fiscal de la junta criminal Lianza ( D. Rafael de), capitán de granaderos del extraordinaria d'e Ciudad Real. regimiento Josef Napoleón. Galindo (D. Manuel), teniente de la milicia cí­ Maells ( D. Mariano) t nuestr…</t>
  </si>
  <si>
    <t>e ó del corriente, que se anuncie por los papeles pú­ va rodeado de las autoridades militares y civiles blicos el fallecimiento ab intcstato de dicho D. Rafael, que salieron á recibirle, de la guarnición de esta para que en el término de go dias, los que se presu­ plaza, de los consejas provincial y municipal, de man con dere…</t>
  </si>
  <si>
    <t>ta villa el capitán retirado D. Igna­ cio Elizondo, á la cabeza de 342 soldados veteranos, indiciar o? y vecinos, lh vanelo de su segundo al teniente D. Rafael dtí Vale, y de ru bailemos al alférez D. José María Urmga, teniente D. An­ tonio Griteo, al de la ursina clase D Jo?.é Moría González, á !os alíe cees D. Nicolás E’izo…</t>
  </si>
  <si>
    <t>Sánchez, D. Francisco Bureyra, D. Ma­ nuel Rodrigne2, D. Manuel x4ngeira , D. Andrés Raposeiras, y D. José Gaspar y Barca ; subtenencia de bandera á D. Rafael de *¡ftj.ova, rt «* En el regimiento de infantería de L?on: ayudantía á D. Santiago fritaron: cías á D. Santiago la Rejilla, D. Itadro del Yerro, IX Víctor R.?strebada …</t>
  </si>
  <si>
    <t>Luis de), coronel del regimiento 3.0 ledo, 2.° de infantería de línea. de cazadores á caballo. Brun ( D. Aatonio), comandante de batallón de Urquíjo (D. Rafael de) , encargado de Negocios en infantería. Berlín. Cabrera (*D. Antonio), comisario ordenador , é in­ Várgas (D. Francisco de), mariscal de campo. tendente de exérclto…</t>
  </si>
  <si>
    <t>Rafael, Francisco</t>
  </si>
  <si>
    <t>Francisco Rafael</t>
  </si>
  <si>
    <t>Greta, D. Ramón Lanctoy, D. José Andalo, D. José García, D. Francisco Gómez, B. Antonio Díaz, D. Juan Sánchez y D. Gregorio Vázquez; y subtenencias á D. Francisco Rafael, D. Manuel Taquinet©, D. íhdegria Msliana , D. Podro Pascual del Castillo, D„ Antonio Elers, D. Melchor Moya, D. José Matras, D. Aarustin Scrra, D. Antonio Q…</t>
  </si>
  <si>
    <t>Raga, Fraricicco Martínez</t>
  </si>
  <si>
    <t>Fraricicco Martínez Raga</t>
  </si>
  <si>
    <t>. Ea dicha villa se vió después á Tamborlan que art. n. Nombramos por capitán de esta com­ iba con solos dos hombres abandonado de los suyos. pañía á D. Fraricicco Martínez Raga, y por sub­ Del ij. teniente á D. Josef Vivas, subteniente que fue El comandante de la plaza del Carpió ha dado del regimiento de dragones de Lusitan…</t>
  </si>
  <si>
    <t>Raggétt</t>
  </si>
  <si>
    <t>as veces los cargamentos sin salir del Aboukir, de 74, capitán G. Parker; la Desconjiatt• mar; pero-por lo general los corsarios er.vian las za,átj$, capitán Raggétt; el Zealous , de 74, presas á puertos americanos en barcos ¿e reserva capitán T. Boís; el Edimbourgo, de 74, capitán que han apresado y guardado con esre fin'. S…</t>
  </si>
  <si>
    <t>Raimond</t>
  </si>
  <si>
    <t>tenido ia t'elici— la guerra de España , cuyo buen éxno coronará dad de encontrarse en ella. bien pronto sus esfuerzos. El regimiento 34*° de línea* coronel Raimond, Campo delante de Badajoz 20 de febrero de El 88.°. coronel Vci ande. ¿Ya estiba pedido para i8ti. = El mariscal del imperio, general en gefe . este oficial el gr…</t>
  </si>
  <si>
    <t>Raimundo</t>
  </si>
  <si>
    <t>de elte mes se instaló la lotería impe­ cor o ti el, mariscal de campo. rial de Francia. La o imer extracción se ha hecho Por decreto de 8 de mayo: á D. Raimundo en el sitio Urm.do Campo Marció, destinado para Sauquillo, teniente de la. compañía de cazadores estv establecimiento, y estuvo adornado con la de montaña de cabañer…</t>
  </si>
  <si>
    <t>Rajéwski</t>
  </si>
  <si>
    <t>y á gar correos suyos con pliegos relativos á las nego­ cada compañía de la guarnición. ciaciones, y dirigidas al coroné Feodorowiesch y. El teniente general Rajéwski, comandante de al senado servio. la 11.a división de infantería, ha sido nombrado También se ha sabido por cartas de Belgrado comandante de la 26.*, y el mayor …</t>
  </si>
  <si>
    <t>Ralagt, Antonio</t>
  </si>
  <si>
    <t>Antonio Ralagt</t>
  </si>
  <si>
    <t>somátense , qu*s distribuidos en dos d Visiones , una á cargo de mis ayudantes D. Francisco Ri-era y D. PAúio Soler, y la otra mandada per mí mismo y D. Antonio Ralagt er, han em­ bestido la montaña por la sierra de Oiivér y por S a. C eilm, hada llegar á la carretera la división que yo mandaba , arrollando á viva fuerza |os …</t>
  </si>
  <si>
    <t>Ram</t>
  </si>
  <si>
    <t>D. ]acobo Melendreras, y aun no he r eibido el parte de los que deesre regimiento sean acreedo.es á particular recomendrcnn. — Mi aya-? darte may, r D Ram^n Goliny y el interino D J sé Dorao son dig­ nes de la atención re V. ü., per la Celeridad y expedición en circular mis .órdenes. Quartel de Fez 27 de ncbiembre ele i8iO: —…</t>
  </si>
  <si>
    <t>coronel del regí niecto i ..f latería segundo de Soria, D. Joaquín Gómez de la Serna , de lo que ckbiaa hacer par la izquierda; y al teniente corenel D Ram ya de L" y i, coman­ dante del regimiento infantería segundo de la Princesa, y &lt; l teniente co­ ronel D. Miguel Fraxao , comándente cei de CEriñeria , por el centro y den …</t>
  </si>
  <si>
    <t>D. Fran­ cisco Noguer; tenencias á D. Mauricio de L -rgacha, D. Jo é Per­ noto , D. José deGaiilenea, D. Esteban S. Miguel, D. José Anto­ nio Romero, D. Ram&amp;n de Larrieta, D. Manuel Sanz, D. Domin­ go Cierto, I). Antonio Vallaría© y D. Sebastian Peñasco; y subte­ nencias á D. Diego Blanco, D. Manuel Miravete, D. Pablo J *¿ica…</t>
  </si>
  <si>
    <t>Rambla, José</t>
  </si>
  <si>
    <t>José Rambla</t>
  </si>
  <si>
    <t>511</t>
  </si>
  <si>
    <t>rtos , inclusos 3 oficiales, ccn machos heridos que condujeron á Balagaer : la nuestra fué de 2 heridos levemente. —— Él 25 del mismo m?s el teniente D. José Rambla saííó ú enea entro áun destacamento enemigo en el término de Va;di-robles, lo aneó , der­ rotó y persiguió, matándole 20 soldados con su comandante, y cogien­ do …</t>
  </si>
  <si>
    <t>beque Santa Faz , sobre lo ocurrido en los dias 26 y ^ de abrilentre sus fuerzas y las del enemigo en hs Alfaques. “De resultas del plan acordado con D. José Rambla para efencL r en lo posible por mar y por tierra al enemigo en S. Carlos de la Rápita, rompí el fuego á las 8 de la noche de ayer cor las fuer­ zas de mi mando y …</t>
  </si>
  <si>
    <t>Rambuteau</t>
  </si>
  <si>
    <t>or 2a salud de SS. MM. II. WESTFALIA. y del Rei Roma. Cassel 30 de marzo. Después de la comida los convidados fueron en ti mismo trage á la ópera. El conde Rambuteau , genti hombre de S. M. No se ha omitido cosa ninguna para dar á esta el Emperador y Reí, llegó aquí el lunes último función todo el esplendor y brülautez que ha…</t>
  </si>
  <si>
    <t>Rámeos</t>
  </si>
  <si>
    <t>la amortización. Quando la hombres disciplinados contra ana innumerable mu­ Hungría haya fixado estos medios, entonces po­ chedumbre. Mi antecesor el conde Rámeos ki pro­ drán establecerse otros semejantes para las demas puso desde el 2 de abril volar todas las fortalezas partes de la monarquía, y el nuevo sistema de que está…</t>
  </si>
  <si>
    <t>Ramírez, Damián</t>
  </si>
  <si>
    <t>Damián Ramírez</t>
  </si>
  <si>
    <t>l partido dei Horcon, por su oferta mensual , 10. Doña Antonia Josefa Barca, 18. D. Gregorio Diaz, ve­ cino del partido de Buena Ventura, 102. El Dr. D. Damián Ramírez , tesorero de la universidad de S. Gerónimo de esta ciudad, por oferta del cuerpo de doc­ tores de dicha universidad , 970. D. Juan Luis Mar que ti, á nombre d…</t>
  </si>
  <si>
    <t>Ramírez, Diego</t>
  </si>
  <si>
    <t>Diego Ramírez</t>
  </si>
  <si>
    <t>or espacio de aLnando Laina ; para teniente á D. Francisco de Pau­ gunos siglos mas que las otras naciones cristianas, la Tapia, y para subteniente á D. Diego Ramírez. y de haber conservado pura la doctrina qne apren­ Para capitán de ia tercera compañía á D. Ta— dió desde ios primeros tiempos de tu fundación. deo Oríiz; para …</t>
  </si>
  <si>
    <t>Ramírez, Ignacio</t>
  </si>
  <si>
    <t>Ignacio Ramírez</t>
  </si>
  <si>
    <t>igueroa, G. D. Juan Luis Elizarde , 25. Doña Manuela Elizarde , 25. D. Macedonio Laranaga, 10. D. Juan José Padilla, 25. D. Xa­ vier Manj arres , 10. D. Ignacio Ramírez, 10. 1). Urbano Ibarra , 10. Va­ rios individuos, 84 y 5 rs. — S. Xavier de Cabaza'n. D. Francisco Barreda, 12. D. Ramón Imperial, 10. D. Leandro Salazar , 10…</t>
  </si>
  <si>
    <t>Ramírez, Joaquín Gonzalo</t>
  </si>
  <si>
    <t>Joaquín Gonzalo Ramírez</t>
  </si>
  <si>
    <t>ha hecho precisa la intervención del gobier­ Por decretos de la misma fecha S. M. ha nom­ no, y justifica las precauciones que se hao tomado brado á D. Joaquín Gonzalo Ramírez, alcalde para mantener la tranquilidad pública. mayor, juez de primera instancia de VillanucSegún dice el Evening-yost de Dublin parece ya de la Serena…</t>
  </si>
  <si>
    <t>Ramírez, Juan Josef</t>
  </si>
  <si>
    <t>Juan Josef Ramírez</t>
  </si>
  <si>
    <t>n­ guientes: de á la catedral, acompañado de su estado mayor Capitanes. y de todas las personas que se hablan reunido en D. Juan Cabrera. su palacio. D. Juan Josef Ramírez. Luego que tomó asiento S. E. dio orden que D. Josef Cabello Castaños. se bendijesen las banderas, como lo hizo D. Fran­ D. Josef de lá Torre Montoro. cisc…</t>
  </si>
  <si>
    <t>Ramírez, Mateo</t>
  </si>
  <si>
    <t>Mateo Ramírez</t>
  </si>
  <si>
    <t>propio tiempo di orden á ios dos oficiales que mandábanla guerrilla de Yelez Málaga, el capitán segundo D. Antonio Xímenez de la Cerda, y el teniente D. Mateo Ramírez, oficiales bien distinguidos por su valor muy acreditado, que atacasen á viva fuerza una casa que habla en el extremo de la arboleda, en que el enemigo apoyaba …</t>
  </si>
  <si>
    <t>apenas llega á lOsño*.— También recomiendo á V S., para que se sirva praoikedo í o- ei Cxcmo. Sr. general en gefe, al teniente de cazadores de Vei&lt;z D. Mateo Ramírez: este t Acial, que sirve conmigo desde el privcipio cíe esta guerra, y ha sido recomendarlo varias veces por varios generales , y partí cu ármente por ei Fxcrao.…</t>
  </si>
  <si>
    <t>Ramírez, Venancio</t>
  </si>
  <si>
    <t>Venancio Ramírez</t>
  </si>
  <si>
    <t>Rita Viñas , 10. Tomas Herrera , 12. D Juan Ibas , 10. D Francisco Pé­ rez Díaz , 10 D. José Cabrera , G. D. Francisco Púa , 6. D. Roque Beyroa , G. D Venancio Ramírez , 6. D. José M-.irí i Sevilla, G. D. Luis Mén­ dez , 5. D. Antonio Calero, 5. D. Francisca Peralta , 6. Pedro Saboila, 4. X&gt; Ramón Totosans, 4. D. Juan Perez, …</t>
  </si>
  <si>
    <t>Ramiro, Ignacio</t>
  </si>
  <si>
    <t>Ignacio Ramiro</t>
  </si>
  <si>
    <t>carmelita descalzo. ; D. Agustín Hiera. Para el de Valderueda, vacante por muerte Para el de Santa María de Serón, vacante por de D. Bernardo Isla, á D. Ignacio Ramiro, clé­ promoción de D. Narciso Calvo á un curato del rigo de prima. obispado de Palencia, á D. Félix Alvaro, cura de Y para el de Mosarejos y su anexo GdapaMart…</t>
  </si>
  <si>
    <t>Ramón</t>
  </si>
  <si>
    <t>r Manj arres , 10. D. Ignacio Ramírez, 10. 1). Urbano Ibarra , 10. Va­ rios individuos, 84 y 5 rs. — S. Xavier de Cabaza'n. D. Francisco Barreda, 12. D. Ramón Imperial, 10. D. Leandro Salazar , 10. Marcelo Porras , 10. Don Juan Landeta, 12. I). Antonio Bastida y D. Xavier Benitez , 11. D. Narciso Picos y D. Ramón Barraza , 12…</t>
  </si>
  <si>
    <t>, que tuvo, en el mismo Carrascal el 27 de octubre, en el olivar de Oiite el 3 de noviembre, y en Alcorriz el 7 del mismo. " A mediados del mismo mes D. Ramón cíe E'lzurrun interceptó junto á fíeriee una balija francesa, derrotando la escolta y un des­ tacamento de 60 gendarmas que vino de Pamplona en su socorro. El enemigo t…</t>
  </si>
  <si>
    <t>va y Coca (D. Benito de la), administrador de Ibañet (D. Miguel), secretario y contador de nues­ • correos de Salamanca. \ tra montería mayor. Rober (D. Ramón), secretario de nuestra real ca­ Ingaldo (D. Amadeo), teniente del tercer regi­ pilla. miento de cazadores á caballo. Rodríguez (D. Angel), alabardero de nuestra Irabie…</t>
  </si>
  <si>
    <t>adas de la villa del Mallo), reforzó este punto con z com­ pañías y formó el resto de sus tropas juntoal mismo, encargando el man­ do de la derecha á D. Ramón:Puig, capitán del batallón de Expatriadc.a, el dí la iz juierja ai capitán del mismo D. Lorenzo Martí , y el del centro al teniente coronel D. Esteban Llovera , quedánd…</t>
  </si>
  <si>
    <t>iguiente: articulo i. ,,D. Francisco de Caq^amo, fitESPAÑA. Cal de ¡a reai chanciliería de Valladoiid; D. Josef Morales, miimtro togado de !• misma*, D Ramón Madrid t.° de agosto. Sánchez de Cueto, alcáldé mayor de la cindad,y el obispo de ella D. Vicente Soto y' Valcarcel Gran cancillería de la Orden Real de Estaña. quedan n…</t>
  </si>
  <si>
    <t>ra, 400. D, Gaspar Remisa, 1000. D. Francisco Díaz, 500. D. Agustín Ciotet, 200. D. Jacinto Alvarez de Pazos , 1000. D. Domin­ go José Cierto , 1000. D. Ramón de barreta, 200. Sres. Gordon Shaw y com­ pañía , 10Ó0. D. Joaquín y D. Juan Casaldaero, 400. D. Pedro Boullcsa y Mii anda, 100. Doña Ana María González , 400. D. Manue…</t>
  </si>
  <si>
    <t>Josef derón titulada ia Vida es sueño: seguirá d fandarv'; Garai. se cantará una buena tonadilla, y se finalizará con el Noveno batallón. sainete de D. Ramón de ia Cruz titulado Ja Víue-i í&gt;. Antohio Tomas Diegucz, subteniente, í burlada. EN LA IMPRENTA REAL.</t>
  </si>
  <si>
    <t>de. ]** Don Josef Napqleon por la gracip ’de Dios y juntas de negocios contenciosos. ,, * - a por la constitución del estado, REI de la* Espa­ Mesa ( D. Ramón) comandante de I* compañía das y dje las Indias. . franca de Guadalaxara de Cazadores á caballo. * Oido nuestro gran consejo dq la Ordea Real Munarriz (D. Antonio), sar…</t>
  </si>
  <si>
    <t>n un riesgo inminente. Para el medio beneficio de la misma, vacante Las noticias de esta mañana son mas favorables por ascenso al de ración entera de D. Ramón de que las de ayer. Dicen que S. M. ha dormido bas­ Vicuña, al presbítero D. Pedro Velez de Mendi­ cante, y que esta mañana estaba mas sosegado que gaba!. Codos estos d…</t>
  </si>
  <si>
    <t>1016 En el regimiento de reales guardias españolas ha conferido el Consejo de Regencia el empleo de segundo ayudante mayor, al se­ gundo teniente D. Ramón ae Melgarejo; esta resulta al alférez da granaderos D. José Antonio Fació; empleo de alférez de granade­ ros al de fusileros D. Manuel San Llórente; y empleos de alféreces …</t>
  </si>
  <si>
    <t>capitán de infantería. cionales de Tudela , caballero q»e fue de la or­ Arno:d ( D Gaspar), teniente del regimiento suizo. den de Cárlos nr. Bango ( D. Ramón), gcfe de división del ministe­ Torres ( £&gt;. Santiago ) , secretario general de la pre­ rio de Hacienda. fectura de Málaga. Benitez { D. Josef), capitán del regimiento d…</t>
  </si>
  <si>
    <t>Ramón, Antonio</t>
  </si>
  <si>
    <t>Antonio Ramón</t>
  </si>
  <si>
    <t>1160</t>
  </si>
  <si>
    <t>yor de mi división han desempeñado completamente sus fun­ ciones; y mis ayudantas de campo han trabajado mucho, habiendo tenido ocasión de distíngame D. Antonio Ramón, que cortado por loa enemigos en el paso del rio, pudo salvarse unido á la caballería que se dirigía á Pedraiba.” 2.°—e Ocho de octubre de 1811 , a las 9 de la …</t>
  </si>
  <si>
    <t>Ramón, D</t>
  </si>
  <si>
    <t>D Ramón</t>
  </si>
  <si>
    <t>os al tiempo que las de infantería avanzasen á su frente. Durante la marcha , que se verificó con ei mejor orden , me adelanté con ei cuartel maestre general D¿ Ramón. Díaz de Ortega, y mis ayudantes á reconocer el terreno , desconocidoJá todos -, y Ja posi­ ción dé los ehemigos , que se reduela^ á una loma, casi rectangular,…</t>
  </si>
  <si>
    <t>Ramón, Josef</t>
  </si>
  <si>
    <t>Josef Ramón</t>
  </si>
  <si>
    <t>rtin, D. Pascual Zamora y D. Agustín Las patentes se expedirán en les mismos tér­ Toribio González. minos que en Francia. Por decreto de 12 del mismo D. Josef Ramón Los derechos de registro, sello é hipotecas em­ Domínguez ha sido nombrado juez de primera ins­ pezarán á cobrarse en los 7 departamentos desde tancia de la villa…</t>
  </si>
  <si>
    <t>Ramos</t>
  </si>
  <si>
    <t>pués de haber der­ rotado en los Cerrillos al rebelde lego Galiaga, continuó su expedi­ ción sobre la Barca en busca, de la gabüla acaudillada por el cura Ramos, compuesta de 3000 infantes y 500 caballos con una pieza de artillería; y habiéndola encontrado el 29 de mayo junto al mismo pueblo de la Barca, la desbarató completa…</t>
  </si>
  <si>
    <t>Ramos, Andrés</t>
  </si>
  <si>
    <t>Andrés Ramos</t>
  </si>
  <si>
    <t>grand't.- Capitán D. Ma­ riano Vareta, 100. Teniente Ron Antonio Griego,, 50. Alférez Don José María Úranga, 50. Jd. Don Matías Ximenez, 50. Capellán D. Andrés Ramos , 40. Sargentos, cabos y soldados, 764. — Empica­ dos 7/ particulares. Villa de Monclova. D. TV&gt;mas Florez,60. D. Fer­ nando Bustillo, 20. D. Juan Ignacio de A r…</t>
  </si>
  <si>
    <t>Ramos, Angela Francisca</t>
  </si>
  <si>
    <t>Angela Francisca Ramos</t>
  </si>
  <si>
    <t>. Juan Fernandez......................... D. Rabel Riesco............................ 35775 9 226 31 16800 D. Livinio Stuyek y Vandergoten.. 41697 16 Doña Angela Francisca Ramos..... D. Fernando de Beingoechea........ 2753 26 522 8 D. Manafel Garda de Montenegro. 28000 D. Sebastian de Otacgui................ 2689 23 D. Joaqui…</t>
  </si>
  <si>
    <t>Ramos, José Antonio</t>
  </si>
  <si>
    <t>José Antonio Ramos</t>
  </si>
  <si>
    <t>de ]D. Gabriel de Castro Pa­ lomino, por oferta que este habia hecho antes de su fallecimiento, 200. Tras­ ladados del común de real hacienda, y que D. José Antonio Ramos, oidor de­ cano de la real audiencia , puso en la tesorería de Puerto Príncipe , 500. Tras­ ladados id.,y colectados por D.Juan Benito González de varios ve…</t>
  </si>
  <si>
    <t>Ramos, Josef</t>
  </si>
  <si>
    <t>Josef Ramos</t>
  </si>
  <si>
    <t>ad ó impotencia de la junta de sente lo que sobre lo mismo ó mui semejante pun­ Extremadura, ó sn falta de influxo por no tener la to ha representado D. Josef Ramos, diputado confianza pública, dio motivo á que la autoridad del coman de Badajoz, según tengo entendido, militar creyera que debía extenderse á todo: mas acuerde l…</t>
  </si>
  <si>
    <t>Ramos, Rafael</t>
  </si>
  <si>
    <t>Rafael Ramos</t>
  </si>
  <si>
    <t>al de la villa de Jarandi­ de reside , por.......................................... '........... nao na, provincia tic Extremadura, residente en To­ D. Rafael Ramos , natural de Villamuelas, resi­ ledo, por............................................................... 2100 dente en Toledo, por.............................. …</t>
  </si>
  <si>
    <t>Ramos, Sebastian</t>
  </si>
  <si>
    <t>Sebastian Ramos</t>
  </si>
  <si>
    <t>R-éal, por..................... 2200 Madrid, por................................................... 2290 ID • Estéban Siller , ex-agustino, residente D. Sebastian Ramos, id. id., en CienpoenAlmodovar del Campo, por.............. 2200 zuelos, por..................... 2200 ■ Antonio Torre , id., residente en Al­ D. Joaquín Ambi…</t>
  </si>
  <si>
    <t>Ramos, Silvestre</t>
  </si>
  <si>
    <t>Silvestre Ramos</t>
  </si>
  <si>
    <t>. El fiel de reales Almacenes I)on Pedro Obarrio , 100. El fiel de la real fábrica, de cigarros D. Sebastian Saldivar, 20, Varios vecinos por mano de D. Silvestre Ramos, 206. D. Anto­ nio Maraver , 1251. Entregado por mano de un sacerdote en oro en pol­ vo y pelota, 372. El doctor D. Joaquín Cabrejo , teniente Gobernador, aud…</t>
  </si>
  <si>
    <t>Ramos, SUverio</t>
  </si>
  <si>
    <t>SUverio Ramos</t>
  </si>
  <si>
    <t>...................................................... 3200 D. Simón López, id., residente en id. , por 2200 D. Francisco Salgado, ex-agonizante, re­ D. SUverio Ramos, id., residente en la sidente en esta corte, por.......................... 2200 Solana, por..................................................... 2200 D.Francisc…</t>
  </si>
  <si>
    <t>Ramos, VLente</t>
  </si>
  <si>
    <t>VLente Ramos</t>
  </si>
  <si>
    <t>lesiásticos, y oído nuestro consejo de Estado, Valencia, residente en Toledo, por................... 2200 hemos decretado v decretamos lo siguiente : D. VLente Ramos, natuial de la silla del Prado, art’ccio t. Se reconocen acreedores al tesoro público residente en Toledo, por.................................... 2 200 Jo, ci-r…</t>
  </si>
  <si>
    <t>Ramoy, Francisco</t>
  </si>
  <si>
    <t>Francisco Ramoy</t>
  </si>
  <si>
    <t>l movimiento,' mientras ,-qtie él mayor Brnck con los demás húsares , él-teniente Coróne! Di José ,Sfe.rranó , y el primer Ayudante del estado hiáyor D. Francisco Ramoy jiet con un escuadrón de granaderos- á'caballo; y el dé ésta última clasfe D. Santiago Wall, con dos compañías dél dé instrucción dé su mando, protegí* dos de…</t>
  </si>
  <si>
    <t>Ramsay</t>
  </si>
  <si>
    <t>enerla. En aquel dia una patrulla de infantería ligera, perteneciente á la división del mando del mayor general Aitxandro Campbell, á las órdenes del coronel Ramsay, con­ siguió algunas ventajas contra un destacamento enemigo en Avelans: y asimismo una partida de caballería ligera y un t destacamento del regimiento 95 con que…</t>
  </si>
  <si>
    <t>Ranee, Antonio José</t>
  </si>
  <si>
    <t>Antonio José Ranee</t>
  </si>
  <si>
    <t>al Alvaro, Don José Torreas, D. José María Cazarla, D. Vícente Crosal. D, Ma­ nuel Dorado, D. Francisco Colmenero, D. Juan B anco, D.. Miguel Albert, D. Antonio José Ranee, í). Joaquín Mateos, D Luis Ma­ riano Espinosa, D. Jo3¿ García Saez, D. Bernardo González'y D. Ramón Luciano de Villamaríin; y cu el dei segundo de Soria, …</t>
  </si>
  <si>
    <t>Ranees, Manuel</t>
  </si>
  <si>
    <t>Manuel Ranees</t>
  </si>
  <si>
    <t>r, 300. D. N, 20. I). Joaquín Viüamieva, 160. D. José María Sán­ chez , 100. XX Domingo Duch, hermanos y compañía, 300. D. Juan José Offerrall, 30Í). D. Manuel Ranees, 3000. Sres. Hoig yoFerrer, 2000. D. Fran*. cisco Puíg, 320. D. Francisco Fustegueras, 100. D. Juan Pedro Irigoyen, 500. D. Tomas de la Cuesta ,500. D. Antonio …</t>
  </si>
  <si>
    <t>Raposeiras, Andrés</t>
  </si>
  <si>
    <t>Andrés Raposeiras</t>
  </si>
  <si>
    <t>F¡tapisco P.ieto, D. Antonio Pueyo, D. José Gon­ zález Suarez, D. Ignacio Sánchez, D. Francisco Bureyra, D. Ma­ nuel Rodrigne2, D. Manuel x4ngeira , D. Andrés Raposeiras, y D. José Gaspar y Barca ; subtenencia de bandera á D. Rafael de *¡ftj.ova, rt «* En el regimiento de infantería de L?on: ayudantía á D. Santiago fritaron: …</t>
  </si>
  <si>
    <t>Rapper</t>
  </si>
  <si>
    <t>ios franceses. Su sistema es «rger capitán Llin; la Belena, de 74, capitán Doogt .s; todo lo qce tiene algún valor de los b-reos que «1 Marte, de 74, capitán Rapper; el Nerge, de apresan, y después quemarlos ó regalarlos a la tri­ 74, espitan Raimer; el Tremendo , de 74, capitán pulación. Los armadores de estos corsarios está…</t>
  </si>
  <si>
    <t>Rasamowski</t>
  </si>
  <si>
    <t>u bandera. termómetro de Reaumnr señala 2; grados. Elseneur 11 de julio. Del 26. Hoi ha llegado aqui S. M.: ha mandado hacct En vista del informe del conde Rasamowski, á la esquadriila varias evoluciones, y mañana pa­ ministro de la instrucción pública , se ha publicado sará revista á las tropas, una ordenanza relativa á las …</t>
  </si>
  <si>
    <t>Rasaond</t>
  </si>
  <si>
    <t>cual escupo coa 12 hombres solaviente á fhv$r d* las sombra» d &gt; la noche, y que el resto de su división fué dirimido Pf;*es del R y por el ayudante general Rasaond cea pérdida incalculable, y salvánilesa á favor de la noche muy pocos. Corao era esta elrae de remoiones , publicadas de efi ;io cada mes en los diarios de no exp…</t>
  </si>
  <si>
    <t>Rascones, Pedro</t>
  </si>
  <si>
    <t>Pedro Rascones</t>
  </si>
  <si>
    <t>inez , cura de Fuentearmegi!. teo Roí, ex-capochino. Para el de Huerta de Reí, vacante por pro­ Para el de Almarail y Rituertillo su anexo, moción de D. Pedro Rascones ai de Rioseco, á vacante por promoción de D. Manuel Perez á caD. Bemardino Zaldombidc, presbítero ex-do- nongía de Burgos, á D. Josef Rodrigo, cura de las m ut…</t>
  </si>
  <si>
    <t>Rasero, Agustín</t>
  </si>
  <si>
    <t>Agustín Rasero</t>
  </si>
  <si>
    <t>l frente de 40 hombres de caballe­ Para el curato de Cumbres de S. Bartolomé, ría , le desbarató por dos veces, le mató 60 hom­ vacante por muerte de D. Agustín Rasero, á Don bres, y le cogió 20 prisioneros, entre ellos un ofi­ Juan Almagro , presbítero , ex-regular del orden cial. de S. Francisco. Si Mr. Regnuk hubiera podid…</t>
  </si>
  <si>
    <t>Rasilla, José</t>
  </si>
  <si>
    <t>José Rasilla</t>
  </si>
  <si>
    <t>y D. Pedro Hidalgo, 100. D. Francisco Fernandez, 100. D Marcos de los Ríos , 100. D Juan Perez , 100. D. Mateo Rodríguez, 100. D. José Pedrosa, 100. D. José Rasilla, 60. D. Eugenio Gutiérrez, 100. D. Antonio Ortegon, 100. D. Manuel Sánchez , 100. D. Francisco de la Ve­ ga, 100. D. Manuel Velez Campa, 100. D. Santiago García, …</t>
  </si>
  <si>
    <t>Rasumowski</t>
  </si>
  <si>
    <t>ado recientemente en aquel puerto. „ Continuación del diario de las operaciones mili­ Ha llegado aquí de vuelta de Moscou el señor tares en Moldavia. conde Rasumowski, ministro de la Instrucción pú­ Un cuerpo considerable de caballería torca sa­ blica. lió de Widdin el io de octubre para forragear. SUECIA. El corom.1 Zirnmerm…</t>
  </si>
  <si>
    <t>Rat</t>
  </si>
  <si>
    <t>D. Rodrigo de Mesa. Teniente. D. lLmor. F.ores. I). Rafael Orive. D. Josef Goztnan. D. Ramón Ncgtete. Subteniente. D. José! Fernandez de Córdoba. 4 1 D. Rat.iel S^ravia. D. Francisco Sol.no Tablada. D Josef C-F zas. art. iv. En la villa de Cabra se formará UQ D. Miguel Gírela Vizcaíno. batallón. D. Josef Mana Conde. Queda nom…</t>
  </si>
  <si>
    <t>Ratnon</t>
  </si>
  <si>
    <t>eibal ería de cazadores de montaña de Uoeda. gero. Delgado ( D. Juan), teniente de la de Jaén. BJgrano ( D. Miguel de), comisario de guerra de Ducer (D. Ratnon), comandante .de batallón del segunda clase. regimiento Josef Napoleón. Bermudez ( D. Luis), individuo de nuestra guar­ Dubreuii ( D. Jorge), capitán del regimiento Re…</t>
  </si>
  <si>
    <t>Ravasa, Jaime</t>
  </si>
  <si>
    <t>Jaime Ravasa</t>
  </si>
  <si>
    <t>tido de Juana Díaz. , 15 y 4. José Fernandez ,87 y 5. Ramón Va­ lero , 200. El alguacil mayor I). Manuel Hernaiz, 3700. Antonio Hernández, 60 y 6 rs. D. Jaime Ravasa, £0. O. Gí-rarJa Tejedor, 29, D. Diego Becerra, 100. D. Domingo Duran, 953. D. Pedro Pablo de León, 100.-Francisco'Yebovich, 100. CADIZ : EN LA IMPRENTA REAL.</t>
  </si>
  <si>
    <t>Ravella, Miguel</t>
  </si>
  <si>
    <t>Miguel Ravella</t>
  </si>
  <si>
    <t>lí , por................................................................... 220(» ño, residente en i oledo , por................................ íleo D. Miguel Ravella, natural de Toledo, donde re­ D. z\ntorio París, natural de Bodar, en Granada, side , por............................................. 23CO residente en Toledo…</t>
  </si>
  <si>
    <t>Raygada, José</t>
  </si>
  <si>
    <t>José Raygada</t>
  </si>
  <si>
    <t>il , 100. Capitanes y pilotos de estos buques, D. Pedro Izquierdo , 60. D. Juan Bautista Basó, 30. D. Leandro Ato­ mía, 30. D. Fulgencio Ibañez , 30. D. José Raygada», 20. El capellán Don Manuel Rodríguez, 25. El eivujano D. Joaquín de Rivera Serratet, 35. Comandancia de matriculas. Comandante , el capitán de fragata retirado…</t>
  </si>
  <si>
    <t>Raynaud, Pedro</t>
  </si>
  <si>
    <t>Pedro Raynaud</t>
  </si>
  <si>
    <t>Fiaticúsco Jert.'s , 200. I). Miguel Mateu, 2000 D. José Balboa, 40. D. José Puyade , 100. D. Tomas SoW y Molins , 100. D. Santiago Castañete», 500. D. Pedro Raynaud , 400. D. Esteban Gas'taca y sobrino Vadillo , 300. I). Jorge Montañés. 500. D. Antonio Suris, 200. í&gt;..Domingo Gual, 500. DrAntonio Pizano , 200. D. Benito Picn…</t>
  </si>
  <si>
    <t>Rcbio, Josef</t>
  </si>
  <si>
    <t>Josef Rcbio</t>
  </si>
  <si>
    <t>a gan á oponer la menor resistencia. obra, cuya reconstrucción se ha debido al zelodel Para impedir que pasen á la Navarra, el gene­ señor corregidor D. Josef Rcbio, y á las tareas ral Clopiski ba formado una línea por las inmedia­ del señor Laporte, gefe de batallón de artillería, ciones de las Cinco-Villas. Tal ha sido la s…</t>
  </si>
  <si>
    <t>Rciile</t>
  </si>
  <si>
    <t>estando sitiado en Menciigorría con 2 batallones, ‘tuve aviso de que el general CsíFarelli d/?bia marchar coa su columna sobre Puente da h Hcyna, ei general Rciile con Sa suya para Tu­ fada , y el coronel Bnm desde Logroño sobre EstcrlU. E ta combi­ nación tenia el objeto de intercap&amp;rraa el paso á i as moirt.ñas ¿el E. y N. …</t>
  </si>
  <si>
    <t>Rcmeodero, Tomas</t>
  </si>
  <si>
    <t>Tomas Rcmeodero</t>
  </si>
  <si>
    <t>ni...................... 4512 17 asambleas. 18 D. Vicente González Arnao.............. 8303 4 D. Pedro de Mora y Lomas............. 992 Al; ESPAÑA. 2 D. Tomas Rcmeodero...................... . 1895 Madrid 18 de diciembre. i D. Joaquín de Tudela........................... 361 1 D. Francisco Antonio de Belaunde... 1083 Extracto…</t>
  </si>
  <si>
    <t>Rdova, Jocó Yszquez</t>
  </si>
  <si>
    <t>Jocó Yszquez Rdova</t>
  </si>
  <si>
    <t>rez, D. Francisco Mogollen y D. Pablo Senderos : ayudantía á D Jo -é Otero ; tenencias á D. Joan Rodríguez, D. Alfonso. Tercero, D. Tomas Manzanar-?, D. Jocó Yszquez Rdova, D. Juan Amar, D. Francisco García, Dan Mu» tía Arrute ? D Juan García, D. Antonio Salgado. D. Pascual Be caria, v ÍJ. José Y^zquez Yarela; subtenencias á …</t>
  </si>
  <si>
    <t>Re, Francisco</t>
  </si>
  <si>
    <t>Francisco Re</t>
  </si>
  <si>
    <t>ontes y Fíores, D. Pedro Bringas , D. José A*uirfe, ’D José Segoyia j D Bartolomé'A nat VD. Mariano A bo , Den Frahc rco Lope# , *£); 'Miguel AUier y D Francisco Re nirez : y á te• rijéntés' á ¡os stob’téiíiéhtés D.; Rafael Figüera, D/iJéíé?cDiaz, íD. Pablo &lt;Ru}z de íj.^Pa tída "José Gord l’o, D. Mannel G sn’ia , D. .-Ma­ ria…</t>
  </si>
  <si>
    <t>Re, Miguel</t>
  </si>
  <si>
    <t>Miguel Re</t>
  </si>
  <si>
    <t>m. 96. 765 GACETA DE LA REGENCIA DE ESPAÑA É INDIAS ' S. DEL MARTES 13 DE JULIO DE 1811. / PORTUGAL. Lisboa 10 de julio. Oficio del lord Wellington a D. Miguel Re■ reyra Forjaz. Cuartel general de la quinta de S. Juan 4 de julio de 1S11.— u Después que dirigí á Y. E. mi oficio de 27 del pasado, el ene­ migo ha retirado la may…</t>
  </si>
  <si>
    <t>Reai</t>
  </si>
  <si>
    <t>201</t>
  </si>
  <si>
    <t>eado do la voz de que iba á entrar eu Egipto un exér- en ei departameot ) de la Guerra en Casset. cito extrangero. Los ingleses esperaban con esto La Princesa Reai ha respondido en los térmi­ intimidar al baxá, y detenerle en sus empresas; nos siguientes al baror» de Toli , que lavo la hon­ pero Mahomed.Ali no hizo caso.de se…</t>
  </si>
  <si>
    <t>Rebino, Jrsef</t>
  </si>
  <si>
    <t>Jrsef Rebino</t>
  </si>
  <si>
    <t>do Rabí, sargento primero, á subteniente bien nombrar para la silla de Florencia. . de la novena comnañía. „Señor, de V. M. I. y R. mui humildes, moi D. Jrsef Rebino, sargento primero, á subteniente afectos y mui obedientes seividores y súbditos = de la décima compañía. Averardo Corboli, arcediano. ^Antonino Longe, Séptimo ba…</t>
  </si>
  <si>
    <t>Rebollo, Isidro</t>
  </si>
  <si>
    <t>Isidro Rebollo</t>
  </si>
  <si>
    <t>ncho: ayudantía á D. José García: tenencias á D. Ji'sé Lopes y Angulo , D. Jacobo López, B. Miguel Salazar, D. Temas Moreno, D. Juan Julián da Tomás, D. Isidro Rebollo,. D. Saturnino García, D. Abdon Ruis y Camón, D. Ventura Mol­ ió.; D. Francisco de F ula Lopes, D, Tomas Ríos , D. Andrés Rodrigo y D. Francisco Gor-znlea ; y …</t>
  </si>
  <si>
    <t>Reboul, Cirios</t>
  </si>
  <si>
    <t>Cirios Reboul</t>
  </si>
  <si>
    <t>Pérez Nestares á subteniente de la quinta compiñía en la vacante de D. Antonio Ferreras» Séptimo batallón. art. vil. En la milicia cívica de Paradas. D. Cirios Reboul, capitán, á ayudante primero. D. JPedro Navarrete á subteniente en reemplazo D. Francisco Izquierdo, abanderado, á teniente de D. Josef González Pastor. de la t…</t>
  </si>
  <si>
    <t>Recacho, Juan José</t>
  </si>
  <si>
    <t>Juan José Recacho</t>
  </si>
  <si>
    <t>aciones interiores de estos dominios ha producido la tardanza con qae se ha recibido la noticia de las operaciones del cuerpo de tro­ pas mandado por D. Juan José Recacho , oidor de la real audiencia de Guadalaxara. Este gefe determinó á fines de octubre último atacar á los rebeldes, que al n a-do de un tal Godinez se habian …</t>
  </si>
  <si>
    <t>Recacoechea, Lorenzo</t>
  </si>
  <si>
    <t>Lorenzo Recacoechea</t>
  </si>
  <si>
    <t>Fatiregui....... 1263 *7 baya , marques de Castel-Ro­ D. Andrés de Abrisqueta.............. 54i *7 drigo........................... ....... ...... . D. Lorenzo Recacoechea............... 59758 3a 929? *5f D. Antonio Piúeiro, marque* de El real colegio de Avapies............. “73 8f Vendada.....................................…</t>
  </si>
  <si>
    <t>Recibimos</t>
  </si>
  <si>
    <t>contrado grao cantidad ocupaciones y cuidados de! gobierno no quiere ignorar de municiones. ninguno de los progresos imporuntes de las ciencias, « P. D. Recibimos orden en este momento para las quales no les niega ñadí de quanto puede contribuir volver al exércíto, o que nos hace creer que deni á nuevos adelantamientos, había…</t>
  </si>
  <si>
    <t>Recio, Juan</t>
  </si>
  <si>
    <t>Juan Recio</t>
  </si>
  <si>
    <t>regimiento de infantería, primero de Burgos, Ira conferido el Consejo de Regencia compañías á los tenientes D. Francisco do Oña, D. Domingo Ace vedo, D. Juan Recio, D. Antonio Hida'go y D. José Soldes, y al ayudante D. Valentín Alegre; ayudan tí i al teniente D Joaquín Henriquez ; tenencias í los subtenientes D. J *só Fierra …</t>
  </si>
  <si>
    <t>Recuero, Jacinto</t>
  </si>
  <si>
    <t>Jacinto Recuero</t>
  </si>
  <si>
    <t>mandante de la guardia cívica D. Juan Dot censo de D. Manuel Luciano Martínez al de Fuenno se olvido de que tuviesen la parte posible eu tenovilla, á D. Jacinto Recuero. este placer ¡os pobres encarcelados, á quienes eu- Y para el de Fechada , vacante por ascenso de vió &lt;5 hizo distribifr una abundante comida. D. Juan Luengo …</t>
  </si>
  <si>
    <t>Redondo, Juan Francisco López</t>
  </si>
  <si>
    <t>Juan Francisco López Redondo</t>
  </si>
  <si>
    <t>Millati, á D. Pedro Josef den de S. Francisco. E opez, presbítero, ex-regular del orden de San Para el de la de Castilbianca , vacante por muerte de D. Juan Francisco López Redondo, al Francisco. Para el de la parroquial de Santiago de la villa presbítero D. Eugenio Josef Gómez. de Gibraleon , vacante por muerte de D. Pedro P…</t>
  </si>
  <si>
    <t>Rees</t>
  </si>
  <si>
    <t>1238 enciclopedias, rivales una de otra. La primera es la cho , y se han hecho grandes compras para la ca­ Ciclopedia dirigida por el doctor Rees; y la se­ pital. Las aduanas han zelado con la mas escrupu­ gunda la Pungía , cuya redacción corre a cargo de losa exactitud ; pero al mismo tiempo se han dado las señores Good y Gr…</t>
  </si>
  <si>
    <t>Reg</t>
  </si>
  <si>
    <t>habían formado en 6 divisiones siempre con el nombre de exército de Portugal, teule ¡ lo por c© ¡andante en grfe al duque de Ragu*;a, y en segundo al general Reg úer. — El mariscal Beresford me ha comunicado que la mayor parte de los oficiales puestos en la lista como extraviados de resultas de la acción del 16, ae han reunid…</t>
  </si>
  <si>
    <t>Reg, Pedro</t>
  </si>
  <si>
    <t>Pedro Reg</t>
  </si>
  <si>
    <t>Una corbeta inglesa destacó el 20 de este mes Para ti de doto de S. Estiban, vacante por uno de sus botes coatra un pequeño barco f/ances, mue.tc te D. Pedro Reg.lado dei Cura, á Don el qual se refugió en la bahía de Arromaoches, y Tomas Campos, c’éttgo prima. la gente que lo tripulaba se salvó huyendo a tier­ Par* ei de Vitl…</t>
  </si>
  <si>
    <t>Regante</t>
  </si>
  <si>
    <t>s Estados-Uoidos.” podrán adelantar nada por sí solos: á vosotros os toca abrir el camino de modo que no se llegue á AUSTRIA. traslucir aquí nada. El Príncipe Regante con la ayuda de la Providencia puede conseguirlo, y yo Viena 6 de noviembre. ruego al cielo que él y sus consejeros tengan toda la prudencia y sagacidad necesar…</t>
  </si>
  <si>
    <t>Regen</t>
  </si>
  <si>
    <t>stitución del país.” capital, adonde llegó al anochecer. El 6 obtuvo ¡a ElFreemans Journal asegura que los católicos primera audiencia de S. A. R. el Príncipe Regen(1) Nadie ignora que, poscido de una infernal ati- estado. glomanía, se dedicó á servirá la Inglaterra hace mu­ (2) En esto no cabe duda ; y tendrá la complacen­ c…</t>
  </si>
  <si>
    <t>Regencia</t>
  </si>
  <si>
    <t>Dá.io ern Cádiz á 3 de setiembre de ISil.—. A¿ co^srjo de Urgencia.— Y para la debida ^x cnc on y cumpli­ miento del decreto precedente, el 'Conseja d Regencia*' ordena y manda á todos los &lt;ri banal as , j isticii?, g f.s y gobernadores, y demas aut® iclades ssi C; viles coico mili tares y eclesiásticas, de cual­ quiera clase…</t>
  </si>
  <si>
    <t>Regenta</t>
  </si>
  <si>
    <t>te hace tres años. blea, cuyo objeto sea deliberar acerca de las ven­ ( Estos no son inas que los que han hecho ins­ tajas de dirigir una petición al Príncipe Regenta cribir sus nombres en el despacho de la posta; pe­ para la revocación de las órdenes del consejo, pro­ ro se dice que hai otros muchos que no se han viene de la…</t>
  </si>
  <si>
    <t>Regente</t>
  </si>
  <si>
    <t>bierno ha observado liorna 18 de mayot últimamente con ellos, fue entregada el martes El templo de Júpiter Tonante era el montíd último á S. A. R. el Príncipe Regente por tres memo mas próximo al Capitolio en el día no ha diputados , á los quales recibió S. A. con mucho quedado de él en pie mas que tres colanas qné agrado. Di…</t>
  </si>
  <si>
    <t>abaña de este ganado, que está cerca de libras esterlinas en cada semana, y í 91 millones Odessa. de libras esterlinas al año. SUECIA. Se dice que el Príncipe Regente conferirá al duque de Norfolk y al conde Mojra las cruces que Jistockolme 24 de mayo. están vacantes en la orden de la ¡Charretera. El Reí ha escrito una circul…</t>
  </si>
  <si>
    <t>ra de un lanzazo. Al teniente Hooper le ha atravesa­ »mañana á muchos miembros de la familia real.” do una bala el hombro. El teniente Houghton ha El Príncipe Regente ha ido esta mañana á recibido dos terribles cuchilladas en el cráneo y en Windsor. El estado de la salud del Rei da bastan­ una mano. El teniente Herbert ha sid…</t>
  </si>
  <si>
    <t>ían sidc menores ano quando nO hubieran Mr. Brand proposo ayer á la cámara baxa que existido las órdenes del consejo, y el comercio del se hiciese al Príncipe Regente una representación enemigo habría continuado fldreciente." pidiendo copias ó extractos de la correspondencia Mr. Perccval sostiene por el eontrarlo que el qué h…</t>
  </si>
  <si>
    <t>nes: el duque de Ragusa Tomó allí nn gran equi,,Quesehaga una representación respetuosa á page de puente, y le hizo conducir con el resto S. A. R, el Príncipe Regente suplicándole mande del exército hacia Mérida. entregar á la cámara copia de toda la correspon­ En el entretanto el.exército del Mediodía , man­ dencia qtte ha h…</t>
  </si>
  <si>
    <t>es de en vista de la escena cómica que ha pasado , to­ guerra. (The Sun.) do el mondo está persuadido que eo esto hai una El jueves próximo saldrá el Príncipe Regente coni venóla' secreta de parte del gobierno, oque á recorrer y visitar los puntos militares de Canlos católicos ie infunden ya algún temor. beri, Douvres y de la…</t>
  </si>
  <si>
    <t>1446</t>
  </si>
  <si>
    <t>que el servicio d# estos paquebotes. Ver­ ■Acaba de formarse en Londres, con aproba­ dad es que todos ellos están armados, y qne por ción expresa del Príncipe Regente , una sociedad consiguiente son de una fuerza superior á la de los para cuidar de que se eduque á los hijos de los corsarios franceses de un porte regular; pero…</t>
  </si>
  <si>
    <t>1451</t>
  </si>
  <si>
    <t>«S. A. R. iguales sentimientos, y juntamente la »&gt; parióla (4) cerca de S. M. R. y de S. A. R. el «alba güeña esperanza que tenia su nación de que »&gt;Príncipe Regente: que si á un midtar (5) podia «3. A. R. no solo seria con respecto á la causa de «ser menos sensible el apartarse de su patria de- «España y de toda la Europa ot…</t>
  </si>
  <si>
    <t>1483</t>
  </si>
  <si>
    <t>izar, favorecer , ó por ruejor decir, El marques de Welleslei fue ayer á Oaf— sostener ea sus empleos todos los aatiguos funcio­ lands á presentar al Príncipe Regente las resolu­ narios. &gt; ciones del consejo de gabinete que se celebró eL Muchos dé estos, sin atreverse a decidir sobre martes pasado en la secretaría de Negocios…</t>
  </si>
  <si>
    <t>M. era cada vez al capitán Ladorini quiera Ingar de darse por in­ mucho mayor. ventor, trate de dar á su capa hidrostática la per­ No esperábamos ai Príncipe Regente hasta el fección que tenia la de los hermanos Gerli, para sábado; pero S. A. ha resuelto volver hoi á esta que de este modo no vuelva á ahogarse otra com­ ciudad…</t>
  </si>
  <si>
    <t>Regimiento, Waters</t>
  </si>
  <si>
    <t>Waters Regimiento</t>
  </si>
  <si>
    <t>infan­ dos heridos. tería, con artillen’:, el qual entraba en Ciudad Rodrigo Regimiento 4o.0 Un soldado herido. por el camino de Salamanca. Mandé al coronel Waters Regimiento 45." Tres soldados heridos. que se quedase en las alturas hasta puesto el sol, para Regimiento 48.0 (segundo batallón). Un soldado ver si venían mas tro…</t>
  </si>
  <si>
    <t>Regnier</t>
  </si>
  <si>
    <t>el cambio en Menorca, donde los pesos fuertes vados de este rio. Habiéndose disipado la niebla, no valen mas que cinco schelines / y ellos los re­ el general Regnier creyó que el enemigo intenta­ ciben por el valor de seis schelines. ba llegar antes que él al camino de* Aifayates, yasi manió que se replegasen hacia este' punt…</t>
  </si>
  <si>
    <t>dRodrigo, puesto que en el dia siguiente 7 toda esta fuerza se puso en movimiento con dilección á Moras-verdes y puerto de Baños, cer­ ca del cual el general Regnier había estado desde el 5 con dos di­ visiones del exército de Portugal. En el dia 8 por la tarde una de éstas divisiones lo había pasado, y jusgo que dichas divis…</t>
  </si>
  <si>
    <t>do su posición de Albuera, evacuado á Olivenque me resolví á marchar rápidamente., y envié za, y que retiraba sus tropas á la orilla derecha orden al general Regnier ¡de que saliese de Fuente- del Gaadiana por el lado de Yelbes. En la tarde Roble y de Los Santos, donde estaba son dos di­ del mismo dia se adelantó el exército,…</t>
  </si>
  <si>
    <t>go pa­ sientes, tres sargentos, 13 saldados heridos; un capi­ ra Moras-Veriles, en la dirección del paso de Baños, tán extraviado donde se hallaba el general Regnier , desde el dia 5, 88.° Tres soldados heridos. con dos divisiones del exército de Portugal. Kn la no­ ,94/ Un soldado muerto; seis soldado» heridos. che del 8 una…</t>
  </si>
  <si>
    <t>Regó</t>
  </si>
  <si>
    <t>se distinguieron ia inf-nterij li­ gara de la división, dei general Piccpn ai mando del coronel Wiiiiums, y el batallón de cazadores número 4 al del coronel Regó. El dia 13 todo el exército francés, á excepción deisgundo cue pp que estaba aun en Espinhal, ocupó una fu rte posición en Con ieixa. Ha­ biendo observado que enviab…</t>
  </si>
  <si>
    <t>Regoagd</t>
  </si>
  <si>
    <t>ción de tiempo, ó de los que siempre tie­ nen trabajo? Sus ion del 8 de julio. R. Yo creo que e* de los últimos; pero no es- Los consejeros de Estado conde Regoagd de toi seguro. En U primavera pasada los maestros Saint-Jean d’Angeli, ministro de Estado; conde de albañil no acostumbraban ajustar el jornal de Janbert y Berange…</t>
  </si>
  <si>
    <t>Regóice</t>
  </si>
  <si>
    <t>mhien se ha leído otra sobre 4 toda prisa, loque executó también todo «i cuer­ los* descubrimientos hechos nuevamente en-la islá po .enemigo. El del. general Regóice llegó aquel Farnesio. mismo dia 4 Alfayates. ¿ : : *v.. . *.'.ú Ambires 16 de abril. Nuestra pérdida en este ataque fne de 2co hombres entre muertos y heridos : …</t>
  </si>
  <si>
    <t>Regoier</t>
  </si>
  <si>
    <t>e^te So­ el segundo cuerpo , mandado por el geoerai Reg— berano. nier, se hallaba enfrente dé Sabogal. Ei Montagd, procedente de las aguas de Cor­ El general Regoier recibió el 3 de abril aviso, fú, h, 1 raido cartas de Menorca, que' alcanzan de que se acercaban los enemigos , y-á consecuen­ hasta el 23 de marzo. Sir Carlos C…</t>
  </si>
  <si>
    <t>Rehbinder</t>
  </si>
  <si>
    <t>des de dinero entre las iglesias y loa pobres se halle eu estado de poder tomar- las armas que de la ciudad. se aliste eu las banderas del profetasEl conde Rehbinder ,- qne el nn propietario mui acaudalado en la Estonia, tiene ui^.tepaño de PRUSIÁ. merinos de cabezas. La (ana de estos ^caeros se emplea tpjtra hacer paños y ca…</t>
  </si>
  <si>
    <t>Rei</t>
  </si>
  <si>
    <t>340</t>
  </si>
  <si>
    <t>ione parte posterior. y de Santiago se hicieron fervorosas oraciones y Se ha hablado macho en el público de nn pes­ rogativas por la vida de S. M. la Emperatriz Rei­ cado disforme del género de los perros de mar; na , la augusta esposa de nuestro Soberano , y por Mr. Biainvílle acaba de presentar á la clase diver­ sn feliz al…</t>
  </si>
  <si>
    <t>Reichard</t>
  </si>
  <si>
    <t>anal para regresar al exér- ha llegado anteayer á esta ciudad. ^ cito. Anteayer se verificó la ascensión de madama Se sabe que el señor Pedro FoDton, secretario Reichard , en presencia de muchos príncipes de la que fue de la legación rusa en Constaotinopla, ha casa real y de un numeroso concurso. Ha hecho estado en el campo d…</t>
  </si>
  <si>
    <t>Reicle</t>
  </si>
  <si>
    <t>proporción de las pri­ penetrar en Navarra por las montañas de Vizca­ vaciones de todo géoero , de las fatigas, de ios pe­ ya, al mismo tiempo que el general Reicle salía ligros á que está expuesto e! militar , jamas es bas­ de Pamplona , y que el general Dutnoustier guar­ tantemente remunerado. Toda gloria debe desapare­ dab…</t>
  </si>
  <si>
    <t>Reille</t>
  </si>
  <si>
    <t>que, habiendo sido hechos prisioneros se esca­ paron matando á los que los custodiaban, tuvieron mas de 300 muer­ tos con mayor número de heridos. El conde Reille, general francés de Navarra, publicó en Pam­ plona en la «rilen general del 15 de octubre una relación á su mod® de este acontecimiento. Supone que ios franceses no…</t>
  </si>
  <si>
    <t>Reina</t>
  </si>
  <si>
    <t>Id parmitiese la estación. Nos Te Deu:n en acción de gracias por el feliz alum- persuadimos que el departamento del Elba no debramicnt &gt; de S. M. la Emperatriz Reina y del na­ xa rá de emprender otros proyectos semejantes. cimiento del Re i de Roma. Las tribunas de la igle­ También se han principiado las obras en varias par­ …</t>
  </si>
  <si>
    <t>Reinal, Rafael</t>
  </si>
  <si>
    <t>Rafael Reinal</t>
  </si>
  <si>
    <t>por la centtítncion de! eiudo, REI de las Espa­ D. Felipe de Hoyos Cevaüos....... *3*7 das y de las Indias. 1980 D. Rafael Reinal te......................... 4569 16 vistas las 37 consultas de la comisión de li­ D. Josef Escalera............................ quidación de la deuda del estado, lo expuesto'por 11290 29 Ei ma</t>
  </si>
  <si>
    <t>Reinaud</t>
  </si>
  <si>
    <t>que el Gran Señor enviaba según cos­ nico esta noticia', qne sé os Será mui agradable.— tumbre todos los años para qúe fuese depositado Firmado== el general Reinaud." tu el sepulcro de Mahoma. El general Thiebaud al comunicar esta noticia Sin embargo, los peregrinos pudieron llegar í añade lo siguiente: Meca í donde su dolor …</t>
  </si>
  <si>
    <t>Reinier</t>
  </si>
  <si>
    <t>nmediatamen,,Considerando, añadió Mr. Whitbread, los ,te la marcha de su exército hacia el Tajo. gravísimos .inconvenientes que resultan de la in­ El general Reinier tomó el mando de la van­ terrupción de nuestro comercio en la América , pre­ guardia» y el 9 de junio llegó í Plaseneia. viendo los espantosos niales que resulta…</t>
  </si>
  <si>
    <t>Reiría</t>
  </si>
  <si>
    <t>era el que volviesen los parros. Se ha armado á otros acó hombres en el presos á Santiagp; pero que sobre todo no quería quartel de artillería, y su comandante Reiría los escucharlos (á los miembros del cabildo) por mas ha enviado fnera con orden de permanecer e:i el ' tiempo ,.y que si se le antojaba ninguno de ellos campo, …</t>
  </si>
  <si>
    <t>ReiUe</t>
  </si>
  <si>
    <t>871</t>
  </si>
  <si>
    <t>Mi pé/dida en la ac­ ción fué de 2 muertos y i2 heridos, y La del enemigo de £3 muerto#, y mas de 70 heridos, en lie estos un coronel, pariente tí *1 gobernador ReiUe : este día rae retiré al pueblo de A’tozqui. Ei 19 salí para el pueblo de Erro, sin mas novedad que el aviso de dos columnas ene­ migas que se aproximaban , una…</t>
  </si>
  <si>
    <t>Rejón, Félix</t>
  </si>
  <si>
    <t>Félix Rejón</t>
  </si>
  <si>
    <t>Francisco Duarte, ex­ Los ingleses no cesan de hacer continuamente capuchino. tentativas por acercarse á las costas para desem­ Para la de Conchar á D. Félix Rejón , ex-carbarcar en ellas prusianos, hannoverianos &amp;c. que melita descalzo. ya no pneden servir. Ei dia iy de este mes se ar- Para la de Aimexijar y Notaez á D. Pabl…</t>
  </si>
  <si>
    <t>Relia, Josefa</t>
  </si>
  <si>
    <t>Josefa Relia</t>
  </si>
  <si>
    <t>é García Alvarez , por resto de mayor caos por mes de dragones";, a cuánta de%!s--ofertas* d-e 4os;gef.?s-:; oficiales y tropa de este cuérpo , 5.50. Doña Josefa Relia, S pesos y 4 rs. El doctor D. Ambrosio María de Znazo , por ef préstñ;d'e"S'soldadas «ta 8 nieses &gt; 144. D. José María Azco­ na ,;admin'T3trád-OJ* de rentan ;d…</t>
  </si>
  <si>
    <t>Remariinez, María Juana</t>
  </si>
  <si>
    <t>María Juana Remariinez</t>
  </si>
  <si>
    <t>Monte, por................................................. 2200 Doña María Gregoria Cueva , id., por.... 2200 D. Ramón Rodriguez, id., residente en Doña María Juana Remariinez, id., por 2200 Valmojado , por........................................... 2200 Doña María Carolina de los Dolores Gan- D. Josef Guillen, ex-capuchino …</t>
  </si>
  <si>
    <t>Remendero, Tomas</t>
  </si>
  <si>
    <t>Tomas Remendero</t>
  </si>
  <si>
    <t>o de 'Estriban Mari , d« quien es administrador fideicomisa­ una boJi'ata.—........................... }...... 733 1 rio D. Esteban Mari, y sn apode­ D. Tomas Remendero por boletas rado D. Vicente González Aroao. 48553 t originales de la real casa,............... *37® Los heredenros de D, Manuel de £s- 66 102794 231 piuosa , …</t>
  </si>
  <si>
    <t>Remero, Francisco</t>
  </si>
  <si>
    <t>Francisco Remero</t>
  </si>
  <si>
    <t>mi­ nados en aiismética, D. Agustín Nogueyra, D. Conon Auge, D. Mi­ guel O íoste y Vidal , D. 'Domingo González, D. Francisco Otero, I). Juan Teron y D. Francisco Remero ; en aiisméticá y álgebra, 1). Feiíx Labrada ; en geometría elemental y. trigonometría plana, D. Nicolás Fernandez y D. Francisco Prftbsn; en geometría eleme…</t>
  </si>
  <si>
    <t>Remi, Juan</t>
  </si>
  <si>
    <t>Juan Remi</t>
  </si>
  <si>
    <t>, oficial segundo, 1. D. Francisco Alvarez, reconocedor primero, 3. D. Nicolás Ceca, id. segundo , 3. D. José Hernández de Acosta , id. agregado , 1. D. Juan Remi, peón de confianza , 1. D. Félix ¡Sánchez, id, 1.1). Manuel Francisco de Aranguren , guarda almacén , para la manutención de un soldado., 9. D. José Joaquín Rivero …</t>
  </si>
  <si>
    <t>Remigio, Claudio</t>
  </si>
  <si>
    <t>Claudio Remigio</t>
  </si>
  <si>
    <t>y en la actualidad se está levantando un cam­ den Real de España á ios señores: po atrincherado tan formidable por, su . posición Mario Duruisseau ( D. Claudio Remigio), capitán como por las obras de que se compone 5 quatro ba­ de caballería. tallones trabajan diariamente en éi, y, mui pronto Morales (D. Narciso) , capitán co…</t>
  </si>
  <si>
    <t>Remon, Nicolás</t>
  </si>
  <si>
    <t>Nicolás Remon</t>
  </si>
  <si>
    <t>ona , 100. D. José deFábrega , ade­ mas del sueldo que le está asignado por castellano interino de Chagre todo el tiempo que sirva este empleo , 200. D. Nicolás Remon 500. El ayudante mayor D.Baftasar Avala, 40. Tenientes. D. José María Chiavi, 100. D. Felq e Fábrega , 40. D. José Toribio Frontis a , 25.|D. Francisco Ximenez …</t>
  </si>
  <si>
    <t>Remond</t>
  </si>
  <si>
    <t>áStf* Ayamonte 4 de n¡irz% El general B illesteros há hech o mbvi miento: sobre ios franceses. Su comandante Remond se ha retirado hada San-' ]acar la mayor, dexindo en Niebla una guarnición de 100 juramentan dos, á quienes se ha intimado la readici ja. Han pedido tratos y segu­ ridad' de vidas; pero el general Ballesteros qu…</t>
  </si>
  <si>
    <t>alía de madre este rio, coyas aguas se extendían de Granada, baxo las órdenes del señor ayudante por la ciadad , arrninaban los cimientos de los edi­ comandante Remond. El 20 se reunió el enemigo ficios, interceptaban las comunicaciones, y reda­ en Lanjaron y, Velez de Benaudaila : el 21 fue ctan á la miseria á una multitud d…</t>
  </si>
  <si>
    <t>Renedo, Domingo</t>
  </si>
  <si>
    <t>Domingo Renedo</t>
  </si>
  <si>
    <t>uel Barrero , sargento primero, á sub­ y oirá todas Jas quejas 6 representaciones que se le teniente de la novena compañía. dirijan. Tercer batallón. D. Domingo Renedo , sargento primero, á sub­ REINO DE ITALIA. teniente de la décima compañía. Venecia aj de diciembre. Quarto batallón. D. Manuel López, subteniente, á teniente …</t>
  </si>
  <si>
    <t>Rengel, Mgueí</t>
  </si>
  <si>
    <t>Mgueí Rengel</t>
  </si>
  <si>
    <t>E OFICIO. El Conseja de Regencia se ha servido promev r en el real cuer­ po de ingenieros, i director-subinspector al brigadier -y, corone! del mismo D. Mgueí Rengel t á coronel, al teniente coronal D. Gonzalo Lorenzo y Cáceresá teniente'coronel, al graduado de kfant;ría y sargento mayor de brigada D. Blas Mar ud Teruel: á ee…</t>
  </si>
  <si>
    <t>Rengil, Miguel</t>
  </si>
  <si>
    <t>Miguel Rengil</t>
  </si>
  <si>
    <t>2 uóqs, 501). El escribano D. Agustín Cosgaya, en cada més, 6. Administración de correos. El administrador D. Antonio Canobas , 25Ó. El oficial mayor D. Miguel Rengil25. D. Francisco Cosgaya , subalternó, 10, D. José Elisagarate , id., 10. En la jgaceta niím. 12 de! sábado i 6 ¿e enero último, se padeció la equivocación de ll…</t>
  </si>
  <si>
    <t>Rensoli, Rafael</t>
  </si>
  <si>
    <t>Rafael Rensoli</t>
  </si>
  <si>
    <t>e un soldado., 9. D. José Joaquín Rivero , id., 3. D. Geróni­ mo José de Aguiar, oficial de libros, 1. D. Tomas Ruiz Solana , sobrestante segundo, 3. D. Rafael Rensoli, id, tercero , 1. D. Marcos Fernandez Castañe­ da, id. cuarto y fiel de peso, J y 4 rs. D. Gabriel de Lamas Pardo, agrega­ do, 1 • D. Sebastian de Rives y Nori…</t>
  </si>
  <si>
    <t>Rentería, Cipriano</t>
  </si>
  <si>
    <t>Cipriano Rentería</t>
  </si>
  <si>
    <t>. T&gt;. Carlos Rentería , 100. T). Luís Martí­ nez , 100. D. Juan Capistrano , 30. D. Antonio Moreno, 50. I). Matías Bueno, 14. D. Manuel Montoya , 12. D. Cipriano Rentería, 8. D. Tomas Rentería, 10. D. Francisco Veiez, 12. Varios individuos, 100 y 0 rs. Los vecinos de Moconito , 237 y 5 rs. Los de Bacuvirito , 148 y 4 rs. Los …</t>
  </si>
  <si>
    <t>Rentería, Tomas</t>
  </si>
  <si>
    <t>Tomas Rentería</t>
  </si>
  <si>
    <t>00. T). Luís Martí­ nez , 100. D. Juan Capistrano , 30. D. Antonio Moreno, 50. I). Matías Bueno, 14. D. Manuel Montoya , 12. D. Cipriano Rentería, 8. D. Tomas Rentería, 10. D. Francisco Veiez, 12. Varios individuos, 100 y 0 rs. Los vecinos de Moconito , 237 y 5 rs. Los de Bacuvirito , 148 y 4 rs. Los del Valle de Oposura, 49 …</t>
  </si>
  <si>
    <t>Reqneoa, Pedro</t>
  </si>
  <si>
    <t>Pedro Reqneoa</t>
  </si>
  <si>
    <t>tonio Ximenez Castellanos* art. u. Eo la ciudad de Córdoba se aumen­ tará un batallón, que con el ya formado, com­ Tenientes, pondrá un regimiento.__ D. Pedro Reqneoa. Nombramos para coronel de este regimiento i D. Pedro Ignacio Rioboo. D. Diego de Leori; para mayor á D. Francisco de D. Josef María Sánchez. Paula Valdivia; pa…</t>
  </si>
  <si>
    <t>Requejo, Facundo</t>
  </si>
  <si>
    <t>Facundo Requejo</t>
  </si>
  <si>
    <t>.............................. 202 50 Doña María Petra Pastor.......................... 1263.. 17 D. Martin Antonio de Iiuici.................. 25740 D. Facundo Requejo................................. 2819..17 Doña Raitnunda Bruquiero.................... 22 jOQ D. Juan Marcos Martínez........................ 4J*.. D. F ermin…</t>
  </si>
  <si>
    <t>Requejo, Gerónimo</t>
  </si>
  <si>
    <t>Gerónimo Requejo</t>
  </si>
  <si>
    <t>asto, y que en nada es inferior al de las Indias. Para el de la H &gt;rra , Vacante por promoción ¿ Qué especulación tan lucrativa y tau útil para un de D. Gerónimo Requejo á ración de la catedral país donde hai tantas manufacturas? de Cuenca, á D. Luis Arroyo , cura d - C^brejas. Para el de Inés, vac..me por muerte de D. Ju­ Ca…</t>
  </si>
  <si>
    <t>Requejo, Gumersindo</t>
  </si>
  <si>
    <t>Gumersindo Requejo</t>
  </si>
  <si>
    <t>la T-ir e.deBLcos. de dinero á un corsario ingles de Guernesei para Para el de P.ñ.dba de S. E'téb.n, vacante por alcanzar su libertad. promoción de D. Gumersindo Requejo á una ca­ De resultas de una borrasca terrible que ha nonjía doctora; 'de ia c--tedr.il de Osma, á D. Jahabido hoi en nuestras aguas, han ido a pique mu­ se…</t>
  </si>
  <si>
    <t>Requejo, Saturio</t>
  </si>
  <si>
    <t>Saturio Requejo</t>
  </si>
  <si>
    <t>l gran convite,que costeó la muni­ de D. Estéban Goczakz y Mingúela al de San cipalidad en casa del señor prefecto,á que asistie­ Miguel de Iscar , á D. Saturio Requejo, cura de ron rndas las autoridades, clero, nobleza y otras Peguerinos. perdonas de di'tincion, repitiéndose los brindis con Y para la vicaría de Guijas a'bas,…</t>
  </si>
  <si>
    <t>Reramec</t>
  </si>
  <si>
    <t>o se rinden hasta el último Primero. Papeles de Cristiartsand, ea Norue­ extremo. La guarnición de Widdin hace una re­ ga, para la embarcación Lucía, capitán Reramec sistencia obstinada: el teniente general Sass ha he­ Hendricks, los quales dirán que habéis ¡do allí cho bombardear la ciudad por espacio de muchos desde AmsterJ…</t>
  </si>
  <si>
    <t>Rerthet</t>
  </si>
  <si>
    <t>® de este acontecimiento. Supone que ios franceses no eran mas que 1000 infantes y 100 caballos, enviados por el general Pannetier, y mandados por el coronel Rerthet; que los patriotas eran en mucho mayor número; que estos tuvieron mas de 300 muertos, y los franceses . ninguno. En la misma relación se cuenta que la guarnición…</t>
  </si>
  <si>
    <t>Respuesta</t>
  </si>
  <si>
    <t>a. ¿Qué artesanos son los que os han ta; se presentasen á las respectivas justicias, las que deleg dp ? cuidasen de avisarlo á las salas por mano del fiscal Respuesta. Los albañiles &gt; los carpinteros de de S. M.; en inteligencia de que en caso de rein­ obras de afuera, los herreros, los sastres ,y ea una cidencia en qualquier…</t>
  </si>
  <si>
    <t>Resse</t>
  </si>
  <si>
    <t>blo de Pecado de Varsovia y ei segundo batahori del regi­ droñeras. La coluna movible al mando del señor miento i i:.°, y marchó á Yunquera, donde se coronel Resse, del 13.° regimiento de dragones, reunió con una coluria mandada por el señor ge­ ha batido completamente las quadrillas reunidas neral Gassagne, que habia ver ido…</t>
  </si>
  <si>
    <t>Ressieres</t>
  </si>
  <si>
    <t>able conducta del teniente general D. Juan José García, que hecho prisionero en Bidajcz y conducido i Francia, á su paso por Yalladolid, noticioso el mariscal Ressieres, que estaba allí mandando , de su llegada , y de que estaba en el depósito cea todos los oficiales, le envió i decir coo el co­ mandante del depósito, si quer…</t>
  </si>
  <si>
    <t>Retana, Ramón Salas y Don Julián</t>
  </si>
  <si>
    <t>Ramón Salas y Don Julián Retana</t>
  </si>
  <si>
    <t>nzález , D Manuel Calvantes, D. Jé Mora, Don Juan Morgaez, D Alfonso Gírela, D. JranGamez , D. L *&gt;n Acnña, D. Esmeraido Acuña, D. José Correa Ioañez,D. Ramón Salas y Don Julián Retana. Buques que han recogido correspondencia en la administración de correos de Cddtz durante la semana finalizada en 27 del pasado. Para la Haban…</t>
  </si>
  <si>
    <t>Revenga, Anselmo</t>
  </si>
  <si>
    <t>Anselmo Revenga</t>
  </si>
  <si>
    <t>cisco Ortiz.................................... 1684 por mano de D. León de Galarza.. 180.. 17 D. Josef Vázquez Espinosa.................... 1684..31 D. Anselmo Revenga............................... 180.. 17 D. Jacinto García de la Parra............... 561..2X D. Josef Amezcua.................................... 270.-251 D. …</t>
  </si>
  <si>
    <t>Revilla, Vicente</t>
  </si>
  <si>
    <t>Vicente Revilla</t>
  </si>
  <si>
    <t>iones del tesoro público. 8 i| á 84 A D. Josef Matabades para el de Fonpedraza, Oro español contra plata.................... vacante por promoción de D. Vicente Revilla al de Cebico de la Tor re. TEATRO. A D. Felipe Velasco para el de la Torre, va­ cante por promoción de D. Cristóbal Peres al del En el del Príncipe, 4 las sie…</t>
  </si>
  <si>
    <t>Revira</t>
  </si>
  <si>
    <t>al Dios de los exército® y honor á los valientes catalanes. A la una y medía de la noche se ha tomada á S. Fernando de Fogue­ ras por Lis tropas del coronel Revira y secciones ligeras, de línea y almogávares ? teniendo el gusto de que Rovira ha dirigido la acción, y yo he sido el comandante general. Luego que tenga tiempo dar…</t>
  </si>
  <si>
    <t>a libre de euamlgos. Todos ellts marcharon hacia Montluls y el Resellen, donde, tegua dixeron algunos de los mismos oficiales enemigos, ha entrado el brigadier Revira. fícrga 16 de noviembre. En la frontera de Francia por la parte de Camprodon ha Bogado usa partida de tropa francesa para hacer ía requisición, y en las casas d…</t>
  </si>
  <si>
    <t>Revira, Francisco</t>
  </si>
  <si>
    <t>Francisco Revira</t>
  </si>
  <si>
    <t>sabe que hace preparativos que dudican algún movimiento. Videncia SI de mayó. El 23 del corriente por la noche llegó á ceta, ciudad el héroe catalán D. Francisco Revira , y al dia siguiente sal o míre los aplausos y viras de todo el pueblo para avistarse con el general en Murviedro. A mediados del mes llagaron 32 eaxones de p…</t>
  </si>
  <si>
    <t>Revira, Juan</t>
  </si>
  <si>
    <t>Juan Revira</t>
  </si>
  <si>
    <t>ins­ trumentos de cirugía para el mismo regimiento; costó 2340. Ea 11 de enero de 811 , por donativo para la división do D. Juan Martin, entregado á D. Juan Revira, 640 rs. En 9 de mayo, donativo pora el exército de Cataluña, entregado á D. Elias Ayer , 1280 rs. Ea 13 de julio, para vestuario del quinto exército, 1500 is. Res…</t>
  </si>
  <si>
    <t>Revira, Miguel</t>
  </si>
  <si>
    <t>Miguel Revira</t>
  </si>
  <si>
    <t>1348 Concluyen los donativos patrióticos de la isla de Puertorico. D. Miguel Revira, 160 pesos. D. Gavino Sabad , 43 y 4. D. Gaspar Viví, 100, Varios vecinos del partido de Bayamon, 4S4 y 1. El licenciado D. José de Eib ra, 200. Juan de la Trinidad Moreno, 4. D. Manuel Mar</t>
  </si>
  <si>
    <t>Reviriego, José</t>
  </si>
  <si>
    <t>José Reviriego</t>
  </si>
  <si>
    <t>433 patriotas de Cortes apostado en Monte]aque, á una legua áe Ronda, íué atacado por los enemigos : destacó para recibirlas al sargento José Reviriego con una guerrilla de 20 patriotas 5 que les hizo frente, mien­ tras que 5 hombres háeian la misma operación por ei peñón de Mu­ res. En ésto' D. Bernabé Orellana se reunió a P…</t>
  </si>
  <si>
    <t>Revor, Miguel</t>
  </si>
  <si>
    <t>Miguel Revor</t>
  </si>
  <si>
    <t>Cubilar, D. Anselmo Muiré, D. José María Garza, í). «Fosé Navajas y D. Verdura Mosquera; los de subteniente á D José González Amigo, D. José Montes, D. Miguel Revor^do, D. An­ gel CAbalo, B. Juan Genaro Viñuela, D. Vicente Gomtz, Doq Bírnardino López, D. Santiago Ncvoa, D. Felipe López, D. Ni­ colás Rodríguez de Mejorada, y D…</t>
  </si>
  <si>
    <t>Revuelta, Juan Manuel</t>
  </si>
  <si>
    <t>Juan Manuel Revuelta</t>
  </si>
  <si>
    <t>Sánchez, GO. X). Francisco Rubín de Celís, 40. —Total de las partidas pro­ cedentes , 103.183 rs. 17 mrs. Aoírt. D. Juan Manuel Revuelta, vecino y del comercio de Veracruz, ha dirigido en el navio Miño, 1200 pesos fuertes para la división del briga­ dier Porlier, cuya cantidad, como las anterio; g;, ha entrado en poder"de. D</t>
  </si>
  <si>
    <t>Rey</t>
  </si>
  <si>
    <t>ue caminaba hacia Viilafranca y tomó otra dirección, habiendo padecido la pérdida de mas de 50 muertes y 10 carros de heridos, siendo uno de ellos el general Rey. Manso tuyo 2 muertos y :S heridos. Belmente, Mancha, 25 de abril. E! 27 de marzo, la partida de Juan Abril, que desde el dia antes estaba emboscada junto á ía venta…</t>
  </si>
  <si>
    <t>a Cuadra se dirigían también mas de 5000 hombres , y que iban hacia el punto que ocupaba el brigadier conde del Montijo 2500 hombres; mandador por el general Rey,.quien debía au­ mentar á.sus fueizas las que tenia en la guarnición de Málaga. En seguida me comunicó el mariscal de campo D. Ambrosio de la Cua­ dra, que estaba co…</t>
  </si>
  <si>
    <t>Reyes, Ramón</t>
  </si>
  <si>
    <t>Ramón Reyes</t>
  </si>
  <si>
    <t>do con los patriotas y lan­ ceros, precedido de dos compañías de rni regimiento, la una de los cazadores que había’ nombrado al mando del subteniente D. Ramón Reyes, para que por el*.flanco derecho de los enemigos los atacase, valiéndose de la buena situación para la infantería y proximidad, para que la caballería les cargase…</t>
  </si>
  <si>
    <t>Reylle</t>
  </si>
  <si>
    <t>s españoles ó alemanes que tomasen partido con ellos: habían salido algunas refuerzas para Aragón, y solo quedaban en Navarra unos 6000 franceses. El gobernador Reylle había pedido 500 hombres, sacados de las clases decentes, á Pamplona, 200 á Tafalla , 100 á Capar­ ras©, 400 á Tulela, y asi á proporción á otros pueblos: á lo…</t>
  </si>
  <si>
    <t>Reynoso, Máximo</t>
  </si>
  <si>
    <t>Máximo Reynoso</t>
  </si>
  <si>
    <t>Caballero, D. Bernabé Santibañ***,- D. Manuel de Vargas y ü. Joan Dow.de Brizo; y subtenencias á D. Diego Pacheco, Don Ramón Sancho, D. Juan Estraus, D. Máximo - Reynoso, D. Agus­ tín O e ti veros, D. Miguel de las Meras, y D. -Joaquín Robín. Tarnbien se ha dignado Goacedcr los eraplaofi ele ayudantes se­ gundos en el esta la…</t>
  </si>
  <si>
    <t>Rezet</t>
  </si>
  <si>
    <t>ace un elogio particular de su drica, sostenido por unos pies de grifo, y digno conducta. por su elegancia singular de adornar la habitación El señor coronel Rezet, en un paseo militar de un Apido moderno. Se han encontrada igual­ que acaba de dar por el partido de Ciudad-Real, mente muchos instrumentos de bronce de cirugía. …</t>
  </si>
  <si>
    <t>Rgaier</t>
  </si>
  <si>
    <t>a de 300 hom­ bres se rendirla probablemente el 15* La .de Badajoz se compone de 1500 hombres, y tiene ya cortada J4 «coro única don. La división del general Rgaier, perteneciente al exéreito. de Massena, que intentaba al pare­ cer dirigirse {bada Exyfpma4fi.Ta;, derrotada el 3 de este mes en Sabugal yo^re el rioj(^a,¡ perdie…</t>
  </si>
  <si>
    <t>Rheinhard</t>
  </si>
  <si>
    <t>el edicto de 27 de octubre , concerniente A Habiéndose fixado el contingente de tropas del rentas. gran ducado de Francfort á 2800 hombres, y de­ £1 profesor Rheinhard , conocido ya por sns biéndose poner y mantener completo dicho con­ muchos viages aereostáticos, ha imitado y perfec­ tingente, S. A. R. el gran duque, Príncip…</t>
  </si>
  <si>
    <t>Ría, Francisco</t>
  </si>
  <si>
    <t>Francisco Ría</t>
  </si>
  <si>
    <t>puso por Benavides una porción de inLníeyía de Moaterey muy expuesta, á la que se propuso salvar, y Lo consi­ guió , pero con la pérdida del aíferez D. Francisco Ría ño y 6 som­ bres, de que recogió 4 caballos por lo respectivo á su escuadrón. Continuaron la retirada las tropas de Mont-irey y húsares de Galicia, y sosteniéndo…</t>
  </si>
  <si>
    <t>Riaño, Manuel</t>
  </si>
  <si>
    <t>Manuel Riaño</t>
  </si>
  <si>
    <t>r , capitanes del batallón de cazadores : capitán D. Carlos Ciery , se undo teniente de ídem : D. Luis Rute y D. Francisco Ceruti, tenientes de id. : D. Manuel Riaño , teniente de id.; y I). Francisco Sierra , subteniente de id. Noto. No se expresan los extraviados, por ignorarse los que lo han sido , así come er e. certeza e…</t>
  </si>
  <si>
    <t>y D. Melchor Gómez , 70. D. Ramón Martínez , 100. Ron Liego de Hontoria: 100. D. Juan Asturiza , 100. D. Diego del Solar. !()0= L. Manuel Gutiérrez y D. Manuel Riaño, 100. D. Félix García , IO0. D. Pe­ dro García dejos Ríos, 100. D. Manuel Mancina, 100. D. José Perez, 100. L. Manuel Rodríguez, 100. D. José Alonso, 100. D. Mar…</t>
  </si>
  <si>
    <t>Ribslles, José</t>
  </si>
  <si>
    <t>José Ribslles</t>
  </si>
  <si>
    <t>©. Pedro Rico, D. Rafael Quero], D. José Ro­ chan©, D. F'rancia co Bermudez de Cañas, D. Vicenta SalameT#, D. Rafees González , D. Joaquín ds Bedoya, D. José Ribslles , Don Pedro Franco j D. Vicente Marín. En el batallón de voluntarios de Camponrayor ha conferido el Consejo de Regencia compañía al capitán segundo D. Rara uu e…</t>
  </si>
  <si>
    <t>Ribúte, Manuel</t>
  </si>
  <si>
    <t>Manuel Ribúte</t>
  </si>
  <si>
    <t>rá alguna fábrica de añil, siguiendo el mé­ Para el de la colegial de Roa , vacante por todo publicado en el mercurio del Roer. Eos her­ promoción de D. Manuel Ribúte á una cannngía manos Sartorius de Colonia acaban de enviar al se­ dictoral de la catedral de Segovia, al presbítero ñor prefecto una caxa de añil, que han sacad…</t>
  </si>
  <si>
    <t>Ricard</t>
  </si>
  <si>
    <t>ir á V. A. El general el gefe de esquadron Saint-Chacnans, mi edecau; la Bourgeat sirve con ti mayor esmero y exactitud, de gefe- de batallón para el capitán Ricard; la de y me atrevo á solicitar para él el título de barón gefe de esquadron para el espitan Petiet, herido y una peosion, pues se ha hecho acreedor á esta graveme…</t>
  </si>
  <si>
    <t>Ricaud, Nicanor</t>
  </si>
  <si>
    <t>Nicanor Ricaud</t>
  </si>
  <si>
    <t>qpe deben servir,, pues que D. Josef fíleaoo = D. Francisco de Carrion == Don «siendo tantos y tan graves los males que toda Luis Manuel Za 1 o; 1. = D. Nicanor Ricaud.= » guerra trae consigo , vendrían á colmarlos las pa&lt; D. Josef Hernández Romero. = D. Isidoro de Ace«siones exaltadas, los vicios y los delitos de rao* vedo. …</t>
  </si>
  <si>
    <t>Richards</t>
  </si>
  <si>
    <t>uerpo legislativo evitar la guerra,es­ Cal. Devuelto, pagaodo los gastos al apresador. pecialmente en una época en que nos hallamos ex­ La Luisiana , capitán Richards. Este barco puestos á la agresión simultanea de dos grandes americano, que traía pasageres á bordo , había sa­ potencias enemigas, y habiendo determinado por li…</t>
  </si>
  <si>
    <t>Richardson</t>
  </si>
  <si>
    <t>e, p..ra nistro plenipotenciario de S. M. el Emperador de que tomase el mando de un brick americano dete­ Austria cerca de nuestra corte. nido por el capitán Richardson , el qual me dió para esto ó marineros de la Semíramis, y me deDel jo. xó eu el brick al capitán,á j marineros de sti tri­ Acaba de publicarse un decreto de S…</t>
  </si>
  <si>
    <t>Rico</t>
  </si>
  <si>
    <t>ranados, sargento pri­ malvados que, unidos con Villela, sentenciaron y lle­ mero que fue dél regimiento de Madrid, i.° de varon al patíbulo al digno magistrado Rico. ¡ La huma­ infantería de línea. nidad se estremece l (4) Pedrueza, Normante, Dávila Scc. Estos hom­ art. 111. Esta compañía será considerada para bres se creían…</t>
  </si>
  <si>
    <t>Rico, José</t>
  </si>
  <si>
    <t>José Rico</t>
  </si>
  <si>
    <t>de infantería inmemorial del Jlcjr compañías á D. Felipe Marcenaro y á D. Antonio Sánchez; ayudantía á D. Ratael Miion ; tesei?cias á D. Juan.Amores, D. José Rico, D. Mateo Novoa, D. Juan MonterrosoD. Manuel Hernández, I). Dionisio Sií?c,h:s, D. Fe lio. Mariis Carnea, D. Rimon Vázquez y D. Ber­ nabé Fae-zsubtenencias i D. Jua…</t>
  </si>
  <si>
    <t>Riddert</t>
  </si>
  <si>
    <t>elevación de Tf4® f37', y á las ti y 13 minntando , y na se descubren otras. * tos estaba á 15 5° y u". En el primer caso su de­ „Ha llegado aquí el coronel Riddert, que vis- clinación al norte era de 37* 3j//, y en ei último ne de Fetersburgo con el encargo de abrir nuevas de 37a y 39". Deb ía entrar esta misma noche en la c…</t>
  </si>
  <si>
    <t>Rider</t>
  </si>
  <si>
    <t>1788</t>
  </si>
  <si>
    <t>A UAX A* jReflexiones sobre la geometría, descriptiva, sus Sesión del 09 de noviembre. aplicaciones d las ^rtes de construcción, y su A propuesta del secretario Rider se leyó en la importancia en la educación de los artesanos. cámara el informe extendido á consecuencia del examen hecha á los médicos por el consejo privada ART…</t>
  </si>
  <si>
    <t>Rie, Bernardo</t>
  </si>
  <si>
    <t>Bernardo Rie</t>
  </si>
  <si>
    <t>uz , Puebla y Oaxaca,-autorizan.do á los comifcioiiados de Veracruz para el registro y.envió directo y franco de derechos de los caudales, á manos de D. Bernardo Rie­ ga, I). Juan Faenado Caballero y D. Juan de Madrid Dávíla, en­ cargados principales del Empecinado en Cádiz. El exemplo de l®s dignos ciudadanos autores del pen…</t>
  </si>
  <si>
    <t>Rieart, Cristóbal</t>
  </si>
  <si>
    <t>Cristóbal Rieart</t>
  </si>
  <si>
    <t>a , 100. D. José Buenaventura Batllé , 100. D. Vicente Ta­ layera, 100. D. Buenaventura Oliver y Barquez , 100. D. Manuel Ansel­ mo López Carta, 100. D. Cristóbal Rieart, 100. D. Andrés Sauri , 100. D. Salvio Garbo y compañía, 100. D. José de la Rosa Manzanilla, 100. D. Francisco de Estrada, 100. D. Juan Brioso , 50. D. Cenon…</t>
  </si>
  <si>
    <t>Rienda, Ramón</t>
  </si>
  <si>
    <t>Ramón Rienda</t>
  </si>
  <si>
    <t>baton, D. Andrés Pelayo, D. Martin Cariaga, D. Ramón Rienda, E). Joaquín Frayle, O. Manuel del Rio, D. Juan Peña; y ásus ayudances D. Joaquín Castañeda, D. Narciso Salinas, D. Tomas Bermado, D. Francisco Pacheco, y al cabo de voluntarios D. Juan Val</t>
  </si>
  <si>
    <t>Riera, Agustín</t>
  </si>
  <si>
    <t>Agustín Riera</t>
  </si>
  <si>
    <t>ael Castilla, 10. D. Gerónimo García, 10. D. Jacinto Perora, 10. D. José Pallan, 10. D. Juan Cabrera, 10. D. Juan Iriarte , 10. D. Agustín Costa, 10. D. Agustín Riera, 10. D Rafael Tomas, 10. D. Juan Puig, 10. D. Francisco Becerra, 10. Antonio Ordz , 10. D. José Espinosa, 10. Doña Rita Viñas , 10. Tomas Herrera , 12. D Juan I…</t>
  </si>
  <si>
    <t>Riera, Pablo</t>
  </si>
  <si>
    <t>Pablo Riera</t>
  </si>
  <si>
    <t>Doña Ana María González , 400. D. Manuel Paul, 200. D. Joa­ quín de la Vega , 400. D. Domingo de Heras, 1000. D. Martin Irazoqui, 400. D. T. B, 500. D. Pablo Riera, 500. D.» Antonio de Alsazua, 1000. D, Barto­ lomé Santa!6 , 300. D. Ramón Beltran, 160. D. Juan Whitte , 500. D. Miguel Boldíi, 200. D. Juan Imbert, 40. D. Juan S…</t>
  </si>
  <si>
    <t>Riera, Sebastian</t>
  </si>
  <si>
    <t>Sebastian Riera</t>
  </si>
  <si>
    <t>i ?¿tr. AI amanecer, de esta envié á la isla de S. Pecho, donde se hallub&amp;n r-fagiados los prófugos del bergantín apresado, a! teniente de artillería D. Sebastian Riera con sígueos hombres, á fin de que los coad Usese á bordo , previniéndoles no debían temer ninguna clase de violencia ai ina! trato , y así se l i ba cumplido …</t>
  </si>
  <si>
    <t>Riesco, Rabel</t>
  </si>
  <si>
    <t>Rabel Riesco</t>
  </si>
  <si>
    <t>............................................. M952 27! hijos....... .................. ............ ...... D. Juan Fernandez......................... D. Rabel Riesco............................ 35775 9 226 31 16800 D. Livinio Stuyek y Vandergoten.. 41697 16 Doña Angela Francisca Ramos..... D. Fernando de Beingoechea........ 2…</t>
  </si>
  <si>
    <t>Riesco, Rafael</t>
  </si>
  <si>
    <t>Rafael Riesco</t>
  </si>
  <si>
    <t>u................................ 1200 de ibi 1. D. Vicente Gutiérrez Solana................. 4802..25 Don Josef Napoleón por la gracia dé Dios y por D. Rafael Riesco....................................... 91 24..13 la constitución del estado, REI de las Españas y de D. Timoteo Oscanlan................ .............. 87849.. …</t>
  </si>
  <si>
    <t>Riesgo, Francisca</t>
  </si>
  <si>
    <t>Francisca Riesgo</t>
  </si>
  <si>
    <t>rmente , así como al teniente D. Juan Pover, á ios subtenientes D. José de la Fuente , D. Francis­ co Zapico,D. Fernanda S. Martin¿ D; Ricardo Canal, D. Francisca Riesgo, D. Jo é Boldrini y D. Alonso Pabon$ ai citado Fonsbdía, comandante de la caballería, ai sargento ele ia misma D. José Sanjul, y á los de Siero y número i.° …</t>
  </si>
  <si>
    <t>Rig</t>
  </si>
  <si>
    <t>algunos buques de guerra ; pe­ ro así su exército como su marina, no pueden competir con los de Cristóbal, con quien está continuamente en guerra. Ei general Rig&amp;ud es otro mulato favorito de Bonaparie, y en­ viado por él el año pasado r para formar un partido francés en la isla. Al principio se arrimó á Peiion; pero de algun…</t>
  </si>
  <si>
    <t>Rigente</t>
  </si>
  <si>
    <t>ador gencr.d. la corte , círculo en los grandes salones , 6 ilumi­ Se cree que se reunirá este nm-vo gabinete in­ nación general. mediatamente que ei Príncipe Rigente vuelva de Oatiands. ESPAÑA. IMPERIO FRANCES. Madrid 2 s de diciembre. París i.° de diciembre. Extracto de las minutas de la secretaría de Hoi domingo i.° de dic…</t>
  </si>
  <si>
    <t>Riglos, Cecilio</t>
  </si>
  <si>
    <t>Cecilio Riglos</t>
  </si>
  <si>
    <t>sa mas que corresponder á su misión; obedecer á las reglas canónicas, y adoptar Quarto batallón. * en algunas circunstancias los medios mas seguros y D. Cecilio Riglos, sargento primero, á subteniente mas suaves para conservar la anidad, el orden y la de la décima compañía. paz en la iglesia de Oios. Quinto batallón. „ Eo vir…</t>
  </si>
  <si>
    <t>Rimen</t>
  </si>
  <si>
    <t>po 23 muertos , varios herido? y ei c&amp;ñ &gt;5? que tenían , corrie­ ron á emboscarse f-n las malezas. Mateen citarse.las últimas pala­ bras del teniente D. Rimen lace ni iks que ya m®? buade dixo al capitán R -gules : mi capitán, yo muero; pero me consuela el que vm. acabará con esa canalla. Eh L° de m&amp;yo el comandante del campo…</t>
  </si>
  <si>
    <t>Rimniski, SowarolF</t>
  </si>
  <si>
    <t>SowarolF Rimniski</t>
  </si>
  <si>
    <t>ontra los torcos. la del Báltica. El príncipe Bagration, natural de Georgia, murió el aña pasado después de haber dexado el servicio; DINAMARCA. y el general SowarolF Rimniski se ha ahogado al atravesar un rio de la Moldavia. Elgeneral Barclai Co/enhague a o de agosta. de Tolli, que se dístingoió en la guerra contra la 'Escri…</t>
  </si>
  <si>
    <t>Rincolini</t>
  </si>
  <si>
    <t>e esta clase que hai eD la actualidad as­ Se ha formado aquí urra sociedad como la dé ciende á 195. las damas nobles de Vieoa. La señora canoi e«á El doctor Rincolini ha estab'ecido en Bruntl Reinach está al frente de esta asoclapinn, cuyo-obde la Moravia un hospital para niños, semejante al j td principal es proporcionar á l…</t>
  </si>
  <si>
    <t>Rincón, Diego</t>
  </si>
  <si>
    <t>Diego Rincón</t>
  </si>
  <si>
    <t>orre t^ida en ar“ de la Burrucosa, con 10 rendimiento con la ante-, casa de teja , y 3 hazas de rior, lindera con tierras de cu dotación, denominadas D Diego Rincón, con la la de Manazas, la de Jaea dehesa de dicho sitio, y y la de Burrucosa , que to­ con las del extinguido con- J das ¡untas con la hoja del vento de Dominicos…</t>
  </si>
  <si>
    <t>Rincón, Mauricio Justo Jel</t>
  </si>
  <si>
    <t>Mauricio Justo Jel Rincón</t>
  </si>
  <si>
    <t>ión, su hutpor y su talento; llegan del Sr. IX Juan Bautista Guitart, y escribanía de pro­ noticias á Londres, y 4 gazetero» vocingleros de vincia de D. Mauricio Justo Jel Rincón., que se les admitirá siendo arreglada , y se les instruirá con pre­ aquella capital nos llenan de insultos, y entibian sencia de los títulos dq las…</t>
  </si>
  <si>
    <t>Riorída, Francisco</t>
  </si>
  <si>
    <t>Francisco Riorída</t>
  </si>
  <si>
    <t>es­ tituyó;^; la plaza al anochecer. ; \ Oficiales* y tropa-¿se .han portádó &lt;oii yálcr y constancia , disti.n- ^uié^dose particularmente el, papitai D. Francisco Riorída , y * D. Joan - íMachain ,, ayudante de Ja cuarta división. Merece' mención especial Jósé - Nuñcz, pasagerode la fragua Guadajupé. / surta é‘a ÁcaRulcol.j q…</t>
  </si>
  <si>
    <t>Ríos, José de Mendoza</t>
  </si>
  <si>
    <t>José de Mendoza Ríos</t>
  </si>
  <si>
    <t>14 y m ;dio. —¿Guía de Mari­ na, ó cátodo general dé la armada, publicado en 1811 , á 32. — Co­ lección de tablas para los usos de la navegación^ por D. José de Mendoza Ríos, impresa en Londres en ISOO, á 222 rs. !*\i¡ Continúan los donativos dé la isla de Cu^u. Doña Francisca Serrano, por fcí -y á nombré dé sás' Hijos'D1.'Ga…</t>
  </si>
  <si>
    <t>Ríos, Juan Bautista</t>
  </si>
  <si>
    <t>Juan Bautista Ríos</t>
  </si>
  <si>
    <t>c.ero, 3. D, Gaspar Alvarez , oficial quinto , 1. D. Pablo de la Guardia, oficial sexto , 3. D. Antonio Marcelino García , oficial séptimo, 1 y 4 rs. D. Juan Bautista Ríos , oficial octavo, 1. D. José Alvarez , escri­ biente primero , 1. D. Juan Manuel de Oroe , id. ¡segundo , 1. D. Miguel Nu­ dez , id. tercero, 1. D. Tomas G…</t>
  </si>
  <si>
    <t>Ríos, Juan de la Cruz</t>
  </si>
  <si>
    <t>Juan de la Cruz Ríos</t>
  </si>
  <si>
    <t>urales del obispado de Santander. D. Pedro y D. Santiago de la Cuesta Manzanal , .natu­ rales del reyno de León , 1000. D. José María de Allende , 4. D. Juan de la Cruz Ríos, 4. D. Rafael Cueto, 0, y D. Francisco Eusebio González Tixero, 17, naturales de la Habana. D. Francisco Layseca, de Alava, 100. D. Juan José de Sangroni…</t>
  </si>
  <si>
    <t>Riperí</t>
  </si>
  <si>
    <t>o hacia caso de ninguno de ellos. Ei 28 llegó el mariscal Jourdan con su hija, muger del conse­ jero de estado conde de S. Anastasio, 2 edecanes , el general Riperí, 19 oficiales superiores, ei comandante de Segovia Canapagno, y va­ rios empleados franceses y españoles, entre estos últimos ei intenden­ te de Falencia. La esco…</t>
  </si>
  <si>
    <t>Ritadencyra, Antonio Rodríguez</t>
  </si>
  <si>
    <t>Antonio Rodríguez Ritadencyra</t>
  </si>
  <si>
    <t>andó suspenderlas. — Ei Mcmb’anch hay una división enemiga de 2200 hombres, que según sé cree pasará á Lérida. • Saceeorbó 12 de'julio. El comandarle D. Antonio Rodríguez Ritadencyra , habiendo sabido el 30 del pasado que una partida de 41 franceses de la guarnición de Medina habla salido á los luga­ res del contorno , les sa…</t>
  </si>
  <si>
    <t>Rivas, Antonio</t>
  </si>
  <si>
    <t>Antonio Rivas</t>
  </si>
  <si>
    <t>errera, TOÓ.' D. Tomas Ramón de' Z avala,* 12. El cura D. Mariano Riaño , 25. Varios individuos, 19 y 7 rs.— &amp;. Buenaventura. I). Andrés Mola no, 15. D. Antonio Rivas, 20. Va­ rios individuos, 56 y 4 rs. Varios vecinos de Qualro Ciénegas, y 7 rs. (Se continuará.) CADIZ; EN LV IMPRENTA REAL.</t>
  </si>
  <si>
    <t>rancisco Bouzas, D. Esteban $antos, D. Andrés Lema y D. José Ja Huerta : todos los quales se por­ taron bizarramente, y lo mismo el ayudante interino D. Antonio Rivas, que comunicó las órdenes con actividad y prontitud.” Badajoz 15 de enero. De orden del general interino del quinto exército se ha publicado el papel que sigue:…</t>
  </si>
  <si>
    <t>­ go Montem&amp;yor, y por gtfes de Ies paisanos á D. Tomas Flores, adn inisírador ce rentns u^ides de esta provincia , y al justicia de San Buenaventura D. Antonio Rivas; y disponiendo la forma­ ción de estas tropas en d mejor orden que se pudo, marchó el re­ ferido comandante con ellas hasta avanzarse un poco mas- allá del pues…</t>
  </si>
  <si>
    <t>Rivat, Antonio</t>
  </si>
  <si>
    <t>Antonio Rivat</t>
  </si>
  <si>
    <t>de música. dos con guia de Victoria en *7 de mayo de Núm. 72. Un caxon, marca A. D. , nú­ 1808, de tránsito á Lisboa, para D. Juan Bap- mero 3 , para D. Antonio Rivat, según guia tista Walman, que contienen dos arpas y cuer­ de Victoria de 1 6 dé febrero de 1802 , que de­ das para ellas. be contener abanicos. Núm. j. Dos fard…</t>
  </si>
  <si>
    <t>Rivclles, Josef</t>
  </si>
  <si>
    <t>Josef Rivclles</t>
  </si>
  <si>
    <t>el castigo caiga,como caerá inmediatamente, brá una dccoracjon nueva en el acto tercero pintada sobre el egoísta, sobre el malvado, y sobre toder por D. Josef Rivclles ; y eí fin de fiesta las Castañeras aquel que directa ó indirectamente trastorne el ór- picadas. Actores en la tragedia : Señoras María García dten ó perjudiqu…</t>
  </si>
  <si>
    <t>Rivelles, Josef</t>
  </si>
  <si>
    <t>Josef Rivelles</t>
  </si>
  <si>
    <t>mbre para la próxi­ Ossian, traducida por D. N. Gallego , en la que habrá ma sesión del sentido, una decoración nueva en el aclo tercero, pinrada por D. Josef Rivelles; y el fin de fiesta las Castañeras picadas. ESPAÑA, En el de la Cruz, á lw quatro y media de la tarde, Madrid 2 g de enero de 181 r. le ejecutará la ópera en d…</t>
  </si>
  <si>
    <t>Rivera, Alonso</t>
  </si>
  <si>
    <t>Alonso Rivera</t>
  </si>
  <si>
    <t>uyos. .La ¿c-jür.ta lista expresa los nombres de los oficiales prisioneros rescatados.—D. Lorenzo Ximsnez, capitán de guardias Esp? ñolas, co­ ronel. D. Alonso Rivera, comandante de caballería del latente, ídem. D. Juan de Molina, teniente coronel de-Artillería. D. Fernando Garri­ do, ce-mar. dan te del reveno escuadrón de Ga…</t>
  </si>
  <si>
    <t>Rivera, Bernardo</t>
  </si>
  <si>
    <t>Bernardo Rivera</t>
  </si>
  <si>
    <t>n adquirido nueves lítales á la gratitud de la patria. Se lian distinguido igualmente el capitán de la compañía de cazadores de Palma D. Alonso Paon, D. Bernardo Rivera, tenieate de la rnk&amp;m, el espitan graduado de teniente coronel D. Francisco Eút?an, ei cspititn de ia segunda de granaderos de Ausona D. Pedro Diza, el. subte…</t>
  </si>
  <si>
    <t>Rivera, Eduardo</t>
  </si>
  <si>
    <t>Eduardo Rivera</t>
  </si>
  <si>
    <t>Oía , 8. D. Francisco Aranzivia , cura inte­ rino de San Carlos de.Chirú , por sí y su sacristán ,7 y í rs I) Marcos del Pino, cura del Calobre , 25. D. Eduardo Rivera , cura de Santa María , G. D. Norberto Texada , presbítero , d. D Manuel ilobl •-&gt; , id. , 2. Varios ve­ cinos Ponobelo , 7'-7. Id. de la villa de los Santos 4…</t>
  </si>
  <si>
    <t>Rivero, José Joaquín</t>
  </si>
  <si>
    <t>José Joaquín Rivero</t>
  </si>
  <si>
    <t>uan Remi, peón de confianza , 1. D. Félix ¡Sánchez, id, 1.1). Manuel Francisco de Aranguren , guarda almacén , para la manutención de un soldado., 9. D. José Joaquín Rivero , id., 3. D. Geróni­ mo José de Aguiar, oficial de libros, 1. D. Tomas Ruiz Solana , sobrestante segundo, 3. D. Rafael Rensoli, id, tercero , 1. D. Marcos…</t>
  </si>
  <si>
    <t>Rizo</t>
  </si>
  <si>
    <t>acercase, se retirasen sobre mi primera linea de caballería, mandada por el co­ ronel .Espino, sin empeñarse rancho: mi segunda línea, mandada por el brigadier Rizo, estaba 300 pasos detrás ; y la legión extre­ meña formaba el cuerpo de reserva. .La infante:ía, á les ordenes del brigadier Morillo, había salido á las dos de la…</t>
  </si>
  <si>
    <t>Rlake</t>
  </si>
  <si>
    <t>gada á ceder el terreno, no fué sino después d r una valerosa resistencia, y continuó en buen orden sosteniendo á sus aliados. Y no dudo que S. E. el general Rlake hará amplia justicia en este punto, haciendo mención honrosa de los beneméritos. La batalla empezó á las 9 de la mañana y continuó sin interrepcion hasta las 2 de …</t>
  </si>
  <si>
    <t>Rnb</t>
  </si>
  <si>
    <t>810 el comandante Rnb’on ; y haciéndose conducir i la goleta saHó den­ tro, á la cabeza de los valientes que le acompañaban, y completó su rendición. Rendidos los tres buques mandé á tierra al alférez de navio D. Jo</t>
  </si>
  <si>
    <t>Rñlle</t>
  </si>
  <si>
    <t>y espías. El general CafareUi, luego que. sata» de C or lia (eed, si gus­ táis, mi última carta) fué en derechura á Pamplona, de donde sa­ lió con el general Rñlle á perseguir á Mina; el último de estos ge­ nerales batió y dispersó á los bergantes en ei Carrascal , mató 46 é hizo 86 prisioneros. Después de esta acción no ha h…</t>
  </si>
  <si>
    <t>Rnndenn</t>
  </si>
  <si>
    <t>rrjr habitantes se han visto precisados á recurrir 5 me­ hecha per el general Rnndenn , que manda el exérdidas violentas; se han levantado en masa, y h.in cito sitiador, á tíiio, g-b:-mador de Montevideo. pedido socorros á esta capital. La junta hubiera si­ j, Mi cxérdto está</t>
  </si>
  <si>
    <t>Ro, José</t>
  </si>
  <si>
    <t>José Ro</t>
  </si>
  <si>
    <t>isco Serrano, y D. Padtro Sen-ano; y subtenencias á D.- Francisco Migue!, D. Joaquín Pu%moItó. Don Diego Villeslada, ©. Pedro Rico, D. Rafael Quero], D. José Ro­ chan©, D. F'rancia co Bermudez de Cañas, D. Vicenta SalameT#, D. Rafees González , D. Joaquín ds Bedoya, D. José Ribslles , Don Pedro Franco j D. Vicente Marín. En e…</t>
  </si>
  <si>
    <t>Ro, Pedro</t>
  </si>
  <si>
    <t>Pedro Ro</t>
  </si>
  <si>
    <t>bertad en la qual no de la Frontera: á D. Joaquín de la Escalera , Don pueda influir ninguna consideración ni respeto. No Manuel de Medina y Camino y D. Pedro Ro­ podemos menos de decir que los católicos dos pa­ dríguez del Castillo para formar el consejo de pre­ recen reprehensibles por su tenacidad en nombrar fectura de la …</t>
  </si>
  <si>
    <t>Ro, Sebastian</t>
  </si>
  <si>
    <t>Sebastian Ro</t>
  </si>
  <si>
    <t>rimeras de cuenta de la mu­ Para el de Escarabajosa, vacante por muerte nicipalidad. Los coros de música que alternaban de D. Migue! de Sotomorras, á D. Sebastian Ro­ hicieron la diversión mas completa. drigo, cura de S. Martin y Mudrian. El 19 á las ocho de la mañana, rennidos en el Para el de Arcvalillo, vacante por promoci…</t>
  </si>
  <si>
    <t>Ro, Victoriano</t>
  </si>
  <si>
    <t>Victoriano Ro</t>
  </si>
  <si>
    <t>ición, que al pronto desistieron de su empresa, volvieron luego I ella, y lograron coger las personas de Liniers, Concha, Allende, Moreno, del asesor D. Victoriano Ro­ dríguez y del señor obispo D Antonio O reí lana, que fueron remiti­ dos baxo escolta á Buenos- Ayre?. Noiieiosn de este suceso la junta despachó en diligencia …</t>
  </si>
  <si>
    <t>Robert</t>
  </si>
  <si>
    <t>pero no fue necesario tomar esta pre­ caución , porque habiendo avanzado por la orilla {téhetraba hácia el poerto. Cinco «niñatos después del mar el Coronel Robert del 1x7.°, que mandaba a quarta coluna, compuesta de 300 hombres es­ cogidos del i." y 5de infantería ligera y del 4a.® la derecha , con la reserva compuesta de lo…</t>
  </si>
  <si>
    <t>en el baluarte de Santo Domingo, y pro- • . ,,Merecen elogios particulares el general Palomlongindola hácia 1a orilla del mar. Al amanecer biui y el coronel Robert, comandantes de trincher presentábamos ya an aspecto formidable á la guar- ra y del asalto, y los gefes de las ciocp coluoas, uicion , consternada detras de sus mu…</t>
  </si>
  <si>
    <t>Robín</t>
  </si>
  <si>
    <t>de luego restituirla á su antiguo carác­ Los indultados al mando de A riza , baxo la di­ ter de simplicidad y grandeza , del qual suponía rección del comandante Robín , han conseguido haberse apartado aun algunos de los mas célebres algunas ventajas en la campiña , como son haber trágicos franceses , y p-ra conseguirlo tomó p…</t>
  </si>
  <si>
    <t>Robledo, Don Felipe</t>
  </si>
  <si>
    <t>Don Felipe Robledo</t>
  </si>
  <si>
    <t>lmi­ rante Dmry en el mando de las fuerzas navales británicas en las In­ dias orientales. ' " ESPAÑA. México 25 de junio. Habiendo salido de Cuapa el capitán Don Felipe Robledo con el objeto de hacer un reconocimiento por los pueblos de Guirambaro y Tupataro avistó á la salida del primero un crecido número de insurgentes que …</t>
  </si>
  <si>
    <t>Robledo, Felipa</t>
  </si>
  <si>
    <t>Felipa Robledo</t>
  </si>
  <si>
    <t>n triunfe tes por la tarde al castillo, trayéndose las 2 piezas, va­ lias nnuss y despojos, y 3 banderas. E i Tacsuibaro, el comandante da división . D. Felipa Robledo, derrotó, pe? siguí ó y disipó' el 14 ds febrero \v\ cuerpo considerable de desleales, capitaneados por ei sanguinario Muñiz-y otros cabecillas.</t>
  </si>
  <si>
    <t>Robles, Nazario González</t>
  </si>
  <si>
    <t>Nazario González Robles</t>
  </si>
  <si>
    <t>do enteramenre la bramos : opinión de los antiquaríos. Para el curato de Ynnclér, vacante per muer­ Se publicará inmediatamente ana disertación te de D. Nazario González Robles, á D. A lonso sobre este punto, y va á formarse uoa sociedad de Martínez Vil-oslada , cura vicario de las Rozas. amantes de la patria, de la historia …</t>
  </si>
  <si>
    <t>Robles, Pedro</t>
  </si>
  <si>
    <t>Pedro Robles</t>
  </si>
  <si>
    <t>ustin Reguera, 27S. D. José Martos, 1S6. D. Dionisio José Sanche# , 600. D. Juan Rodríguez Sánchez , 272. D. José Climen , 132. D. José Salinas, 224. D. Pedro Robles , 3G7. D. Feli­ pe Rafael de Robles, 938. D. Antonio M azuco y Chazari, 500. D. José Mon­ tano, 52. D. Manuel Portillo, 64. D. José Mergarejo , 132. D. Juan Ayll…</t>
  </si>
  <si>
    <t>á IX San virgo Cazad* y D..Pudro Alonso, sargentos..primeros del aniamo cuerpo, y Á Daa Nicolás Muñoz, D~ Luis Villarr D. Francisco Guerrero V«?lo y D. Pedro Robles , cadetes Alumnos de lu aeadenda militar áel cuarta exército..</t>
  </si>
  <si>
    <t>Robles, Vicente</t>
  </si>
  <si>
    <t>Vicente Robles</t>
  </si>
  <si>
    <t>ra. El gobernador y comandante general D. Juan Antonio de la Mata por sí y á nombre de su esposa Doña María Dolores dé Palazuelos, 600 pesos fuertes. D. Vicente Robles , ademas del prest de 30 hombres en coso de ser atacada por los enemigos esta provincia, 500. El tesQrero oficial real D. Ramón Diaz del Campo, 1000, y ademas,…</t>
  </si>
  <si>
    <t>Robredo, Antonio</t>
  </si>
  <si>
    <t>Antonio Robredo</t>
  </si>
  <si>
    <t>Je varios vecinos de su feligresía, 96 y 0 rs. El regidor Don Juan Crhóstomo Peñalver, por el prest de 5 soldados en 3 meses durante ia guerra, 135. D. Antonio Robredo, 400. Deña Rosalía Peñalver, por el prest de 5 soldados en un mes durante la guerra , 45. D. Diego Cabra /comandante del castillo de Jagua, 50. El capitán de.m…</t>
  </si>
  <si>
    <t>Roca, Diego</t>
  </si>
  <si>
    <t>Diego Roca</t>
  </si>
  <si>
    <t>u comandante el coronel D. Francisco Verges ; el co­ mandante agregado D. Juan Diego Marín; los capitanes D. Francisco Maíknt, D, Francisco Catarla y D. Diego Roca, les tenientes D. Pas­ cual la Rosa, D. Antonio Garniel, D Francisco Bemabeu y D. Ni­ colás Dodero; el segundo ayudante D. Antonio Torró; el subteniente D. Pedro P…</t>
  </si>
  <si>
    <t>Rock</t>
  </si>
  <si>
    <t>las tropas portuguesas, cuyos conoci­ mientos y celo merecen mi gratitud; del brigadier general Mea"nho, ayudante general del exéreito portugués, del teniente coronel Rock, ayudante general de la fuerza británica y portuguesa combinada, del brigadier general Lemas, y de los oficiales de mi particular estado ma­ yor. Les estoy…</t>
  </si>
  <si>
    <t>Rock, Timoteo</t>
  </si>
  <si>
    <t>Timoteo Rock</t>
  </si>
  <si>
    <t>, caballería y artillería de todos calibres. Cor­ rió esta ebra baxo la dirección del comandante de ingenieros de la Car­ raca, el c?i pitan de navio D. Timoteo Rock, .quien ademas prcperdo­ nó otro? puentes mas reducidos y tras portables para lo interior de los caños, según fuesen menester, como en efecto se trataba de echar…</t>
  </si>
  <si>
    <t>Roda</t>
  </si>
  <si>
    <t>uy esfairaenta las, porque los patriotas las sorprchendieron en sus apostaderos, les causaron notable pérdida, y las pudieren en v.-Tgouzsra fuga. Ei comandante Roda, que ántes era escribano de Antequera, y ahora es ge te de partida, derrotó á fines del pasado la guarnición francesa d¿ la misma ciudad , la que de resultas se …</t>
  </si>
  <si>
    <t>Rodil, José Ramón</t>
  </si>
  <si>
    <t>José Ramón Rodil</t>
  </si>
  <si>
    <t>la d«l eacraigo. ,5Recomiendo no obstante á V. E. á los capitanes B. Francisco Montroz v D. Vicente Sánchez; ni ayudante D. Jayme Cairela, alteniínto D. José Ramón Rodil, y á Loa sargentos heridos el primero Manuel Arnau,y lo-? segundos Miguel Sánchez y José Villa seca, que se portaron con la distinción qa« sismpre, y que rec…</t>
  </si>
  <si>
    <t>Rodnei</t>
  </si>
  <si>
    <t>tado ge­ GRAN BRETAÑA. neral de las referidas mercancías. " Londres pro de octubre. REINO DEJNAPOLES. La fragata llamada la Americana, mandada por el capitán Rodnei, dara la vela dentro de po­ Foggio 8 de octubre. cos días de Port'inourh para C'iian, y á su bordo irá el general Brow.t&gt;igg , gobernador de esta isla. El dia 4 d…</t>
  </si>
  <si>
    <t>Rodolfo</t>
  </si>
  <si>
    <t>á á 800." Copenhague 5 de octubre. Rn vista de la renuncia del arzobispado de OtEscriben de Samsoe que el caballero Linde, mutz hecha por S. A. I. el príncipe Rodolfo, la teniente de marina, había tenido un choque con un voz públ’ca nombra ya para esta dignidad al conde sloop de guerra ingles entre Greuaae y Txanstand. Trantt…</t>
  </si>
  <si>
    <t>Rodrí, Gregorio</t>
  </si>
  <si>
    <t>Gregorio Rodrí</t>
  </si>
  <si>
    <t>n el valor y serenidad que manifestar, n en dicha acción el ayudante mayor D. Pedro M vrs, los subtenientes D. Ma rceiino Amor, D. Apolinar de Campo, D. Gregorio Rodrí­ guez, y ios sargentos Juan de Dios Gómez, Fermín García y San­ tiago Cavia, y ios húsares Joaquín de Salas y Manuel Malero : en emulación, solo desean morir m…</t>
  </si>
  <si>
    <t>Rodrí, Jann</t>
  </si>
  <si>
    <t>Jann Rodrí</t>
  </si>
  <si>
    <t>ta Gómez sobre los pre­ ceptos de-la higiene, aplicados-i ia educación física dé los n:ñ &gt;3.—? En I¿i tarde del misino dia el catodr tico de química, D Jann Rodrí­ guez J ¿en , pronunció para la renovación y apertura de estudios ua disjarso sobre la naturaleza dd oxigeno, modo de obtenerlo, y' su uro en la curación de las enf…</t>
  </si>
  <si>
    <t>Rodrí, José</t>
  </si>
  <si>
    <t>José Rodrí</t>
  </si>
  <si>
    <t>ardo, agrega­ do, 1 • D. Sebastian de Rives y Noriega , capellán de la factoría, 8 y 2 y me­ dio rs. D. Vicente Cremata, sobrestante «el embotado, 2. D. José Rodrí­ guez Amate, agente, 3. D. Juan Francisco García, escribano, 1 y 4 rs. 13. Francisco Alonso Pelaez, encargado de venta, parala manutención de un soldado, 9. D. Gas…</t>
  </si>
  <si>
    <t>Rodrig, Agustín</t>
  </si>
  <si>
    <t>Agustín Rodrig</t>
  </si>
  <si>
    <t>los vecinos de la villa do P íncipeqjara gastos de la guerra , 313. Colectados en S. Juan de los deai div. y trasladados 4 la caxa de donativo , 211. D. Agustín Rodrig ; por oí prest de un. soldado en mi mes, 9. El presbítero 1). Manuel Ifouo; - , por &gt;m ¡riburo que cedió en donativo / 93 y 4 rs. D. Rafael Gómez X'r.uoauü , i…</t>
  </si>
  <si>
    <t>Rodriga, Fernando</t>
  </si>
  <si>
    <t>Fernando Rodriga</t>
  </si>
  <si>
    <t>eniente. D. Joan Manuel Barranco. art. ix. Nuestros ministros de lo Interior y D. Juan tía Lechuga. de la Guerra quedan encargados de la execucion de D. Fernando Rodriga, z. este decreto. = Firmado = YO EL REI — por S, M., el ministro secretario de Estados EirmaTenientes. do = Mariauo Luis de Urquijo.” D. Joan Sarroll 1. D. F…</t>
  </si>
  <si>
    <t>Rodrigo</t>
  </si>
  <si>
    <t>e acuerdo con los espectadores lustre adquirió en las manos de Corneille: algunos en ei ultimo sentido de que he hablado, como lo pensamientos deí de D. Rodrigo se hallan también habrán echado de ver por los aplausos que han te­ mas realzados en el autor francés ; pero es preci­ nido. Es lástima que no hubiese un vestido mas …</t>
  </si>
  <si>
    <t>Rodrigo, Francisco de la Peña</t>
  </si>
  <si>
    <t>Francisco de la Peña Rodrigo</t>
  </si>
  <si>
    <t>a, 200. D. R. B;. D., 590. Di Nazario Fernandez de Castro, 3000. Cinco patriotas de pocas facultades, 1000. El Sr. D Esteban Fernandez de León, 1000. D. Francisco dé la Peña Rodrigo , 800. D. J. G. E. , 320. Di Mateo Pé­ rez , 100. D. Baltasar Santos Ma i donado, 300, yon vale de 150 pesos de 1.®' de setiembre de 1808. El Sr.…</t>
  </si>
  <si>
    <t>Rodrigo, Josef</t>
  </si>
  <si>
    <t>Josef Rodrigo</t>
  </si>
  <si>
    <t>ión de D. Pedro Rascones ai de Rioseco, á vacante por promoción de D. Manuel Perez á caD. Bemardino Zaldombidc, presbítero ex-do- nongía de Burgos, á D. Josef Rodrigo, cura de las m utico. Dombellas. Para el de Monasterio, vacante por promoción Para ei de Villar de! Ala, vacante por promo­ * de D. Antonio Poza al de Miño, al …</t>
  </si>
  <si>
    <t>Rodrigucz, Nicolás</t>
  </si>
  <si>
    <t>Nicolás Rodrigucz</t>
  </si>
  <si>
    <t>... ................................. 2200 D. Ramón Bcltran y Alegre, idem, por................. 2100 D. Manuel Seco y López, natural de Huele , pro­ D. Nicolás Rodrigucz, natural del Viso del Mar­ vincia de Cuenca, residente cu la misma, por... 2200 ques, provincia de la Mancha, residente en D. F rancisco Martínez tic Viiian…</t>
  </si>
  <si>
    <t>Rodrigues, Diego</t>
  </si>
  <si>
    <t>Diego Rodrigues</t>
  </si>
  <si>
    <t>Mariano Franco Rodríguez ; y en el de artilleros, compañías al córale de X i ni era, D. Francisco Xavier González y D. Carlos Malagamba ; ayudantía á D. Diego Rodrigues; tenencias ú D. Juan Bsojkmcda, D. José García de! jl rdo, L). u*.sé ivieicuor García y D. Luis Escasi; y subtenencias á D. Rafael R osead e 5 Don Manuel Vazp…</t>
  </si>
  <si>
    <t>Rodrigues, Rafael</t>
  </si>
  <si>
    <t>Rafael Rodrigues</t>
  </si>
  <si>
    <t>..................... 722 Blanco...... ...i........ ...................... . 2 D. Pedro Memendauo......................................270 25I 1444 1 D. Rafael Rodrigues.......................... 2888 2 D. Ped ro del Campo, por su apode­ 6 D. Angel Gerónimo Alvart-z............... 63r7 *7 rado D. Andrés Abrisguieta.......... …</t>
  </si>
  <si>
    <t>Rodríguez, Angel</t>
  </si>
  <si>
    <t>Angel Rodríguez</t>
  </si>
  <si>
    <t>ral , y teniente de la quarta compañía. la opereta la Esclava persiana. Actores en Ja comedia. Señoras García , Torres y Cabo. Señores Infantes , Car D. Angel Rodríguez, sargento primero, ásub­ prara , Avecilla , Suarez . Casanova , Contador, Alveteniente de la sexta compañía. rá y Fabiani. Idem en hr opereta. Señoras Lledó y…</t>
  </si>
  <si>
    <t>Rodríguez, Esreban</t>
  </si>
  <si>
    <t>Esreban Rodríguez</t>
  </si>
  <si>
    <t>Caruí heridos , de los quales el Gos fué el primero que subió al puente; al capitán D. Rodrigo Qairós que también entró en él, al de Ja misrfta clase D. Esreban Rodríguez, al teniente D. Pedro Ma­ ría Fernandez, y a los subtenientes D. Francisco Bouzas, D. Esteban $antos, D. Andrés Lema y D. José Ja Huerta : todos los quales …</t>
  </si>
  <si>
    <t>Rodríguez, Facundo</t>
  </si>
  <si>
    <t>Facundo Rodríguez</t>
  </si>
  <si>
    <t>ales; los de teniente á D. Joaquín Pardo, Don Aosilpüo Mayoral, D. Pascual Perez, D. Manuel Inostrosa, y Don Ssbíiiiían Sánchez; los de subteniente i D. Facundo Rodríguez, D. Fernandez Camino, D. Joaquín Rubenes, D. Joaquín Peliicei, D. Cayetano Sexto, D. Diego Silva, D. Pedro Pita y Don Manuel Se uto Gonzálezy el de subtenie…</t>
  </si>
  <si>
    <t>Rodríguez, Francisco</t>
  </si>
  <si>
    <t>Francisco Rodríguez</t>
  </si>
  <si>
    <t>que eran los voluntarios europeos, cabo Don Manuel Codo Pardo, Dun José Gon­ zález, Don Fernando Ruhalcjba, Don Eugenio Pardo, Den Miguel Irib&amp;rren y D. Francisco Rodríguez , y 24 lanceros á las órdenes de su comandante D. Francisco Grdoñez , acometió á los enemigos, y des­ pués de a horas de cómbate , los hizo huir con pérdi…</t>
  </si>
  <si>
    <t>loria; pero debo por honor á la justicia reco-nen Air á V. S. á mi segundo el corone! D. Roseado Poiik r, al teniente co­ ronel de dragones de España D. Francisco Rodríguez, que heroica­ mente, y á la cabeza del cuerpo de dragones que mandaba, atacó toda la reunión rebelde de la derecha:'al teniente de novio D. Pedro Celestin…</t>
  </si>
  <si>
    <t>Rodríguez, Joan</t>
  </si>
  <si>
    <t>Joan Rodríguez</t>
  </si>
  <si>
    <t>untarios de Cádiz: rompañi.2R á -D. Jusú-Ufeiña, D. Andrés Perez, D. Francisco Mogollen y D. Pablo Senderos : ayudantía á D Jo -é Otero ; tenencias á D. Joan Rodríguez, D. Alfonso. Tercero, D. Tomas Manzanar-?, D. Jocó Yszquez Rdova, D. Juan Amar, D. Francisco García, Dan Mu» tía Arrute ? D Juan García, D. Antonio Salgado. D.…</t>
  </si>
  <si>
    <t>Rodríguez, Joaquín</t>
  </si>
  <si>
    <t>Joaquín Rodríguez</t>
  </si>
  <si>
    <t>D, Diego Antonio Bsrnardo, Don Juan Serradilla y D. Bjnito Cuzeses; subtenencias á D. dementa Menacho y á D. José de Dios ; subtenencia de bandera á D. Joaquín Rodríguez, Ea ei batallón de infantería ligara primero de B ircelcna; los do capitán primero i D. Bernardo Fiballer, D. Pablo Tarrago y Don Juan QuiY&amp;nte; los de ayuda…</t>
  </si>
  <si>
    <t>). Juan Maceda. . Ei el batallón de infantería ligera de voluntarios de ía Victo­ ria : los de caoitan primero á D. Miguel Diez, D. ‘Miguel A rióla y D. Joaquín Rodríguez; el de primer ayudante á D. Miguel Me­ ra; los de capitán segundo á D. Mariano Ó diana, D. Juan Csvallos, D. Juan Vergas, D. Manuel Melgares y D. José Morer…</t>
  </si>
  <si>
    <t>Rodríguez, José Mauricio</t>
  </si>
  <si>
    <t>José Mauricio Rodríguez</t>
  </si>
  <si>
    <t>quín Sánchez, 25. D. Miguel Vargas , 25. D. Juan Huise, 25. D. Manuel Antonio Barbachano , cada año , 20. D. Antonio Gual , 20 D Antonio Martin , 20. D. José Mauricio Rodríguez, 12. D. Alexmidro del Campo, 12. D. Antonio Montero, 12. D. Juan Flota y compañía, 12 D. Antonio Guerra, 10. D. Rafael Castilla, 10. D. Gerónimo Garcí…</t>
  </si>
  <si>
    <t>Rodríguez, José Ruiz</t>
  </si>
  <si>
    <t>José Ruiz Rodríguez</t>
  </si>
  <si>
    <t>ba­ llero, D Juan Magollo D. José D:az y D P^dro Peynador; subtenenc as á D. Sebastian Salado, D: Felipe Treus,D Santos San­ martín, D. José Mosco30, D. José Ruiz Rodríguez , D. Fidel GaÍoso, D. Francisco Bnrmudez, D. Angel Fraile, D. Juan AlJaraira, í. Fa-no' Varela, D. Toma?/ Rea!, D. Pedro Benito Gárrulo, Don Faínian Blanc…</t>
  </si>
  <si>
    <t>Rodríguez, Josef</t>
  </si>
  <si>
    <t>Josef Rodríguez</t>
  </si>
  <si>
    <t>umpido nuestra D. Manuel Galindo. navegación; pero las embarcaciones que salen do D. Andrés del Corral. este puerto tienen que ir con cuidado para no D. Josef Rodríguez. tropezar con el enemigo. Subtenientes. IMPERIO FRANCES. D. Josef Galindo. D. Antonio María Escalera. Corfú. 24 de enero. D. Pablo del Corral. Las fragatas Pa…</t>
  </si>
  <si>
    <t>Rodríguez, Josef Antonio</t>
  </si>
  <si>
    <t>Josef Antonio Rodríguez</t>
  </si>
  <si>
    <t>laran acreedores del estado en D. Beltran Charoieo....................................... 722 conformidad al artículo viide nuestro real decreto de 9 D. Josef Antonio Rodríguez...................... .902.. 17 de junio de lSoo á las personas siguientes. 0 Reales vellón. Los mayorazgos dei marques de Mortara, por mano de D. Die…</t>
  </si>
  <si>
    <t>Rodríguez, Joset</t>
  </si>
  <si>
    <t>Joset Rodríguez</t>
  </si>
  <si>
    <t>a» sidente en el Molar, por.......................... 2200 por mano de D. Juan Bautista Iribarren. 45615..11 D. Antonio Diaz, ex-capuchino, residente D. Joset Rodríguez........................................... 3000 en Chinchón, por....................................... 2200 D. Mariano Agustín...............................…</t>
  </si>
  <si>
    <t>Rodríguez, Juan</t>
  </si>
  <si>
    <t>Juan Rodríguez</t>
  </si>
  <si>
    <t>Toledo, por.......................................................... 2200 KX—AGUSTINO* RECOLETOS. D. Antonio López , lego , natural de Toledo, don­ D. Juan Rodríguez , natural de la villa de Jarandi­ de reside , por.......................................... '........... nao na, provincia tic Extremadura, residente en To­ D. …</t>
  </si>
  <si>
    <t>Rodríguez, Manuel</t>
  </si>
  <si>
    <t>Manuel Rodríguez</t>
  </si>
  <si>
    <t>El alférez LE Eduardo García, 96. El capitán D. Mariano Urrca , 200. El alférez D. José Mena , 10, Don José María Sopeña, 25. D. Antonio Andrade , 5. D. Manuel Rodríguez, G. D. José Buelna , 20. D. Xavier Díaz , 25. D. Ignacio León , 25. D. Ignacio Serrano, 10. D. Tomas Valencia, 10. D. José López, 20. D. Ignacio Noriega , 8.…</t>
  </si>
  <si>
    <t>Ayala , 25. D. Carlos del Casti­ llo , 20. D. José María Velarde , 29. D. Juan Paredes , 29. D. Sebastian Biasini , 10. D. José Antonio Velarde , 25. D Manuel Rodríguez 10. D..Eduar­ do de la Guardia vecino de Peronomé , 7- D Pedro Ortiz, á nombre de va­ rios vecinos de Santiago de Veragua, 1270 y 4 rs. Por entrega del pó­ si…</t>
  </si>
  <si>
    <t>Rodríguez, Manuel García</t>
  </si>
  <si>
    <t>Manuel García Rodríguez</t>
  </si>
  <si>
    <t>00. D. Joaquín Diaz del Valle , 100. En la Isla de León. — D. Manuel de Cabiedes, 10000. D. Manuel Martí­ nez Conde , 3000. D. Domingo del Rio, 2500. D. Manuel García Rodríguez, 2000. D. Esteban García é hijo , 2000. D. Francisco del Corral, 2000. I). Jo­ sé de Teran , 2000. D. Pedro de Mier y Teran , 2000, D. Manuel de la To…</t>
  </si>
  <si>
    <t>Rodríguez, María de los Dolores</t>
  </si>
  <si>
    <t>María de los Dolores Rodríguez</t>
  </si>
  <si>
    <t>-agustina reco­ en S. Martin de la Vega, por............... 2200 leta del convento de Santa Isabel, por. 2200 D. Tomas de Yel y Cuesta, id., residen­ Doña María de los Dolores Rodríguez, ex­ te en Madrid , por....................................... 22CO franciscana del convento de Santa Cla­ D. Miguel Herrero } id., residente…</t>
  </si>
  <si>
    <t>Rodríguez, Mateo</t>
  </si>
  <si>
    <t>Mateo Rodríguez</t>
  </si>
  <si>
    <t>Rodríguez de los Ríos, 100. I). José Gutiérrez y D. Pedro Hidalgo, 100. D. Francisco Fernandez, 100. D Marcos de los Ríos , 100. D Juan Perez , 100. D. Mateo Rodríguez, 100. D. José Pedrosa, 100. D. José Rasilla, 60. D. Eugenio Gutiérrez, 100. D. Antonio Ortegon, 100. D. Manuel Sánchez , 100. D. Francisco de la Ve­ ga, 100. D…</t>
  </si>
  <si>
    <t>Rodríguez, Pablo</t>
  </si>
  <si>
    <t>Pablo Rodríguez</t>
  </si>
  <si>
    <t>ado, id., D. Alvaro Navarro Ibarrueta , ex-merceresid nte en id., por.................................... 2200 nario calzado, residente en Villarubia D. Pablo Rodríguez, ex-escolapio, resi­ de los Ojos , por........................................... 2200 dente en id., por......................................... 2200 D. Fran…</t>
  </si>
  <si>
    <t>Rodríguez, Pedro</t>
  </si>
  <si>
    <t>Pedro Rodríguez</t>
  </si>
  <si>
    <t>ército el empleo de ay udante primero al segundo D. Seba-tsán Cuesta ; y los.de ay.iidaat s segnudos al capitán del regi.miento de infantería de Raza D. Pedro"Rodríguez, y al tenieute de fragata de Ia,ie¡A armada D. Antonio Jceé Ct traen!. *Ta moten se ha servido conceder grado de teniente coronel de in­ fantería, á TK Joaquí…</t>
  </si>
  <si>
    <t>Rodríguez, Pedro Alonso</t>
  </si>
  <si>
    <t>Pedro Alonso Rodríguez</t>
  </si>
  <si>
    <t>ENTO Á LA GAZETA DE MADRID DEL JUEVES 22 DE AGOSTO DE l8ll. Extracto de las minutas de la secretaría de D. Juan de Larrazabal....... 5282.. 6 Estado. D. Pedro Alonso Rodríguez. 46027..13 En nuestro palacio de Madrid a 17 de agos­ D. Pedro Ibañez........ ........... 13808.. 7 to de 1S i 1. Doña María Petra Pastor..... 2 5 074 …</t>
  </si>
  <si>
    <t>nar mocho con este acontecimiento, por quin­ 1 . D. Manuel de Blanquer.................... to la señorita-Jordán , célebre actriz, que pensaba 1083 4 D. Pedro Alonso Rodríguez.............. 3610 dexar el teatro, tendría probablemente motivo con 2 Doña María Josefa de Alcibar, por el casamiento del Príncipe para continuar. Las…</t>
  </si>
  <si>
    <t>Rodriguez, Ramón</t>
  </si>
  <si>
    <t>Ramón Rodriguez</t>
  </si>
  <si>
    <t>el id., por...................... 2200 Monte, por................................................. 2200 Doña María Gregoria Cueva , id., por.... 2200 D. Ramón Rodriguez, id., residente en Doña María Juana Remariinez, id., por 2200 Valmojado , por........................................... 2200 Doña María Carolina de los Dolor…</t>
  </si>
  <si>
    <t>Rodríguez, Salvador</t>
  </si>
  <si>
    <t>Salvador Rodríguez</t>
  </si>
  <si>
    <t>de Escurdia , 20. D. Miguel Duque de Estrada , 100. D, Carlos Escoíiet, 25. D. Claudio Martínez , 20. D. Francis­ co iVIfina, 10. D. Juan Barón, 10. D. Salvador Rodríguez, 10. José Misiano, 2. Joaquín Bravo, 1. Pedro Rodríguez, 1. Clemente Lugo, 1. José Manuel Porez , 1. Piloteo Vargas, 1. Florentino Sánchez , 2. Antonio'Car­…</t>
  </si>
  <si>
    <t>Rodríguez, Sergio</t>
  </si>
  <si>
    <t>Sergio Rodríguez</t>
  </si>
  <si>
    <t>ividuos comprehendidos en el anterior ar­ D. Antonio Alba , id., residente en id., por 2 200 ticulo la pensión que le va señalada, mientras no gocé*, D. Sergio Rodríguez , ex-carmelita des­ otra renta ó sueldo equivalente. calzo, residente en Córdoba , por.......... 2200 art. ni. Nuestros ministros de Negocios eclesiásti­ D. …</t>
  </si>
  <si>
    <t>Rodríguez, Tomas</t>
  </si>
  <si>
    <t>Tomas Rodríguez</t>
  </si>
  <si>
    <t>D. Juan Csvallos, D. Juan Vergas, D. Manuel Melgares y D. José Morera; les de teniente i D. Antonio García , D-' Mateo Peñaranda, D. Pedro Vizcaíno. D. Tomas Rodríguez, D Pedro García, D. Frutos Bo­ ros, D. Manuel Pias ncia y D. Fado Mera; los de subteniente á D. Martin García, D. Manuel Plaza , D Juan, Domínguez, Don Manuel …</t>
  </si>
  <si>
    <t>Rodríguez, Ventura</t>
  </si>
  <si>
    <t>Ventura Rodríguez</t>
  </si>
  <si>
    <t>ción labraron en Roma, y que sus discípulo*’ visitar noesrra España con Berrugoete, Alonso* continuaron. También la Italia nos ba representado Cano y D. Ventura Rodríguez después de h.berla con sus buriles la pintura de ios antiguos, según saludado en tiempo de los abencerrrfges; permane­ ha encontrado algunos vestigios respe…</t>
  </si>
  <si>
    <t>Rodulfo</t>
  </si>
  <si>
    <t>, sargento segundo de ▼otos, que no cesamos de dirigir ai cielo por todo artille!-.. lo qne puede interesar á la conservacioo, á Ja feli­ Fondem ta ( D. Rodulfo ), cabo del regimiento cidad y á la gloria de vuestra persona sagrada. Rral Extrai gero. ,, Reunidos á la Francia, y formando uno de Franzet.bcrg (D...........), secr…</t>
  </si>
  <si>
    <t>Roederer</t>
  </si>
  <si>
    <t>erfecta consideración. = El general de di vi— visitar el gran ducado de Berg. Dicen que el mi­ «sion barón Harispe.” nistro de este ducado el senador conde Roederer La confusión y perplexídad en qne esta derrota ha salido para Dusseldorf á fin de esperar allí í y la sitnacion de Valencia puso i aquellos gober­ S. M. nantes, q…</t>
  </si>
  <si>
    <t>Roelas, Fabian</t>
  </si>
  <si>
    <t>Fabian Roelas</t>
  </si>
  <si>
    <t>as, diácono. Para el del Salar, vacante por promoción de Para el de Huetor Tajar, vacante por muerte D. Gaspar Juan Comino á un beneficio de Loza, de D. Fabian Roelas, al presbítero D. Josef An­ al presbítero ex-regular de S. Gerónimo D. Juan tonio Rodríguez. Josef García. Para el de Jayfena, vacante por promoción de Para el …</t>
  </si>
  <si>
    <t>Rogers</t>
  </si>
  <si>
    <t>nte convencidos de que la principal atención una comisión militar para que exámine la conducta del gobierno debe dirigirse en la actualidad hacia del capitán Rogers.” esta parte, que es la mayor y la mas importante Las cartas particulares confirman esta misma d&gt; 1 imperi ■ británico-, que envíe pues á la isla de noticia. Jers…</t>
  </si>
  <si>
    <t>me Juan, que habia [legado á Gibraltrar con un con- un consejo de guerra para examinar la condocta voi; que habia sido enviada á Puerto-Mahon una del capitán Rogers”: lo qual yá há tietnpo que no­ embarcación americana con un rico cargamento de sotros lo habíamos anunciado , fundados en lo que cafe, aigodon , añil Src., apres…</t>
  </si>
  <si>
    <t>Roggers</t>
  </si>
  <si>
    <t>para una congregación general que se cele­ bró el 10 de este mes. Ea Hs cosías de América ha habido un combate e&amp;tre la fragata americana Presidente, capitán Roggers, y la corbeta británica JLitlec&amp;pitan. Biftgham , en que esta ha.perdido 32 hombres. Este desagradable incidente aumenta el embarazo y complicación de las relaci…</t>
  </si>
  <si>
    <t>Rogniat</t>
  </si>
  <si>
    <t>posible para llegar á ia cabeza regimiento 115.®, mandada por ei capitán Thie- del muelle. Sarsfield habla enviado allí una reserva band, edecán del general Rogniat, marchaba des­ para deteoernos, y un fuego vivísimo é inespera­ de el foso de la Media Luna hácia su reducto para do de fusilería suspendió por un momento nuestro…</t>
  </si>
  <si>
    <t>Rogrúat</t>
  </si>
  <si>
    <t>ran pérdida en sus cámara la petición de los católicos irlandeses, di­ atrincheramientos. !, ’ sco que él era un defensor sincero de sus derechos; El general Rogrúat trazó el día 8 un gran re­ que conocia á los peticionarios, no de oídas, sino ducto en la orilla del mar; durante la noche no por haber sido testigo de su conduc…</t>
  </si>
  <si>
    <t>Roig, Miguel</t>
  </si>
  <si>
    <t>Miguel Roig</t>
  </si>
  <si>
    <t>5 pesos fuertes. D. Cárlos Aubrv , 25. Do^ José María Fiores , 25. D. José Puig y Escardó , 25. D. Sebastian Ferrer, 25. D. Francisco Maristani , 25. D. Miguel Roig , 25. D. Joaquín Sánchez, 25. D. Miguel Vargas , 25. D. Juan Huise, 25. D. Manuel Antonio Barbachano , cada año , 20. D. Antonio Gual , 20 D Antonio Martin , 20. …</t>
  </si>
  <si>
    <t>ya v^ta se continúan tranquilamente los trabajos de fortificación. Berga. 1.° de octubre. — Extracto de algunos partes remitidos por varios gefes. De D. Miguel Roig, capitán del somaten de Igualada, á D. An? tonio Frcmch, comandante de Vüla franca. — Punto de Rubio 2 de se­ tiembre. — Sabiendo que 150 infantes franceses con o…</t>
  </si>
  <si>
    <t>Roille</t>
  </si>
  <si>
    <t>, ha ikrado sus calabozos de padres, madres, parientes, clé­ rigo» , alcaldes y cabnJlsros, sin mas delito que el parentesco con mis voluntarios. El gobernador Roille, degradado de los sentimientos mas naturales, se complace con los alaridos de los miserables que gimen en la prisÍGn, y se delcyta con la sangre de algunos vene…</t>
  </si>
  <si>
    <t>Roldan</t>
  </si>
  <si>
    <t>oche han reforzado las baterías ds la Á¿~ Lambra y de la montaña. — Ayer noche se presentaron en el lugar de Chauchina 1500 hombres á las órdenes dsl comandante Roldan, se les franquearon raciones y caudales, jDía 6. Se trata acerca de si será conveniente armar los habitan­ tes de Granada para que se defiendan contra nuestras…</t>
  </si>
  <si>
    <t>Roldan, Bartolomé</t>
  </si>
  <si>
    <t>Bartolomé Roldan</t>
  </si>
  <si>
    <t>dos en las máximas, en ia doctrina y en La pañías á D. Antonio María Calvólo; para ayudan­ práctica de los siglos mas brillantes del cristianis­ te á D. Bartolomé Roldan , y para abanderado ¿ mo. La España puede gloriarse justamente de ha­ D. Josef Soriano. ber observado en la materia de qne se trata la prác­ Para capitán de …</t>
  </si>
  <si>
    <t>Roldan, Eugenio</t>
  </si>
  <si>
    <t>Eugenio Roldan</t>
  </si>
  <si>
    <t>batallón D. Juiiau Albo, y de los 2pro­ prefectura de Córdoba, se formarán dos compa­ fesores el capitán D. Diego Rejón de Silva, y el ñías. uniente D. Eugenio Roldan. Quedan nombrados para capitanes y oficiales de ellas los sugetos que á continuación se expieian: LIBROS. Capitanes. Salustio, traducido en castellano por el ca…</t>
  </si>
  <si>
    <t>Roldan, Fernando Saucedo</t>
  </si>
  <si>
    <t>Fernando Saucedo Roldan</t>
  </si>
  <si>
    <t>cas, de las quales algunas sobresalían Y para el de la de Blasco Miilan, vacante por hasta tío brazas de altura; poco á poco se juntaron to&lt;muerte de D. Fernando Saucedo Roldan, á Dou das estas masas, y formaron una isla de g leguas de lar­ Eugenio González Reviriego, cura de S. Bartolo­ go y medía de ancho. Estas erupciones …</t>
  </si>
  <si>
    <t>Roldan, Manuel</t>
  </si>
  <si>
    <t>Manuel Roldan</t>
  </si>
  <si>
    <t>lesia , un me­ I&gt;. Mariano Panadero. dio seguro para que el depósito sagrado de la ju­ Subtenientes. risdicción episcopal no se interrumpa jamas, sin D. Manuel Roldan. qúe haya obstáculo ni autoridad que pueda privar D. Juan Braojos. de ella á los cabildos, á menos que estos no hayan D. Pedro Rodríguez del Cartilla. perdido s…</t>
  </si>
  <si>
    <t>Roldan, Manuel Bernardo</t>
  </si>
  <si>
    <t>Manuel Bernardo Roldan</t>
  </si>
  <si>
    <t>vacante de D. Juan Bautista de Orbe. Sexto batallón. D. Miguel Gómez á subteniente en reemplazo de D. Ahtonio Fuentes, teniente, á espitan de la sép­ D. Manuel Bernardo Roldan. tima compañía. D. Benito Aguilera á subteniente en la vacante d« D. Gerónimo Sobrado, subteniente, á teniente de D. Pedro Rodríguez del Castillo. la q…</t>
  </si>
  <si>
    <t>Rolland, Sextus</t>
  </si>
  <si>
    <t>Sextus Rolland</t>
  </si>
  <si>
    <t>no la tiene: por su parte la ha sa­ Muñoz y D. Juan Arias Saavedra, tenientes, á ca­ crificado : nada le queda ya que perder; y su seguridad pitanes. D. Sextus Rolland, teniente del regimien­ en la isla le inspira un valor y una resignación, cuyo to de infantería Real Irlandés , á teniente de caba­ desempeño encarga en todo c…</t>
  </si>
  <si>
    <t>Román, Juan Manuel de San</t>
  </si>
  <si>
    <t>Juan Manuel de San Román</t>
  </si>
  <si>
    <t>icia ds la inversión, tanto de estos donativos como de los que han venido de Nueva-España con el mismo objeto. Un religioso capuchino, 190 rs. de rn. D. Juan Manuel de San Román, 200. X). José Diez Imbreck , 200 y 4 fusiles-. D. Miguel de Trucha Basco, 300. D. Manuel de Hebia, 100. D. Ramón de Náxera* 300. D. Francisco Sánche…</t>
  </si>
  <si>
    <t>Romana</t>
  </si>
  <si>
    <t>183</t>
  </si>
  <si>
    <t>os franceses abandonaron en 14 de no­ ,, También fue una circunstancia feliz la invi­ viembre la posición de Samaren, lord Weliington tación lucha ai general Romana de que viniese í no tenía á sus ó;denes mas que jcQ hombres de coopeyar á la defensa de las lineas de Torres-Ve— tropas inglesas. Los portugueses se habían portad…</t>
  </si>
  <si>
    <t>Romano</t>
  </si>
  <si>
    <t>la del cometa 3 millones de derable. millas. Dos marineros del núm. 5.0 fueron heridos gra­ Mireha retrógrada ó movimiento real de orien­ vemente; el capitán Romano y un soldado del 25.0 te á occidente contrario ai aparente» visto desde la lo fueron tambieo, pero levemente. tierra. El comandante elogia infinito á su tripulaci…</t>
  </si>
  <si>
    <t>Romanof</t>
  </si>
  <si>
    <t>n­ de armada', parece qne es mui iorenipestiva, y que Ancana 20 de abril. por ahora no tiene fnndamento 1^‘nóficiáde filseAyer llegó á esta ciudad la condesa Romanof, fteur y dé Altoria. SfH'duda irá* también este año y esta manada ha salido con- direcciod- ir Veoecia. como-todos los dtfhíat la esquadra ínglésa; perc? esto no…</t>
  </si>
  <si>
    <t>Romas, José</t>
  </si>
  <si>
    <t>José Romas</t>
  </si>
  <si>
    <t>D. Ber­ nabé Fae-zsubtenencias i D. Juan-Castellanos, D. Casimiro Fue­ llo , D. Miguel -DuranD. José Morales, D. Luis Valderas, Don Juan Extrémela , D. José Romas»nta , D. Diego Malfeito, D. Alon­ so Perez, D. Pedro Santiso, D. Manuel Morgade, D. José Moreno García, D. José Gil Malfeito y D. José Muñiz; subtenencia de bandera…</t>
  </si>
  <si>
    <t>Romeral, Marcelino</t>
  </si>
  <si>
    <t>Marcelino Romeral</t>
  </si>
  <si>
    <t>ís 3_9 de enero. juña , al presbítero D. Toribio Manuel Gómez. Para el de Covisa , vacante por ascenso de D m El capitán Dessaix, sobrino del ilustre general Marcelino Romeral al de da Alameda de ia S&lt;&gt;gra, de este nombre , ba sido presentado esta mañana al presbítero D. Pascual Hernández. al Emperador por S. A. S. el príncip…</t>
  </si>
  <si>
    <t>Romero, Francisco</t>
  </si>
  <si>
    <t>Francisco Romero</t>
  </si>
  <si>
    <t>6. Don Simón Montes de Oca , 20. Don José Alfaro, SO. D. José Alfaro Aguiar, 25. D. Joaquín Medina, 10. Matías Montes de Oca, 10. D. José Sierra, 2. D. Francisco Romero, 5. D. Salvador Arabich, 10. D. José Francisco Alfaro, 5. D. Buenaventura Vefazqtiez , 2 D. Francis­ co Sierra, 2. José Sixto Caravajal, 5. José Eusebio Cetin…</t>
  </si>
  <si>
    <t>Romero, Joaquín</t>
  </si>
  <si>
    <t>Joaquín Romero</t>
  </si>
  <si>
    <t>fi r embarcarse ea los buques del rey ; se co .vac ,ou con reserva para apresar á media noche al mencionado cura , al coman­ dante puesto aquí por él D. Joaquín Romero , y á Este bar, Matc-u .da, hecho por el mismo capitán de aruilería, como cabezas principales en este suelo del ponido de ía insurrección, é igualmente a sus f…</t>
  </si>
  <si>
    <t>Romero, José</t>
  </si>
  <si>
    <t>José Romero</t>
  </si>
  <si>
    <t>co Gor-znlea ; y subtenencia» i D. Alexandro* Psrezj D, Mariano C'uluby, D. Aütaaio Sq2W¿o, D. Vicente Ji re­ velo , D. Dkgo Fénollet , B; J*sé Saezy D. José Romero , y Dm Jo-é Aguí lar; en el de Valencia, compañías á D. Manuel ÍL mi­ ras, D. Mnriano • Medran©, P.' Antonio Quitos : tenéE^íj» á Don Antonio E’-teba ’, D. Franci…</t>
  </si>
  <si>
    <t>Romero, Josef Hernández</t>
  </si>
  <si>
    <t>Josef Hernández Romero</t>
  </si>
  <si>
    <t>Don «siendo tantos y tan graves los males que toda Luis Manuel Za 1 o; 1. = D. Nicanor Ricaud.= » guerra trae consigo , vendrían á colmarlos las pa&lt; D. Josef Hernández Romero. = D. Isidoro de Ace«siones exaltadas, los vicios y los delitos de rao* vedo. = D. Francisco de Zafra. «chos, sj.no fuesep. reprimidos por una severa é …</t>
  </si>
  <si>
    <t>Romero, Juan</t>
  </si>
  <si>
    <t>Juan Romero</t>
  </si>
  <si>
    <t>, cura del partido, D. José María Escalena, encargado de justicia, D. José Francisco Subori, D. José Santander, D. Francisco Solis, D. Pedro Zsvala, D. Juan Romero, D. Ignacio Hsrrera, D. Miguel EscarníHa, D. José Francisco López , D. José Francisco Hernández , Don Manuel Güemes, y el indio Juan Lázaro , que tuvo una parte co…</t>
  </si>
  <si>
    <t>Romero, Juan Agustín</t>
  </si>
  <si>
    <t>Juan Agustín Romero</t>
  </si>
  <si>
    <t>ropio de la Puebla de A^garnitas. perio. Para-el de la villa de Pruna , vacante por falle­ ,,Señores: el Cuerpo legislativo n® lia podido cimiento de D. Juan Agustín Romero , á D. Josef oir sin una viva emoción la exposición que acabais María Gutiérrez Diaz de Noriega, vicario perpe­ de presentarle sobre la situación próspera…</t>
  </si>
  <si>
    <t>Romero, Juan López</t>
  </si>
  <si>
    <t>Juan López Romero</t>
  </si>
  <si>
    <t>. una bo a ó giobo sobre el pabellón. Subtenientes. Para señalar que andan cruzando corsarios ó bar­ cos pequeños enemigos, dos bolas 6 globos encima D. Juan López Romero. del pabellón. D. Tomas Gómez. Para scñdar que están mui cerca de la costa de D. Antonio Estéban. Inglaterra una fragata ó muchos barcos enemigos, ' D. Rafa…</t>
  </si>
  <si>
    <t>Romero, Lorenzo Cuenca</t>
  </si>
  <si>
    <t>Lorenzo Cuenca Romero</t>
  </si>
  <si>
    <t>mpañía. Tenientes. Quarto batallón. D. Ramón de la Peña. D. Gregorio Alfonso de Choya, ayudante, á D. Rafael Laguae*. capitán de la primera compañía. D. Lorenzo Cuenca Romero. Quinto batallón. D. Felipe Gutiérrez de Qaevedo. D. Agustín Tavira, ayudante segundo, á ca­ Subtenientes. pitán de la séptima comoañía. D. Juan Josef d…</t>
  </si>
  <si>
    <t>Romero, Manuel</t>
  </si>
  <si>
    <t>Manuel Romero</t>
  </si>
  <si>
    <t>1346 y pasaron por Harlen sin detenerse. El Empera­ El Exento. Sr. D. Manuel Romero........... 500 dor fue á Catwick, y la Emperatriz marchó en El Excmo. Sr. D. Pablo Arribas............... 5C0 derechura á Leiden. El Excmo. Sr. marques de Aimenara...... . 500 El Emperador</t>
  </si>
  <si>
    <t>Romero, Ramón</t>
  </si>
  <si>
    <t>Ramón Romero</t>
  </si>
  <si>
    <t>ito Picnrdo, 1000. IX- Francisco Escudero, 500. D. Ramón Eguilus, 300. Sres. Somera Hermanos,.500.. D. Serafín Alaix , 300. D. Claudio Itoioero, 500, D. Ramón Romero, ¿00. D. Juan Antonio de Criarte, 500. I). Juan Ma­ ría de Inarte , 500. D. José Romero Campo, 400. D. Paulo Larriela y corn•jjanía , 500.IX Antonio y D. Juan Ví…</t>
  </si>
  <si>
    <t>Roncaii, Pedro Agustín</t>
  </si>
  <si>
    <t>Pedro Agustín Roncaii</t>
  </si>
  <si>
    <t>iz, y D. Juan Salcedo : compañías de fusile­ ros a los primeros tenientes D. Pedro Perez de Tagle, y D. Ignacio TJLiceta . y al primer ayudante mayor D. Pedro Agustín Roncaii: pri­ mera tenencia de granaderos al de fu fileros conde de M. jotes -claros; primeras tenencias de fhfileros al segundo ayudante mayor D. Luis Fernando…</t>
  </si>
  <si>
    <t>Roque</t>
  </si>
  <si>
    <t>00 hombres para Cameros para perse­ guir al .comandante Craso, y han cometido en todas paites,excesos horribles y rmichbs asesinatos.—La división del general Roque! está en Soria.—De Asturias escriben que allí quedan pocos franceses. Macedón 15 de enero. IIóy ha Itegado &lt;ie Castilla la vieja á esta villa • Di Gerónimo Saornil…</t>
  </si>
  <si>
    <t>an equi­ blando. La verdadera afrenta del Cid es la de vocadamente repartidos, particularmente los de verse asi deshonrado en el teatro español , por D. Roque , de Muñoz y de Doña Isabel. Ningu­ un ingenio de contrabando, que se ha creído ca- no de ellos conviene al género de tiento que po­ az de hn'quexar un ra go de la vida…</t>
  </si>
  <si>
    <t>con las fuerzas que tienen en Guipúzcoa y Alaba. A fines del mes pasado tuvieron nuestras tropas que abandonar á Potes , donde fueron atacadas por el general Roque! con 2000 hom­ bres de la guardia imperial, en ocasión que habían enviado algunos destacamentos hacia la parte de Castilla ; pero habiéndose reunido otra vez, el g…</t>
  </si>
  <si>
    <t>Roquebert</t>
  </si>
  <si>
    <t>se­ ,,No quedaban pues mas que 2 fragatas y un b-ick, guir á los buques que las llevaban. que no habia duda cataban en crucero. La brisa les fa­ „ El capitán Roquebert habia visto gazetas de Lis­ vorecía, é insensiblemente nos tomaron la delantera. boa , que le hacían sospechar que la Isla de Francia se Nosotros coatinuaracs …</t>
  </si>
  <si>
    <t>Roquehert</t>
  </si>
  <si>
    <t>e 20 cañones. El almirantazgo ha capitán de la ClorinJa , fragata de S. M. examinado esta invención, y ha mandado que se ,,Las fragatas la Renommée , capitán Roquehert, y ponga inmediatamente en planta en el Venerable comandante de la división; la Nereida , capitán Ataresy eo el Tigre, y que sucesivamente se vaya intro­ quier…</t>
  </si>
  <si>
    <t>Roquet</t>
  </si>
  <si>
    <t>banda- huyeron pre­ cipitadamente , los dispersos han abandonado por Tiídela 25 de noviembre. todas partee so dirección , y regresan en quadrillas El general Roquet ha batido ia* bandas de la ¿ Aragón, jurando no batirse en do sucesivo con­ Navarra, que se habian dirigida hacia la orilla de­ tra rabiosos, dicen eJlós,.á-quien…</t>
  </si>
  <si>
    <t>Ros</t>
  </si>
  <si>
    <t>a tinción y de crédito , de las diferentes provincias Princesa entrará de in.óprmo en Estockolnio. de la monarquía, á que vengan á la capital para El doctor Ros?* , que h 1 vuelto á, su casa des- tratar con algunos empleados en el ministerio de .pnes de pascua de Navidad, saldrá mui prouto de las modificaciones que convenga h…</t>
  </si>
  <si>
    <t>Rosa</t>
  </si>
  <si>
    <t>uiere mas amenidad y dulzura, me­ Napoleones d« oro.............. .............. nos arranques, y ma' seriedad. No Se podía desear mas «n el papel de Doña Rosa: la actriz que le ha representado le ha entendido perfectamente; y de f BATKOS. los pocos defectos que se le habrán notado, segura­ mente oo t ene ella la culpa. Todo …</t>
  </si>
  <si>
    <t>Rosa, Josefa Juana Vázquez de Doña María</t>
  </si>
  <si>
    <t>Josefa Juana Vázquez de Doña María Rosa</t>
  </si>
  <si>
    <t>enitez del Ponte... 4416 6 D. Francisco López de A.'caráz.... 90 8f D. Manuel Josef de Montiano....... 88x2 2 El conde de Casa-Valencia.......... 589 Doña Josefa Juana Vázquez de Doña María Rosa de O-Rcilli..... 12996 Silva............................................ . 6623 24 D. Pedro Vidarte..................... .,... 3790 …</t>
  </si>
  <si>
    <t>Rosales, Manuel</t>
  </si>
  <si>
    <t>Manuel Rosales</t>
  </si>
  <si>
    <t>frontera D. Gabriel .parragá# y D.'• Cirios Gutiérrez, ,y el cadete:.de -las.tropas veteranas del Nuevo Santander D. Manuel Rosales. El cuartel maestre general de este exército. teniente coronel D Ra­ món Diaz de Ortega, y mi primer ayudante el del mismo grado Don i Bernardo. Villamil, estuvieron á mi lado, djurante tod</t>
  </si>
  <si>
    <t>Rosas, Salvador López</t>
  </si>
  <si>
    <t>Salvador López Rosas</t>
  </si>
  <si>
    <t>, ■ . 37 protegióndóte los capitanes del 2.° de Saboya D. Salvador López Rosas , y el de la secunda sección ligera D. Francisco Masets, quie­ nes á cuerpo descubierto en la orilla del rio daban exemplo á’ sus soldados. Quemados los barcos, me propusieron algunos soldad</t>
  </si>
  <si>
    <t>Rose, Manuel</t>
  </si>
  <si>
    <t>Manuel Rose</t>
  </si>
  <si>
    <t>les hace res­ mos que diariamente se cantan en las horas menores y pirar gases deletarios inyectándoles oxigeno. completas, traducidos del latín por D. Manuel Rose!', La anatomía de los animales de las clases in­ canónigo de la real iglesia de S. Isidro. Véndense en la feriores , llamados comunmente de sangre blancat librería…</t>
  </si>
  <si>
    <t>Rosell, Pedro</t>
  </si>
  <si>
    <t>Pedro Rosell</t>
  </si>
  <si>
    <t>D. Mi­ guel Duque de Estrada, 500. D. José Perez Medina, 500. D. Hemeterio Dalias, 500. D. Juan Agustín de Ibarra , 300. D. Domingo Sainz Pardo, 200. D. Pedro Rosell, 200. D. Buenaventura Gualba, 200. D. José Goma, 100. D. Andrés Ibarra, 100. D. -Juan de la Fuente y Valle , 100. D, An­ tonio de Estrada , 100. D. José Buenaven…</t>
  </si>
  <si>
    <t>Ross</t>
  </si>
  <si>
    <t>aciones de este dia los regimientos números 43, 52 , 9^ y tercero de cazadores mandados por el coro­ nel Drumond , B ck^ith y el mayor Patzikson , el teniente coronel Ross, mayores Gilman y Stewart, y el teniente coronel Eider, se dis­ tinguieron particularmente , como también los batallones de infuutrí* i¡g; ra, pertenecient…</t>
  </si>
  <si>
    <t>Rossembiad</t>
  </si>
  <si>
    <t>a como pueden serlo de otra qu.ilel conde Brahe, el barón Kiinkowstrom , los con­ quiera.” des Ruth, Posse, Wietggles y Wachtmcistcr, el CAMARA BAXA. barón Rossembiad, consejero de Estado , el barón Flemming, presidente, el barón Lagerheim , el ma­ Sesión del t¡ de junio. yor general barón de Bennet , el obispo Win- Habiendo …</t>
  </si>
  <si>
    <t>Rot, Francisco Aritonio</t>
  </si>
  <si>
    <t>Francisco Aritonio Rot</t>
  </si>
  <si>
    <t>se'exeCapitanes. cutará la comedia de magia trágico-heroica en tres ac­ D. Ramón de los Re&gt;es. tos titulada la Crueldad y sinrazón la vence auxilio y D. Francisco Aritonio Rot. valor, Magencio y Constantino, adornada con todas D. Josef Carvajal. sus decoraciones nuevas: se bailará'el bolero; y se dará Tenientes. fin con el sa…</t>
  </si>
  <si>
    <t>Rothkirch</t>
  </si>
  <si>
    <t>adelante ningún corredor pueda hacer cootrato al­ literatos de Viena; el Nuevo diario militar, del guno para venta de mercancías, sino en billetes de teniente coronel Rothkirch ; el Héspero, del se­ cambio, valor de Viena ,ó en billetes de banco por ñor Andrés de Brnnn, y el diario de Jos teatros, su valor actual. Cada quince…</t>
  </si>
  <si>
    <t>Rou</t>
  </si>
  <si>
    <t>sobre el.De va y el TST a nia , y las llamó á Tórrela vega; y fué tal la pedida que ha sufridq, y el embarazo en que le he puesto, que hasta ahora el general Rou­ get no .ha Vuelto á Santander , y sus soldados desde Tor^elavega pi­ den por gracia los víveres á Jáa jurisdicciones inmediatas. Se han de­ molido los fuertes de St…</t>
  </si>
  <si>
    <t>Roubaud, Rafael Gómez</t>
  </si>
  <si>
    <t>Rafael Gómez Roubaud</t>
  </si>
  <si>
    <t>a jesús Conde. Enterado el Consejo de Regencia muy detenidamente del expediente y demas que acompañan sobre la separación del i atenderte de exército D. Rafael Gómez Roubaud de la superintendencia de la factoría de la Habana, y conformándote con el juicioso y justificado ¿icdmrn de la junta de hacienda , ha venido en declarar…</t>
  </si>
  <si>
    <t>Rouget</t>
  </si>
  <si>
    <t>989</t>
  </si>
  <si>
    <t>principio de la acción eran de 2000 hombres , y las mías de 2500. Apenas se rompió el fuego en Santander por el punid, de los molinos de viento,, el general Rouget sé piíso á. la cabeza de su guarnición, compuesta efe 500 á 600 hombres, y al abiígó de laj calles y de las casas, in­ tentó hacer una resistencia 'desesperada, pe…</t>
  </si>
  <si>
    <t>la satisfacción de haber libertado á estos valles shú saqueo, que era su objeto, así como da la exacción de las cuantiosas sumas que ies adeudan.. Ei general Rouget me dispensa de hacer á V. E el elogio cjue merecen estas tropas, pues según su confesión, quedó sorprehendido al ver la serenidad y firmeza con que se le recibió …</t>
  </si>
  <si>
    <t>rdieron fie 80 á 100 hombres, no basando «1 • número de sus heridos de 140, la mayor paite g^ndaimas, y uexaron prisionero un ayudante cíe cauapó.del general Rouget, qiK» u.t« si­ da en- Santander, y 4 hombre-?. ‘Naeatra pérdida^ se miuxo 4 ja de OoLs-aMados muertes y á 8 ¿¿dictes, entre olios un oficial. Las oficiales y trep…</t>
  </si>
  <si>
    <t>Roura, Pablo</t>
  </si>
  <si>
    <t>Pablo Roura</t>
  </si>
  <si>
    <t>D. Victor Soret, 500. D. Francisco de Berrio, 500. D. Luis Fran­ cisco de Gardea/abal, 200. D. Juan Soler y G-arceran, 400. D. Alexandro Firpo , 300. D. Pablo Roura, 400. D, Gaspar Remisa, 1000. D. Francisco Díaz, 500. D. Agustín Ciotet, 200. D. Jacinto Alvarez de Pazos , 1000. D. Domin­ go José Cierto , 1000. D. Ramón de bar…</t>
  </si>
  <si>
    <t>Roure, Juan</t>
  </si>
  <si>
    <t>Juan Roure</t>
  </si>
  <si>
    <t>or nueítra parte solo ha habido un muerto, y herido el bizarro capitán Puig, ¿ quien recomienda Iglesias muy particularmente, así como al subteniente D. Juan Roure, al cabo primero Francisco Vidal, y al sol­ dado Lorenzo IVLsaneüas, que mandado retirar contra su volurvr;d de la acción por estar herido , no cesó de correr por …</t>
  </si>
  <si>
    <t>Rousioo</t>
  </si>
  <si>
    <t>exército de Buenos-Aires, el qual había 6.a división: general Campbell, en Alpedrinha. principiado ya á bombardear la plaza. El capitán 7 a división: general Rousioo , en Niza. Farlane cuenta también que á un brick y á una División de tropas de infantería ligera: general _ corbeta Ingleses que venían ¿ Buenos-Aires se les Eva…</t>
  </si>
  <si>
    <t>Rousseau</t>
  </si>
  <si>
    <t>mientos 8.°, 24.0, 54.0 y 96.0 se han eran mas fuertes que yo. Quedé pues convencido distinguido. que el exército que teoia que combatir era lo ,, El general Rousseau , oficial de gran mérito» menos de 220 hombres. En vista de esto envié or­ y el coronel Autie , han sido muertos. den al general Víilatre para que no se opusies…</t>
  </si>
  <si>
    <t>Rouyer, Apolinar</t>
  </si>
  <si>
    <t>Apolinar Rouyer</t>
  </si>
  <si>
    <t>de Cotadilla................... 9615a t Sf Rouyer....................... ................ 19440 D. Josef Vasallo...........;................. 2279i 5 D. Apolinar Rouyer...................... 9720 D. Alejandro Silva......................... 9220 20 D. Felipe Carlos de Vailejo.......... 0220 D. Pedro Miranda....»......,........…</t>
  </si>
  <si>
    <t>Rovira</t>
  </si>
  <si>
    <t>iguiente se retiraron nuestras tropas á Molins de Rey, después de haber perseguido hasta la Cruz cubierta á las tropas que sa­ lieron de la plaza. El coronel Rovira peleó el 25 en las cercanías de O’ct con los enemigos , mientras que Fábregas h¿ cia lo mismo junto á Bañólas. El enemigo, irritado y furioso, invadió el corregim…</t>
  </si>
  <si>
    <t>Rovira, Francisco</t>
  </si>
  <si>
    <t>Francisco Rovira</t>
  </si>
  <si>
    <t>rriente una ventaja de consideración contra una columna francesa , á la que hizo 120 prisioneros. Et l t al-anochecer arrivó á este puerto el célebre D. Francisco Rovira. ; . . ARTICULO DE OFICIO. Con motivo de la toma -por sorpresa $e la interesante pJsza de G\ Fernando de Figueras , y ele las brillantes acciones de Oiot y C…</t>
  </si>
  <si>
    <t>Rovira, Miguel</t>
  </si>
  <si>
    <t>Miguel Rovira</t>
  </si>
  <si>
    <t>igo , según noticias fidedignas , tuvo 10 muertos y 40 heridos, les mas gravemente. El 11 del corriente por la mañana, habiendo sabido en Moscar­ dón D. Miguel Rovira y el teniente D. Antonio Pastor que 40 fran­ ceses al mando de un oficial habían salido de Alburiada por Ho­ yuela á recoger una porción de granos que tenían ac…</t>
  </si>
  <si>
    <t>Row</t>
  </si>
  <si>
    <t>pagar la entrada El 16 entró en este puerto el corsario de Lior­ por exemplo. Desde que se pasaba el umbral de la na , llamado los Tres montes rozos, capitán Row- puerta , ya le parecía á uno hallarse en otra tierra, gemont, con nna presa española de 170 toneladas, pero tierra mui distante, mucho, de la que aca­ llamada Sta. …</t>
  </si>
  <si>
    <t>Rowlei</t>
  </si>
  <si>
    <t>CFORT. buques enemigos se hallaban dentro del pserto, y que solos dos estaban en disposición de hacerse St Francfort t$ de febrero. la vela , dexé al capitán Rowlei con la- Boadicea¿ Ha salido de esta ciudad un destacamento de el Niso y la Neréida para que observase los mo­ la guarnición francesa para escoltar un transporte v…</t>
  </si>
  <si>
    <t>Roxas, Josef Antonio</t>
  </si>
  <si>
    <t>Josef Antonio Roxas</t>
  </si>
  <si>
    <t>a suspensión de la orden que estaba nombrado fiscal general. dada para embarcar á D. Juan Antonio Obelle, Se leyó al pueblo este decreto; y respondió D. Josef Antonio Roxas, y el doctor Vera, que que quedaba contento y satisfecho: al retirarse la estaban presos , con motivo , se decía , de haber gente el presidente Je dirigió…</t>
  </si>
  <si>
    <t>Roxas, Juan Francisco</t>
  </si>
  <si>
    <t>Juan Francisco Roxas</t>
  </si>
  <si>
    <t>é- Mari i Suntds, 12. D.. Pablo García, Jó. D. Juan Antonio de Cárdenas , 13. D. José Camacho, 13. D. José Miguel Sánchez, 10. D. Vicente Florez, 10. D. Juan Francisco Roxas, 6. D. José Antonio Villareál, 7. D. Berdírno Vela , 5. D. Manuel de la Garza, 6. Varios individuos, 15. — Parras. Don Juan Tágíe, 50. Don Juan Nava, 25.…</t>
  </si>
  <si>
    <t>Roxas, Temas</t>
  </si>
  <si>
    <t>Temas Roxas</t>
  </si>
  <si>
    <t>marido, y participaba de ío ’a^ sus sanguinarias y brumales atrocidades: en una co ta ausencia que aquel hizo para asesinar al desvectur&amp;do patrióte D. Temas Roxas, cuja viuda y 6 hijos í:o cesan de llorar su mísera horfcmdad , conde­ nó á muerte á un religioso de S. Juan de D.cs, llamado Villa rías'; y su cruel sentencia, es…</t>
  </si>
  <si>
    <t>Roxo, Pablo</t>
  </si>
  <si>
    <t>Pablo Roxo</t>
  </si>
  <si>
    <t>ncisco Hidalgo. tos infames, baxo el velo aparente de beneficencia, Para el de Asquerosa, vacante por muerte de á los'infelices que se fian de ellos. D. Pablo Roxo, al presbítero ex-regu!ar francis­ Creemos hacer un servicio á la humanidad ma­ cano D. Carlos Antonio Perez. nifestando, pata desprecio é indignación del pueblo P…</t>
  </si>
  <si>
    <t>Rozat</t>
  </si>
  <si>
    <t>iferemes , divididos en siete clases Parte enviado al señor general conde Belliard distintas en el orden siguiente : violado , purpúreo, por el señor coronel Rozat» comandante del azul, verde , amarillo, naranjado, encarnado. A es­ regimiento tr.° de dragones. te ftnómeno se llama dispersión de la luz. Al mis­ mo tiempo cada …</t>
  </si>
  <si>
    <t>Rqytra, Pedro</t>
  </si>
  <si>
    <t>Pedro Rqytra</t>
  </si>
  <si>
    <t>­ cargó-ai brigadier Cepeda la defensa de S. Roque con ios dependien­ tes del resguardó , y la gente armada y dirigida por el corregidor de Ja du :ad D. Pedro Rqytra. C:&gt;mo los éneorgos • atqcarpi.i’ decidí-, demente, no pudierop teser efecto las medidas tomadas para aparear, tar fuerzas é impedirle? la er traía en S. Roque ,…</t>
  </si>
  <si>
    <t>Rúa, C'Gto</t>
  </si>
  <si>
    <t>C'Gto Rúa</t>
  </si>
  <si>
    <t>n año ,.1000 para los gastos de la presente guerra, y otros 1000 para socorro de las viudas de los defensores de ZaragoKa, que todo suma, 3üS0 pesos. D. C'Gto Rúa , por el prest de 5 soldados en 8 meses, 360. El teniente coronel D, francisco Chappotin, para socorro de ías viudas y ^íuérfanos de los defensores de Zaragoza, 204…</t>
  </si>
  <si>
    <t>Ruano, Sebastian</t>
  </si>
  <si>
    <t>Sebastian Ruano</t>
  </si>
  <si>
    <t>n Toledo, por.......... . 2200 sidente en su pueblo, por....................................... 2100 D. Patricio Toribio, natural de Mal.igon , en la D. Sebastian Ruano, natural de Toledo , donde re­ Mancha, residente en Toledo, por....... ............. 2200 side , por..........................................................…</t>
  </si>
  <si>
    <t>Rubenes, Joaquín</t>
  </si>
  <si>
    <t>Joaquín Rubenes</t>
  </si>
  <si>
    <t>on Aosilpüo Mayoral, D. Pascual Perez, D. Manuel Inostrosa, y Don Ssbíiiiían Sánchez; los de subteniente i D. Facundo Rodríguez, D. Fernandez Camino, D. Joaquín Rubenes, D. Joaquín Peliicei, D. Cayetano Sexto, D. Diego Silva, D. Pedro Pita y Don Manuel Se uto Gonzálezy el de subteniente de bandera á D. Manuelsantos. hule que …</t>
  </si>
  <si>
    <t>Rubín, Francisco</t>
  </si>
  <si>
    <t>Francisco Rubín</t>
  </si>
  <si>
    <t>-,, to de nuestras tropas Se dí.tmguiero-; D. Juan B danzateg.a ; coman- ■ dame de la caballería de la izquierda y los oficiales de. la mis,na arma . D. Francisco Rubín, y D. Manuel Porras. Sevilla 20 de marzo. El aia 13 salió de aquí el gobernador con 150 dragones, ióo infantes y 48 artilleros, y volvió el ié por la tarde si…</t>
  </si>
  <si>
    <t>Rubio, Antonio</t>
  </si>
  <si>
    <t>Antonio Rubio</t>
  </si>
  <si>
    <t>resbítero Don ministro secretario de £stado=Firmado = ManaAntonio Lao. no Luis de Urquijo.” Para el de S. Miguel de Granada, vacante por promoción de D. Antonio Rubio al'%^. Luis, at presbítero* ex-mercenario calzado D/^Mcent# Gil. Para el de Montillana , vacante por renuncia de xvrso. D. Francisco Pedro Casanova, al diácono …</t>
  </si>
  <si>
    <t>Rubio, Juan</t>
  </si>
  <si>
    <t>Juan Rubio</t>
  </si>
  <si>
    <t>Cabía, como apo­ como heredera de su padte Don derado de D. Diego de Tordesi lias. 3317 17 Josef,................................................ 18 D. Juan Rubio..................................... 124454 25! 43562 28 18 D. Pedro García y pinillos............... 31500 ; D. Antonio de los Ancos.................... 7942 12 Do…</t>
  </si>
  <si>
    <t>i­ mará media compañía. tarlos. ( Gaze ta de Sevilla de g de diciembre.) Qeeda nombrado capitán de ella D Francisco de Paula Santiago , y subteniente D. Juan Rubio. Madrid 26 de diciembre. art. vi. Nuestros ministros de lo Interior y Extracto de las minutas de la secretaría de Es­ de la Guerra quedan encargados de la execucio…</t>
  </si>
  <si>
    <t>Rubio, Rafael José</t>
  </si>
  <si>
    <t>Rafael José Rubio</t>
  </si>
  <si>
    <t>.Campeche remitieron por las autoridades de aquella provincia , 355 : y solo se han reci­ bido aquí como entregados mas por el interventor de Mérida D. Rafael José Rubio, 25. Ei administrador de la Antigua , 40. El administrador y subalter­ nos de Tuxpam , 212. El administrador y subalternos de Tlájisooyanv, 58. El administra…</t>
  </si>
  <si>
    <t>Ruchel</t>
  </si>
  <si>
    <t>círcu­ mercantes mui interesados. los, á su traslación á Colberg, á las voces que El Fénix , procedente de Montevideo, ha lle­ han corrido acerca del general Ruchel , y par­ gado á Inglaterra, y traído noticias de aquellos ticularmente al aspecto revolucionario y de in­ paises hasta el dia t.° de mayo , y según ellas pa­ subo…</t>
  </si>
  <si>
    <t>Ruffin</t>
  </si>
  <si>
    <t>claraciones de los prisioneros y de los habi­ ella algunos instante; pero rr nto íue arrollado, tantes del país, y todos los informes que he te­ y el general Ruffin tomó posesión de la altura. mado, no me fiexan ia menor duda en quaDto á es­ Yo fui entonces allá , y vi desde aiii la disposición te número; y sin embargo cor» s…</t>
  </si>
  <si>
    <t>Rufin</t>
  </si>
  <si>
    <t>ntró con el general Dilkes. EL combate fué obstinado y smgriento. Nada pudo al­ terar sin embargo la firmeza de las tropas blancas; y la división del general Rufin fué arrojada á bayonetazos de su pqsicion , abandonando dos cañones y á su general tendido en d campo. Entre tanto- el .ala izquierda se adelantaba 1 contrarrestan…</t>
  </si>
  <si>
    <t>Rufñn</t>
  </si>
  <si>
    <t>l iG de marzo. los desembocaderos y caminos qoe van á la Isla de León, y que viniese á colocarse á su derecha: BATALLA. DE CHICLANA. mandó también al general Rufñn que dexase ia al­ tura, y se estrechase con su izquierda, no tenien­ Un cuerpo de exército de 16 á 18® hombres do ya esperanza de envolver al enemigo; limitán­ des…</t>
  </si>
  <si>
    <t>Ruftio</t>
  </si>
  <si>
    <t>a­ general Godinot envió también noeve batallonc:; dos en clase de tiradores y tropas sueltas. pero estos refuerzos, que hubieran sido mui útiles, El general Ruftio se halla también entre los llegaron demasiado tarde. Los enemigos se han me­ prisioneros: su herida c-s de gravedad; mas sin em­ tido, después de su derrota, dent…</t>
  </si>
  <si>
    <t>Ruggieri, César</t>
  </si>
  <si>
    <t>César Ruggieri</t>
  </si>
  <si>
    <t>ción de ¡os ventisqueros Venecia 20 de setiembre. de alrededor, y vieron por qué puntos estaban uni­ dos unos con otros. Uno de los hermanos Meyer El doctor César Ruggieri, profesor de clínica descubrió una superficie de nieve bastante conside­ quirúrgica en Venecia, ha impreso una carta don­ rable, que tenia un hermoso color…</t>
  </si>
  <si>
    <t>Ruiz, Antonio</t>
  </si>
  <si>
    <t>Antonio Ruiz</t>
  </si>
  <si>
    <t>rigos. D. Miguel Hidalgo, ex - gener¿ lí d m o. D. Mariano Be­ lleza, teniente general. D. Francisco Olmedo. D. Nicolás Nava. Don desé María Salqido. D. Antonio Ruiz. D. Antonio Bclan. D. Ignacio Hidalgo. Seculares. D. Ignacio Jo*é Allende, generalísimo. D. Mariano Xiroenez, capitán general. D. Juan de Aldama, teniente genera…</t>
  </si>
  <si>
    <t>mérceos río. Clérigos. D. Miguel Hidalgo , ex-g^nera]r imo. D. Médano Ba­ ilesa y teniente- general retirado. D. Francisco Olmedo. D. Nicoi&amp;s •Nava.- D. Antonio Ruiz. Di Antonio Belan.-D. Ignacio Hidalgo. Seculares. D. Ignacio José Alteado,-generalísimo. D. Müña’ao Ximenez, capitán general. D. Juan Aldama, teniente genera?. D…</t>
  </si>
  <si>
    <t>s, 100. D. Manuel Sán­ chez de la Torre, 100. D. Carlos de Hoyos, 100. D. Felipe Argumedo , 100. D. Manuel Vciez de Villa, 100. Di José M uñoz , 100. D. Antonio Ruiz , 100. D. Nicolás Molleda , 100. D. José González 5 100. D. Francisco Fernandez, 100. D. Antonio Arrí, 100, D. Pedro Ganzalez , 100. D. Manuel Sánchez Cal­ derón…</t>
  </si>
  <si>
    <t>Ruiz, Bomingo González</t>
  </si>
  <si>
    <t>Bomingo González Ruiz</t>
  </si>
  <si>
    <t>on,’;&amp;50. El'regidor B. Joaquín de Herrera , por mano de B. Juan Luis Marquétiy inayordomo dé propios , y oferta del cabildo Ürubmi. de ne­ gros, 10. D. Bomingo González''Ruiz vecino deb partido de Gu'amutas, 251 El mai*ques de Cárdenas de Morftéhbrmoso.,/ á cuenta del’dtñjativo qué hatr ofrecido los vecínés dé-la-vi lia (d'é…</t>
  </si>
  <si>
    <t>Ruiz, Diego</t>
  </si>
  <si>
    <t>Diego Ruiz</t>
  </si>
  <si>
    <t>................................... 2 loo en la .Mancha, residente en Toledo, por.......... . 2 300 D. Johcí'Maiía Hernández , presbítero, natural de D. Diego Ruiz , natural de Talayuvlas, provincia la villa de la Guardia, provincia de Toledo, re­ de Cuen, a , residente en Toledo, por.......... . 2200 sidente en su pueblo, po…</t>
  </si>
  <si>
    <t>Ruiz, Francisco Maria</t>
  </si>
  <si>
    <t>Francisco Maria Ruiz</t>
  </si>
  <si>
    <t>y hubiese aguardado la asistencia y ayuda de S. Lorenzo de Sevilla , vacante por fallecimiento la infantería, se habría acabado con el médico Mo­ de D. Francisco Maria Ruiz, á D. Antonio Luce- rillo, y su partida hubiera sido aniquilada. na y Anoes , presbítero , cura natural de la de Santa Cruz de la miíint ciudad. Para el s…</t>
  </si>
  <si>
    <t>Ruiz, Francisco Saez</t>
  </si>
  <si>
    <t>Francisco Saez Ruiz</t>
  </si>
  <si>
    <t>o Sarr.it................................ 180 1/ 33 7 f y Doña Xavicra de Osma...... ........... ... 4485 12 1 D. Julián de Erguinio , por medio de 4 D. Francisco Saez Ruiz...................... so apoderado D. Manuel Martínez D. Santos Ortiz............... ..................... 43Jo de Novales................................…</t>
  </si>
  <si>
    <t>Ruiz, Francisco Sinz</t>
  </si>
  <si>
    <t>Francisco Sinz Ruiz</t>
  </si>
  <si>
    <t>llón. D. Antonio de Várgas._ D. Francisco Lefebvre, ayudante segundo, á D. Antonio Andrés Galiano. «apitan de la segunda compañía. D. Manuel Notario. D. Francisco Sinz Ruiz, teniente, á capitán D. Pedro Miguel de tuque. de la tercera compañía. Tenientes. Quarto batallón. D. Ramón de la Peña. D. Gregorio Alfonso de Choya, ayud…</t>
  </si>
  <si>
    <t>Ruiz, Gregorio</t>
  </si>
  <si>
    <t>Gregorio Ruiz</t>
  </si>
  <si>
    <t>rada hizo varias evolu­ moción de D. Gabriel Gómez Serrano á dig ¡dad ciones , y d^fi'ó á presencia del inmenso pueblo, de la catedral de Palencia, á D. Gregorio Ruiz, q le ve ya á la tropa española maniobrar y orga­ vicario de Santa Marta. nizarse al lado de la francesa. Llegado el medio Para el de Pero-Rubio , vacante por p…</t>
  </si>
  <si>
    <t>Ruiz, Ildefonso</t>
  </si>
  <si>
    <t>Ildefonso Ruiz</t>
  </si>
  <si>
    <t>reserva á los riesgos de nal, y de la comisión compuesta de los señores perder sus capitales y sus géneros en el tráfico con D. Francisco Bustamsnte, D. Ildefonso Ruiz del las provincias disidentes. Agrégase i todo esto las Rio, D Luis Ciarg'illo , D. Aogel dv Irribarren, crecidas contribuciones y empréstitos forzados que D. …</t>
  </si>
  <si>
    <t>Ruiz, Inocencio</t>
  </si>
  <si>
    <t>Inocencio Ruiz</t>
  </si>
  <si>
    <t>ente en su pueblo , por.................. 2 209 en Guadalaxara, residente en Camarena, por,... 2200 D. Hilario Diaz, natural de la villa de Mora, re­ D. Inocencio Ruiz , natural de Yévenes, residente sidente en Toledo, por............................................. 2200 en el misino, por.....................................…</t>
  </si>
  <si>
    <t>Ruiz, Josef Celedonio</t>
  </si>
  <si>
    <t>Josef Celedonio Ruiz</t>
  </si>
  <si>
    <t>, Para el de Porteirubio y su anexo Chavaler, vacante por maerte dé D. Cayetano Perez de Ve­ vacante por renuncia de D. Joscf Sanz de la Vega, ra , í D. Josef Celedonio Ruiz, cura de Sinovas. i D. Gabriel Sanz, clérigo de prima. Para el de Regumiel, vacante por promoción Para el de la E'tepa de S. Juan, vacante por de D. Jose…</t>
  </si>
  <si>
    <t>Ruiz, Ménica</t>
  </si>
  <si>
    <t>Ménica Ruiz</t>
  </si>
  <si>
    <t>isco Segura, sargento primero de granaderos del regi­ miento de milicias de infantería, por el prest de un soldado en 3 meses dudante la guerra , 27. Doña Ménica Ruiz, por sí y por sus tres hijos D. Xav&gt;er, D. José y Doña Dionisia de Palacios, 500. D. José de Orne, contador de exército de la provincia de la Luisiana, 500, D. …</t>
  </si>
  <si>
    <t>Ruiz, Miguel</t>
  </si>
  <si>
    <t>Miguel Ruiz</t>
  </si>
  <si>
    <t>visión cántabra del mando del brigadier D. Juan I)iaz Portier. D. Román Diaz Tagle, 100. L. Juan Madrazo, 100. D Vicente Sánchez de M-'ifoellan, 100. D. Miguel Ruiz , 100. D. Felipe de Herrera, 100. D. Miguel Villegas, 100. D. Manuel Herrero, 100. D. Juan Antonio Gutiérrez, 100. I). José Fernandez y D. Melchor Gómez , 70. D. …</t>
  </si>
  <si>
    <t>Ruiz, Pió María</t>
  </si>
  <si>
    <t>Pió María Ruiz</t>
  </si>
  <si>
    <t>a­ mino de Iguala con 2 cánones; pero no se atrevieron, ¿acometer, y huyeron á la madrugada, siguiente. Se distinguieron en esta o rasión el teniente D Pió María Ruiz, D. José Abascil, D. José Antonio de Ascguinolaza, comandante de lanceros de S. Nicolás ¿ el sargento segundo de infáat.ría de México José Chavez, que quitó ai …</t>
  </si>
  <si>
    <t>fectos, ademas de 18 sacos da aígodon y 200 cabezas de ganado de que se apoderaron po? su parte el ca Atún Re­ gules y el teniente del fixo de México D. Pió María Ruiz. En la nueva Galicia, un cuerpo de 3000 sediciosos, capitaneados por un frayle lego llamado Galiaga, tuvo la osadía d» atacar el 6 de mayo á la división de I).…</t>
  </si>
  <si>
    <t>Ruiz, Simón</t>
  </si>
  <si>
    <t>Simón Ruiz</t>
  </si>
  <si>
    <t>; pero no contento con el grado de gloria presenten con ellos en la escribanía de provincia que que lleva dado á Pedro Schotffer, se empeña en cxcrce D. Simón Ruiz para calificar su representación. probar que él solo fue el verdadero inventor de •a imprenta: asi pses no podiendo disputará Guttemberg la gloria de haber substit…</t>
  </si>
  <si>
    <t>Rulfin</t>
  </si>
  <si>
    <t>l primer cuerpo ha triun­ los ingleses á la derecha , y la otra mitad forman­ fado de fuerzas tan nurntrosas. Los h.bitanres do esqaadra enfrente del general Rulfin. Los in­ de la Andalucía están llenos de admiración , y no gleses Ilegabaa al mar, y la líuea era casi con­ pueden comprehender como tan poca gente ha po­ tinua. …</t>
  </si>
  <si>
    <t>Rumen, Pedro</t>
  </si>
  <si>
    <t>Pedro Rumen</t>
  </si>
  <si>
    <t>ymc Pont, 50. I). Juan Plá , 35 y 5 rs. D. Santiago Parodi, 30. D. Domingo Esiaracbe , 60. D. Domingo íJarcia , 45 y 3 rs. D. Francisco Grana, 52 y 2 D. Pedro "Rumen , 183 y 3. D. Ignacio Tubores , 30. D. Juan. Rosoli, 40. D. Francisco Carreras, 256 y 4. D, José Xavier de Aranzarnendi , 203 y 6. D. José Geipi , 38. D. Juan So…</t>
  </si>
  <si>
    <t>Ruperto</t>
  </si>
  <si>
    <t>los redactores otros perillanes de Ja misma ralea. Y con esto se de ¡a gazeta el diálogo siguiente: fue, deXindome en la mayor confusión. En dos pa­ D. Ruperto. ¿Con que estamos de vuelta de labras , el respetable jnntero roe hizo ver que mi Cioiz , D. Antonio? tio bebía las noticias en un pilón de agua puerca, D. Amonio. ¡Qu…</t>
  </si>
  <si>
    <t>de la tertulia están en lista----- T&gt;. R. ¡ PL a ro­ ha logrado una honrosa colocación á D. Antonio. ñes! Nos escriben que quieren darnos un abrazo: D. Ruperto confiesa c&lt; n sumo do or que cin­ ¡cáspital para ahogarnos. Dexemos esto que turba tra su voluntad ha contribuido á la peraicion J; mi digestión. Dig-me vmd., amigo, q…</t>
  </si>
  <si>
    <t>Rusconi, Bartolomé</t>
  </si>
  <si>
    <t>Bartolomé Rusconi</t>
  </si>
  <si>
    <t>anz, 40. D. Rafael Bailester, 25. D. Gaspar Machín , 25. D. Isidro Arecha,25. D. Nicolás Soriano, 25. D. Pedro í«opea , 35. D. Ignacio Cantarcy , 25. D. Bartolomé Rusconi , 25. D. Joan Villaseca, 25. D. Pablo Soler , 25. Don José Bobos , 25. D. José Ector Padrón, 25. I&gt;. Antonio Castilla, 25. Don Manuel Salecio, 25. D. Robert…</t>
  </si>
  <si>
    <t>Ruti</t>
  </si>
  <si>
    <t>la segunda línea enemiga , y mente por las buenas disposiciones qoe ha toma— elobló considerablemente la nuestra. Habiendo su­ , do, como también ei general Ruti por ei modo bido yo i la altura» me sorprehendí al ver un con que ha dirigido la artillería. También debo ci­ número tan crecido de tropas; y á poco rato supe tar á …</t>
  </si>
  <si>
    <t>Rviffio</t>
  </si>
  <si>
    <t>por delante fue des­ Eres, todos heridos, los quales fueron cogidos ea baratado : ios enemigos fueron acorralados basta el la altura que defendía el general Rviffio, y 30 ti­ mar, y de este modo se fiustró so proyecto. radores , que sou los únicos franceses que queda-</t>
  </si>
  <si>
    <t>S, Cayetano Rega</t>
  </si>
  <si>
    <t>Cayetano Rega S</t>
  </si>
  <si>
    <t>de Maillardoz, ministro ple­ do nombrar contador principal de rentas reales de nipotenciario de la confederación suiza , la prefectura de balamancu á D Cayetano Rega­ S. E. el señor general Watteville, antiguo lan- lía , visitador cesante de las mismas cu la proviucia damann de Suiza. de Jaén. Por S. E. el señor duque de Bass…</t>
  </si>
  <si>
    <t>S, Celedonio Ros</t>
  </si>
  <si>
    <t>Celedonio Ros S</t>
  </si>
  <si>
    <t>,,, en ño quatquier otro ios— Laibach 16 de enero. trumeaio , era ptecisp hacerlo venir.del extrangeHni ha salido de esta, ciudad para Francia el ro. D. Celedonio Ros«S|pga ha construido todos general de división Carra SaintrCi.r.. ^ estos instcumenios y máquinas, no solo con una gran perfección en la mano de obra, sino tambi…</t>
  </si>
  <si>
    <t>S, Esteban</t>
  </si>
  <si>
    <t>Esteban S</t>
  </si>
  <si>
    <t>rullesa, D. Manuel Goicolea, D. Gaspar Aguado y D. Fran­ cisco Noguer; tenencias á D. Mauricio de L -rgacha, D. Jo é Per­ noto , D. José deGaiilenea, D. Esteban S. Miguel, D. José Anto­ nio Romero, D. Ram&amp;n de Larrieta, D. Manuel Sanz, D. Domin­ go Cierto, I). Antonio Vallaría© y D. Sebastian Peñasco; y subte­ nencias á D. Di…</t>
  </si>
  <si>
    <t>S, Eugenio de Wurtemberg</t>
  </si>
  <si>
    <t>Eugenio de Wurtemberg S</t>
  </si>
  <si>
    <t>ción de pecho, los últimos el día 23 de febrero. que sin ser precisamente peligrosa , no dexa de dar algún cnidado. Presburgo t8 de marzo. El geoeral príncipe Eugenio de Wurtemberg S. A. I. el archiduque Josef, palatino, ha con­ y el general conde Oruik han salido de Bucharest</t>
  </si>
  <si>
    <t>S, Fernanda</t>
  </si>
  <si>
    <t>Fernanda S</t>
  </si>
  <si>
    <t>isionero , y á quien recomienda particularmente , así como al teniente D. Juan Pover, á ios subtenientes D. José de la Fuente , D. Francis­ co Zapico,D. Fernanda S. Martin¿ D; Ricardo Canal, D. Francisca Riesgo, D. Jo é Boldrini y D. Alonso Pabon$ ai citado Fonsbdía, comandante de la caballería, ai sargento ele ia misma D. Jo…</t>
  </si>
  <si>
    <t>S, Fernando</t>
  </si>
  <si>
    <t>Fernando S</t>
  </si>
  <si>
    <t>omandante de la cjIu nna volan­ te del mis iíO reginremo D M gu IDiaz ViUabriUe , y de los ofic ales del mismo, capitán D Fe n n o Miranda , teniente D Fernando S. Mar­ tin y subí emente D Frar cisco Zapico. En el de S ero á su teniente co­ ronel D. ]acobo Melendreras, y aun no he r eibido el parte de los que deesre regimient…</t>
  </si>
  <si>
    <t>n Iqs estados el buen orden, Martínez. = D. Pedro Dabadie. = D. Juan Moriar« y hace respetar las leyes con que sop goberna- ti. = D. Joset Cabrera. = D. Fernando S. Miilan.= «dos. Sin este freno, los exércitos serian una pía- D. Antonio de Novna.nD'. Francisco G ocia. = *&gt;ga para .el estado qpe deben servir,, pues que D. Jose…</t>
  </si>
  <si>
    <t>S, Francisco</t>
  </si>
  <si>
    <t>Francisco S</t>
  </si>
  <si>
    <t>e; y en el batallón de infantería ligera de Gerona el em­ pleo áe sargento mayor al capitán del primero do Barcelona, gra­ duado de teniente coronel, D. Francisco S^rra, Buques que han recogido correspondencia en la administración de correos de Cádi% durante la semana finalizada en 21 del corriente. Para Alicante y todo Levan…</t>
  </si>
  <si>
    <t>S, Gerónimo</t>
  </si>
  <si>
    <t>Gerónimo S</t>
  </si>
  <si>
    <t>707</t>
  </si>
  <si>
    <t>Ez’a ; pero que retrocedió desde Ríoseco , sin que se sepa la cau­ sa de la marcha ni de la vuelta. — Ha caiáo en manos del coman­ dante de guerrilla D. Gerónimo S&amp;ornil, mas allá de Cantal a piedra, un edecán del general .Fouraier que iba á Valladolid comisionado por su general, con -su escolia de 20 caballos. — El educan y …</t>
  </si>
  <si>
    <t>S, Heorique</t>
  </si>
  <si>
    <t>Heorique S</t>
  </si>
  <si>
    <t>l muelle Napoleón, la qual El Sr. de la Pomersi......................................... 100 mezclaba sus vivas con los de los marineros y con El Sr. D. Heorique S irradie......................... 300 el estruendo de la artillería. La Excma. Sra. marquesa de Ariza............... 500 A las 6 S. M. la Emperatriz recibirá á los …</t>
  </si>
  <si>
    <t>S, Jasé</t>
  </si>
  <si>
    <t>Jasé S</t>
  </si>
  <si>
    <t>. Ciato.Eguimbái, y D. Fabián Mantilla; y subtenr notes á D. Juan'Psu*»!», D. J«&amp;é A ios'Ós , D. Pedro Lí/ó, D. Akonio Bereitgtier, D. «José- Cueva?, D. Jasé S&amp;rnpér, D. Aídolu» Forrar, D. Bjrnabó Vda, D. y ícen­ te N¿ñaz Cortes, O. Alfonso • C Jbach* * D. José QaFós López, D. JáL&amp;íi Pardo i D. Francisco López, D. Carlos Ls.i…</t>
  </si>
  <si>
    <t>S, Jorge</t>
  </si>
  <si>
    <t>Jorge S</t>
  </si>
  <si>
    <t>o ce León, infan­ tería de lí.iea, idem. D. Atanaslo Ximenez, caballería de Cacocrv, capitán. D. Juan Ncguen , agregado á guardias W¿lenas , íí.L.ií, D. Jorge S vrtol, tiradores de Cuenca, teniente. D. José Churracr., infantería de León , idetñ, D. Juan Maroto, primero de .Badajos, ídem. - D. Vicente S. Pedro, io fas feria de…</t>
  </si>
  <si>
    <t>S, Juré</t>
  </si>
  <si>
    <t>Juré S</t>
  </si>
  <si>
    <t>prisioneros , y el cr*pitan- del segundo batallón I), Joaquín dv Pa.b-bq que re r-í-'-stó con la mayor bizarría en la mas vivo dei ataque ; tam­ bién D Juré S.m-nuy García, paisano, nalural do este vev-ao, por la invención d? Ies mosquetes , les que por In segunda vez Inln he­ cho una operación excelente, matando en la primer…</t>
  </si>
  <si>
    <t>S, Kutuiow</t>
  </si>
  <si>
    <t>Kutuiow S</t>
  </si>
  <si>
    <t>concluyendo todos los prepa­ En no suplemento de la gazeta ministerial se rativos preliminares, y se espera en Presburgo á ha insertado un parte del general en gefe Kutuiow S. A. I. el archiduque Palatino. sobre la última batalla contra los torcos. Dice en Todo el mundo desea con Ja mayor Impacien­ substancia: cia ver quales …</t>
  </si>
  <si>
    <t>S, Manatí</t>
  </si>
  <si>
    <t>Manatí S</t>
  </si>
  <si>
    <t>rio y otro é la izquierda, de*er»»hé pasaren hada Tas viñas les capitanes D. M gu*l Alvarcz y D. A exo Mor? no con 70 ca­ ballos , y el de infauterii D. Manatí S villano con SO ii.fa-A s , co­ locándose en ellas con el objeto ds estar en expectación de ios raeviiriientos que hiciesen los enemigos da la plaza; y al mismo tiemp…</t>
  </si>
  <si>
    <t>S, Manuel García</t>
  </si>
  <si>
    <t>Manuel García S</t>
  </si>
  <si>
    <t>allón. D. Felipe Gutiérrez de Qaevedo. D. Agustín Tavira, ayudante segundo, á ca­ Subtenientes. pitán de la séptima comoañía. D. Juan Josef de Ulloa. D. Manuel García S¿nz, sargento primero, á D. Josef de Loque Beltran. subteniente de la quinra compañía. D. Francisco de P iula deVárga*. D. Ramón García Casrriiloo, sargento pr…</t>
  </si>
  <si>
    <t>S, Mariano</t>
  </si>
  <si>
    <t>Mariano S</t>
  </si>
  <si>
    <t>ificaciones del tesoro público............. j 79 á f Oro español contra plata........ ...................j ij á | la octava compañía, en reémplazo de D. Mariano S. Juan. TBATSCS. D. Donato Nuñez, sargento primero, A sub­ En el del Príncipe, á las ocho de la noche, se rtteniente de lá quarta compañía , en ia vacante de present…</t>
  </si>
  <si>
    <t>S, Miguel</t>
  </si>
  <si>
    <t>Miguel S</t>
  </si>
  <si>
    <t>¡capitanes D Séb^sf an de S. Juan, »D Blas Manuel Te-ue? , p. ‘José "María Dana , ‘D. Vicente Sánchez, D. Joaqui« d i la G qz , D Raf el dél-Barrio , D. Miguel S.mtillana y D. Ignacio O ovas: á capitanes á los tenientes D Juan Manuel Carmen/, D José Montes y Fíores, D. Pedro Bringas , D. José A*uirfe, ’D José Segoyia j D Bart…</t>
  </si>
  <si>
    <t>S, S A</t>
  </si>
  <si>
    <t>S A S</t>
  </si>
  <si>
    <t>ciudad , que fue tanto tiempo rival de Roma, en Civita Gordiana, y Parir 19 de mayo. otros en la isla F^rnesio. La ¡otcrip.ion hallada Parte remitfdo d S A S. el príncipe de Neufdía­ por el tabio Monseñor Alexandro Viscooti favo­ te! por el príncipe de Esstlng. Y recía al parecer esta última conjetura, la qnal ba sido desunid…</t>
  </si>
  <si>
    <t>S, Va</t>
  </si>
  <si>
    <t>Va S</t>
  </si>
  <si>
    <t>unicipalidad, y los jaeces indi­ Españará D. Josef María Murga , D Josef María viduos de la jnnta criminal. Yandiola, D. Trifon M¿ría de Echevartía , D. Va­ S. M. recibió después en su real cámara á to­ lentín María de Echevarri, D. Alexandro Burgué, das las autoridades expresadas, y otras personas D. Diego Arrióla , D. Josef…</t>
  </si>
  <si>
    <t>S, Vicente</t>
  </si>
  <si>
    <t>Vicente S</t>
  </si>
  <si>
    <t>íí.L.ií, D. Jorge S vrtol, tiradores de Cuenca, teniente. D. José Churracr., infantería de León , idetñ, D. Juan Maroto, primero de .Badajos, ídem. - D. Vicente S. Pedro, io fas feria de T.obera , í-Enn. D. Pedro A!varez , ir.fanfnín. drl Príncipe, ídem. T). 3 aan Vare*a , primóse ¡fe Sevilla, subí v'iefee. D. Tomas Galarraga…</t>
  </si>
  <si>
    <t>S-ibiiack, SiuaDa</t>
  </si>
  <si>
    <t>SiuaDa S-ibiiack</t>
  </si>
  <si>
    <t>m. T). 3 aan Vare*a , primóse ¡fe Sevilla, subí v'iefee. D. Tomas Galarraga, de Caofabría, i fue. Don José Aguib? , bifai'tcríc-, de "Libara , ideroc D. SiuaDa S-ibiiack, primero de ñu&gt;'ce*G.^á , Ídem. 1). Juc.-ato M? runda , i-danteDa d- Lo bera, ierre. U. José VareY, Ufen* , idem. D. J.fev O bregón , fe-rgo11 es de $agtiifí…</t>
  </si>
  <si>
    <t>Sa'S</t>
  </si>
  <si>
    <t>o los caprichos de un momento á la ¿nodación po de t^9 hombres , q le tiene pue to el sitio ha- duradera de la industria interior. xo las oíd nes del general Sa'S á la plaza de Wid- ,, En el corso ordinario del comercio el pre­ di¡». El ivérci’o del gran ris’r no se ha movido de cio de las mercancías se fixa con arreglo á la …</t>
  </si>
  <si>
    <t>Sa, Basilio y D Josef</t>
  </si>
  <si>
    <t>Basilio y D Josef Sa</t>
  </si>
  <si>
    <t>or........... ................. 66 18 ponda. El Sr. D. Mauricio Agnsrn.................... 80 art. iv. Los provistos entrarán al goce de sn Los Sres. D. Basilio y D Josef Sa.ccsueldo desde el dia que se presenten en su destino. do y Xaramillo mensúalmente....... . 500 art. v. Los capellanes del exército y armada, El señor mar…</t>
  </si>
  <si>
    <t>Sa, Josef Napoleón</t>
  </si>
  <si>
    <t>Josef Napoleón Sa</t>
  </si>
  <si>
    <t>O. Vitoria 30 de junio. Habiendo fallecido en esta corte á principios de se­ tiembre de 1810 D. Rafael Mariano de León, secreta­ El REI nuestro Señor D. Josef Napoleón Sa­ rio y catedrático que fue del real colegio de farmacia lió de Bayona el 27 de este mes , y ha llegado i déla misma, sin haber hecho disposición testamenta­…</t>
  </si>
  <si>
    <t>Saavedra, Angel</t>
  </si>
  <si>
    <t>Angel Saavedra</t>
  </si>
  <si>
    <t>eniente coronel, D. Ventura Mena, D. Antonio Puig, graduado de teniente coronel, y Marques de Villacampo; y los de ayudantes segundos á los capitanes D. Angel Saavedra, D. Diego Guillen Buzaran, graduado de teniente coronel, D. José Ezeta y D. Manuel Muñoz. m ----------—---------- L± — ----------------- ---- -----------------…</t>
  </si>
  <si>
    <t>Saavedra, Joief</t>
  </si>
  <si>
    <t>Joief Saavedra</t>
  </si>
  <si>
    <t>rriente se celebró la apertura de la real academia de Ingenieros, creada por S. M. Subtenientes, cu esta capital eu virtud del decreto de 28 de agüi­ D. Joief Saavedra. to último. Presidió este acto el gefe superior Don D. Josef Gallardo. Juan María de Retz, mayor coronel, cabañero de D. Gabriel Priego. la Orden Real de Españ…</t>
  </si>
  <si>
    <t>Saavedra, Juan Arias</t>
  </si>
  <si>
    <t>Juan Arias Saavedra</t>
  </si>
  <si>
    <t>hechos. Su patria no está en pe­ regimiento 4.* de cazadores á caballo D. Francisco ligro, como dice ; él no la tiene: por su parte la ha sa­ Muñoz y D. Juan Arias Saavedra, tenientes, á ca­ crificado : nada le queda ya que perder; y su seguridad pitanes. D. Sextus Rolland, teniente del regimien­ en la isla le inspira un valo…</t>
  </si>
  <si>
    <t>Sabad, Gavino</t>
  </si>
  <si>
    <t>Gavino Sabad</t>
  </si>
  <si>
    <t>1348 Concluyen los donativos patrióticos de la isla de Puertorico. D. Miguel Revira, 160 pesos. D. Gavino Sabad , 43 y 4. D. Gaspar Viví, 100, Varios vecinos del partido de Bayamon, 4S4 y 1. El licenciado D. José de Eib ra, 200. Juan de la Trinidad Moreno, 4. D. Manuel María Caro, 800 Varios vecinos d</t>
  </si>
  <si>
    <t>Sabiñon, Antonio</t>
  </si>
  <si>
    <t>Antonio Sabiñon</t>
  </si>
  <si>
    <t>mi vida y de las vues­ presentará por la compañía española la tragedia de tras, de vuestra patria y de vuestros hogares.” Este Alfieri, traducida por D. Antonio Sabiñon , en cinco es el verdadero espíritu del decreto de S. M.; y su con­ actos titulada Polinice, ó los hijos de Edipo , en la que ducta en todas las capitales don…</t>
  </si>
  <si>
    <t>a razón qoe nos preciamos presentará por la compañía española la tragedia de segu r, si permitimos que los apóstoles del error Alfieri, traducida por D. Antonio Sabiñon , en cinco seduzcan su candidez, y abusen impunemente de actos titulada Polinice, ó los hijos de Edipo, en la que se presentará la señora Rosario (j-arcta , y…</t>
  </si>
  <si>
    <t>Sabugo, Fernaudo</t>
  </si>
  <si>
    <t>Fernaudo Sabugo</t>
  </si>
  <si>
    <t>co. Al capital de la contribución de puertas y ven­ D. Martin de Astoreca, D. Lorenzo de la Torre, tanas se añadirá 10 céntimas para gastos de recau­ D. Fernaudo Sabugo, D. Pedro Larralde, D. To­ dación. mas Martin, D. Pascual Zamora y D. Agustín Las patentes se expedirán en les mismos tér­ Toribio González. minos que en Fran…</t>
  </si>
  <si>
    <t>Sabugo, Santos</t>
  </si>
  <si>
    <t>Santos Sabugo</t>
  </si>
  <si>
    <t>que déspucs da hecha D. Peregrino Lepe. la debida comprobación de su legitimidad por lis­ Subtenientes, tas y demás pormenores de su procedencia , su D. Santos Sabugo. expedirá á favor del tesoro público la correspon­ D. Diego Pimentel. diente carta de pago de lo recibido por mano de! Para ayudante D. Josef Caro. interesado, …</t>
  </si>
  <si>
    <t>Sacco</t>
  </si>
  <si>
    <t>da que su jas aust.iacas acantonadas en la Traosilv,nia, en el precio no baxa de 16 á 18 sueldos. P.ani ato, en la Sumía, en la Esclavouia y en la El doctor Sacco , que el año pasado hizo varios Croacia. ensayos para sacar azúcar de las remolachas , ba</t>
  </si>
  <si>
    <t>Sacrimn, Miguel García</t>
  </si>
  <si>
    <t>Miguel García Sacrimn</t>
  </si>
  <si>
    <t>ñor su instalación el exce- Martorell. r= D. Ra morí García del Postigo. = Don lentímo señor D. Gonzalo O-Farril,,ministro de la Carlos T’Serclaes. = D. Miguel García Sacrimn.= Guerra y capitán general de los reales exércitos, D. Francisco Meruendano. z= D. Tomas de Ara­ pronunciando el discurso.siguiente: gón. = D. Pedro Gd …</t>
  </si>
  <si>
    <t>Sacristán, Pedro</t>
  </si>
  <si>
    <t>Pedro Sacristán</t>
  </si>
  <si>
    <t>los de la segunda D. Luis Lemmi que los de la primera, se seguirla indagar quales D. Ventura Saín. ion las causas de esta diferencia respecto de lai D. Pedro Sacristán. otras naciones. Puede ser que se hallase la raiz del Tenientes. mal en los vicios de nuestra educación; y ¿ quién D. Miguel de FrLs. sabe si á fuerza de medit…</t>
  </si>
  <si>
    <t>Sacz, Jolian González</t>
  </si>
  <si>
    <t>Jolian González Sacz</t>
  </si>
  <si>
    <t>. »" 'Quinto* batallón. ^ de h presión del agua ó de la atmósfera, empleada co­ D. Jolian González Sacz, icniente» á capitán mo motor; en el tomo xai de los Anales de artes y manufacturas, de Mr. Ctrailli, en donde se describe la: de Ja tercera compañía. . ' ’ máquina de Schcmnitz según Jars;</t>
  </si>
  <si>
    <t>Sacz, Tomas</t>
  </si>
  <si>
    <t>Tomas Sacz</t>
  </si>
  <si>
    <t>ínez, D. F ancisco Lahoz y D. Buenaventura Macia ; ios de ayudante á D. Francisco Lacón y D. Andrés Linda; los de capitán segundo ¿ D. Rafael OJeriz, D. Tomas Sacz, D. Juan Dañoso, D. Pedro Pascual Casales, D. Romualdo Cortazar y D. José Alguacil Car­ rasco; los de teniente á D. Ramón Herveila, D. José de las Hera?, D. AN’xan…</t>
  </si>
  <si>
    <t>Saenz, Antonio</t>
  </si>
  <si>
    <t>Antonio Saenz</t>
  </si>
  <si>
    <t>cía, 100. La tropa, 504. — Séptima id. Alférez D. Miguel Alanis , 50. La tropa , 490.— Octava id. Capitán D. Juan Martin de Echavarria, 200. Teniente D. Antonio Saenz, 100. Alférez Don José Bernardino Montero, 50. La tropa, 494. —-Compañía de la T*U2iía de Lampazos. El capellán D.. Cipriano Garza, 50. La tropa, 491. — JScxar.…</t>
  </si>
  <si>
    <t>Saenz, Ignacio García</t>
  </si>
  <si>
    <t>Ignacio García Saenz</t>
  </si>
  <si>
    <t>llas de oro que produxeron 4527 ps. y 1 y cuarto rs. D. Jacobo de Villaurrulia , varias piezas de la misma .clase que importaron 230 y 4 y cuarto rs. D. Ignacio García Saenz , 500. D. Juan Cervantes Padilla , 400Ó. La archicofradia del-Sino. Sacramento de la Sta. iglesia de México , 8000. D. h rano ¡seo Xavier Borbovi , 500. …</t>
  </si>
  <si>
    <t>Saenz, Julián</t>
  </si>
  <si>
    <t>Julián Saenz</t>
  </si>
  <si>
    <t>cuchillo mismo con que hizo la muerte, y un letrero que anuució D- Antonio Molina, subteniente, á abanderado. al público su delito. Quarto batallón. D. Julián Saenz, subteniente, á teniente de la PLAZA DE MADRID. BOLSA. sexta compañía. DIA '30 DI ACOSTO DB l 81 I . D. Gregorio García, subteniente, á teniente de la tercera com…</t>
  </si>
  <si>
    <t>Saez, Jo García</t>
  </si>
  <si>
    <t>Jo García Saez</t>
  </si>
  <si>
    <t>D, Ma­ nuel Dorado, D. Francisco Colmenero, D. Juan B anco, D.. Miguel Albert, D. Antonio José Ranee, í). Joaquín Mateos, D Luis Ma­ riano Espinosa, D. Jo3¿ García Saez, D. Bernardo González'y D. Ramón Luciano de Villamaríin; y cu el dei segundo de Soria, ayudantía á D. Andrés Aguirre; tenencias á D. Vicente Olmos, Don Franci…</t>
  </si>
  <si>
    <t>Saez, Julián González</t>
  </si>
  <si>
    <t>Julián González Saez</t>
  </si>
  <si>
    <t>REI de las D. Pedro Meruendano........ 5 53°-- 4 Españas y de las Indias. D. Josef Clemente de Luxá. 672 0 Vistas las consultas de la comisión de li­ D. Julián González Saez..... 400 quidación de la deuda del Estado; lo expues­ Los señores Albert é hijos.... 400 to por nuestro ministro de Hacienda, y oido D. Francisco del Bar…</t>
  </si>
  <si>
    <t>Saez, Rafael</t>
  </si>
  <si>
    <t>Rafael Saez</t>
  </si>
  <si>
    <t>r y una resignación, cuyo to de infantería Real Irlandés , á teniente de caba­ desempeño encarga en todo caso, con un mar por me­ llería de línea ; y D. Rafael Saez, teniente del re­ dio , á su gobierno y á los alucinados por ¿1. gimiento de Sevilla, 3.0 de infantería de línea, á primer teniente de la primera compañía de Zapa…</t>
  </si>
  <si>
    <t>Sagarraga, Antonio García y IX José</t>
  </si>
  <si>
    <t>Antonio García y IX José Sagarraga</t>
  </si>
  <si>
    <t>09: El ?vl. E. arzobispo, 30000. E! cabildo, 2.Ü-000. 131 coro­ nel D. Pedro Ace verlo , 300. El mariscal de Castilla , 4000. .1). -Antonio Pi­ nero, D. Antonio García y IX José Sagarraga, 25000. El conde de Iícgla, 4000. D. Eustaquio de la Cuesta y I). Angel su hermano , (1)0. El oidor JX Manuel do Campo y Iiivas , 400, II. …</t>
  </si>
  <si>
    <t>Ságrera, Joaquín</t>
  </si>
  <si>
    <t>Joaquín Ságrera</t>
  </si>
  <si>
    <t>desempeñaba esta «omisión con todos los requisitos y autorizaciones-necesarias. Sucesivamente ha sido hecho prisionero otro comandarte de guerrillas, D. Joaquín Ságrera, y rae consta,.que para conservar cu vida ha tenido que recurrir á-g&amp;ranik» y todo género-de- seguridades de parte de sus parientes. Y por ú’ttm©, que sin el …</t>
  </si>
  <si>
    <t>Sai, Manuel</t>
  </si>
  <si>
    <t>Manuel Sai</t>
  </si>
  <si>
    <t>ia­ no Mediano, tenencias á D. Pedro Guerrero, B. Juan Mercado, D. Fernando 'Tostado,' D. Miguel Bravo , B. Fraucise© Bolaño?. D. Valentín Navarro, y D. Manuel Sai? Roznan: y subtenencias á D. Disgaio Hernández, D. Pedro de la Riva, 0. Pedro da Torres, D. A to ni©. Castellanos ,' D. Frustiso Pansa, B. Jasé María Ptrvz, 1). Jo…</t>
  </si>
  <si>
    <t>Saiasere, Juan Bíutista</t>
  </si>
  <si>
    <t>Juan Bíutista Saiasere</t>
  </si>
  <si>
    <t>Benito de la Mata Linares, calle culo, porque es bastante obvio lo qne hai en él de ■ de Bordadores. cierto ó exagerado. (Diario mercantil del 2_p.) D. Juan Bíutista Saiasere, calle de Atocha , casa de Portago. León _9 de noviembre. Sr. D. Ignacio Lozuriaga, carrera de S. Geró­ nimo. Por carta del general cu gef« del exército…</t>
  </si>
  <si>
    <t>Saín, Ventura</t>
  </si>
  <si>
    <t>Ventura Saín</t>
  </si>
  <si>
    <t>s. Sí eotnr.ces llegase á Capitanes. descubrirse que son muchos mas los de la segunda D. Luis Lemmi que los de la primera, se seguirla indagar quales D. Ventura Saín. ion las causas de esta diferencia respecto de lai D. Pedro Sacristán. otras naciones. Puede ser que se hallase la raiz del Tenientes. mal en los vicios de nuest…</t>
  </si>
  <si>
    <t>Sainsere, Juan Bautista</t>
  </si>
  <si>
    <t>Juan Bautista Sainsere</t>
  </si>
  <si>
    <t>............................ 50 cibió á las principales autoridades del departa­ El Si. D. Juan Deslande........................... 200 mento. El Sr. D. Juan Bautista Sainsere.......................... 200 Por la noche hubo una hermosa iluminación, y E. Sr. D. Eduardo de Cuatreras................... ico en el teatro se exerur…</t>
  </si>
  <si>
    <t>Sainsere, Pedro</t>
  </si>
  <si>
    <t>Pedro Sainsere</t>
  </si>
  <si>
    <t>sarlos; y el comercio tiene presente el res, á D. Gregorio Alario , cura párroco de S. Jus­ acta de navegación de los ingleses, t.iti favorable to, á D. Pedro Sainsere , á D. Ignacio Luzmiaga, 4 sus iutereses mercantiles , como distante del de y á D. Juan Bautista Paroiste. los demás pueblos. E¡ nombre de los americanos se ar…</t>
  </si>
  <si>
    <t>Saint-Genies</t>
  </si>
  <si>
    <t>as que tomase á Taraocon. el mando de las tropas que el Empecinado habia El señor general Lahoossaye hace los mayo­ organizado. res elogios del señor coronel Saint-Genies, co­ El marques de Ziyas llegó 5 Sigiienza á prin­ mandante del regimiento I9.°de dragones, el qual cipios de este mes, y prometió que en el término ha mani…</t>
  </si>
  <si>
    <t>Sainz, Francisco Gircía</t>
  </si>
  <si>
    <t>Francisco Gircía Sainz</t>
  </si>
  <si>
    <t>611 Oficio. “Exorno. Sr.: D. Francisco Gircía Sainz, diputado de esta junta cerca del Gobierno supremo, le comunica con fechas 7 y 12 de marzo próximo, copias de los reales decretos por medio de los que S. A. se ha dig a a Jo apreciar y acce</t>
  </si>
  <si>
    <t>Saiz, Cayetano</t>
  </si>
  <si>
    <t>Cayetano Saiz</t>
  </si>
  <si>
    <t>id., residente en Vi- por las cantidades que individualmente se les designan. ÍD Harubia, por................................................... 2200 D. Cayetano Saiz, ex-franciscano , red- Rea e ve • Francisco Xavier Muñoz , id. , por...... 2 200 1) • Manuel Galiana, id. , residente en dente en Valdemoro, por................…</t>
  </si>
  <si>
    <t>Saken</t>
  </si>
  <si>
    <t>erdonado enteramente sos faltas, te ba retira* haciendas de Livonia. El príncipe de Gortschekoíf do del servicio m¡litar,y le ba nombrado conte» y el general Saken, como también el general Dokjero de Estado. torlf, tienen gobiernos en lo interior. La muerto Ei rice-almirante Pusroichklin, comandante de ha arrebatado al'genera…</t>
  </si>
  <si>
    <t>Sal</t>
  </si>
  <si>
    <t>la que ha manifes­ ál señor gobiernádor general de las provincias de tado la excelencia y dignidad de las ciencias y deCórdoba y Jaén , que el señor comandante Sal­ las artes; el honor qoe merecen los que las culti­ món al frente de una coluna de infantería y de ca­ van y profesan; el origen, las causas y épocas dis­ ballería…</t>
  </si>
  <si>
    <t>Sal, Francisco de Paula Martines</t>
  </si>
  <si>
    <t>Francisco de Paula Martines Sal</t>
  </si>
  <si>
    <t>, y su tertuliá, 8600 , y 12 ca­ misas. D. Manuel Sauturio García Sala, 160. El patriota J. C. , 1420 y una ISO y 17 tnrs. Otro patriota J. C., 782. D. Francisco de Paula Martines Sal­ cedo , 60V'D. Valerio Cortijo, en 4 resguardos de intereses de vales, 1444 jr 2 pistolas. D. Diego García Pinto y D. Felipe de los Meros , 400…</t>
  </si>
  <si>
    <t>Sal, José</t>
  </si>
  <si>
    <t>José Sal</t>
  </si>
  <si>
    <t>lectos para presidente el señor obispo prior de S. Marco* de Leo*, diputado propietario por la provincia de Extremadura ; para vice-presidente el Sr. D. José Sal­ vador López dei Pan , diputado propietario por la ciudad de la Co* ruña ; y para secretario el Sr. D. José Gatierrer de Teran , diputado suplente por el rey no de N…</t>
  </si>
  <si>
    <t>Sal, Manovers</t>
  </si>
  <si>
    <t>Manovers Sal</t>
  </si>
  <si>
    <t>W ellirgton.’' ,, Asi pues cada comunión debe sufragar por sí so­ Del 2 8. la los gastos del culto que profesa, y baxo ningún Ha llegado de Lisboa el capitán Manovers Sal­ pretexto debe exigir que las otras contribuyan pa­ tón, qoe salió de aquella ciudad el iy, y á aque­ ra este objeto. lla época no babia sucedido cesa de im…</t>
  </si>
  <si>
    <t>Sal, Tomas</t>
  </si>
  <si>
    <t>Tomas Sal</t>
  </si>
  <si>
    <t>encias á D. Juan de la Fuente, Don José Psreyra, D. Antonio T«rrer, D. Francisco Corrales, D. Fiancisco Lomban y á D, Antonio Pravía : subtenencias á D. Tomas Sal­ cedo, D. Ignacio Pinedo, D. Ignacio Chamuia, D, José Rahamonde,' D. Mariano Cadles, D. José María' Montero, D. Tomas de Castro y D. Baltasar Peusan; subtenencias d…</t>
  </si>
  <si>
    <t>Sala, Don Miguel</t>
  </si>
  <si>
    <t>Don Miguel Sala</t>
  </si>
  <si>
    <t>ha obligado á su comandante á poner bandera blamca. —Para impedir las tentativa? del- enemigo, y ace­ lerar la rendición del fuerte'^ dispuse que el teniente coronel Don Miguel Sala con 35 soldados pasase á la isla del -dicho fuerte, quien le quitó al momento su comunicación ¿ con la cisterna, ha­ ciendo desde el pie mismo de…</t>
  </si>
  <si>
    <t>Sala, Félix</t>
  </si>
  <si>
    <t>Félix Sala</t>
  </si>
  <si>
    <t>n el batallón de tiradores de Castilla Á D. Cristóbal Enco­ var, capitán del de voluntarios de Navarra; en el segundo de vo­ luntarios de Cataluña, á D. Félix Sala, capitán del mismo cuerpo; en eí regimiento de infantería Me Mallorca, á D. Juan Manuel de Lago, capitán del de Zamora; en el referido de Truxiilo, á D. Jo­ sé d« …</t>
  </si>
  <si>
    <t>Sala, Manuel Sauturio García</t>
  </si>
  <si>
    <t>Manuel Sauturio García Sala</t>
  </si>
  <si>
    <t>5212 Amonio Vivanco , 1000. D. Victoriano Pajares , y su tertuliá, 8600 , y 12 ca­ misas. D. Manuel Sauturio García Sala, 160. El patriota J. C. , 1420 y una ISO y 17 tnrs. Otro patriota J. C., 782. D. Francisco de Paula Martines Sal­ cedo , 60V'D. Valerio Cortijo, en 4 resguardos de intereses de vales, 1444</t>
  </si>
  <si>
    <t>Salado, Sebastian</t>
  </si>
  <si>
    <t>Sebastian Salado</t>
  </si>
  <si>
    <t>D. Antonio Nieto, D. Franc'seo Or iuda? D.-Francisco de Ibarra, D. Manuel Caba­ llero, D Juan Magollo D. José D:az y D P^dro Peynador; subtenenc as á D. Sebastian Salado, D: Felipe Treus,D Santos San­ martín, D. José Mosco30, D. José Ruiz Rodríguez , D. Fidel GaÍoso, D. Francisco Bnrmudez, D. Angel Fraile, D. Juan AlJaraira, …</t>
  </si>
  <si>
    <t>Salafranca, Justo</t>
  </si>
  <si>
    <t>Justo Salafranca</t>
  </si>
  <si>
    <t>uardias Walonas ha conferido el Con­ sejo de Regencia empleo de segundo teniente de granaderos ai de fu­ sileros D. Pedro Moreli; ídem de cazadores á D. Justo Salafranca, te­ niente de fragata de la real armada, idem de fusilaros á D. Joaquín Morales, D. Benito Llinas, D. Eduardo de Silva, D. José Clemente de Buerens y D. Ant…</t>
  </si>
  <si>
    <t>Sálal, Primo</t>
  </si>
  <si>
    <t>Primo Sálal</t>
  </si>
  <si>
    <t>314</t>
  </si>
  <si>
    <t>eremos aqpí Los principales sucesos de esta clase -de guerra tan temible:á nuestros opresores, ocurridos en estosmitirnos nresis. ' ' ■ ^ , Noticioso D. Primo Sálal, ccrntandáníe del punto de Llorá en las inmediaciones de Gerona, de qúe los enemigos se hallaban desea uhdcs y sin guardhs ei las calles de Sania, Puente mayor , …</t>
  </si>
  <si>
    <t>Salamanca, Ventura</t>
  </si>
  <si>
    <t>Ventura Salamanca</t>
  </si>
  <si>
    <t>irmado= YO EL REÍ.t^Por S. M., el minis» arj* 11. Nombramos para comandante de este ba­ tro secretario de Estado =: Firmados Mariano Luis de tallón á D. Ventura Salamanca, y para ayudante á Don Urquijo." Josef Salanova. ari. in. Asimismo quedan nombrados para capita­ nes y oficiales de las quatro compañías de este batallón Co…</t>
  </si>
  <si>
    <t>SalameT, Vicenta</t>
  </si>
  <si>
    <t>Vicenta SalameT</t>
  </si>
  <si>
    <t>.- Francisco Migue!, D. Joaquín Pu%moItó. Don Diego Villeslada, ©. Pedro Rico, D. Rafael Quero], D. José Ro­ chan©, D. F'rancia co Bermudez de Cañas, D. Vicenta SalameT#, D. Rafees González , D. Joaquín ds Bedoya, D. José Ribslles , Don Pedro Franco j D. Vicente Marín. En el batallón de voluntarios de Camponrayor ha conferido…</t>
  </si>
  <si>
    <t>Salat</t>
  </si>
  <si>
    <t>r lo mismo han mmi-' festado la mayor álég«U en el momento de la io--’ Landshut 17 de enero. . . ma de posesión, y han prestad » eoo la mayor sa-: El doctor Salat, consejero eclesiástico, y profe­ tisfaccion el juramento de fidelidtd y homenage á sor de filosofía en esta universidad, ha recibido de su nuevo Soberano.S. A. R. …</t>
  </si>
  <si>
    <t>Salaz, Francisco</t>
  </si>
  <si>
    <t>Francisco Salaz</t>
  </si>
  <si>
    <t>de que Sudiet tendría al fio que Cí£a3 *u te r de su empresa y levantar el sitió. E¡ 22 de enero se hizo á la vela desde el puerto del C dlao el Sr. D. Francisco Salaz&amp;r,- capitán del real de Finia, diputado electo por aquella ciudad para las O5:les generales y extraordinarias del rey no. Su viage era en derechura á Rio-Janey…</t>
  </si>
  <si>
    <t>Salazar, Francisco</t>
  </si>
  <si>
    <t>Francisco Salazar</t>
  </si>
  <si>
    <t>de 3 muertos y ün herid®. Al amanecer del día 29, el cama??danta de la infantería de PilaC! CSWUO ucí «nw jjntiava hb?¿?s coa el cabo que la mandaba. D. Francisco Salazar, comandante d* .guerrilla, tuvo el l.° da setiembre una reírtela en la cEíieísrA de Monasterio con loO tranceges de infantería y 30 dr^goacs, que esc©'taban…</t>
  </si>
  <si>
    <t>Salazar, Ignacio</t>
  </si>
  <si>
    <t>Ignacio Salazar</t>
  </si>
  <si>
    <t>utañs, 40 D. Tomas Casado , 20. D. José .María I’aniagua, 20. D. Loren o Ci-neros y Toledo , 0‘*&gt;. D. Nicolás Hernández, 60. X). Agustín Maestre, 40; D. Ignacio Salazar , i60. D. Aivrel José Soveron, 50). D 'Carlos Gira1 Jo, 60. D. Nlcoas de Castro , 40. D. Francisco de los .Santos, 20. D. Ramón Carbalteda, 80. D. Juan Miguel…</t>
  </si>
  <si>
    <t>Salazar, José</t>
  </si>
  <si>
    <t>José Salazar</t>
  </si>
  <si>
    <t>el 5 del cor­ riente, y que el 10 estaba en V&amp;lladolid. ARTICULO DE OFICIO. El brigadier de la real armada y comandaste del apostadero de Montevideo, D. José Salazar, ha remitido al rainMerio de marina, el parte dado por ei Capitán de fragata D. Jacinto Romarate, coman­ dante de tma división de nuestras fuerzas marítimas cu e…</t>
  </si>
  <si>
    <t>Salazar, Leandro</t>
  </si>
  <si>
    <t>Leandro Salazar</t>
  </si>
  <si>
    <t>gnacio Ramírez, 10. 1). Urbano Ibarra , 10. Va­ rios individuos, 84 y 5 rs. — S. Xavier de Cabaza'n. D. Francisco Barreda, 12. D. Ramón Imperial, 10. D. Leandro Salazar , 10. Marcelo Porras , 10. Don Juan Landeta, 12. I). Antonio Bastida y D. Xavier Benitez , 11. D. Narciso Picos y D. Ramón Barraza , 12. D. José Angulo y D. J…</t>
  </si>
  <si>
    <t>Salcedo, Don Manuel</t>
  </si>
  <si>
    <t>Don Manuel Salcedo</t>
  </si>
  <si>
    <t>á V. S. qué á la partida lleva­ da por el comandante Elizondo, la reforcé con otras dos al cargo del capitán retirado D. Pedro N olasco Carrasco , y teniente coronel Don Manuel Salcedo, quienes aunque no llegaron i las horas de* la acción, fueron de suma utilidad para custodiar aquella noche los reos,</t>
  </si>
  <si>
    <t>Salcedo, Juan</t>
  </si>
  <si>
    <t>Juan Salcedo</t>
  </si>
  <si>
    <t>iento de reales guardias Españolas ha conferido el Con­ sejo de Regencia compañías de cazadores á los capitanes de fusile­ ros D. Francisco Utaiiz, y D. Juan Salcedo : compañías de fusile­ ros a los primeros tenientes D. Pedro Perez de Tagle, y D. Ignacio TJLiceta . y al primer ayudante mayor D. Pedro Agustín Roncaii: pri­ me…</t>
  </si>
  <si>
    <t>Salcedo, Manuel</t>
  </si>
  <si>
    <t>Manuel Salcedo</t>
  </si>
  <si>
    <t>lausibles noticias que'en oficios de 25 del cornéate dirigidos ¿ la villa de Móacíova y fírma los por lo¿ señores g &gt;bemadores I); Simón de Herrera y D. Manuel Salcedo , con Ies domas vocales de que se compone la jauta de seguridad dé dicha vi­ lla , c rníiene las que copio. “ Ea muy coi veniente me facilite Y. 500 hombres pa…</t>
  </si>
  <si>
    <t>Saldivar, Sebastian</t>
  </si>
  <si>
    <t>Sebastian Saldivar</t>
  </si>
  <si>
    <t>oficial mayor de la contaduría D. Francisco Ducar, 20. El fiel de reales Almacenes I)on Pedro Obarrio , 100. El fiel de la real fábrica, de cigarros D. Sebastian Saldivar, 20, Varios vecinos por mano de D. Silvestre Ramos, 206. D. Anto­ nio Maraver , 1251. Entregado por mano de un sacerdote en oro en pol­ vo y pelota, 372. El…</t>
  </si>
  <si>
    <t>Salgado, Antonio</t>
  </si>
  <si>
    <t>Antonio Salgado</t>
  </si>
  <si>
    <t>an Rodríguez, D. Alfonso. Tercero, D. Tomas Manzanar-?, D. Jocó Yszquez Rdova, D. Juan Amar, D. Francisco García, Dan Mu» tía Arrute ? D Juan García, D. Antonio Salgado. D. Pascual Be caria, v ÍJ. José Y^zquez Yarela; subtenencias á D. Manuel de los Ríos, D. Pío Tona, D. Juan Medrana, D. Cristóbal Sánchez, D. Pssdro Alvares:,…</t>
  </si>
  <si>
    <t>Salgado, Francisco</t>
  </si>
  <si>
    <t>Francisco Salgado</t>
  </si>
  <si>
    <t>.................. 2200 por.................................................................... 3200 D. Simón López, id., residente en id. , por 2200 D. Francisco Salgado, ex-agonizante, re­ D. SUverio Ramos, id., residente en la sidente en esta corte, por.......................... 2200 Solana, por............................…</t>
  </si>
  <si>
    <t>Salgado, Mariano</t>
  </si>
  <si>
    <t>Mariano Salgado</t>
  </si>
  <si>
    <t>D. Miguel de Barcia. toda la Europa. El viage di Mr. 1-abouchere es D. Francisco de Paula Valvero. re a ivo a sus negocios personales, y no puede in­ D. Mariano Salgado. fluir en uada en las transacciones de comercio. D Josef Sánchez G ilan. D. N icoias Acar. ESPAÑA. D. J sef Cobos. Madrid^o de marzo. art. iii. Eu a ciudad de…</t>
  </si>
  <si>
    <t>Salgado, Vicenta</t>
  </si>
  <si>
    <t>Vicenta Salgado</t>
  </si>
  <si>
    <t>ría plana, D. Nicolás Fernandez y D. Francisco Prftbsn; en geometría elemen­ tal y trigonometría plana, D Francisco Aldao; en geometría elemen­ tal , D. Vicenta Salgado; y en geografía y navegación, D. Eustaquio Noriega y D. Pedro Martin? z; habiendo merecido la aplicación de todos y sus adelantamientos en las materias sobre …</t>
  </si>
  <si>
    <t>Salinas, Gregorio Domínguez</t>
  </si>
  <si>
    <t>Gregorio Domínguez Salinas</t>
  </si>
  <si>
    <t>........ ....... 2017.. 8£ la Mota..................................................... 2340 D. Pablo Martin Ballesteros................... 2617.. 8f D. Gregorio Domínguez Salinas, como D. F rancisco Galarza, hijo y compañía. 2707..17 marido de Doña María de los Ange­ D. Felipe Sanz.................................. ........ …</t>
  </si>
  <si>
    <t>Salinas, José</t>
  </si>
  <si>
    <t>José Salinas</t>
  </si>
  <si>
    <t>erto Monge , 39. B. Agustin Reguera, 27S. D. José Martos, 1S6. D. Dionisio José Sanche# , 600. D. Juan Rodríguez Sánchez , 272. D. José Climen , 132. D. José Salinas, 224. D. Pedro Robles , 3G7. D. Feli­ pe Rafael de Robles, 938. D. Antonio M azuco y Chazari, 500. D. José Mon­ tano, 52. D. Manuel Portillo, 64. D. José Mergare…</t>
  </si>
  <si>
    <t>Salinas, Narciso</t>
  </si>
  <si>
    <t>Narciso Salinas</t>
  </si>
  <si>
    <t>on, D. Andrés Pelayo, D. Martin Cariaga, D. Ramón Rienda, E). Joaquín Frayle, O. Manuel del Rio, D. Juan Peña; y ásus ayudances D. Joaquín Castañeda, D. Narciso Salinas, D. Tomas Bermado, D. Francisco Pacheco, y al cabo de voluntarios D. Juan Valdes. El enemigo tuvo de pérdida un gran número de muertos y heridos y 300 prision…</t>
  </si>
  <si>
    <t>Salinas, Pascual</t>
  </si>
  <si>
    <t>Pascual Salinas</t>
  </si>
  <si>
    <t>Livino Stuick y Van-Dergoten...... 98896.. 4 La marquesa de la Soiang, por mano D, Francisco Viana...................................... 33^53**8 de D. Pascual Salinas.......................... 180-17 D. Gerónimo de Irurmcndia................... 10358-25 El cabildo eclesiástico de la villa de D. Pedro del Rio.................…</t>
  </si>
  <si>
    <t>Salmé</t>
  </si>
  <si>
    <t>­ ponsabilidad ,el parlamento necesita reformarse. cutivas, y en todas fue'rechazado por la brigada Poe consiguiente la proposición del lord Mil­ del general Salmé. . ton da motivo á sospechar desde luego , ó mas Mil quinientos miqueletes y 500 hombres de bien á asegurar que él es quien' ha aconsejado es­ tropas ligeras que ,…</t>
  </si>
  <si>
    <t>Salme</t>
  </si>
  <si>
    <t>tiempo una salida para impedir que fuesen arma-, ron rechazadas y casi destruidas. das las baterías. La esquadrilla inglesa disparó en este tiempo El general Salme se puso al frente del 7.0 de 3® cañonazos contra nuestras obras, pero sin efec­ línea, y marchó con rapidez contra los españoles; to ninguno. pero en el momento en…</t>
  </si>
  <si>
    <t>Salmón, Hilario Rayas</t>
  </si>
  <si>
    <t>Hilario Rayas Salmón</t>
  </si>
  <si>
    <t>ckenzie. Séptimo, D. Diego Colon, agregado á la jegacion , el lord Holiand , el coronel Burke , y d teniente capitán es­ pañol M. T. Langton. Octavo, D. Hilario Rayas Salmón, vicecónsul de España, D. J. jM; Gandasequi, director de la compañía de Fili .iñas, el coronel Sir Roberto Wilson , y D. Manuel de la Torre, co­ misario …</t>
  </si>
  <si>
    <t>Salomón</t>
  </si>
  <si>
    <t>cerles agradable la es­ propiedades que tiene en aquella provincia. tancia en dicho pueblo. . Han sido enteramente inútiíes todos los esfuer­ zos del príncipe Salomón para conservar sus esta­ AUSTRIA. dos en la Georgia: ha sido batido y arrojado por Viena 24 de marzo. los rusos; y se ha visto en la precisión de refu­ El señor…</t>
  </si>
  <si>
    <t>Salurní, Juan</t>
  </si>
  <si>
    <t>Juan Salurní</t>
  </si>
  <si>
    <t>de este ntesfue» ‘ron apresados en" la costa £e J&amp;apcf 6 J%rcgs franceses ¡cargados de, ha­ rina , áceyte y cebada , y condücidos á Arénys y.San^Pol. D. Juan Salurní, comandante delpimta de Llora, avisa qae los ene­ migos le atacaron ayer por varias partes creyéndole desprevenido j pero que hablan sido rechazados ,'cjexándo e…</t>
  </si>
  <si>
    <t>Salustiapondientes</t>
  </si>
  <si>
    <t>ado como epnba-r brado al coronel D. Pedro Miranda prefecto de xador extraordinario con las instrucciones corres­ la prefectura de Ciudad-Rodrigo ; á D. Salustiapondientes , le parecía que debían esperarse las re-r no Embite secretario general de ja misma prefec­ sultas de su misión, antes de recurrirá los medios tura: á D. J…</t>
  </si>
  <si>
    <t>Salva</t>
  </si>
  <si>
    <t>iona­ fue cogido por fín enCazaila de la Sierra por la par­ rias, las inteligencias prohibidas han sido descu­ tida de guias de Córdoba ,'al mando de D. Salva­ biertas por una policía vigilante, y el castigo da dor Antonio Ariza, y conducido á Sevilla , donde los culpados ha sido casi siempre la amistad y be­ se le hizo conse…</t>
  </si>
  <si>
    <t>Salvador, Agustín</t>
  </si>
  <si>
    <t>Agustín Salvador</t>
  </si>
  <si>
    <t>z de id. : teniente coronel Don Nicolás Melgarejo, ayudante mayor del cuarto batallón de id. : los capitanes Don Ignacio Medina / segundo teniente, y D. Agustín Salvador, alférez de id.: los capitanes D. Juan de la Chaussá y D. Francisco de Paula Arco , alféreces del pri­ mer batallón de guardias walonas : D. Francisco OI i v…</t>
  </si>
  <si>
    <t>Samanieg, Saturnino</t>
  </si>
  <si>
    <t>Saturnino Samanieg</t>
  </si>
  <si>
    <t>s mías para el mejor éxi­ to de ia acción. De mi primer ayudante teniente coronel D. Bernardo Villamil, y del espitan del regimiento fixo de Veracruz D. Saturnino Samanieg*), primer ayudante del cuartelmaestre-general, los cuales recorrieron las líneas, comunicaron con prontitud y acierto mis órde­ nes, y fueron los primeros …</t>
  </si>
  <si>
    <t>Samaniego, Saturnino</t>
  </si>
  <si>
    <t>Saturnino Samaniego</t>
  </si>
  <si>
    <t>ma clase D. Joaquín de Castillo y Busíamantc, que manifestó mucha sereni­ dad y firmeza en los ataques del centro y de la última batería : al c&amp;pitan D. Saturnino Samaniego por la intrepidez y espíritu que ha acreditado en todas las acciones , y señaladamente en ía de la dere­ cha yendo con el general de caballería , y hallán…</t>
  </si>
  <si>
    <t>Sambuci</t>
  </si>
  <si>
    <t>as diferentes metamorfosis qae ha S. A. el cardenal Fesch; el conde Segur, gran tenido. Aid se le ve con cabeza de mono, de maestro da ceremonias; el presbítero Sambuci, javalí, de elefante Scc., y la serpiente Caligan, maestro de ceremonias de la capilla imperial, y que son otras tantas representaciones de las cosa» Mr. Font…</t>
  </si>
  <si>
    <t>Sámele</t>
  </si>
  <si>
    <t>les franceses en Mataré y en Reu?. Ea fsta ú licsa se fes han hecho 300 prisioneros, persiguiéndolos h^ita • las ru'-rüs de Tarragona. Parces que eJ general Sámele está destinad® á mandar te divife» francesa de: Extremadura que mandó Girare!, y que Maraio.it trataba de concentrar sus fuerzas en el puente de Almaraz.</t>
  </si>
  <si>
    <t>Samper, Henritonio</t>
  </si>
  <si>
    <t>Henritonio Samper</t>
  </si>
  <si>
    <t>ignora su dueño por falta de guia, y Antonio Serrano de Granada. contiene libros. Núm. 36. Un paquete rotulado á D. An­ Núm. 103.. Otro, con rótulo á D. Henritonio Samper, gefe del estado mayor, venido que Suleau, que contiene muestras de Fran­ con guia de Victoria de 7 de marzo de i8w8, cia de bordados,- introducido hace tie…</t>
  </si>
  <si>
    <t>Samper, Vicente</t>
  </si>
  <si>
    <t>Vicente Samper</t>
  </si>
  <si>
    <t>. D. Enri­ que Perez Lastra , 20. D. Andrés Cacho de Herrera , 100. D. Santiago Diego García, 102. Doña Rita Tixero, 51. D. Patricio José Gómez , 17. D. Vicente Samper, 20. D. Pedro Macho del Barrio yvsu hermano , 17. D. Juan Barangot, 10 y 4 rs. D. Fernando Busí amante , 34. D. Joaquin Zorrilla, 10 Don Francisco Cagigas, 20.…</t>
  </si>
  <si>
    <t>San</t>
  </si>
  <si>
    <t>16 de octubre. Cx. Ponsombi; canciller del Echiquier Mr. IIusCada vez son mas desagradables las noticias qne kisson; primer lord del almirantazgo ef conde San recibimos del rio de la Plata. La junta de Buenos- Vicente; comandante general de artillería el con­ Aires destacó un cuerpo de tropas contra Córdoba de Aloira; tesorer…</t>
  </si>
  <si>
    <t>D. Juan Moníalvo , teniente coronel agregado al regimiento de infantería de Cuba, |&gt;or el prest de. sois soldados en 4 meses durante la guerra, 216. D. San­ tiago Girara!, per el de dos soldados en un mes durante la guerra , 30. IX José de Potros, á nombre de D. Juan Francisco Manrique, oficial de correos , 100. El teniente c…</t>
  </si>
  <si>
    <t>San'i</t>
  </si>
  <si>
    <t>eador, en la que hará el papel de Cid el señor D- Cenon Alonso............................ 9253 14 Vicente García, actor relirado, y que fue de dicha D. San'i .gn Gutierr-.z y A rimero. 654 compañía; y el sainete ios Hstudi.intes petardistas. Pata Doña A fonsa Aranguren............... 3251 12 evitar confusión eñ los carteles …</t>
  </si>
  <si>
    <t>Sán, Bernabé</t>
  </si>
  <si>
    <t>Bernabé Sán</t>
  </si>
  <si>
    <t>, adminis­ trador de rentas de. la misma , 100. Los empleados en la administración , 105 y 4 rs. D. Tomas Cisneros vecino de la referida villa; 800..D. Bernabé Sán­ chez, de la misma vecindad , 175, D._ Jopé BernaJ,Kid. GJO.. j). .Ignacio.de Baraorva, id. 750. D. Juan Benito,González , tementmde gqbefiaíidQp de la. mis«, ma, …</t>
  </si>
  <si>
    <t>Sán, Domingo</t>
  </si>
  <si>
    <t>Domingo Sán</t>
  </si>
  <si>
    <t>a manutención de un soldado, 9. D. Gaspar Cfeapie , id., 2. D. Antonio José Ximenez , id , 2. 3). José García, id., 2. D. Francisco González, id., 1. D. Domingo Sán­ chez , sobrestante del molino , 4. D. Julián de Magallanes , id, segundo , 2, IX Esteban de Urbieta, mayoral, 1, D. Antonio Fialio , contramayoral, 1, D. Santiag…</t>
  </si>
  <si>
    <t>Sán, Francisco</t>
  </si>
  <si>
    <t>Francisco Sán</t>
  </si>
  <si>
    <t>de la secretaría de Estado. D. Pedro María Galeazo á teniente de la pri­ Eu nuestro palacio de Madrid ¿ xx de setiem­ mera compañía en la vacante de D. Francisco Sán­ bre de i8ir. chez. Don Josef Napoleón por la gracia de Dios y ART. ni. Nuestro ministro de la Guerra queda por la constitución del estado, REI de las Espi­ enca…</t>
  </si>
  <si>
    <t>Sán, José María</t>
  </si>
  <si>
    <t>José María Sán</t>
  </si>
  <si>
    <t>celó y Prats, 200. I), Diego García Pinto y i). Felipe de los Heros, 1000. D. Lodulfo Christian. •Whtooir, 300. D. N, 20. I). Joaquín Viüamieva, 160. D. José María Sán­ chez , 100. XX Domingo Duch, hermanos y compañía, 300. D. Juan José Offerrall, 30Í). D. Manuel Ranees, 3000. Sres. Hoig yoFerrer, 2000. D. Fran*. cisco Puíg, …</t>
  </si>
  <si>
    <t>Sán, Josef</t>
  </si>
  <si>
    <t>Josef Sán</t>
  </si>
  <si>
    <t>i-ma parroquial. Para .el de Cantaras, varante por fallecimiento Lista de los corredores que trafican en el pasage de D. Fernando Gaicía Viilalta , á D. Josef Sán­ clandestino de Inglaterra d Holanda. chez Ortega, cura ecónomo de la misma parro­ quial. Juan Otte, hijo, tabernero, natural de Ams­ Para el de Ctcin , vacante por…</t>
  </si>
  <si>
    <t>Sán, Julián</t>
  </si>
  <si>
    <t>Julián Sán</t>
  </si>
  <si>
    <t>na al brigadier D. Cárlos España con su división de 1500 infantes y 100 á 200 candios, que durmió ano­ che en Campomayor. — Ayer llegó una partida de D. Julián Sán­ chez con 14 prisioneros, todos muchachos alemanes, que Yenian llorando. • ■ f Tarragona 10 de enera. El’teniente coronel D. José Manso, con lecha de 25 del pasado…</t>
  </si>
  <si>
    <t>casas en que están ale jados. Salamanca 22 de febrero. Los franceses no pudiendo disimular los daños y el cuidado que les causa el intrépido caudillo D. Julián Sán­ chez , intentaron en diis pasados apoderarse de sus almacenes situa­ dos en Laguaillas, y arrojarlo de aquella posición. Con este objeto salieron de Ciu dad Rodri…</t>
  </si>
  <si>
    <t>Sán, Manuel</t>
  </si>
  <si>
    <t>Manuel Sán</t>
  </si>
  <si>
    <t>ral , lOU. D. José González de Rueda , 60. D. Juan Diaz Cosío. 10Q. D. Antonio Gómez Porras, 100. D. Joaquín Sánchez, 1.09 D. José Vela Mesones, 100. D. Manuel Sán­ chez de la Torre, 100. D. Carlos de Hoyos, 100. D. Felipe Argumedo , 100. D. Manuel Vciez de Villa, 100. Di José M uñoz , 100. D. Antonio Ruiz , 100. D. Nicolás M…</t>
  </si>
  <si>
    <t>i Jos alumnos de la acade­ mia militar de éste cuarto exércitó ©. Moliion García Iglesias , Don Celestino Palomo y D. Eueebio Fi gueras, y'al cadete D. Manuel Sán­ chez: en el de Irlanda al cadete D. Cayetano de Hayo: en el de Na­ varra al subtentar-de agregado ©.•. Antonio Villa : en el de Madrid al distingjavdo D llaíiion C…</t>
  </si>
  <si>
    <t>San, Santos</t>
  </si>
  <si>
    <t>Santos San</t>
  </si>
  <si>
    <t>a? D.-Francisco de Ibarra, D. Manuel Caba­ llero, D Juan Magollo D. José D:az y D P^dro Peynador; subtenenc as á D. Sebastian Salado, D: Felipe Treus,D Santos San­ martín, D. José Mosco30, D. José Ruiz Rodríguez , D. Fidel GaÍoso, D. Francisco Bnrmudez, D. Angel Fraile, D. Juan AlJaraira, í. Fa-no' Varela, D. Toma?/ Rea!, D. …</t>
  </si>
  <si>
    <t>Sanabria, Josef Manuel López</t>
  </si>
  <si>
    <t>Josef Manuel López Sanabria</t>
  </si>
  <si>
    <t>retario de Estado = Firmado =Mar¡auo Luis de Urquijo.” Noveno batallan. D. Mariano García de la Cruz, subteniente, á teniente de la séptima compañía. D. Josef Manuel López Sanabria, subteniente, á PLAZA DE MADRID. BOLSA. teniente de la novena compañía. DIA 24 DB JUIIO DH l8ll. 'Décimo batallón. D. Antonio Picolomini, sargento…</t>
  </si>
  <si>
    <t>Sanat</t>
  </si>
  <si>
    <t>atmorU, Calzada de O¿opesa y T&lt;d&amp;v¿*&amp; - clond’e se hílií'b^ el cuartel general y el parque ds íes «va, compuí sto de 23 piezas de 8 y 4 : la cuarta . general Sanat, mantiene las cor­ res ¿jondínciiss por *1 camino de Madrid : ia quinta, general M*dun, 'ña pasado de 2Ljar á Avila, pero fi-tá en movís;knto para s!nero, calzado …</t>
  </si>
  <si>
    <t>Sanch, Julián</t>
  </si>
  <si>
    <t>Julián Sanch</t>
  </si>
  <si>
    <t>eral el de* contesto que reyna enere ios ge fes y soldados de M srena, y que Ney, depues­ to per este, había marchado á Frmcia. Refieren también q*ie D Julián Sanch z en varios, combates les ha hecho perder i2©ó hombres entre Ciudad Reí!rigo y Salamanca, y hecho prisioneros al proveedor del exécito, des comisarios y dos comer…</t>
  </si>
  <si>
    <t>Sanche, Dionisio José</t>
  </si>
  <si>
    <t>Dionisio José Sanche</t>
  </si>
  <si>
    <t>n drogas y medicinas, cuyas valores se han computado. — D. José CureTe , 253 rs. D. Alberto Monge , 39. B. Agustin Reguera, 27S. D. José Martos, 1S6. D. Dionisio José Sanche# , 600. D. Juan Rodríguez Sánchez , 272. D. José Climen , 132. D. José Salinas, 224. D. Pedro Robles , 3G7. D. Feli­ pe Rafael de Robles, 938. D. Antonio…</t>
  </si>
  <si>
    <t>Sánchez</t>
  </si>
  <si>
    <t>1217</t>
  </si>
  <si>
    <t>, encargándome mi general en ge fe recomiende á V. E., para que se sirva hacerlo á S. A. S. el Consejo de Reg ncía, la bizarra y atinada conducta del coronel Sánchez, ©he ales y tropa que á sus órdenes llenaron tan completamente sus deberes en aquella ocasicr-’.—Hace como un mes, que hallándose ea observación en el pe¿blo del…</t>
  </si>
  <si>
    <t>Sánchez, Agustín</t>
  </si>
  <si>
    <t>Agustín Sánchez</t>
  </si>
  <si>
    <t>nistro de Negocios eclesiásticos que­ Para el beneficio de Aldea del Obispo * vacan­ da encargado del cumplimiento de este decrcto.= te por muerte de-D. Agustín Sánchez* á D. Isi­ Firmado = YO EL REI. = Por S. M., el minis­ dro Buitrago., vicario de Boadiiia. tro secretario de Estado = Firmado = Mariano Luis Para la vicaría d…</t>
  </si>
  <si>
    <t>Sánchez, Cristóbal</t>
  </si>
  <si>
    <t>Cristóbal Sánchez</t>
  </si>
  <si>
    <t>Juan García, D. Antonio Salgado. D. Pascual Be caria, v ÍJ. José Y^zquez Yarela; subtenencias á D. Manuel de los Ríos, D. Pío Tona, D. Juan Medrana, D. Cristóbal Sánchez, D. Pssdro Alvares:,.D. Cipriano V'dal., .D. Salvador Mora, D. Tomas de Sindc, D. José fereyra , D. D’ego Blanco y D. José Delgado; subtenencia de bandera á …</t>
  </si>
  <si>
    <t>Sánchez, Eugenio</t>
  </si>
  <si>
    <t>Eugenio Sánchez</t>
  </si>
  <si>
    <t>ampo de ba­ talla : nosotros solo un hombre y un caballo. Durante la acción , un trozo de nuestra caballería que se ade­ lantaba ai maído del c&amp;píten D. Eugenio Sánchez sobre la derecha del pueblo. íogró h^oeir prisionero al gobernador intruso de dicha ciudad, D. Benito María de C;r»a, 6 mas bien como se explica el mismo Taca…</t>
  </si>
  <si>
    <t>Sánchez, Félix</t>
  </si>
  <si>
    <t>Félix Sánchez</t>
  </si>
  <si>
    <t>varez, reconocedor primero, 3. D. Nicolás Ceca, id. segundo , 3. D. José Hernández de Acosta , id. agregado , 1. D. Juan Remi, peón de confianza , 1. D. Félix ¡Sánchez, id, 1.1). Manuel Francisco de Aranguren , guarda almacén , para la manutención de un soldado., 9. D. José Joaquín Rivero , id., 3. D. Geróni­ mo José de Aguia…</t>
  </si>
  <si>
    <t>Sánchez, Francisco</t>
  </si>
  <si>
    <t>Francisco Sánchez</t>
  </si>
  <si>
    <t>31 D. Francisco Sánchez, para tratar de perfeccionar la forma de esta clase de cuerpos tan temibles á los franceses , y prescribid reglas para precaver los excesos de algunos, que profanando el nombre de patrio ta</t>
  </si>
  <si>
    <t>icio de S. Cristóbal * vacante por TBATXOS. mnertede D. Bernardo Gándara , al ex-premostra- En el del Príncipe, á las siete de la noche, se re­ tense D. Francisco Sánchez. presentará por la compañía española la ópera en dos Para el de Bogajo, vacante por ascenso de Don actos titulada las Monjas Visitandinas, y el fin de Domin…</t>
  </si>
  <si>
    <t>s curado de sus heridas, v al cabo primero José Bernardon, y y á los de caballería Pedro Barcenilía, sargento segundo, José Mu­ ñoz , cabo primero, y D. Francisco Sánchez, soldado distinguido, que se han señalado particularmente en tan gloriosa acción, aunque en general todos los que se hallaron en ella, y todos sus compa­ ñe…</t>
  </si>
  <si>
    <t>re rc íi re varias vent jas conseguidas por las columnas y destacamento* tVanctses contra dífereatas partidas de guerrilla ; entre ellas la muerte d« D. Francisco Sánchez (Feancisquete), que sor pretendido e 13 le dicho mes en Belmente, prefirió morir peleando á entregarse al ero aigPor desgracia esta noticia es cierta, y deb…</t>
  </si>
  <si>
    <t>Sánchez, Gaspar</t>
  </si>
  <si>
    <t>Gaspar Sánchez</t>
  </si>
  <si>
    <t>r mas que 30 soldado?. Quedaron 6 franceses muertos en el campo y se llevaron muchos heridos. Por nuestra parte i© faé de un píateletuZ&lt;3 el valiente sargento Gaspar Sánchez, que hizo prodigios con m lanza, matando al qus le hirió y á otro?. Ss disfeguisroa aimsismo el cabo prímaro Antonio Falces, el carabinero Francisco Peae…</t>
  </si>
  <si>
    <t>Sánchez, Ignacio</t>
  </si>
  <si>
    <t>Ignacio Sánchez</t>
  </si>
  <si>
    <t>scillo, D. José Velas-"ío y, J&gt;. José Armada; subtenencias á D. Santiago de Armas , D. F¡tapisco P.ieto, D. Antonio Pueyo, D. José Gon­ zález Suarez, D. Ignacio Sánchez, D. Francisco Bureyra, D. Ma­ nuel Rodrigne2, D. Manuel x4ngeira , D. Andrés Raposeiras, y D. José Gaspar y Barca ; subtenencia de bandera á D. Rafael de *¡ft…</t>
  </si>
  <si>
    <t>Sánchez, Jalian</t>
  </si>
  <si>
    <t>Jalian Sánchez</t>
  </si>
  <si>
    <t>E teniente de cabal! ría D. José Muñoz, ayudante del coman­ dante de »as tropas y par» dei quinte distrito, compre hendidas en­ tre el Tejo y Dasro, D. Jalian Sánchez, ha puesto en manos del se­ ñor comandante general pliegos de su gefe, coa Fecha de 23 del ac­ tual, viniendo a! mismo tiempo á cumplir»©atarle é nombre del mis…</t>
  </si>
  <si>
    <t>Sánchez, Jidian</t>
  </si>
  <si>
    <t>Jidian Sánchez</t>
  </si>
  <si>
    <t>742 net ha evacuado las -Asturias. D. Jidian Sánchez está en I¿i3 llanuras de Castilla la yisja , y últimamente ha interceptado ua convoy de mu­ cho valor, cuyos efectos consistían en dinero y víveres, enviados de Salamanca á Ciudad Rodrigo. He sabido igualmente por Valladoiid, que otr</t>
  </si>
  <si>
    <t>Sánchez, Joaquín</t>
  </si>
  <si>
    <t>Joaquín Sánchez</t>
  </si>
  <si>
    <t>árlos Aubrv , 25. Do^ José María Fiores , 25. D. José Puig y Escardó , 25. D. Sebastian Ferrer, 25. D. Francisco Maristani , 25. D. Miguel Roig , 25. D. Joaquín Sánchez, 25. D. Miguel Vargas , 25. D. Juan Huise, 25. D. Manuel Antonio Barbachano , cada año , 20. D. Antonio Gual , 20 D Antonio Martin , 20. D. José Mauricio Rodr…</t>
  </si>
  <si>
    <t>l, 100. D. Pedro de Hoyos, 100. D. Ildefonso del Corral , lOU. D. José González de Rueda , 60. D. Juan Diaz Cosío. 10Q. D. Antonio Gómez Porras, 100. D. Joaquín Sánchez, 1.09 D. José Vela Mesones, 100. D. Manuel Sán­ chez de la Torre, 100. D. Carlos de Hoyos, 100. D. Felipe Argumedo , 100. D. Manuel Vciez de Villa, 100. Di Jo…</t>
  </si>
  <si>
    <t>el término (le 8 di is mu; previniéndose al público, que hallándose tas ida en Segundo batallen. 125720 rs, está hecha postura á ella en 450O rs. ea D. Joaquín Sánchez, subteniente, á teniente vales y 8125 en metálico: las personas que quisieren de la décima compañía, en reemplazo de D. Ma­ hacer mejora acudirán ante dicho se…</t>
  </si>
  <si>
    <t>Sánchez, José Candido</t>
  </si>
  <si>
    <t>José Candido Sánchez</t>
  </si>
  <si>
    <t>s tiendas. — D Manuel González Plancho , 500. D. José Gó­ mez Soldado, 300. D. Antonio Tagle , 300. D. José del Rivero, 200. D. Ma3uu-[ Salceda, 200. D. José Candido Sánchez , 300. D. Juan García , 200. Don Dionisio de Hoyos, ‘’OO. D. Pantaleoa y D. Severo Merino , 240. D. Antonio Diez riel Olmo, 200. D. Antonio Diaz Tagle, 1…</t>
  </si>
  <si>
    <t>Sánchez, José Miguel</t>
  </si>
  <si>
    <t>José Miguel Sánchez</t>
  </si>
  <si>
    <t>dé la Fuente, 20. D. Francisco Barrera, 13. D. 'José- Mari i Suntds, 12. D.. Pablo García, Jó. D. Juan Antonio de Cárdenas , 13. D. José Camacho, 13. D. José Miguel Sánchez, 10. D. Vicente Florez, 10. D. Juan Francisco Roxas, 6. D. José Antonio Villareál, 7. D. Berdírno Vela , 5. D. Manuel de la Garza, 6. Varios individuos, 1…</t>
  </si>
  <si>
    <t>Sánchez, Josef</t>
  </si>
  <si>
    <t>Josef Sánchez</t>
  </si>
  <si>
    <t>los infelices, qne ha­ Para el de los B.-rchules, vacante por muerte llándose en el territorio de la Gran Bretaña, bus­ de D. Panldleon de Gualda , á D. Josef Sánchez can medios de volver á su patria. Almendros, cura ecónomo de la mi-ma parroquial. Para .el de Cantaras, varante por fallecimiento Lista de los corredores que tr…</t>
  </si>
  <si>
    <t>Sánchez, Josef Manuel</t>
  </si>
  <si>
    <t>Josef Manuel Sánchez</t>
  </si>
  <si>
    <t>.Rafael Garrido, de fesa esta Opinión, me pare..e que se puede combatir, quando no con la,esperanza de destruirla, á lo menos ia ciudad de Segovia; á D. Josef Manuel Sánchez, con la de despojarla de su generalidad. Conociendo ua de la villa de Rute; á D.Tomas Llano, de Sepúl- hombre perfectamente á otro, habiendo estudiado su…</t>
  </si>
  <si>
    <t>Sánchez, Juan Miguel</t>
  </si>
  <si>
    <t>Juan Miguel Sánchez</t>
  </si>
  <si>
    <t>l mediodía, concluida ía segunda campa­ D. Fernando Miguel Hurtado, consultor de esta ña de Extremadura, tan gloriosa é importante co­ prefectura ; y D. Juan Miguel Sánchez, escribano mo la primera, cuyas ventajas ha asegurado, li­ mayor de ella , al extinguido convento de Santia­ bertando á Badajoz, y arrojando dd territorio…</t>
  </si>
  <si>
    <t>Sánchez, Juan Rodríguez</t>
  </si>
  <si>
    <t>Juan Rodríguez Sánchez</t>
  </si>
  <si>
    <t>res se han computado. — D. José CureTe , 253 rs. D. Alberto Monge , 39. B. Agustin Reguera, 27S. D. José Martos, 1S6. D. Dionisio José Sanche# , 600. D. Juan Rodríguez Sánchez , 272. D. José Climen , 132. D. José Salinas, 224. D. Pedro Robles , 3G7. D. Feli­ pe Rafael de Robles, 938. D. Antonio M azuco y Chazari, 500. D. José…</t>
  </si>
  <si>
    <t>Sánchez, Julián</t>
  </si>
  <si>
    <t>Julián Sánchez</t>
  </si>
  <si>
    <t>de D. Tomas Príncipe, D. Gerónimo Fomel, los curas Meri­ no, Tupia y Violado , D. Lorenzo Aguilar, D. Agustín Cerezo, Don Vicente Olivera , Afórales, D. Julián Sánchez , y otras menos cono­ cidas.^ Las gacetas de Córdoba del mes de noviembre dan noticia de las Íjartidas de Pedro Alcalde, Gerónimo Moreno y Mateo Gómez, y de os…</t>
  </si>
  <si>
    <t>. Castilla del mando de D. Julián Sánchez.— Esta tarde lian llegado IS ó 2G soldados del mismo regimiento, que conducen mas de 1400 cabezas de ganado vacuno interceptadas al enemigo, sin contar al­ gunas que al pasar el Tajo se lle</t>
  </si>
  <si>
    <t>terinamente en su lugar el mariscal de campo D. Miguel tranzo. Badajoz i 5 de enero de ¿Sil.- Extracto de los partes remitidos por él célebre coronel-D. Julián Sánchez al general en segundo dd exércilo de Extremadura , de las ventajas conseguidas por las tropas dé su mando, en los dias que á continuación se expresan. .Dia 26 …</t>
  </si>
  <si>
    <t>que anoche dormirían en Arroyólos. La de D. Carlos Espa­ ña , compuesta de 1500 infantes y 200 caballos , ertá en Cimpomayor , y se espera también á D. Julián Sánchez con sus btncer s. Del 2 5. fíí día 2-3 "se rindió ai enemig . la pl iza de O.i vencía, y nr el mismo'salió de;eí!a la guarnición 'prisionera de- g ¡ rra: notici…</t>
  </si>
  <si>
    <t>uen sus equipages, los empleados de hacienda y el general Thiebaut, que va á salir dentro de pocos dias para Ciudad Rodrigo. Algunos destacamentos de D. Julián Sánchez que circulan por tier­ ra de A iva y cercanías de la sierra de Francia , impiden á los enemi­ gos hacer requisiciones. Hoy sale de aquí un gran convoy de galle…</t>
  </si>
  <si>
    <t>asegura que mas allá de Truxíilo en la Peraleda del cam­ po de Arañuelo una partida de 24 soldados del regimiento de lanceros de Casulla del mando de D. Julián Sánchez, sorpreiiendió y quitó la vida al -expresado general, á un edecán sujo, y á 3 oficiales y 4 dra­ gones que le acompañaban. — El mismo Sánchez con 250 de los su…</t>
  </si>
  <si>
    <t>me da .el coronel D. Julián Sánchez. — Dios guárde le:. Badajoz y febrero is de I.8-II. —Gabriel de Mendizabal.—Excmo. Sr. D. José Heredia.” Parte de D. Julián Sánchez al teniente general D. Gabriel de •,Mendízabal. «Bxcaao. Sr.—‘Luego que red oí ia primera orden d : V. E., tomé las correspondientes disposiciones para reunir …</t>
  </si>
  <si>
    <t>541 miento en Francia se extiende á hs casados hasta la edad de 59 tnosi Bessieres permanece en Valladolid. Se dice que D. Julián Sánchez &lt;sstá hacia el Barco de Avila, y parte de su gente en tierra de Lcdesma. Con motivo de haber dado á luz la emperatriz un hijo que se lla­ mará rey de Roma, ha habido salva, toros,2 dias de …</t>
  </si>
  <si>
    <t>crbalíería enemiga tomó la derecha de la séptima di­ visión entre Pozaviejo y Navavel (de cuyo úbimo lugar habla tenido que retirarse lacabalieiía de D. Julián Sánchez) cargando al mismo tiempo la caballería enemiga, que formaba su vanguar­ dia, á dos ó tres escuadrones de los diferentes regimientos de dra­ gones británicos, …</t>
  </si>
  <si>
    <t>a división ligera y la caballería británica constituían la reserva. El lugar de Fuentes de Oñoro quedaba enfrente de la retaguardia; la ó faníería de D. Julián Sánchez se reunió á la séptima división en Freneda, al mismo tiempo que envié á dicho D. Julián con la caballería de su mandó á que hiciese lo posible para interceptar…</t>
  </si>
  <si>
    <t>el miedo que no se les oia decir, sino cJií vienen les in­ gleses : ya están cerca.— Es positiva la noticia de que el capitsn Atueras, uno de los de D. Julián Sánchez, hizo p- isior ero; 9 «i:, dis­ parar úu tiro, á 60 dragones franceses con varios bpgages uü vale* y en las inmediaciones de Ledesmr. Coruña 14 de mayo. Et mari…</t>
  </si>
  <si>
    <t>iedolid, y que allí publican ya la retirada de Masseca. Juuot con 3 corone­ les llegó á Toro ayer .al obscurecer, v sigue hacia Y; 1 edorid. Carta de D. Julián Sánchez.— Torrecilla de S. Miguel (Sierra de Gata) 21 de abril. kíMe hallo comandante en g L de las parteas entre Tajo y Duero; y tengo un regimiento de caballería y u…</t>
  </si>
  <si>
    <t>694</t>
  </si>
  <si>
    <t>694 lladolii, y con ct exército de Marmont, donde quiera que él estu­ viese. Se espera tropa de Toro y Zamora. D. Julián Sánchez está sobre Ledesíua. S. Pedro de Ezla 2 de junto. El 18 del pasado s« reunieron en Toro los cuerpos sexto y octavo del exército francés, que se halla­ ban acantonados en las cercanías, y marcharon á…</t>
  </si>
  <si>
    <t>errillas continúan también con actividad en sus op. ra­ leones , y ademas da la alarma dada en Valíádolid el dia menciona­ do en mi oficio anterior , D. Julián Sánchez ocasionó en 'Salamanca oüra igual el 29 de junio. Esta fué la ocasión de que usa considera­ ble partida de guerrilla, formada de varías, que pertenecían á dife…</t>
  </si>
  <si>
    <t>r esta ciudad. El Bodón 29 de julio. Los enemigos en numero de 5000 se lidia­ rán hoy en Martin del Río coa el convoy que llevan á Ciudad- Ro­ drigo. D. Julián Sánchez r,o los ha atacado por ser muy superiores en fuerzas; pero La impedido que se lleven I03 ganados de los pue­ blos deLtránsito, haciéndolos retirar á largas dis…</t>
  </si>
  <si>
    <t>de infantería y otros tantos de caballería, En esta suma se comprehenden, ademas de las divisiones de las pro­ vincias de Soria y de Bargos , y la de D. Julián Sánchez, compues­ tas de tropas organizadas y aguerridas, otras muchas partidas de patriotas, mas ó menos numerosas: entre las cuales ron las mas nom­ bradas las de D-…</t>
  </si>
  <si>
    <t>de 1811. — 4‘U¿ destacamento de las guardias y lanceros de B rg, que llegaron á Salamanca el l.° del corriente, rechazó el 4 de L de 2a las tropas de.D. Julián Sánchez , y después las ha obligado i p ir el rio Yettcs. Con todo él enemigó se ha retirado otra vez de di no punto á las inmediaciones del Tormes. En la noche del 24…</t>
  </si>
  <si>
    <t>^á -EspejaCarpió y Mr-' jrialva.&amp;c/— El tn&amp;riscái dé centbo ’íí)\ Gallos; España observaba Ja parte inferior del Agueda con M cabaUeAié infantería de D. Julián Sánchez. — El teniente general'S ir Stapléton Cantón , con las briga­ das do caballería del mando de los generáles Síade y1 Ds Greys, ocupaba la parlé superior5dél Aza…</t>
  </si>
  <si>
    <t>inaldo , su derecha el puerto de Parales, y su izquierda Navabei. — El maris­ cal de campo D. Carlos España estaba apostado i la izquierda del Coa, y D. Julián Sánchez, con su caballería, fué deatacado ó ia retaguardia del enemigo, — Eq la mismai tasde del 25 el enemigo hizo venir de Ciudad-Rcdrigo otra división .de infanterí…</t>
  </si>
  <si>
    <t>eblo ea la noche del 13 , á las órdenes del coronel del regimiento de caballería ligera de lanceros de Casulla, y comandante de la pri­ mera brigada, D. Julián Sánchez , con el objeto de procurar inter­ ceptar el ganado que de ia plaza de Ciudad-Rodrigo solía saín á pastar cuasi baxo el cañón de la plaza: 200 vacas y 300 cabr…</t>
  </si>
  <si>
    <t>ado en esta ocasión como ea muchas anteriores. Remitiré á V. E el porme­ nor de esta acción; y por ahora me ciño á decir á V. E. que tanto el corone] D. Julián Sánchez , como los valerosos oficialas y solda­ dos de arabas armas que le han acompañado á esta expedición, son d:gnos de ia protección de Y. E. : ei coronel elogia m…</t>
  </si>
  <si>
    <t>tiempo que úquel se retiraba de la sierra do Franeia , entre Míxauda y Endrinal; á su arribo á ®aí© úUkao pue­ blo fué cargado peí la caballería- de D. Julián Sánchez, que man* daba él mismo , y tuvieron los ffa nueces que femar d cuadro. D. C¿dos Epaife me participa, que el enemigo sufrió una pérdi­ da considerable, y qm sus…</t>
  </si>
  <si>
    <t>Sánchez, Leandro</t>
  </si>
  <si>
    <t>Leandro Sánchez</t>
  </si>
  <si>
    <t>o, forrado en en­ Uno dicho, rotulado á D. Francisco de cerado, venido sin guia ni documento alguno, Nogués y Acevedo, conteniendo libros. rotulado á D. Leandro Sánchez, que contiene Un paquetito, rotulado al Sr. Proust, coa lantejuelas de Francia. quadernos en francés. ■Núm. 123. Dos atados con papeles de Un serijo, con rótu…</t>
  </si>
  <si>
    <t>Sánchez, Manuel</t>
  </si>
  <si>
    <t>Manuel Sánchez</t>
  </si>
  <si>
    <t>Pedro González , D J í^n Ssnovilla , D Ig­ nacio Carrasco, D. Pedro Giménez, D. J?.yme Qjirós, D. Sabas Ma­ rín , D. J isé Ortega , D. Juan Vázquez, D Manuel Sánchez, D. An­ tonio Bermejo, D. Luis Puente, D. Aotolin Sigiienza, D Matías Te­ resa, D. Juan González , D Manuel Calvantes, D. Jé Mora, Don Juan Morgaez, D Alfonso Gí…</t>
  </si>
  <si>
    <t>os , 100. D Juan Perez , 100. D. Mateo Rodríguez, 100. D. José Pedrosa, 100. D. José Rasilla, 60. D. Eugenio Gutiérrez, 100. D. Antonio Ortegon, 100. D. Manuel Sánchez , 100. D. Francisco de la Ve­ ga, 100. D. Manuel Velez Campa, 100. D. Santiago García, 100. D. José García del Barrio , 100, D. Alexaudro Marina , lOÍ). D. Jua…</t>
  </si>
  <si>
    <t>Sánchez, Mateo Rodríguez</t>
  </si>
  <si>
    <t>Mateo Rodríguez Sánchez</t>
  </si>
  <si>
    <t>y Chazari, 500. D. José Mon­ tano, 52. D. Manuel Portillo, 64. D. José Mergarejo , 132. D. Juan Ayllon, 32. Doña Ana Rabel , viuda de Conturie , 100. D. Mateo Rodríguez Sánchez, 1215. i). Lorenzo Rodríguez, 4768. D. Sebastian Izquierdo , 500. D. Pascual Cebada , 704. D Juan Córd ido , 300. D. Felipe de....... 100. D. Juan Fer…</t>
  </si>
  <si>
    <t>Sánchez, Nicolás</t>
  </si>
  <si>
    <t>Nicolás Sánchez</t>
  </si>
  <si>
    <t>Francisco Herch, capitán agregado al segundo regimien­ to de Sevilla: para el empleo de ayudante al teniente D. Vicente timbado : para esta resulta á D. Nicolás Sánchez ; y para otra te­ nencia á D. F rancisco Martínez Junquera, ambos tenientes agrégat­ elos al expresado regimiento segundo de Sevilla ; y ha concedido agregaci…</t>
  </si>
  <si>
    <t>illa de Avellaneda, vacante co actos titulada el Astrólogo fingido, y el sainete el ‘Page pedigüeño. Actores en la comedia; Señoras Ro­ por muerte de D. Nicolás Sánchez, á D. Santos sario García , Maqúeda , Torres y Cabo. Señores MaiCuesta, cura de Olmedillo. quézí, Ponce , Infantes, Avecilla, Suarez y Alverá. Para la vicaría…</t>
  </si>
  <si>
    <t>Sánchez, Pedro</t>
  </si>
  <si>
    <t>Pedro Sánchez</t>
  </si>
  <si>
    <t>sco Trespalacios y Don Joaquín O'lviras; tenencias á D. Francisco Cano, D. Benjamín D woia, D. Ensebio F reyre, D. Gasnar Escapa, D. Benjamín Barríe, D. Pedro Sánchez, D. Joan Zaldivar, D. Manuel Zeldivar, í). Mdro Caballero, D. Bernabé Santibañ***,- D. Manuel de Vargas y ü. Joan Dow.de Brizo; y subtenencias á D. Diego Pachec…</t>
  </si>
  <si>
    <t>Sánchez, Pedro Ruado</t>
  </si>
  <si>
    <t>Pedro Ruado Sánchez</t>
  </si>
  <si>
    <t>vador Valencia , al ayudante facultativo D. Pedro Juan de Eguía, y á mis ayudantes de campo D. Antonio Arríe­ te y D. Tomas O -Col gañí , á mi asesor D. Pedro Ruado Sánchez, y al comandante general de ardil'ría I). Luis Mencndez. El tenien­ te genera!, D. Nicolás Llano Ponte . y el brigadier í). Francisco Mangíano, subinspect…</t>
  </si>
  <si>
    <t>Sánchez, Policarpo</t>
  </si>
  <si>
    <t>Policarpo Sánchez</t>
  </si>
  <si>
    <t>alacio episcopal donde reside el señor gobernador, nacio de B ut¡za al arcedi^ndto de Miyorga , á la casa del tribunal, las consistoriales y la cate­ D. Policarpo Sánchez , cura de Valioslaiia. dral, siendo las tres primeras de cuenta de la mu­ Para el de Escarabajosa, vacante por muerte nicipalidad. Los coros de música que a…</t>
  </si>
  <si>
    <t>Sánchez, Rafael</t>
  </si>
  <si>
    <t>Rafael Sánchez</t>
  </si>
  <si>
    <t>blan quitado sus caballerías, y que las tenían en Mallenc inmedia* tainente dispuse que el subt iníeiite del primer batalloa de yaluntaidos de Aragón D. Rafael Sánchez , pasase á las'inmediaciones de Ainzon coa 100 hombres á llamar la atención de las guamíctones de Borja y Tar&amp;zona , mientras yo con.otro&amp; 60 me dirigía á la v…</t>
  </si>
  <si>
    <t>£14 incorporó con sa gente D. Rafael Sánchez, y seguí mi marcha sin ser perseguido de los enemigos, ^/resultado de esta acción ha. sido coger 11 prisioneros, 5 yeguas y 3 caballos con monturas, tercerolas y lanzas , 24¡ fusiles y 10 r</t>
  </si>
  <si>
    <t>Sánchez, Teodoro</t>
  </si>
  <si>
    <t>Teodoro Sánchez</t>
  </si>
  <si>
    <t>fecto fu­ D. Pedro Cadenas. nesto en el reino de Nápoles , qne siempre ha es- D. Ignacio Baena. t. do illas expuesto que el resto de ia Italia á esta D. Teodoro Sánchez. suerte .de acontecimientos. Esta ciudad no ha pa­ D Cristóbal Lorenzo.' decido nnnc3 grandes pérdidas de resaltas de los D. Pedro Muradas. terremotos, y tene…</t>
  </si>
  <si>
    <t>Sánchez, Vicente</t>
  </si>
  <si>
    <t>Vicente Sánchez</t>
  </si>
  <si>
    <t>zar y D Migue! A ochávala: á s^rggntos mayores dé'brigada 9. á‘Iosr¡capitanes D Séb^sf an de S. Juan, »D Blas Manuel Te-ue? , p. ‘José "María Dana , ‘D. Vicente Sánchez, D. Joaqui« d i la G qz , D Raf el dél-Barrio , D. Miguel S.mtillana y D. Ignacio O ovas: á capitanes á los tenientes D Juan Manuel Carmen/, D José Montes y F…</t>
  </si>
  <si>
    <t>indica bastante su bizar­ ría, siendo su fuerza la mitad da la d«l eacraigo. ,5Recomiendo no obstante á V. E. á los capitanes B. Francisco Montroz v D. Vicente Sánchez; ni ayudante D. Jayme Cairela, alteniínto D. José Ramón Rodil, y á Loa sargentos heridos el primero Manuel Arnau,y lo-? segundos Miguel Sánchez y José Villa se…</t>
  </si>
  <si>
    <t>Sancho</t>
  </si>
  <si>
    <t>cuentas con- sus insinuaciones y carocas , los tales alcaldes fa­ ligo , y quaodo le dicen que su fíe! vasallo está llan que se le corte la cabeza al regidor Sancho. preso, y con una causa criminal encima, ya le pa­ El Rei patea , y se da por las paredes de su alcá­ rece que oo ha nadado mui justo en mandar matar zar , manda …</t>
  </si>
  <si>
    <t>Sancho, Mariano</t>
  </si>
  <si>
    <t>Mariano Sancho</t>
  </si>
  <si>
    <t>rece.......... 13500 -D. Antonio de Siles........................ 175 27 17 D. Isidro Monteros......................... 3375 PLAZA DE MADRID. BOLSA. -D. Mariano Sancho.......................... 4542 32 DfA l6 DB DICIEMBRE DB l3ll. ■D. Raimando Ruiz de Alegría por • : su apoderado D. PedroMuró... 3600 Doña Ana María de Llano y…</t>
  </si>
  <si>
    <t>z................... 370 25! 24 D. Joaquín Gómez............................... 28744 25! Recibos y certificaciones de réditos devengados de juros. 7 D. Mariano Sancho................. 1444 48 El marques de Peñañorida.............. 79781 Recibos. 1 Doña Feliciana Fernandez................. 2527 2 ©oña Francisca Xaviera de Gü?…</t>
  </si>
  <si>
    <t>Sancho, Vicente</t>
  </si>
  <si>
    <t>Vicente Sancho</t>
  </si>
  <si>
    <t>diciembre de 1811. — El Cornejo de Regencia se ha servido conferir en e! regimiento de infantería primero de Sahoya, compañías á D. Esteban Sayró, y D. Vicente Sancho: ayudantía á D. José García: tenencias á D. Ji'sé Lopes y Angulo , D. Jacobo López, B. Miguel Salazar, D. Temas Moreno, D. Juan Julián da Tomás, D. Isidro Rebol…</t>
  </si>
  <si>
    <t>Sanchtz, Julián</t>
  </si>
  <si>
    <t>Julián Sanchtz</t>
  </si>
  <si>
    <t>ia solo hay unos 700 á 800 hombres : es­ tán poco animosos, y no ha dexaio de contribuir á ello la sorpresa del c nvoy , que cogieron los soldados de D. Julián Sanchtz junto á Tamames el 2 de este mes; pacte de la escolta que llevaba, ha vuelto aquí, y aua Ies parece que no están segures. En las varias acciones tenidas en lo …</t>
  </si>
  <si>
    <t>Sandoval, Juan</t>
  </si>
  <si>
    <t>Juan Sandoval</t>
  </si>
  <si>
    <t>D. José María Tcrrijos, comandante de! tercerbatallon dei de Soria : á D. Joaquín Nayas v comandante del ter­ cer batallón del segundó de Saboya : á D. Juan Sandoval, comandan-</t>
  </si>
  <si>
    <t>Sanjuan, Jote</t>
  </si>
  <si>
    <t>Jote Sanjuan</t>
  </si>
  <si>
    <t>y’g piezas de artillería: iodo á las ordenes «el marísotd de campo *D. Jote Sanjuan. — A pesar del mucho fuego que hicieron los ene­ migos , se verificó el reconocí miento, y se observó que su trabajo era na reducto cuadrado con gruesos parapetos ¿ la parte del mar y de la</t>
  </si>
  <si>
    <t>Sanjurjo, Rodrigo</t>
  </si>
  <si>
    <t>Rodrigo Sanjurjo</t>
  </si>
  <si>
    <t>bíamos pescarlas; pero compré 13 á un habi­ Por decreto de la misma fecha $. M. ha nom­ tante por las cortinas de mi cama. Nos proveimos tam­ brado á D. Rodrigo Sanjurjo secretario general de bién de una buena porción de cocos, de alguna leña y la prefectura de Xerez. de excelente agua, que se saca de hoyos que se hacen en Po…</t>
  </si>
  <si>
    <t>Sanrau</t>
  </si>
  <si>
    <t>369</t>
  </si>
  <si>
    <t>ilí, que tiene por objeto prohibir toda especie ficios, ha entregado dias pasadas al gobernador de relación comercial, será aprobado y puesto en eje­ conde Sanrau la cantidad de 50SÍ florines para que cución desde 1.® de mayo. En virtud de lo que ha se empleen en cubrir los gastos que ha de ocasio­ dicho el presidente, nuestr…</t>
  </si>
  <si>
    <t>Sansón, Cristóbal</t>
  </si>
  <si>
    <t>Cristóbal Sansón</t>
  </si>
  <si>
    <t>an Vicente Alfonso , 50. D. Pedro Delgado, 50. D. D iego Ríos Carta, 50. D. Martin Yerobi, 50. D. Juan Bautista Yerobi, 50. D. Francisco Batllé , 50. D. Cristóbal Sansón , 50. D. Miguel Lanz, 40. D. Rafael Bailester, 25. D. Gaspar Machín , 25. D. Isidro Arecha,25. D. Nicolás Soriano, 25. D. Pedro í«opea , 35. D. Ignacio Canta…</t>
  </si>
  <si>
    <t>Santáaa, Pedro</t>
  </si>
  <si>
    <t>Pedro Santáaa</t>
  </si>
  <si>
    <t>infantería de Irlanda la comandancia del tercer botaslm a Den Francisco Cas&amp;us; ..el empleo de sarg-snto mayor á D J &gt;sc M gud S ifornon ; compañía á D. Pedro Santáaa; agregación cié cantan á D. A dorno K sinirkí; ten me as á D: Fernando PoynaJo, D F a:-.cisco Rodríguez, D. Juan Antonio Cabello y D José de' Soto: y subtenenci…</t>
  </si>
  <si>
    <t>Santaella, Francisco</t>
  </si>
  <si>
    <t>Francisco Santaella</t>
  </si>
  <si>
    <t>s que han tenido parte en ellas. D. Pedro García. Tenientes. D. Josrf Pareja, PLAZA DI MADRID. BOLSA. D Francisco de Ltiba. DIA 17 DS AGOSTO DB l8ll. D. Francisco Santaella. Subtenientes. Efectos públicos. D. Francisco González. Vales reales......................................... 9 3i D. Cristóbal Aranda. Cédulas hipotecarl…</t>
  </si>
  <si>
    <t>Santana, Pablo</t>
  </si>
  <si>
    <t>Pablo Santana</t>
  </si>
  <si>
    <t>legarse ;al castillo de Oiteglcar, con algu­ nos heridos- En esta acción Sobres dieron el segundo comandante ac-, cidental de la fuerza de caballería D. Pablo Santana y el sargento D. G ¿róinmo Navarrete. Desde Teba y Campillos se dirigió la Cruzada por los pueblos del partido de Antequera, y situada sobre el camino de Máhga …</t>
  </si>
  <si>
    <t>Santana, Pedro</t>
  </si>
  <si>
    <t>Pedro Santana</t>
  </si>
  <si>
    <t>de Galicia. El teniente co­ ronel graduado D. Julián Aldrete , sargento mayor , tiene ya ofrecidos á en­ tregar en .España , (&gt;000 pesos. Capitanes. D. Pedro Santana , 100. D. José An­ tonio Remón , 100. D. Francisco Arosemona , 100. D. José deFábrega , ade­ mas del sueldo que le está asignado por castellano interino de Chagr…</t>
  </si>
  <si>
    <t>Santander, José</t>
  </si>
  <si>
    <t>José Santander</t>
  </si>
  <si>
    <t>tan señalado servicio, son: el R. P. Fr. Miguel Vazquez , cura del partido, D. José María Escalena, encargado de justicia, D. José Francisco Subori, D. José Santander, D. Francisco Solis, D. Pedro Zsvala, D. Juan Romero, D. Ignacio Hsrrera, D. Miguel EscarníHa, D. José Francisco López , D. José Francisco Hernández , Don Manue…</t>
  </si>
  <si>
    <t>Santia, Nicolás</t>
  </si>
  <si>
    <t>Nicolás Santia</t>
  </si>
  <si>
    <t>12 02 dantn de campo del Escmo. Sr. gausral engsfe, D. Nicolás Santia­ go, coa pliegas del g&amp;íh dei estado mayor general de este exéreíto, participando á S. E. ía gloriosa .victoria que acaban de eo. ¡seguir nuestras armas unidas á las aliadas en Arroyo-M j.iro,</t>
  </si>
  <si>
    <t>Santiago</t>
  </si>
  <si>
    <t>nda id.papitaiiP. Matías Cantu ,'200. Teniente D. Felipe dé la Garza,, 10Ó. Alférez ÍD. Isidro, de la GÍar/a, 50. La tropa, 438. Tercera id. Teniente D. Santiago, Tixefiná J ipO. Alférez. D. Blas María de la Garza , 50. La tropa , 482'. —'Qiiürtá id. Capítán^on José Agabo de Ayála, 250. Teniente JJ. Andrés Meñdibla , I0Ó.’ÁFd…</t>
  </si>
  <si>
    <t>a ( D. Luis), teniente de navio retirado. Bnnifdz (D. Paulino ) , canónigo de Salamanca. Escalera (D. Francisco), capitau de la milicia cí­ Bom ijh ( D. Santiago) , granadero de nuestra guar­ vica de la villa de Fuentes. dia real. x Escalera ( D.Fraocisco Xavier) , soldado de idem. Borges (D. Francisco), teniente de nuestra g…</t>
  </si>
  <si>
    <t>artínez Tornamira (D. Antonio), comisario de Gimbernat (D. Antonio), miembro del consejo guerra de primera clase. supremo de sanidad pública. Mateas (D. Santiago), subteniente de granaderos Girardin (D. Gabriel Pascual), primer tenienie de nuestra guardia real. de artillería de nuestra guardia real. Manre (D. Pedro), soldado …</t>
  </si>
  <si>
    <t>*74 mariscal duque ¿t Ragusa y yo &amp; Badajoz. Bernaoia (D. Santiago), fiscal del tribunal crimi­ ,,De este modo los enemigos no hm sacado de nal de Bilbao. ru última expedición á Extremadura y d.* mi ata­ Des-Essarts {D. Josef), canónigo de Santiago. que co</t>
  </si>
  <si>
    <t>rés Raposeiras, y D. José Gaspar y Barca ; subtenencia de bandera á D. Rafael de *¡ftj.ova, rt «* En el regimiento de infantería de L?on: ayudantía á D. Santiago fritaron: cías á D. Santiago la Rejilla, D. Itadro del Yerro, IX Víctor R.?strebada y D. Francesco Doñas; subtenencias á Do» Miguel Villar, D. Sautiaíro Nryra, D. Ig…</t>
  </si>
  <si>
    <t>Santiago, Juan</t>
  </si>
  <si>
    <t>Juan Santiago</t>
  </si>
  <si>
    <t>capittn del regimiento da Armero (D. Antonio), comandante de la milicia Córdoba , 7 0 de infantería de línea. cívica de la viila de Fuentes. Daugles (D. Juan Santiago), capitán de tiradores Anger (D. Francisco), tirador de nuestra guardia de nuctra guardia real. real. Detahe (D Josef) , subayu Jante del regimiento da Baldeon …</t>
  </si>
  <si>
    <t>Santibañ, Bernabé</t>
  </si>
  <si>
    <t>Bernabé Santibañ</t>
  </si>
  <si>
    <t>enjamín D woia, D. Ensebio F reyre, D. Gasnar Escapa, D. Benjamín Barríe, D. Pedro Sánchez, D. Joan Zaldivar, D. Manuel Zeldivar, í). Mdro Caballero, D. Bernabé Santibañ***,- D. Manuel de Vargas y ü. Joan Dow.de Brizo; y subtenencias á D. Diego Pacheco, Don Ramón Sancho, D. Juan Estraus, D. Máximo - Reynoso, D. Agus­ tín O e …</t>
  </si>
  <si>
    <t>Santiso, Pedro</t>
  </si>
  <si>
    <t>Pedro Santiso</t>
  </si>
  <si>
    <t>Casimiro Fue­ llo , D. Miguel -DuranD. José Morales, D. Luis Valderas, Don Juan Extrémela , D. José Romas»nta , D. Diego Malfeito, D. Alon­ so Perez, D. Pedro Santiso, D. Manuel Morgade, D. José Moreno García, D. José Gil Malfeito y D. José Muñiz; subtenencia de bandera á D. Francisco Zívihí-ano.- En el regimiento ds iafa*vAr…</t>
  </si>
  <si>
    <t>Santist, Vicente</t>
  </si>
  <si>
    <t>Vicente Santist</t>
  </si>
  <si>
    <t>uela militar de este cuarto exórcito, Don Antonio Aguado, cadete de! batallón de Campo*; ayor; y en el de Guadalaxara, compañías á D. Ventura Ssgura, D. Vicente Santist-'ban, D. Santiago Moreda, D. Jasé Capilla, D. Joaquín Covisa, D. Ramón Lodares y D. Salvador d® Les; ayudantía á D. Francis­ co de la Torre; tenencias á D. Ma…</t>
  </si>
  <si>
    <t>Santisteban</t>
  </si>
  <si>
    <t>l fuego con el mayor valor y orden, n-r entres la caballería avanzaba sob e ambos costados , á fia de atacar el cuadro ; pero solo se verificó por el coronel Santisteban con los granaderos i caballo da Fernando Vil, de cuya valiente tropa murieron 2 oficíales y 7 entre sargentos, ca­ bos y granaderos, rompiendo con nuestra in…</t>
  </si>
  <si>
    <t>Santociídes</t>
  </si>
  <si>
    <t>, y los oficiales que hay en estas ciudades están sumamente desazonados porque no vienen refuerzos de Fran­ cia , ni tienen noticia de auc vengan. El general Santociídes lia reunido á su exército mas de 1000 ca­ ballos de Iss partidas. D. Julián Sánchez continúa alistando los mozos en todos los pue­ blos de las orillas del Ta…</t>
  </si>
  <si>
    <t>Santocildes</t>
  </si>
  <si>
    <t>cretado el triunfo de las dos Empa­ ñas contra sus injustos enemigos. Cádiz 28 de junio. Parece que parte del exérclto de Galicia á las órden-es' del general Santocildes ha marchado sobre León : movi­ miento que en la situación actual de Castilla puede ser de la mayor importancia y consecuencias. Los papeles públicos anuncian…</t>
  </si>
  <si>
    <t>lería en bu seguimiento. — Los que vienen de Castilla asegu­ ran la entrada de nuestras tropas en Astorga, y que el exército de Gidic’a, al mando del general Santocildes v había batido en sus inme­ diaciones á los franceses : que D. Julián Saüchez con su partida ha­ bía entrado en Ledesma, y que le seguía una división inglesa…</t>
  </si>
  <si>
    <t>eron prisioneros. Fuera de estos hubo otros muchos enemigos muertos y heridos; los nuestros tuvieron algunos de esta última clase. Él 1S se retiró el general Santocildes á Ribanal, T menzo y pueblos inmediatos. La causa de este movimiento fue el haberse re­ forzado lo? franceses hasta el número de 14000 infanta , 2000 caba­ l…</t>
  </si>
  <si>
    <t>Santocildes, José María</t>
  </si>
  <si>
    <t>José María Santocildes</t>
  </si>
  <si>
    <t>edro dé Agar.—En Gídiz á 19 de agosto de 1811.— A D. José de Herejía.” j -i bri­ En óQFifidevcicion al mérito, circunstancias y se rvic.os uei gadier D. José María Santocildes, y á ios distinguidos que contraxo en la defensa de Astorga del aña próximo pasado, y en el man­ do en gefe interino del sexto exército, ha venido el C…</t>
  </si>
  <si>
    <t>Santos</t>
  </si>
  <si>
    <t>cante co actos titulada el Astrólogo fingido, y el sainete el ‘Page pedigüeño. Actores en la comedia; Señoras Ro­ por muerte de D. Nicolás Sánchez, á D. Santos sario García , Maqúeda , Torres y Cabo. Señores MaiCuesta, cura de Olmedillo. quézí, Ponce , Infantes, Avecilla, Suarez y Alverá. Para la vicaría de Alcoba de la Torre…</t>
  </si>
  <si>
    <t>Santos, Francisco</t>
  </si>
  <si>
    <t>Francisco Santos</t>
  </si>
  <si>
    <t>e Martin del Rio, vacante por muer­ renta señalada á su empleo para la dotación de un te de D. Ramón Gutiérrez* al presbítero ex-regu­ coadjutor. lar D. Francisco Santos. Y para esta coadjutoría á D. Miguel de IñnrPara la vicaría de Barba de Puerco, vacante ralegui * con ia asignación de 3333 rs. y n mrs. por ascenso de D. Si…</t>
  </si>
  <si>
    <t>Santos, José</t>
  </si>
  <si>
    <t>José Santos</t>
  </si>
  <si>
    <t>ores Calero , 12 E! presbítero D Francisco José Calejo, 13. Id , D. Julián León, 12. La coniniiil de i i líos y de su ant» , 2 id. E' aU cal le mtyor D. José - Santos-', 13. E! del anexo D José Carrillo , 12 El recaudador de tributos D. Luis de Onmoo ha entregado 1)9pesos y ofre­ ce dar en fin de aña otros 109. D Francisco Bo…</t>
  </si>
  <si>
    <t>Sanz</t>
  </si>
  <si>
    <t>laz-Rubio y el Puerto de Lumbreras, donde subsisten; y puedo decir con verdad, que ei celo y los acreditados talentos del gefe del estado mayor y del brigadier Sanz, han conser­ vado á la patria las 2 divisiones que dexá n su cuidado, cuando me separé á dirigir el resto del excrcito que debía venir á estos puntos por las sier…</t>
  </si>
  <si>
    <t>Sanz, Gabriel</t>
  </si>
  <si>
    <t>Gabriel Sanz</t>
  </si>
  <si>
    <t>, vacante por maerte dé D. Cayetano Perez de Ve­ vacante por renuncia de D. Joscf Sanz de la Vega, ra , í D. Josef Celedonio Ruiz, cura de Sinovas. i D. Gabriel Sanz, clérigo de prima. Para el de Regumiel, vacante por promoción Para el de la E'tepa de S. Juan, vacante por de D. Josef Palomar ai de Arévalo, á D. Domin­ muerte …</t>
  </si>
  <si>
    <t>Sanz, José</t>
  </si>
  <si>
    <t>José Sanz</t>
  </si>
  <si>
    <t>er ayudante al capitán segundo D. Francisco Monrabá ; &amp; capitán segundo al teniente D. Francisco Severo Sterlin; y á teniente al subteniente agregado D. José Sanz. El Consejo de R/gencia se ha servido conferir el empleo de se­ gundo ayudante del estado mayor del exército i, D. Victoriano Ma­ na Gallego : el de Uniente coronel…</t>
  </si>
  <si>
    <t>Sanz, Juan</t>
  </si>
  <si>
    <t>Juan Sanz</t>
  </si>
  <si>
    <t>y cor Calidad por el Emperador, por el promoción de D. Manuel Gómez á la de Escobar Reí, por toda la real familia, por la paz &amp;c.; y al y Pinillos, á D. Juan Sanz, presbítero. misino tiempo los sargentos, cabos y soldados del Nuestro ministro de Negocios eclesiásticos que­ regimiento esp ñol número 8.° dieron un refres­ da en…</t>
  </si>
  <si>
    <t>Sanz, Manuel</t>
  </si>
  <si>
    <t>Manuel Sanz</t>
  </si>
  <si>
    <t>tenencias á D. Mauricio de L -rgacha, D. Jo é Per­ noto , D. José deGaiilenea, D. Esteban S. Miguel, D. José Anto­ nio Romero, D. Ram&amp;n de Larrieta, D. Manuel Sanz, D. Domin­ go Cierto, I). Antonio Vallaría© y D. Sebastian Peñasco; y subte­ nencias á D. Diego Blanco, D. Manuel Miravete, D. Pablo J *¿ica, D. José Camerino, D. …</t>
  </si>
  <si>
    <t>del expediente promovido sobre erec­ tana del Pidió , á D. Vicente de la Fuente , clé­ ción de su anexo Velilía en vicaría separada, á rigo de prima. D. Manuel Sanz, ex-franciscano. Para el de Morales, vacante por promoción de Para el de Villanueva y Zainajon su anejo, va­ í). Lucas Tercero al de Modamio, á D. Francis­ cante …</t>
  </si>
  <si>
    <t>Saornü, Gerónimo</t>
  </si>
  <si>
    <t>Gerónimo Saornü</t>
  </si>
  <si>
    <t>y Ezla abaxo. Ea Bens. vente ha» quedad© como 2000 jurados. Valencia de Alcántara l.° de agosto. Según noticias recibidas de Castilla, la partida de D. Gerónimo Saornü ha cogido las guarni­ ciones francesas de Simancas y Tordesillas. El general en gefe regresó inopinadamente á este cuartel general ayer á las 11 de la mañana. …</t>
  </si>
  <si>
    <t>Sapera, Joaquín</t>
  </si>
  <si>
    <t>Joaquín Sapera</t>
  </si>
  <si>
    <t>é Angftala y Címtaloseda , 1000, D. Mateo Loba, 400. Id. Juan Manuel de Aa'ibialde, 100. D. Nicolás.Baüester y Flotáis. 1000 Se­ ñores. F. íl., 100. D. Joaquín Sapera, 100. IX Antonio Rarceló y Prats, 200. I), Diego García Pinto y i). Felipe de los Heros, 1000. D. Lodulfo Christian. •Whtooir, 300. D. N, 20. I). Joaquín Viüami…</t>
  </si>
  <si>
    <t>Sar</t>
  </si>
  <si>
    <t>e compondrá dé El señor coronel Lafitre, comandante' de Ta—. 23 navios de línea, y que la mandará sir James lavera , noticioso dé Jos movimientos de! brigadier Sar.rn.irez; y* que saldrá en brev.e. Importa mucho Mir, de su tentativa y*de su retirada, marchó cotí que tengamos fuerzas considerables en aquel mar. ^sn acostumbrad…</t>
  </si>
  <si>
    <t>los montes de S. Mateo de Premiá. Los somatenes se restituyeron á sha puntos, y el enemigo ;á Barcelona., Desds"ayer porc la .mañana tenemos aquí al brigadier Sar^field coa su división. . Aitíot 2 de setiembre. Place 3 dias que se oye. mucho fuego á la parte del Estará!!, que es un puerto de mar á una hora de distancia de la …</t>
  </si>
  <si>
    <t>Sar, Pab'o</t>
  </si>
  <si>
    <t>Pab'o Sar</t>
  </si>
  <si>
    <t>bargo de haber sido una acción sostenida esa ardor de una y otra parte, no hubo por ia nues­ tra ri un hembre herMp. Se disti guieroa en esta ocasión D. Pab'o Sar.taria, el alférez de infantería D. Anselmo Maire, y el sargento Francisco Narro. \ El 3 de setiembre intentó la infantería de lá Cruzada atacar á los franceses en ;…</t>
  </si>
  <si>
    <t>Sar, Vicente</t>
  </si>
  <si>
    <t>Vicente Sar</t>
  </si>
  <si>
    <t>al destacamento enemigo de Moli­ na, que con sus incursiones devastaba el país y afligía los pue­ blos, dispuse que el teniente coronel d: caballería D. Vicente Sar­ dina, coa el primer y tercer escuadrón, y M batallón de tiradores de S güenza cubriese aquellos puntos, y acucase, si había-opor­ tunidad , &amp;1 destacamento. El 1…</t>
  </si>
  <si>
    <t>Saravia, Antonio González</t>
  </si>
  <si>
    <t>Antonio González Saravia</t>
  </si>
  <si>
    <t>se posible. Ea efecto prevenido cuanto poáia hacer "mas augusto y magestuoso este acto, prestó S. E. en la audiencia y luego en manos del'Excmo. Sr. D. Antonio González Saravia, su antecesor ei&gt; el man­ do, el juramento de reconocimiento de la soberanía nacional que re­ side en las Oírles generales y extraordinarias congregad…</t>
  </si>
  <si>
    <t>Saravia, Cayetano</t>
  </si>
  <si>
    <t>Cayetano Saravia</t>
  </si>
  <si>
    <t>eina, y tuvo uná Tenientes. consulta con los médicos que asisteD á $. M., y en D. Fernando Lugo. seguida se dirigieron ios dos al palacio, y han sido D. Cayetano Saravia. admitidos á la audiencia de S. M., con quien han D. Fiaocisco Caro Velero. tenido nna conferencia de mas de una hora, é in­ mediatamente después de esta con…</t>
  </si>
  <si>
    <t>Saravía, José</t>
  </si>
  <si>
    <t>José Saravía</t>
  </si>
  <si>
    <t>volun­ tarios de España.- Asimismo á tenientes coroneles del real cuerpo de arüleáa á ks capitanes D. Felipe Luengo, graduado de teniente coro­ nel, D. José Saravía, ídem, y D. J-faquín ce Góngora: á capitanes á los tenientes D. Manuel Várela y Ulloa., graduado de capitán, D. Mi-</t>
  </si>
  <si>
    <t>Sardina, Manuel</t>
  </si>
  <si>
    <t>Manuel Sardina</t>
  </si>
  <si>
    <t>758 3a 929? *5f D. Antonio Piúeiro, marque* de El real colegio de Avapies............. “73 8f Vendada...................................... 60964 2 J D. Manuel Sardina.......................... 3068 Doña Rosa de Siman Pontero...... 810 D. Ramón de Arana....................... 20559 8f Doña Juana de Muga.................... 90…</t>
  </si>
  <si>
    <t>Sarfiocucks</t>
  </si>
  <si>
    <t>eso con loa 20 cnx llo-s, cue y&gt; re­ sudó a! comandante de bu división ei brigadier: D. Francisca Gabmrn. — En "préñalo de estos y otros servicios el general Sarfiocucks le ha. í'oi:fcridí.s el grado de subteniente. Eí comandante general interino del sexto ex&amp;ciio desde su cuar-</t>
  </si>
  <si>
    <t>Sarr, Antonio</t>
  </si>
  <si>
    <t>Antonio Sarr</t>
  </si>
  <si>
    <t>astejon.......................... 292 17 ciarte................................................... 12364 8f 3 Dona María Alexa Cetragería.......... 1 D. Antonio Sarr.it................................ 180 1/ 33 7 f y Doña Xavicra de Osma...... ........... ... 4485 12 1 D. Julián de Erguinio , por medio de 4 D. Francisco Saez …</t>
  </si>
  <si>
    <t>Sarratea, Manuel</t>
  </si>
  <si>
    <t>Manuel Sarratea</t>
  </si>
  <si>
    <t>1130</t>
  </si>
  <si>
    <t>ro 21 de abril de 1811. oidos á las sugestiones de los mal intencionados, Excelentísimo señor: que tenían interes en extraviarlos, in. s bien que ' ,,D. Manuel Sarratea , que acaba de llegaraqui, escuchar los consejos prudentes de sus hermanos. Me ha entregado vuestra carta, la qual he puesio Esto es lo que ha dado ocasión á …</t>
  </si>
  <si>
    <t>Sarria, Francisco</t>
  </si>
  <si>
    <t>Francisco Sarria</t>
  </si>
  <si>
    <t>ja, por el importe ¡do su sueldo -anégl, que ofrece no percibir ínterin dure la guerra, 1455 y 7. D; Francisco Rue­ da , individuo político , 40 y 3; D. Francisco Sarria, id. , 40 y 3. El maes­ tro y operarios del taller de armería , 694 y 2. El máéstro y operarios dft " la maestranza del Callao , 495. Juan Piamonté, sargento…</t>
  </si>
  <si>
    <t>Sarriet, Juan</t>
  </si>
  <si>
    <t>Juan Sarriet</t>
  </si>
  <si>
    <t>n; y ¿ quién D. Miguel de FrLs. sabe si á fuerza de meditar llegaría á descubrirse D. Joaquín Ajero. que lo que ahora , por exemplo , cretnms ona en­ D. Juan Sarriet. fermedad del día , es un achaque mui antiguo, que Subtenientes. «n tiempos mui remotos se llamó barbarie, y que D. Josef Elcjalde. después se disfrazó con el tí…</t>
  </si>
  <si>
    <t>Sarroll, Joan</t>
  </si>
  <si>
    <t>Joan Sarroll</t>
  </si>
  <si>
    <t>ernando Rodriga, z. este decreto. = Firmado = YO EL REI — por S, M., el ministro secretario de Estados EirmaTenientes. do = Mariauo Luis de Urquijo.” D. Joan Sarroll 1. D. Francisco Gómez. D. Juan García. El dia 4 del corriente se celebró la apertura de la real academia de Ingenieros, creada por S. M. Subtenientes, cu esta ca…</t>
  </si>
  <si>
    <t>Sarrut</t>
  </si>
  <si>
    <t>de Roma. El general Mio- envió la primera brigada de la segunda división llis , teniente de gobernador general&gt; ha dado tam.- para sostener á la del general Sarrut: ¡los enemigos bien un baile mui brillante. fueron rechazados en todos los ataques , y nuestra Se han celebrado con todo el aparato y magni­ artillería hizo en sus…</t>
  </si>
  <si>
    <t>Sarsfieid</t>
  </si>
  <si>
    <t>r esta carga, desfilaba por el frente del pueblo para emprender su maniobra ; pero una colma r-a de nuestra infantería, oportunamente colocada por el brigadier Sarsfieid, le hizo des descargas cerradas tan cousecufvr.s y bien dirigidas , que la destrozó completamente , siendo muy p-&gt;CGg los que se salvaron de la suerte de mue…</t>
  </si>
  <si>
    <t>Sarsfíeid, Don Pedro</t>
  </si>
  <si>
    <t>Don Pedro Sarsfíeid</t>
  </si>
  <si>
    <t>e las casas: ya iba teda nuestra tropa ú romper el suyo en toda la linea, y empezar el ataque general, quardo recibe el general en g? fe un parte del coronel Don Pedro Sarsfíeid en que le decía que sabia positivamente qué los enemigos eran de 14 á 15 mil hombres, manda­ dos por el mariscal Macdonaid: que ademas venia á reforz…</t>
  </si>
  <si>
    <t>Sarsfield</t>
  </si>
  <si>
    <t>ola , é hiciese alto mas acá de Monjos, ínterin yo me situaba en el Arbós para sostenerlo. — El enemigo continuó hasta encontrarse con las tropas del coronel Sarsfield, y este bizarro militar le contuvo y escarmentó en los términos que expre­ sa el adjunto parte del mismo, que original remito á V. E. con una copia de la relac…</t>
  </si>
  <si>
    <t>z de abatir el vuelo de sus ex-invcncibles águilas. Altafulla 30 de noviembre de 1810. — José Obispo. — Excmo. Sr. Don Enrique O-Donell.” ; Parte del coronel Sarsfield al general Obispo. “Con el objeto de contener al enemigo en su marcha, y evitar que por su superiori­ dad de fuerzas cayese sobre nuestro flanco ó retaguardia,…</t>
  </si>
  <si>
    <t>Manresa, y en la noche del $0 al de marzo puso fuego á su capital, que quedó lastimosamente reducida á cenizas. No pudo estorbarlo lá diligencia del brigadier Sarsfield. que aquella misma noche alcanzó y batió á la retaguardia enemiga, que tuvo perdidas de. consecuencia. En los dias y y 6 de abril, ei teniente coronel D. Jo*é…</t>
  </si>
  <si>
    <t>300 infantes, 2 cañones y alguna caballería: en esta ac­ ción conocí que ?a poca tropa se acordaba aun de que hablan sido del exército da Cataluña. E brigadier Sarsfield contraxo nuevos de­ rechos ¿ la gratitud nacióla; y á mi sincera admiración, por reunir todos los conocimientos y virtudes militares reservadas para aquel qu…</t>
  </si>
  <si>
    <t>Sarsfield, D Pedro</t>
  </si>
  <si>
    <t>D Pedro Sarsfield</t>
  </si>
  <si>
    <t>ada , teniente coronel del de Ilibernia; y por hallarse este prisionero de guerra, al coronel D. Diego de Vega, teniente co­ ronel del de Almería: al coronel D Pedro Sarsfield, comandante del batallón de infantería ligera de Tarragona, y á D. Daniel Osuliban, teniente coronel del batallón de voluntarios, distinguidos, dé Ulto…</t>
  </si>
  <si>
    <t>Sarsfield, Pedro</t>
  </si>
  <si>
    <t>Pedro Sarsfield</t>
  </si>
  <si>
    <t>militares para que nadie de nosotros hubiera vuelto á esta plaza. — El general Eugeni, paisano de Napoleón, ha sido herido en .la acción que sostuvo D. Pedro Sarsfield, habiéndose sabido que los pri­ sioneros que este hizo al enemigo son en bastante numere También pedemos asegurar que en la acción de ayer tuvieron mas de aoo …</t>
  </si>
  <si>
    <t>Sarsnsld, Pedro</t>
  </si>
  <si>
    <t>Pedro Sarsnsld</t>
  </si>
  <si>
    <t>ticulares. Qanduce varios señores diputados de Cortes. ARTICULO ÜE OFICIO. El Consejo de Regencia ha nombrado brigadieres de los reiles exéc•citos á D. Pedro Sarsnsld , coronel del regimiento de infantería de ¡Ultgnia , y al coronel de caballería conde de Penne Villemur. Parte dd teniente general D. Gabriel de Mendizabal al S…</t>
  </si>
  <si>
    <t>Sas</t>
  </si>
  <si>
    <t>de las bellas letras. &gt;»destino, y que se ha trabado una acción mui La ocupación de la Servia por un. cuerpo ruso ♦» iniport (rte.” 4 las órdenes del general Sas* se ha efectuado siu Se dice que el pobierno del Regente ha d-d.o ninguna resistencia de parre de los servios, * pe­ un- respuesta categórica á las preguntas de .os …</t>
  </si>
  <si>
    <t>pasa de lo regnlar: mayores elogios mere­ Las cartas de la Valaquia dicen que el cuerpo ce la edición dé la Farsaüa de Lucano, confron­ .&amp;el teniente general Sas?» que habia estado apos­ tada con varios manuscritos de Viena, por Angel tado tanto t^eippn á orillas del Timok para man­ Ilicino, con 1.0 lámioas di buzadas y graba…</t>
  </si>
  <si>
    <t>Sasí</t>
  </si>
  <si>
    <t>de las forti­ nubio , se han disipado enteramente desde que se ficaciones de esta ciudad, porque ocasionaba de­ ha sabido que el cuerpo del teniente general Sasí, masiados gastos; no obstante,ei público siente ma­ cuya mayor parte se hsbia retirado ya á la pequeña cho ver las inmediaciones y los alrededores de la Valaquia, se…</t>
  </si>
  <si>
    <t>Sass</t>
  </si>
  <si>
    <t>iddin. Ademas es de creer que la quaresma ó el char á pie, y ios conduxo a¡ campo ruso. Eí tenien­ ramadan suspenderá todas las operaciones de los te general Sass ha recompensado esta brillante ac­ turcos, y ya’há tiempo que el gran visir la habria ción dándole los caballos y las armas de los siete socorrido si hubiese estado…</t>
  </si>
  <si>
    <t>ristiartsand, ea Norue­ extremo. La guarnición de Widdin hace una re­ ga, para la embarcación Lucía, capitán Reramec sistencia obstinada: el teniente general Sass ha he­ Hendricks, los quales dirán que habéis ¡do allí cho bombardear la ciudad por espacio de muchos desde AmsterJan en lastre, y que habéis tomado dias&gt; de cuyas …</t>
  </si>
  <si>
    <t>motivo de te numeroso, el qual observa y contiene á los tar­ esta función se suspendió para el dia siguiente la cos de Nissa. El cuerpo del teniente general Sass junta general del consejo del imperio, que por lo está reconcentrado delance de Widdin. Una parte regular se celebra los. lunes, y á la que ha asistido de la caballe…</t>
  </si>
  <si>
    <t>r.oche partieron el Las notici as que han llegad»de Turquía éon- veneno, y se separaron , quedando en tomarlo á las firmanq-ie el cuerpo del teniente general Sass es el cinco de Ja mañana. La señorita cumpliósu pala­ ¿ tico dei exíicitoruso que se halla en servicio ac­ bra , y á la hora convenida tomó una porcii n de tivo de …</t>
  </si>
  <si>
    <t>ue mientras esté en poder de las tro­ £1 general en gefe conde Kamenski ha dado ár­ pas combinadas , es imposible que el enemigo pase dea al teniente general Sass de levantar ei bloqueo el tio. Pero si Masseoa logra su intento, quedará el de Widdin, Jo que ha efectuado. El cab.liero exército combinado tan reducido en la ori ¡…</t>
  </si>
  <si>
    <t>da día escasea la carne, y y la causa de esto se decia que era el haber consu­ tube mas de precio, ha mandado el Rei preparar mido el cuerpo roso del general Sass los víveres en la ciudadela todo lo necesario para extraer la que se hallaban en las inmediaciones de Prahowa, «sustancia de los huesos de todos los bueyes y va­ y …</t>
  </si>
  <si>
    <t>por rodo quanto á nos toca, rusos, y todavía se espera mas infantería y caba­ no podemos diferir el participaros que la Empera­ llería. Créese que el general Sass se encargará del triz , nuestra mui querida y amada esposa y com­ mando general del exército. Czerni-Jorge está pañera , acaba de dar á luz con toda felicidad un re…</t>
  </si>
  <si>
    <t>Giurgewo, y de echar un puente Estockoltno 3 de mayo. ,para mantener la comunicación con Rudschuck. ■Dícese que nuestro embaxador cerca de la cor­ El general Sass mandará una división de caballería, te de París ha obtenido permiso para venir á pasar y .se ie espera allí de un instante á otro. nna temporada á Estockotmo. El ge…</t>
  </si>
  <si>
    <t>s, y la baxa del cambio, causada porel influxo reunido luego volverá á Bucharest. de la ignorancia y de la malevolencia, por un agió Hace dias que el general Sass está gravemente reprehensible, y por una inacción evidentemente enfermo. El teniente general Woinoff, que ha lle­ combinada. Al dirigir esta amonestación á los ne­ …</t>
  </si>
  <si>
    <t>os ¡para destruirla. Tal era la situación de la adelantado hacia Timóle ei cuerpo de exórciro dél infeliz ciudad de Tarragona el viérnes 28 de junio. general Sass &gt; qoe estaba acampado entre Regodtn Los franceses rompieron á las seis y media de la y Pregova. mañana un fuego mui vivo y sostenido dé artille^ Han salido de Belgr…</t>
  </si>
  <si>
    <t>s, desde el punto éh que retirada al ala izquierda del exército ruso. El cuer­ el Elba principia á separar los dos reinos hasta el po de exército del general Sass ha recibido orden de en que este rio se retira mas abaxo de Magdeburgo marchar á Timock, luego que se ha tenido noticia de los estados prusianos. Las islas de Werde…</t>
  </si>
  <si>
    <t>emos hacer es quitape­ guarnición rusa de K’ad.&lt;\va se ha reunido con el los: bien que el sostener á la Sicilia contra los na­ cuerpo de exé:cito del general Sass. Se han envia­ turales y contra los franceses en faV&gt; r de una cor­ do de B .-Igrado al campo de D ¡igrand varios te , cuyo gif mira , según dicen , con la imyor in…</t>
  </si>
  <si>
    <t>s , estando ausente nuestro exército; y es Ha llegado aquí de Crajova un correo roso con de desear que los ministros dea algaaa providen­ pliegos del general Sass , en los que dice que .ha­ cia para nuestra defensa. La seguridad de la Irlan­ biendo pasado 3© turcos él Danubio entre Lom y da está confiada á un cortísimo húmero…</t>
  </si>
  <si>
    <t>iembre. tá enteramente interceptada la comunicación entre Widdin y Nueva-Orsowa. El cuerpo de tropas La semana pasada cruzaron el Belt 2 convoyes del general Sass se ha visto pre isado á abandonar enemigos. El uno , que venia del mar del Norte , se el Timock, y actualmente está acampado enfrente componía de 2 navios de línea,…</t>
  </si>
  <si>
    <t>sediciosos han sido ajusticiados, y. Padu-Pitan, Koputschan y Torno, para reforzar los demas se Ijan dispersado. La misma suerte está, el cuerpo del general Sass, que no tiene bastantes destinada para los edificios de .esta clase que hai tropas para tomar la ofensiva. en la capital, y que se llaman vulgarmente bagce-_ Hamed-e…</t>
  </si>
  <si>
    <t>e literatura. las operaciones del cuerpo ruso que se habia que­ dado al otro lado del Danubio, sobre lo qual se SAXONIA. ha hablado mui vagamente. El general Sass habia dexado este cuerpo en la orilla izquierda del Ti­ Dresde iS de setiembre. móle para observar los movimientos de las tropas El Rei salió esta mañana para Varso…</t>
  </si>
  <si>
    <t>minará estos puntos. res Rspniiiski y Sbijewski, que á consecuencia de Todos los oficios del landamann respiran amistad, lo dispuesto por el teniente general Sass mandaban franqueza y buena armonía. los destacamentos en estos puntos. no solamente rechazaron los 2 ataques de los turcos, que los Soleare 28 de setiembre. habian …</t>
  </si>
  <si>
    <t>i año pasado 62© arces para fabricar azú­ cido convecuencias fatales para el enemigo. El te­ car , ha destinado este año 82© para el mismo ob­ niente general Sass ha acorralado detras de los pan­ jeto: en fin, ei conde Josef Nostitz ha sacado ya tanos a todas las tropas turcas que han pasado á la de los arces de sus estados s…</t>
  </si>
  <si>
    <t>on , navio americano, salió el viernes de 10Q hombres ,se ha movido de nuevo contra los de Plimouth para Nueva-Ynrck, cargado de parusos que manda el general Sass, y ha intentado sageros americanos, muchos de ios quales estaban atacar la ciudad de Crajowa, donde se habian tiempo hace en Devonshire, y dexau actualmente atrinch…</t>
  </si>
  <si>
    <t>habían ido con intención de exércíto en la pequeña Valaqui». Continúan in- disolver la asamblea, porque era ilegal; que á es­ uierando al cuerpo del general Sass las tropas de te fin te babiau puesto en camino inmediatamente smail-bei y las de Feizi-agá: estas últimas se que habían tenido aviso que estaba ya ocupado el compon…</t>
  </si>
  <si>
    <t>apao-Ogtod y alganos otros ébtre las dos orillas, rechazando el cüerpo del,ge­ baxaes mandan el cuérpó que está encerrado en la neral Markow; pero el general Sass, qüe ob'serviisla dé Slóbwdse. baral baxá,, ha pasado él rio por baxo de.Widdio| ,, Al mismo tiempo qué sucedía lo referido cer­ y le sigue mui de cerca. El general…</t>
  </si>
  <si>
    <t>Sastrada, Blas</t>
  </si>
  <si>
    <t>Blas Sastrada</t>
  </si>
  <si>
    <t>bre te de la quinta compañía. una función mui brillaote, á la que' asistieron ios Octavo batallón. ministros de las potencias extrangeras y las perm­ D. Blas Sastrada, sargento primero, á subteniente itas mas dastiogaidas de la corte y de la ciudad. de la quarta compañía. # ESPAÑA. TSÍovcno batallón. * D.''Manuel Ríaza , sarg…</t>
  </si>
  <si>
    <t>Sastre, Cenon</t>
  </si>
  <si>
    <t>Cenon Sastre</t>
  </si>
  <si>
    <t>, 100. D. Andrés Sauri , 100. D. Salvio Garbo y compañía, 100. D. José de la Rosa Manzanilla, 100. D. Francisco de Estrada, 100. D. Juan Brioso , 50. D. Cenon Sastre, 50. Alexo Fncalada , 50. D. Juan González , 50. D. José Sirarola, 50. Don Joaquín Casares, 50. D. Juan Vicente Alfonso , 50. D. Pedro Delgado, 50. D. D iego Río…</t>
  </si>
  <si>
    <t>Satisfecho, Manuel de Dapenai</t>
  </si>
  <si>
    <t>Manuel de Dapenai Satisfecho</t>
  </si>
  <si>
    <t>lla con el todo de mi división. — Dios guarde á&gt;V. E. muchos afips. Fregenal y Febrero 19 de 181 r. — Exento. Sr.—Francisco Ballesteros. — Excmo. Sr. D. Manuel de Dapenai” Satisfecho el consejo de Regencia del acierto Ide esta empresa así eti su combinación coiho en la execucion , de que deben esperarscxresulta­ dos de ftiayo…</t>
  </si>
  <si>
    <t>Saturnino</t>
  </si>
  <si>
    <t>Liser ( D. Juan Bautista), tambor del mismo re- Pont. ( D. Antonio) , capitán de tiradores de nues­ g¡mrent&lt;’. tra guardia real. Lucioo y Villegas ( D. Saturnino). Pradal (D. Josef), furrier en el de fusileros de ídem.</t>
  </si>
  <si>
    <t>Saucedo, José Antonio</t>
  </si>
  <si>
    <t>José Antonio Saucedo</t>
  </si>
  <si>
    <t>osé Antonio de la G irza, 10. D. Víctor Blanco, 20. D. Apolinar de Marrnela, 40. D. Be nito Antón, ,20, D. Francisco Perez, 10. I). Antonio Vaca, 50. D. José Antonio Saucedo, 20. D. José Angel Navarro, 10. D. José María Zambrano, 10. D. Pedro L'ongueville, 30. D. Félix Estrada, 10. D. Fran­ cisco Col jantes , 40. D. Rafael Co…</t>
  </si>
  <si>
    <t>Saüchez, Julián</t>
  </si>
  <si>
    <t>Julián Saüchez</t>
  </si>
  <si>
    <t>uestras tropas en Astorga, y que el exército de Gidic’a, al mando del general Santocildes v había batido en sus inme­ diaciones á los franceses : que D. Julián Saüchez con su partida ha­ bía entrado en Ledesma, y que le seguía una división inglesa. Del 24. Los empleados y ge fes del exército francés se hallan muy inquietos al…</t>
  </si>
  <si>
    <t>Sauri, Andrés</t>
  </si>
  <si>
    <t>Andrés Sauri</t>
  </si>
  <si>
    <t>ura Batllé , 100. D. Vicente Ta­ layera, 100. D. Buenaventura Oliver y Barquez , 100. D. Manuel Ansel­ mo López Carta, 100. D. Cristóbal Rieart, 100. D. Andrés Sauri , 100. D. Salvio Garbo y compañía, 100. D. José de la Rosa Manzanilla, 100. D. Francisco de Estrada, 100. D. Juan Brioso , 50. D. Cenon Sastre, 50. Alexo Fncalad…</t>
  </si>
  <si>
    <t>Sautocildes</t>
  </si>
  <si>
    <t>detalles.” La segunda legión del cargo del corone! D. Pablo Mier, que se hallaba sobre Grackfes, se acercó ú León ea virtud de orden que recibió del general Sautocildes. El 20 del actual fué atacada la par­ tida del capitán D. Emito MarquiíKz, apostada en Aícabir ja. por 500 i&amp;faníes y 70 cu bailes que de dkha ciudad pasaban …</t>
  </si>
  <si>
    <t>Sauz, Leonardo</t>
  </si>
  <si>
    <t>Leonardo Sauz</t>
  </si>
  <si>
    <t>con fecha de ayer me da el parte siguiente : „Habiéndose quedado Francisco Andrade con 9 hombres en las inmediaciones d; Alcalá , y sepavádose de su comandante Leonardo Sauz, el Valenciano, se dirigió al campo de Chiclans, donde en­ contró 5 individuos de partida de mi cargo; reuniéndose, no JL y v lautos. Retirado A uirade a…</t>
  </si>
  <si>
    <t>Sawurski</t>
  </si>
  <si>
    <t>ito......................... ....................................... 19000 y el capitán Pechari, que iban de Víena á París: el príncipe Gail.tzin; el conde Sawurski y el con­ Mr. Forsterpropone otros dosimpnestos, aun­ de Schunwaloíf, que veniati de Petersburgo, 6 iban que no esperasacar de ellosgrandes productos. Ef también …</t>
  </si>
  <si>
    <t>SAXONIA, Guillelmo de Ba</t>
  </si>
  <si>
    <t>Guillelmo de Ba SAXONIA</t>
  </si>
  <si>
    <t>, y ge­ y de la Bessarabia , y ademas en la independencia neral de artillería. Nuestro mui amado hijo ei Prín­ de la Servia. cipe Real de Baviera, el duque Guillelmo de Ba— SAXONIA. viera , y el teniente general Deroi, quedan nombra­ - Leipsick t.° de enero de 1811. dos Generales de infantería; el teniente general con­ de Wre…</t>
  </si>
  <si>
    <t>Sayas, Francisco</t>
  </si>
  <si>
    <t>Francisco Sayas</t>
  </si>
  <si>
    <t>1038 das de Lprga y otras que discurren por el norte de España. El patriota cántabro D. Francisco Sayas ,1 uno de los españoles que mas trabajaron en los principios de nuestra sagrada insurrección en excitar el patriotismo de sus compatriotas'y, proporcioiurls au« xiiios.para sostenerlo, acaba</t>
  </si>
  <si>
    <t>Sayró, Esteban</t>
  </si>
  <si>
    <t>Esteban Sayró</t>
  </si>
  <si>
    <t>txército. Cádiz 8 de diciembre de 1811. — El Cornejo de Regencia se ha servido conferir en e! regimiento de infantería primero de Sahoya, compañías á D. Esteban Sayró, y D. Vicente Sancho: ayudantía á D. José García: tenencias á D. Ji'sé Lopes y Angulo , D. Jacobo López, B. Miguel Salazar, D. Temas Moreno, D. Juan Julián da T…</t>
  </si>
  <si>
    <t>Sbbasíiasi</t>
  </si>
  <si>
    <t>756</t>
  </si>
  <si>
    <t>tro, como asimismo las de las Andalucías , á ex­ cepción. de las absolutamente necesarias para mantener su posición:. eEfrente de Cádiz., y la que el general Sbbasíiasi ocupa en la parte criental.de las mismas provincias.— El enemigo ha abandonado las dos Castillas-, á excepción de una pequeña guarnición que dexó en Madrid y-…</t>
  </si>
  <si>
    <t>Scbastiani</t>
  </si>
  <si>
    <t>omar ana el castillo, ni salir de él. Las enfermedades hacen posición mas ventajosa en Batza, gratules estragos en la plaza , la qual está á punto El general Scbastiani marchó el n de mayo de faltarle todo, con ¡dennos esquadrones á reconocer la posición ESPAÑA. del enemigo en Gor; y algunas pequeñas cargas ba*r,rori para det…</t>
  </si>
  <si>
    <t>Scc</t>
  </si>
  <si>
    <t>n los señoes firskine das las quadrillas que andaban por los alrededores y J.ckson, no dixo una palabra' del bloqueo d« de Talavera, de la Puente del Arzobispo Scc. Las iSoó. Habíalo reconocido quando se promulgó, de Camilo y Alexandro han sido acosadas terrible­ lin hacer reclamación ninguna , y ahora que ve que mente y disp…</t>
  </si>
  <si>
    <t>Sce</t>
  </si>
  <si>
    <t>rigióse rápi­ tiempo que está hecho. También se distinguieron damente al caminí» de Baíajaz á Campara ¿y or , J el sargento de zapadores^Vinceut , el capitán Sce- alli empezó el ataque centra la izquierda de La lí­ phanapoli , del 2 1.° de infantería ligera , Massoni, nea enemiga. El 2° de húsares penetró en su cam- &lt; «obteni…</t>
  </si>
  <si>
    <t>riilas de cinco ca­ 2.° A los corregidores y adjuntos, miembros ballos cada una , de quatro reyes de armas, doce del consejo municipal. trompetas, un juez Sce. En este torneo se execu3.0 Al cons-jo de administración, á la comi­ taron juegos de sortija , la carrera con la espada, sión de lo' hospicios y socortos, y al director…</t>
  </si>
  <si>
    <t>Schauenbourg</t>
  </si>
  <si>
    <t>ieros, que con sn ta­ tiempo en el regimiento de Aisacia, de que el Reí lento y actividad han puesto las obras de’fortifica­ era coronel. El hijo del general Schauenbourg, ge- ción en un estado tal , que el enemigó no podía fe de esquadron al servicio de Francia, ha sido con­ fundar esperanzas de buen éxito en su ataque. Re­ …</t>
  </si>
  <si>
    <t>Schmids, Francisco</t>
  </si>
  <si>
    <t>Francisco Schmids</t>
  </si>
  <si>
    <t>BOHEMIA. una capa gruesíslma. ' La consulta extraordinaria babia prescrito des­ Praga *5 de junio. de el mes de agosto de i8fo varias medidas parx El profesor Francisco Schmids ha descubierto destruir estos insectos tan perjudiciales, y produel modo de fabricar en grande la sal sulfúrica, co­ xeron algún buen efecto. nocida b…</t>
  </si>
  <si>
    <t>Schr</t>
  </si>
  <si>
    <t>a generosi­ y blanca, el papel verde, y todas las flores, fres­ dad de nuestro Príncipe heredero no hubiera veni­ cas y secas, no dan fez ninguna. El doctor Schr„nk do á su socorro. Este Príncipe, amigo y protector sigue en la explicación de estos fenómenos las ideas de las artes y de las cundas, principalmente de ¡a de Euler…</t>
  </si>
  <si>
    <t>Schrank</t>
  </si>
  <si>
    <t>ros marcharán á Ambe- derechos eternos á la gratitud de nuestra sociedad tts por destacamentos de too hombres cada uno, y de nuestra patria. El señor doctor Schrank ha­ y su total se rebaxar.í del de la inscripción marí­ blará después del fósforo de Beccari.” tima.'El ministro de la Marina tomata las medidas El señor barón de…</t>
  </si>
  <si>
    <t>honor de ra que llegasen á tierra sin violencia. P. ro aun su­ contar entre sus miembros! ” poniendo que el viento permitiese al humo llegar El señor doctor Schrank leyó nna memoria so­ i las nubes, ni aun asi podria producir este efecto, bre el modo con que hab'a repetido los experi- por quanto dexa mui pronto la superficie …</t>
  </si>
  <si>
    <t>Schusvaloff</t>
  </si>
  <si>
    <t>de 1811. que habia ido á Viena con la noticia del feliz alum­ bramiento de S. M. la Emperatriz María Luisa. El Serenísimo Señor: mismo día pasaron el conde Schusvaloff, teniente ,,En conformidad de las órdenes de V. A. R., general ruso , y el señor RakischaicíF, consejero de me embarqué en Ancona el r 1 por la tarde en la S. …</t>
  </si>
  <si>
    <t>Scrra, Aarustin</t>
  </si>
  <si>
    <t>Aarustin Scrra</t>
  </si>
  <si>
    <t>s á D. Francisco Rafael, D. Manuel Taquinet©, D. íhdegria Msliana , D. Podro Pascual del Castillo, D„ Antonio Elers, D. Melchor Moya, D. José Matras, D. Aarustin Scrra, D. Antonio Quircó, D. Cristóbal Alvaro, Don José Torreas, D. José María Cazarla, D. Vícente Crosal. D, Ma­ nuel Dorado, D. Francisco Colmenero, D. Juan B anco…</t>
  </si>
  <si>
    <t>Se, Duiffí</t>
  </si>
  <si>
    <t>Duiffí Se</t>
  </si>
  <si>
    <t>americanos des­ gobierno. asnados á Francia." Tribunal del almirantazgo 23 de julio. Nueva-Yorck 2S de junio. ,, Loque sigue &lt;1 El T'toce Gesusters, capitán Duiffí Se trataba lo mas importante de la respuesta del presidente! de saber los títulos de este barco, que venia sin li- una representación hecha por la cindad de Nueva•…</t>
  </si>
  <si>
    <t>Se, Florencio</t>
  </si>
  <si>
    <t>Florencio Se</t>
  </si>
  <si>
    <t>ora se ha dicho acerca D. Andrés Espinar, ex-franciscano descalzo. de la critica situación de aquel desgraciado pais. Para la de Mecina de Fondalas á D. Florencio Se prohibe por dicha orden pescar de noche, y González, del mismo órden. que los pescadores se alejea de dia á mas de dos Para la de Castaras á.D. Francisco Josef C…</t>
  </si>
  <si>
    <t>Se, Pedro Pita y Don Manuel</t>
  </si>
  <si>
    <t>Pedro Pita y Don Manuel Se</t>
  </si>
  <si>
    <t>Sánchez; los de subteniente i D. Facundo Rodríguez, D. Fernandez Camino, D. Joaquín Rubenes, D. Joaquín Peliicei, D. Cayetano Sexto, D. Diego Silva, D. Pedro Pita y Don Manuel Se uto Gonzálezy el de subteniente de bandera á D. Manuelsantos. hule que el gefe del estado mayor del quinto y sexto excrcito remi td señor ge fe del …</t>
  </si>
  <si>
    <t>Séb</t>
  </si>
  <si>
    <t>s mayores de brigada D. Juan Pa­ lomino, D. 'Juan Scciats , D Pedro Saípzar y D Migue! A ochávala: á s^rggntos mayores dé'brigada 9. á‘Iosr¡capitanes D Séb^sf an de S. Juan, »D Blas Manuel Te-ue? , p. ‘José "María Dana , ‘D. Vicente Sánchez, D. Joaqui« d i la G qz , D Raf el dél-Barrio , D. Miguel S.mtillana y D. Ignacio O ov…</t>
  </si>
  <si>
    <t>Sebasra</t>
  </si>
  <si>
    <t>erpo de exército charse de Ja ausencia del exército del duque de ingies, que Weliington habia dexado (al salir pa­ Dalmacia para atacar el cuerpo del general Sebasra ét sitio de Badajoz) situado en las fronteras de­ tiani, y amenazando sas comunicaciones con Sier­ lante de Ciudad-Rodrigo. ra-Morena, obligarle á desguarnecerá …</t>
  </si>
  <si>
    <t>Sebastiaai</t>
  </si>
  <si>
    <t>enerales Lorge y D’A magano han recibido árdea de re a» irse y marchar contra los pequeños cuerpos que ai parecer quie­ ren inquietarla izquierda del general Sebastiaai.— A S A. S. el príncipe de Wagraai y de Neufchatel, mayor general del empera­ dor, en mano propia. — Fifis. — Del general conde Belliard» l)e Belliard á José …</t>
  </si>
  <si>
    <t>Sebastian</t>
  </si>
  <si>
    <t>o á los Si tía á un cuerpo de 13® turcos, que ha cogido ingleses la tercera parre de sus tropas. 63 prisioneros y dispersado á los restantes; pero El general Sebastian! que manda e! quarto esta noticia ueccsita de continuación. cuerpo, compuesto de 20Q hombres, supuso que</t>
  </si>
  <si>
    <t>ado á adonde habia sido enviado eu calidad de tropas li­ los insurgentes de ia serranía. geras ó tiradores. El que llevaba el águila fu* Luego que el general Sebastian! recibió la no­ muerto , y no se ha podido encontrar después el ticia de que los enemigos marchaban coatra el pri­ águila , cuya pérdida no puede imputarse á e…</t>
  </si>
  <si>
    <t>os, horrores y robos, llevándose presos al corre­ celente posición de Guadix , donde los esperaba el gidor, municipales, escribano público, comandan­ general Sebastian) para escarmentarlos de su teme­ te de la guardia cívica , y otras personas honradas; ridad, no rrataron sino de atrincherarse en Ubeda basta que al fin avergo…</t>
  </si>
  <si>
    <t>s y '8 criados, 2120. El manques de S.'Reman, 1000. D. Antonio Basoeo , 25000. D. Juan Diaz González , 3000, F&lt;1 mar­ ques de 8. Juan de Pavas, 1000. D. Sebastian do lleras, por sí , su esposa ^'hijós,'4000. D. Roqae Abdlcntc , D. Gregorio Saenz de Sicilia y D. Ra­ món Santos Valiente, 3000. El capitán D, Manuel Urquiaga, 100…</t>
  </si>
  <si>
    <t>Sebastian, Norberto</t>
  </si>
  <si>
    <t>Norberto Sebastian</t>
  </si>
  <si>
    <t>Muriel Viejo, vacante por pro­ cual á una capéllañía de rnjrnero de la catedral de moción de D. Fernando Caya á ración de ia ca­ Osma, al ex-agustino D. Norberto Sebastian. tedral de Osma , á D. Joan Ramos Zarra, ex-car- Nuestro ministro de Negocios eclesiásticos melita descalzo. queda encargado del cumplimiento de este decre…</t>
  </si>
  <si>
    <t>Sebastiani</t>
  </si>
  <si>
    <t>se pre­ sentaron los enemigos en número de 1700 á 2000 hombres con tres cañones de á 24 , dos obuses de á 7 y un mortero de 9 pulgadas* al mando del general Sebastiani , al frente del castillo de S. Luis de Marbella. En el momento empezaron, á formar sus baterías en la er­ mita del calvario de este pueblo, las que se consigui…</t>
  </si>
  <si>
    <t>ro solo se llevaron un poco de dinero. Nuestras avanzadas al mando de I). José Villalobos los siguen, y se hallan en el puerto de Lum­ breras.— El general Sebastiani salió de Baza -para Granadla á las seis de la mañana con el grueso de sus tropas y 6 piezas de artillería. Eos franceses que estaban en Carabuca, se retiran a Bu…</t>
  </si>
  <si>
    <t>es el 4.0 ingleses, que no rcuian donde refugiarse, se han cuerpo de las tropas imperiales mandadas por el alejado de esta parte del golfo Adriático. general Sebastiani) para emprender su retirada del En el discurso del mes de noviembre último reino de Granada han incendiado la capital, por han entrado en el puerto de Venecia…</t>
  </si>
  <si>
    <t>s. So­ bre varios de ellos se ha publicado una relación del general Serrano Valdenebro, que en sustancia dice lo siguiente: ÉCLa llegada á Málaga del general Sebastiani con una divisian de infantería y caballería , la reunión de partidas á su cuerpo y guarni­ ción de Ronda y el acopio de pertrechos en Alaurin y Mijar indi­ ca…</t>
  </si>
  <si>
    <t>e León , y el duque de Bellune cree que no tar­ dará en ser atacado por él; el cuarto venido de Murcia ha atacado la izquierda del cuarto cuerpo ; el general Sebastiani está maniobrando. Parece por las relaciones que envío á S. A. S. que el príncipe de Esling ha hecho un movimiento retrógrado : es probable que esta circunstan…</t>
  </si>
  <si>
    <t>Sebeas, Manuel</t>
  </si>
  <si>
    <t>Manuel Sebeas</t>
  </si>
  <si>
    <t>esorero interino de la real caxa de Cósala, 120. D. Martin Vázquez Franco, 80. D. Bernabé Escobosa, 20. D. Fran­ cisco Lascuraiiv, 12. El subdelegado D. Manuel Sebeas, 30. D. Juan Ven­ tura Vatiz, 25, El presbítero D. Manuel de la Flor, 12. Diario de las discusiones y acias de las Cortes, que se publica La­ xo de su soberana …</t>
  </si>
  <si>
    <t>Secilia, Julián Estéban</t>
  </si>
  <si>
    <t>Julián Estéban Secilia</t>
  </si>
  <si>
    <t>D Juan Antonio Bracjos. teniente de la sexta compañía. art. v. En el batallón de la ciudad de Avila. D. Josef Casas, sargento primero, á subteniente D. Julián Estéban Secilia, ayudante mayor, á co­ de la segunda compañía. mandante en la vacante de D. Manuel de Lara. D. JoaquiQ María Fernandez, sargento primero, á D. Bernardo …</t>
  </si>
  <si>
    <t>Sedaño, Santiago</t>
  </si>
  <si>
    <t>Santiago Sedaño</t>
  </si>
  <si>
    <t>......................... 180.. 17 D. Jacinto García de la Parra............... 561..2X D. Josef Amezcua.................................... 270.-251 D. Santiago Sedaño.................................... 247*-. 7 D. Hipólito Pedros».................................. 812.. 8j D. Francisco lien sal.............................…</t>
  </si>
  <si>
    <t>Sef, J</t>
  </si>
  <si>
    <t>J Sef</t>
  </si>
  <si>
    <t>Azpeitia. trabar emprendid» inútilmente estas dos operacio­ Ezterripa ( D. Juan Agostía). nes. La pérdida dé ios ingleses en una y otra ha M.rtinez ( D. J 'Sef), cónsul en Dunquerqae. sido de 8® hombres por lo menos de sus propias Martínez ( D. Lorenza). tropas: lo* portugueses han perdido de 3 á 4® Maz.or.-do (D. Santiago), …</t>
  </si>
  <si>
    <t>Segoyia, José</t>
  </si>
  <si>
    <t>José Segoyia</t>
  </si>
  <si>
    <t>iguel S.mtillana y D. Ignacio O ovas: á capitanes á los tenientes D Juan Manuel Carmen/, D José Montes y Fíores, D. Pedro Bringas , D. José A*uirfe, ’D José Segoyia j D Bartolomé'A nat VD. Mariano A bo , Den Frahc rco Lope# , *£); 'Miguel AUier y D Francisco Re nirez : y á te• rijéntés' á ¡os stob’téiíiéhtés D.; Rafael Figüer…</t>
  </si>
  <si>
    <t>Segundo</t>
  </si>
  <si>
    <t>mas bien por el te­ D. Baltasar Valles, fiscal nombrado para Lean; mor que por la prudencia. No tenemos sistemafi­ y para jaeces D. Joaquín Lezaeta, D. Segundo sco , y sin él nos perderemos. (El Revisor políti­ Boada y Alomo, D. Eugenio Velez y D. ladeo co jutm. &lt;S.) Rico. Del 3&lt;T. art. 11. Nuestro ministro de la Justicia que…</t>
  </si>
  <si>
    <t>Segur</t>
  </si>
  <si>
    <t>lustral. ,, Las demas figuras son emblemas de este om­ París 18 de mayo. nipotente en las diferentes metamorfosis qae ha S. A. el cardenal Fesch; el conde Segur, gran tenido. Aid se le ve con cabeza de mono, de maestro da ceremonias; el presbítero Sambuci, javalí, de elefante Scc., y la serpiente Caligan, maestro de ceremonia…</t>
  </si>
  <si>
    <t>Segura, José María</t>
  </si>
  <si>
    <t>José María Segura</t>
  </si>
  <si>
    <t>María Lanza sorta. Lie. D. Jcsé Marín Chicc. D. Luis Msrcles. Lie. D. José María Letona. D. Jacoho A rctdo, teniente coronel. D. Luis Malo, coronel. D. José María Segura, car» . genio-mayor. D. Francisco Mmacarenascoronel. D. Luis Lara, te­ nis nte coronel Nú-ja. 2.° Ra zon de la artillería tomada á los insurgentes en la derr…</t>
  </si>
  <si>
    <t>Segura, Manuel</t>
  </si>
  <si>
    <t>Manuel Segura</t>
  </si>
  <si>
    <t>tosa parada, en la Subtenientes. que dio el primer lugar i la milicia cívica; y este D. Josef Onieva. lucido cuerpo se distinguió por sus maniobras y D. Manuel Segura.</t>
  </si>
  <si>
    <t>Seise</t>
  </si>
  <si>
    <t>corazones no nientes-ayas ¡ á la derecha y á la izquierda los oficiales cesamos de repetir: Napoleón el Grande salvó la Fran­ de servicio de S. M. El conde Seise! de Aix., maestro cia del abismo en que la anarquía quería sumergiría; de ceremonias, lia introducido y presentado sucesiva­ confundió los proyectos de Jas 'potencia…</t>
  </si>
  <si>
    <t>Seitre, Juan</t>
  </si>
  <si>
    <t>Juan Seitre</t>
  </si>
  <si>
    <t>.......................... 8032-8f las Indias. D. Manuel de Ramos Z*fra................... 35 739 Vistas las dos consultas de la comisión de liquida­ D. Juan Seitre, por mano de D. Ma­ ción de la deuda del estado, lo expuesto por nuestro tías Almarza......................................... 11415 ministro de Hacienda , y oido…</t>
  </si>
  <si>
    <t>2.011343 9 Quintana...................................... 288o D. Manuel Barbería.................... . 1670a 17 D. Luis Germán de Soxo.............. D. Juan Seitre....... ......................... 3294 66622 10 Doña María Francisca Adelaida £1 duque de Cotadilla................... 9615a t Sf Rouyer....................... ...…</t>
  </si>
  <si>
    <t>Semelé</t>
  </si>
  <si>
    <t>de Extremadura: hoy han Ueg.H do otros 60 de la misma cíate, pero han sido as* estado;. en ia puerta y conducidos á la cárcel. Se na e.viado orden al general Semelé para que envíe tropas á marchas debí ¿- G/anada. Habían nicho ios franceses afic se habían hecho 500 pasione­ ro» del txércijo del general Castaño*: pero se hau r…</t>
  </si>
  <si>
    <t>Sempere, Sebastian</t>
  </si>
  <si>
    <t>Sebastian Sempere</t>
  </si>
  <si>
    <t>...... - 15342 17 2 D. Josef Miguel de Vázquez...... 2 D. Joaquín Martínez.......................... 4ji 8 3000 9 Sor Isabel María de Jesús, por su 3 D. Sebastian Sempere.......................... 541 17 apoderado D. Felipe Blanco....;...'. 3049 14 13 D. Santiago Arias, por medio de su 1 D. Josef Felices......................…</t>
  </si>
  <si>
    <t>Sen-ano, Padtro</t>
  </si>
  <si>
    <t>Padtro Sen-ano</t>
  </si>
  <si>
    <t>z&gt; D. Miguel Marín, D. Francisco Castillo, Don Manuel Romeio, D. Pedro Fülol, D. Ignacio José Fo?n&amp;t, Don José María Laroza , D. Francisco Serrano, y D. Padtro Sen-ano; y subtenencias á D.- Francisco Migue!, D. Joaquín Pu%moItó. Don Diego Villeslada, ©. Pedro Rico, D. Rafael Quero], D. José Ro­ chan©, D. F'rancia co Bermudez …</t>
  </si>
  <si>
    <t>Señalará</t>
  </si>
  <si>
    <t>cierne este punto,, como á secretario de la se­ Elba, del Wesser y del Hms superior. E. gobier­ gunda clase , tendrá hoi que cumplir* con el agra­ no general Señalará el rúmeró de marineros que dable encargo de-dar cuenta á la academia del ri­ deberá aprontar cada ciudad y puerto de ios tres co presente que le ha hecho nuestr…</t>
  </si>
  <si>
    <t>Senen</t>
  </si>
  <si>
    <t>tria, decíamos, sí nos ocupamos «Dada ha hecho, á pesar de h berse repetido esti en cuas pe.|Q‘ñ¡s, si seguimos el sistema de los »»diligencia por el gobernador Senen dt C nitrera!; tiempos de nuestra degradación ; preciso es qne «pues es indudable que si se pierde esta plaza,se todo tome un aire nuevo." Queríamos ser libres;…</t>
  </si>
  <si>
    <t>Seniosain, Pedro Amonio</t>
  </si>
  <si>
    <t>Pedro Amonio Seniosain</t>
  </si>
  <si>
    <t>¿4 El concurso de D. Fabo María Dan- *439 - cinot y componía, por mano dé $n • 4 D. Joaquín Martínez y Sánchez, co­ síndico D. Pedro Amonio Seniosain. 267x4 mo heredero de ©oña Manuela Ribero............................................ . 2685 23 r? D. Francisco Boulígni........................... 20084 25f D. Luis Eiizalde , …</t>
  </si>
  <si>
    <t>Sennovítz</t>
  </si>
  <si>
    <t>os de Sanra Ana de primera cla­ se á los obispos Parthenictr de Arcángelo, GeViena nf de enero. deon de Wintka , y al arcipreste de la iglesia ca­ El profesor Sennovítz, de Eperies en Hungría,: tedral de Kíew Juan Lowanda. acaba de publicar sus observaciones tabre dos fe­ La ciudad de Twer ba producido ona nueva Eon, nómenos …</t>
  </si>
  <si>
    <t>Señores, Raimundo</t>
  </si>
  <si>
    <t>Raimundo Señores</t>
  </si>
  <si>
    <t>án general de los reales exércitos, D. Francisco Meruendano. z= D. Tomas de Ara­ pronunciando el discurso.siguiente: gón. = D. Pedro Gd de Bernabé. = D. Raimundo „ Señores: la justicia, primer atributo de la Ruiz. = D. Lorenzo González Viejo. = D. Josef «soberanía, conserva, en Iqs estados el buen orden, Martínez. = D. Pedro …</t>
  </si>
  <si>
    <t>Senpañados</t>
  </si>
  <si>
    <t>da el Filósofo casado, ó el Marido aver­ puele combinar con us seis caras del otm: hai gonzado de serlo, y el fin de fiesta los Maridos engaña­ dos y d Senpañados. pues 36 casos posibles, n.tre los qua es solo hai Kn el de la Cruz, á las cinco de la tarde, se eje­ uno que da los dos aie&gt;. E ■ general la probabili­ cutara laco…</t>
  </si>
  <si>
    <t>Seoud</t>
  </si>
  <si>
    <t>espetado de actos titulada la .Posadera V'ó ’éT Eñériíigó'de jas mugelos suyos. . - .-ó res, y el fin de fiesta las Castañeras picVdífs. .. El nuevo, general Seoud equipó una esqnádrilla En el de dá'Cruzy’á "fav seis'de fa farde. íe ¿?xemui numerosa V y la tripuló de marineros.y solda­ cutarí 'la comedia en ttes actos titulad…</t>
  </si>
  <si>
    <t>Serafín</t>
  </si>
  <si>
    <t>Juan), mariscal de campo Cubero ( D. Juan) , tirador del regimiento de To­ de nuestros reales exércitos. ledo, a.° de infantería de línea. Andrade ( D. Serafín), tambor del regimiento de fu­ Cuenca (D. Andrés), fusilero de nuestra gnardia sileros de nuestra guardia real. real. Angalo ( D. Manuel), director de nuestra real ca­…</t>
  </si>
  <si>
    <t>Seras</t>
  </si>
  <si>
    <t>na palabra todo es una confesión en­ tre ellos» y no saben á donde scu iir. Corre la voz de haber evacuado les franceses á Santander H y ha calido ti general Seras con 170 dragones por el camino de Madrid, y tí mariscal N y ha partido para Francia. Utiel 20 de abril. A principios del corriente el capitán de cazadores de C; ri…</t>
  </si>
  <si>
    <t>exñg-ración en las uotK--ia3 que france­ ses y afrancesados esparcen sobre esta materia. E 30 da junio pato por Vi.oria para Francia la división del general Seras, que va suma­ mente estropeada y en el estado mas miserable : el día siguiente pa­ saron por la misma ciudad , y con el mismo destino, 200 artilleros; y &lt;áe los gua…</t>
  </si>
  <si>
    <t>Seras, Lances</t>
  </si>
  <si>
    <t>Lances Seras</t>
  </si>
  <si>
    <t>que B• ‘ásteres se retiraba hbeia Vaüadolid, amenazado á cada paso por la guerrilla de Berbén al cargo de su comandante D. Tomas Príncipe , y que el general Lances Seras estaba en Bcnavento con 5000 hombrea. El 23 había 2000 hambres del sexto exército en Astorga, y el cuartal general estab a á una tegua de aquella ciudad. De …</t>
  </si>
  <si>
    <t>Sergeant, José</t>
  </si>
  <si>
    <t>José Sergeant</t>
  </si>
  <si>
    <t>egunda tenencia de granaderos al de fusileros D. Do­ mingo Martínez de Pinillos; segundas tenencias de cazadores á los de fusilerosD. Mariano López y D José Sergeant; segundas tenencias de fu ñeros á las agregados D. Enrique y D. Pedro Zuloaga , y á los al­ féreces D Pedro Gómez y las Casas, de granaderos, D. José Gon­ zález …</t>
  </si>
  <si>
    <t>Sergot</t>
  </si>
  <si>
    <t>iage á la Narolia, ha activado en gran manera sund , tripulado por 24 hombres', y mandado por Jas obras y trabajos del arsenal, donde se está tri­ el capitán Sergot, se vio precisado el 29 de marzo, pulando y disponiendo una esquadra compuesta de con motivo de una borrasca, ¿ echar al mar su ar­ dos navios de tres puentes, oc…</t>
  </si>
  <si>
    <t>Serra</t>
  </si>
  <si>
    <t>1468 tes , habiendo rechaz.'.do al capitán Serra del 21.0 de Madrid 24 de diciembre. dragones , que con un pi.ñ'dr, de hombres ocupaba Josef Magari, natural de G^rranque, de edad Jas montañas de Marbslij, «sudó de- posición. Air. de 17 añas, och</t>
  </si>
  <si>
    <t>Serra, Eubaldo</t>
  </si>
  <si>
    <t>Eubaldo Serra</t>
  </si>
  <si>
    <t>o Vicente Molías. El batallón de expatriados recomieuda al sargento segundo José (Cordoni, y al soldado José Sisteras. F.i de Almugavares al teniente D. Eubaldo Serra, al sargento pri­ mero Salvador Masramon , y al soldado Pedro Garbo. 7 yo recomiendo á V. E. á los capitanes de las compañías de ti*</t>
  </si>
  <si>
    <t>Serra, Juan</t>
  </si>
  <si>
    <t>Juan Serra</t>
  </si>
  <si>
    <t>i, ídem, 800. D. Juan Aguílar, úícrn, SOOO. Señores Do»res y CanadeSl, ídem , 4-000. D. Ramón Molefc, idem , 1000. D. Segismundo Moret, ídem , 1000. D. Juan Serra , ídem, 1000. i). Francisco Piycl, ídem , 1000. D. Pablo de Goniis, ídem , 600. D. Próspero Dofufull, 200. Sres. Xiques, Cruz y compañía, ídem, 801). X). Diego DuíR…</t>
  </si>
  <si>
    <t>Serrano, Alonso Felipe</t>
  </si>
  <si>
    <t>Alonso Felipe Serrano</t>
  </si>
  <si>
    <t>la miseria. Actores en la comedia. Señoras Mará D. Pedro de Alamo y Paez queda nombrado García y Baus. Señores Márquez., Ponce, Infantes, Cacapitán; D. Alonso Felipe Serrano teniente, y prara, Avecilla, Suarez, Casanova, A|vcrá y F-ibiani. D. Juan Xerez subteniente. En el de la Cruz, á las quatro de la tarde, se eje­ art. vn …</t>
  </si>
  <si>
    <t>Serrano, Francisca</t>
  </si>
  <si>
    <t>Francisca Serrano</t>
  </si>
  <si>
    <t>para los usos de la navegación^ por D. José de Mendoza Ríos, impresa en Londres en ISOO, á 222 rs. !*\i¡ Continúan los donativos dé la isla de Cu^u. Doña Francisca Serrano, por fcí -y á nombré dé sás' Hijos'D1.'Gabriel. I). Luís,;,' B Manuel y B. José Rafael , 170 ps. fs. D. José Fuertes, comisario ordenador y administrador p…</t>
  </si>
  <si>
    <t>Serrano, Francisco</t>
  </si>
  <si>
    <t>Francisco Serrano</t>
  </si>
  <si>
    <t>A los segundos Don Pedro Eguia y D. Rafael Bovílle, y ha conferido el mismo empleo A D. Pedro Aguado, sargento mayor del real cuerpo de ingenieros, y D. Francisco Serrano, comandante de escuadrón del regimiento de caballería de cazadores de Olí vencía, y el de ayudantes segundos H D. Paulino Vicente j espitan del de dragones …</t>
  </si>
  <si>
    <t>o, O. Juan Kamen González&gt; D. Miguel Marín, D. Francisco Castillo, Don Manuel Romeio, D. Pedro Fülol, D. Ignacio José Fo?n&amp;t, Don José María Laroza , D. Francisco Serrano, y D. Padtro Sen-ano; y subtenencias á D.- Francisco Migue!, D. Joaquín Pu%moItó. Don Diego Villeslada, ©. Pedro Rico, D. Rafael Quero], D. José Ro­ chan©, …</t>
  </si>
  <si>
    <t>Serrano, Gabriel Gómez</t>
  </si>
  <si>
    <t>Gabriel Gómez Serrano</t>
  </si>
  <si>
    <t>do el acompañamiento con el mismo órden, y for­ Para el de Val de Prados, vacante por pro­ mada ia tropa en gran parada hizo varias evolu­ moción de D. Gabriel Gómez Serrano á dig ¡dad ciones , y d^fi'ó á presencia del inmenso pueblo, de la catedral de Palencia, á D. Gregorio Ruiz, q le ve ya á la tropa española maniobrar y o…</t>
  </si>
  <si>
    <t>Serrano, Ignacio</t>
  </si>
  <si>
    <t>Ignacio Serrano</t>
  </si>
  <si>
    <t>Mena , 10, Don José María Sopeña, 25. D. Antonio Andrade , 5. D. Manuel Rodríguez, G. D. José Buelna , 20. D. Xavier Díaz , 25. D. Ignacio León , 25. D. Ignacio Serrano, 10. D. Tomas Valencia, 10. D. José López, 20. D. Ignacio Noriega , 8. D. Manuel Bailo , tesorero interino de la real caxa de Cósala, 120. D. Martin Vázquez F…</t>
  </si>
  <si>
    <t>Serrano, León García</t>
  </si>
  <si>
    <t>León García Serrano</t>
  </si>
  <si>
    <t>1064 D. Isidro Breña Posada........................ 3a 49 D. León García Serrano.......................... 12949 D. Pedro de Faura....................... 433 a D. Antonio Juan de Vildoslada, por D. Francisco Hernández París.............. 4512..17 mano de L). Fermín Ripa</t>
  </si>
  <si>
    <t>Serrano, Manuel</t>
  </si>
  <si>
    <t>Manuel Serrano</t>
  </si>
  <si>
    <t>s*, que acompañó con extra ño valor. Fueron heridos el teniente de voluntarios de Burgo?; D. José Fuentes, el espitan D. M’gU'J dsl Caño, el teniente D. Manuel Serrano, y el subteniente I). Juan González , de voluntarios da Burgos, de consideración. 'El mariscal de campo D. Francisco Xavier Losadageneral de la. primera divisi…</t>
  </si>
  <si>
    <t>Serrano, Miguel</t>
  </si>
  <si>
    <t>Miguel Serrano</t>
  </si>
  <si>
    <t>que Capitanes. entre los heridos de la partida uno de ellos es el mismo Abril. D. Antonio Josef Caracuel. E'tas dos acciones, hacen mucho honor á los D. Miguel Serrano. oficiales y soldados que han tenido parte en ellas. D. Pedro García. Tenientes. D. Josrf Pareja, PLAZA DI MADRID. BOLSA. D Francisco de Ltiba. DIA 17 DS AGOST…</t>
  </si>
  <si>
    <t>Serrano, Pedro María</t>
  </si>
  <si>
    <t>Pedro María Serrano</t>
  </si>
  <si>
    <t>xa ; y fue adoptada unánimemente. la primera compañía. D. Angel Buendia Labastida , sargento punte­ ESPAÑA. ro, á subteniente de la segunda compañía. D. Pedro María Serrano, sargento primero, á Madrid g r de agosto. subteniente de la sexta compañía. Ayer celebró el REI nuestro Señor consejo de art. 11. Nuestro ministro de la …</t>
  </si>
  <si>
    <t>Serratet, Joaquín de Rivera</t>
  </si>
  <si>
    <t>Joaquín de Rivera Serratet</t>
  </si>
  <si>
    <t>D. Juan Bautista Basó, 30. D. Leandro Ato­ mía, 30. D. Fulgencio Ibañez , 30. D. José Raygada», 20. El capellán Don Manuel Rodríguez, 25. El eivujano D. Joaquín de Rivera Serratet, 35. Comandancia de matriculas. Comandante , el capitán de fragata retirado Don. Martin de Funes , 200. Ayudante , el teniente de navjo D. Luis de …</t>
  </si>
  <si>
    <t>Sevillano, Manuel</t>
  </si>
  <si>
    <t>Manuel Sevillano</t>
  </si>
  <si>
    <t>y otra arma que se han batido con el mayor vigor , a los capitanes de caballería D. José García y D. Francisco Cillero , y al teniente de infantería D. Manuel Sevillano, que se han portado con Su acostum­ brado valor.-- Dios guarde á V.,S. muchos años. — Sequeros las doce de la noche del 3 de febrero de 1811. — José Martin. -…</t>
  </si>
  <si>
    <t>Sexto, Cayetano</t>
  </si>
  <si>
    <t>Cayetano Sexto</t>
  </si>
  <si>
    <t>Manuel Inostrosa, y Don Ssbíiiiían Sánchez; los de subteniente i D. Facundo Rodríguez, D. Fernandez Camino, D. Joaquín Rubenes, D. Joaquín Peliicei, D. Cayetano Sexto, D. Diego Silva, D. Pedro Pita y Don Manuel Se uto Gonzálezy el de subteniente de bandera á D. Manuelsantos. hule que el gefe del estado mayor del quinto y sext…</t>
  </si>
  <si>
    <t>Sfcewart</t>
  </si>
  <si>
    <t>dominaban enteramente nuestra posición, era necesario hacer todo le posible para recobrarlas y mantenerlas. Así lo intentó con arrojo la división del general Sfcewart, marchando este valeroso "oficial al frente de sus soldados. Casi al empezar el ataque del enemigo , sobrevino una terrible tormenta con lluvia , que unida al h…</t>
  </si>
  <si>
    <t>Shemlan</t>
  </si>
  <si>
    <t>tes de la noche. ,, El juri, aunque obligado por los Petersburgo 9 de noviembre. quatro jueces , uno tras otro , á declarar culpa­ ble al acusado (el doctor Shemlan), le ha declarado Mañana se cantará nn solemne Te Deum ea inocente en todos los capítulos de la acusación , des­ acción de gracias por la victoria conseguida por …</t>
  </si>
  <si>
    <t>Sheridan</t>
  </si>
  <si>
    <t>, oficiales de tier­ Ayer se ha recibido de Dublin la noticia de ra y mar, empleados ?n las aduanas, militares re­ que lia sido declarado inocente el doctor Sheridan, tirados, y aun los empleados civiles, todos acu­ ef primero de los diputados católicos qoe ha sido dieron á las baterías. juzgado por una supuesta contravención…</t>
  </si>
  <si>
    <t>la Havana dicen que hai tal Ayer mui tarde le llegaron al gobierno los por­ escasez de numerario ea la nueva república de Ve­ menores del juicio del doctor Sheridan, uno de los nezuela , que ha tenido aquel gobierno que poner diputados católicos; pero no podemos insertarlos to­ en circu’.aciod uo millón de duros en papel, qua…</t>
  </si>
  <si>
    <t>Si, Jorge</t>
  </si>
  <si>
    <t>Jorge Si</t>
  </si>
  <si>
    <t>as para mayor comodidad del público a las D. Juan Da.es................................ 360 quatro de la tarde, sin perjuicio de la diaria, que será, D. Jorge Si mi Iier............................ 3218 como hasta aquí, á las siete de la noche ; dando princi­ pio con la comedia antigua en tres actos titulada el Cid D Fe ipe d…</t>
  </si>
  <si>
    <t>Sí, R</t>
  </si>
  <si>
    <t>R Sí</t>
  </si>
  <si>
    <t>mpos y la ignorancia de D. A. Tan bien, que me graduaron de espía , y los cánones habian hecho olvidar los primitivos de- me zamparon en la cárcel___ D. R Sí, momen­ recb is del obispado, ningún otro prelado de Espa­ táneamente pira asegurarse___ D. A. Una semana ña los puso en práctica con tanto zelo, qaando en estuve sin ve…</t>
  </si>
  <si>
    <t>Sibley</t>
  </si>
  <si>
    <t>se ful á pique. No fué posi­ ble saWar ma- que 12 hombres, porque no se pudo echar el bote al agua. Otros 10 franceses había é bordo de la presa. Ei capitán Sibley da la goleta Swallow cogih en la costa de Sici­ lia a! corsario francés la Belta Genovesa. Las fragatas Saldüña y Afortunada káú. apressdo y conducido» I Aanda al …</t>
  </si>
  <si>
    <t>Sicíta, Ramón</t>
  </si>
  <si>
    <t>Ramón Sicíta</t>
  </si>
  <si>
    <t>sá y D. Francisco de Paula Arco , alféreces del pri­ mer batallón de guardias walonas : D. Francisco OI i ver , capitán de voluntarios de la Patria : D. Ramón Sicíta, subteniente de id.: D. Francisco Ordoñez y Don Antonio Martin , tenientes de imperiales de Toledo : capitán D. Carlos Ciery , se­ gundo teniente del batalfofi d…</t>
  </si>
  <si>
    <t>Sierra, Francisco</t>
  </si>
  <si>
    <t>Francisco Sierra</t>
  </si>
  <si>
    <t>D. Mateo Pumneahua, 20. I). Andrés dé. Lira , 12. O. Patricio Sisa raso ,12. D. Pedro de Ediave , 25, O, Bruno Célicos , 25. D. Matías Gazrnan , 25. D. Francisco Sierra , 25. I). Francisco Ochoa , 12. Doña Eulalia Girón , 12 — Guaracorido. La co­ munidad de indios , 280. El alcalde mayor D. Angel Reyes, 25. El re­ caudador de…</t>
  </si>
  <si>
    <t>Sierra, José</t>
  </si>
  <si>
    <t>José Sierra</t>
  </si>
  <si>
    <t>25. Nicolás Trejo , 6. Don Simón Montes de Oca , 20. Don José Alfaro, SO. D. José Alfaro Aguiar, 25. D. Joaquín Medina, 10. Matías Montes de Oca, 10. D. José Sierra, 2. D. Francisco Romero, 5. D. Salvador Arabich, 10. D. José Francisco Alfaro, 5. D. Buenaventura Vefazqtiez , 2 D. Francis­ co Sierra, 2. José Sixto Caravajal, 5…</t>
  </si>
  <si>
    <t>Sieyes</t>
  </si>
  <si>
    <t>las siete de la noche, se re­ nición. El general de división Harispe destacó des­ presentará por la compañía española la comedia do fi­ dé Amposta al capitán Sieyes con artillería, con la gurón en tres actds titulada «I Dómine Lúeas, en la qual este oficial rechazó el ataque. Muchas grana­ que hará el figurón el Señor Joaquín…</t>
  </si>
  <si>
    <t>Sigiienza, Aotolin</t>
  </si>
  <si>
    <t>Aotolin Sigiienza</t>
  </si>
  <si>
    <t>co, D. Pedro Giménez, D. J?.yme Qjirós, D. Sabas Ma­ rín , D. J isé Ortega , D. Juan Vázquez, D Manuel Sánchez, D. An­ tonio Bermejo, D. Luis Puente, D. Aotolin Sigiienza, D Matías Te­ resa, D. Juan González , D Manuel Calvantes, D. Jé Mora, Don Juan Morgaez, D Alfonso Gírela, D. JranGamez , D. L *&gt;n Acnña, D. Esmeraido Acuña…</t>
  </si>
  <si>
    <t>Siheyra</t>
  </si>
  <si>
    <t>pero si lian seguido su marcha , deben hallarse á estas horas en co¿ municacion con el puesto que tiene el enemigo en las inmediaciones de Thomar. El general Siheyra con la división dé tropas de su mando se .había retirado i.Moimenta de la Beyra; pero así este co­ mo el general Millcr y el coronel JVihon, estaban preparados p…</t>
  </si>
  <si>
    <t>Siijuski</t>
  </si>
  <si>
    <t>on los marine­ las fábricas de p.ños establecidas en las turras del ros del teniente Holsten , dio un asatto general; pe­ conrejeio privado y senador conde Siijuski, ha ro este tampoco fue mas feliz que el primero. descubierto un medio para teñir de verde* *1 paño ,, Entre t$uto la escuadrilla había* doblado el</t>
  </si>
  <si>
    <t>Siint-Marsan</t>
  </si>
  <si>
    <t>esquadra mucho mas numerosa que en los años DINAMARCA. anteriores. Ya se han dexado ver allí algunos bu­ ques suyos. Copenhague a de abril. S. E. el conde Siint-Marsan dará, según di­ la navegación entre los diferentes pnertos de cen, una gran fancion de pólvora en el Tiergarten. Dinamarca y el de esta ciadad es mai activa. E…</t>
  </si>
  <si>
    <t>Siívcira</t>
  </si>
  <si>
    <t>­ en nuestras posiciones; pero un encuentro que ha­ neral Clparede atacó el 30 con su. vanguardia al bia habido algonos dias antes, h.ce creer que no general Siívcira en Puente-de-Aibado, cerca, de fardará mucho tiempo en darse una grande acción. Troncoso, y ie obligó á retirarse con bastante El día 19 fueron arrojadas las av…</t>
  </si>
  <si>
    <t>Siiveira</t>
  </si>
  <si>
    <t>yor parte dé los negociantes de esta ca­ las acciones que ha habido en la^Beira superior-en­ pital bad empaquetado todos' sus efectos mas pre­ tre el general Siiveira y el enemigo. -En la acción ciosos para estar prontos en el caso de que ocur­ del 30 de diciembre junto Puente de Albido» riese alguhá novedád.0 que ha sido la …</t>
  </si>
  <si>
    <t>Siiveyra</t>
  </si>
  <si>
    <t>rse de sus fatigas. Hin venido también á los hos­ pitales varias partidas de heridos de la división de Ciaparede, que lo han sido en acciones con el .general Siiveyra y las ordenanzas por­ tuguesas. — Los franceses esperan la vuelta de Drouet : Ciaparede está aúnen Guarda.En el dia hay en estos hospitales i$oq en­ fermas y he…</t>
  </si>
  <si>
    <t>Sildieraa, Vicente</t>
  </si>
  <si>
    <t>Vicente Sildieraa</t>
  </si>
  <si>
    <t>laico , ir!. D. Joan Ignacio ífc\mon , id. D. José Santos Villa , coro­ nel. D. Mutual Chica, coronel retirado. D. Pidro L’jon, mayor de plaza. D. Vicente Sildieraa, tenieata coronel retirado. D. José Mi­ guel Arroyo. D. A ¿toaio Alvarez Vega, sargento mayor retirado. D V ícente-A costa , sa'geato mayor. D. M vilano Olivares …</t>
  </si>
  <si>
    <t>Silva, Alejandro</t>
  </si>
  <si>
    <t>Alejandro Silva</t>
  </si>
  <si>
    <t>yer....................... ................ 19440 D. Josef Vasallo...........;................. 2279i 5 D. Apolinar Rouyer...................... 9720 D. Alejandro Silva......................... 9220 20 D. Felipe Carlos de Vailejo.......... 0220 D. Pedro Miranda....»......,............ 3M4 14 D. Juan de Gaona , como tutor de D…</t>
  </si>
  <si>
    <t>Silva, Alexandro</t>
  </si>
  <si>
    <t>Alexandro Silva</t>
  </si>
  <si>
    <t>62 28 18 D. Pedro García y pinillos............... 31500 ; D. Antonio de los Ancos.................... 7942 12 Dona María Nicolasa Perez Díaz, da­ 10 D. Alexandro Silva.............................. 9295 2 5 f- dos á favor deD. Dámaso Puertas, 1 D. Josef de la Torre........................... 1083 su marido...................…</t>
  </si>
  <si>
    <t>Silva, D José</t>
  </si>
  <si>
    <t>D José Silva</t>
  </si>
  <si>
    <t>omunidad de indios y su anexo , 253. I).- José López de Pancovbo , 50. D. Cayetano de Ocampó i 25. D. Juan Bar­ rigón , 25. D: Tomas Negror! , 25. El presbítero D José Silva , 12. D. ■Bernabé Vergara , 12. D. Basilio Sotelo y D Manuel Calvo, 12. D. Ma­ riano de Ojeda y Venero , 7. Varios españoles del pueblo -y su anexo , 71.…</t>
  </si>
  <si>
    <t>Silva, Diego</t>
  </si>
  <si>
    <t>Diego Silva</t>
  </si>
  <si>
    <t>y Don Ssbíiiiían Sánchez; los de subteniente i D. Facundo Rodríguez, D. Fernandez Camino, D. Joaquín Rubenes, D. Joaquín Peliicei, D. Cayetano Sexto, D. Diego Silva, D. Pedro Pita y Don Manuel Se uto Gonzálezy el de subteniente de bandera á D. Manuelsantos. hule que el gefe del estado mayor del quinto y sexto excrcito remi td…</t>
  </si>
  <si>
    <t>Silvcyra</t>
  </si>
  <si>
    <t>e entró un correo despa­ chado por el general Dorsenne, participando desde Vallado-id con fecha del 7, que temeroso de ser cortado por las tropas del general Silvcyra, se había visto precifatlo á retroceder en diligencia de su expedición á las fronteras de Galicia, después de haber perdido al­ guna gente en las correrías y en…</t>
  </si>
  <si>
    <t>Silveira</t>
  </si>
  <si>
    <t>la parte de las montañas de Santander y Navarra, van muy bien : y las de Castilla hablan de haber sido derrotado Druet en el mes de noviembre por el general Silveira, y que estaba en Salamanca, de donde presu­ mían se retirase, respecto al grande embargo que se había hecho én toda la comarca de carros y caballerías para el tr…</t>
  </si>
  <si>
    <t>rancanelp el Herrero, adornada ton todo su teatro, El público rio leerá con menor interes que el transformaaiones, vuelos, y seis decoraciones nuevas general Silveira, el qtíal hacia algún tiempo qne pintadas por el célebre profesor D. Antonio María Tainterceptaba las comunicaciones con el Portugal, dei; finalizando con «1 di…</t>
  </si>
  <si>
    <t>ados que han cumplido, ó que nor de escribir á V. E. mi última, estaba todavía han quedado inválido* , y se llenan las plazas de en Pinhel, quando el general Silveira me escribió los regimientos coa los reclutas que se adquieren su último parte. El quartel general de este se ha­ en todo el teiuo. llaba entonces ea Torrihna. E…</t>
  </si>
  <si>
    <t>de Amaranto SS. AA. la Princesa heredera, la princesa Albertina y el príncipe Oscar. ,,Siento tener que comunicaros qne ei 30 del mes pasado tuvo el general Silveira , cerca de TronGRAN BRETAÑA. coso, un choque desgraciado , eo el qual las mili­ * cias no se portaron como debiao. EL exército que­ Londres $ de febrero. dó ente…</t>
  </si>
  <si>
    <t>to de 23 de marzo de 1801 , se deno­ La marcha del general Claparede hacia el Due­ minarán para lo sucesivo ayudantes comandantes y ro ha obligado al general Silveira á pasar este rio ayudantes de estado mayor. con mucha precipitación. Esta retirada ha alarmar- art. 11. Estos ayudantes comandantes y de es­ do infinito á los h…</t>
  </si>
  <si>
    <t>el enemigo se retiró inmediatamente con moti­ Cíaparede volvió á atacar el ti coo sa varguardi* vo de la herida que recibió Junot en aquella oca­ al general Silveira cerca de Villa de Ponte, y Je sión. Se puede suponer , según las fuerzas de que obligó á retirarse. Por desgracia ha muerto ea está se componía aquel cuerpo, que…</t>
  </si>
  <si>
    <t>Silvestre</t>
  </si>
  <si>
    <t>n se han embargado multitud de caballerías de todos los pueblos. Ayer se han recibido los nuevos canónigos Carmona y Martínez. Les dieron la posesión D. Silvestre íbarra y D. José Morales , que fueron los únicos canónigos que asistieron. — Moníarco , según di­ cen , ha declarado vacantes las canongías de los Señores Taíalla y…</t>
  </si>
  <si>
    <t>orque no tuvo lugar de asunto que poJia pecar en triste y monótono. Lo vestirs-, y asi salió á las tablas con un trage no mismo se puede decir de; de D. Silvestre , y aun soto impropio, sino algo m ,s que indecototo. El ¿el de Nircisa, aunque no dexaran de parecer director de la escena debería cuidar ccn suma es­ también algo…</t>
  </si>
  <si>
    <t>Silveyra</t>
  </si>
  <si>
    <t>a Pinhel ,.y cuya vanguardia había ¡llegado á. Trancoso al dirigir yo á V. E. mi oficio anterior, persistia aun en Pinhel qliando recibí noticias del general Silveyra, cuyo quartel general estaba entonces en el lugar de Torrinha. J^sta, división , ó es la segunda del noveno, cuerpo, ó la división de tro­ pas que marchó hasta …</t>
  </si>
  <si>
    <t>inmediaciones de Ce-lorie© un reencuentro con el enemigo,.en -que este perdió .7 muertes, muchos heridos y 15 prisioneros. Las milicia?, al mando de! general Silveyra, hicieron algunos prisioneros. — El enemigo retiró su ala izquierda, que se cc-mponia áeí segundo cuerpo, por Gouvea, siguiendo el canino que cruza la sierra co…</t>
  </si>
  <si>
    <t>das patrióticas se reúnen y ordenan : su fuerza se con­ solida , y obrando de acuerdo se harán aun mas respetables que has­ ta anuí á los enemigos. E general Silveyra, gobernador de la provincia de Tras-Iosmonku, ha comunicado á nuestro comandante general qué se dispo­ ne á adela atarse con sus fuerzas. E 29 de y.v.úo salió d…</t>
  </si>
  <si>
    <t>carse para la Core ña. El príncipe «regente de Portugal ha creado á lord Welli gton con­ de de Yíraieire; al general Beresford conde de Tronerso ; ai general Silveyra conde de Amarante; y al coronel Traut, giaa-cruz do la orden de la Espada. Al título de conde de Vbraieiro iba agregada una pensión considerable, que no ha acep…</t>
  </si>
  <si>
    <t>Sílveyra</t>
  </si>
  <si>
    <t>ardia imperial. Re­ gulan de 12 á-13000 hombres la» fuerza qué entró Cu'Asturias'; dé luí cuiiks ya han retrocedido algUROs*cuerp©s h-ácia Leos. ■ El general Sílveyra, conde ds Amarante., ofrece «a papel del 23 desde su cuartalgeneral de Chavas, auxiliar.con--la división de-s\L manda, en&gt;os¡sa: necesario las. •operaciones do …</t>
  </si>
  <si>
    <t>Sim</t>
  </si>
  <si>
    <t>ñas , ¿o.ide espsrb» mis órde­ nes pira su dbeccion: mas fué sorpiehcndida según me avisó el encar­ gado de su maído, el ayudante del tercer batallón D. Sim a Laquidala, por el parte siguiente t “ Sr. coronel: Sia duda que la perfidia de algunos habitantes de este país ha sido causa de nuestra so/ re a. Las avanzadas estaban …</t>
  </si>
  <si>
    <t>Simeón, José</t>
  </si>
  <si>
    <t>José Simeón</t>
  </si>
  <si>
    <t>a para las Cortes nacionales que se celebran en la Real Isla de JLeon. De M' vico : el Sr. Dr. í). José Boye de Cisncros. De Gundulaxara : eí Sr. Dr. D. José Simeón de .Cria, canónigo penitenciario de aoiiella santa iglesia. De Vafladolid : el Sr. Lie. D. José Caveiano de Foneerrabn , canónigo de México. De Puebla - el Sr. Dr…</t>
  </si>
  <si>
    <t>Simmonds</t>
  </si>
  <si>
    <t>341</t>
  </si>
  <si>
    <t>stro exército de Va- y dos bricks ingleses: el combate duró dos horas, laquia escribe que un cuerpo del exército turco y el brick ingles el Maníi, so capitán Simmonds» mandado por Linail, bei de Serás, ocupa muchas Fue apresado. Los bricks dinamarqueses no tuvie­ islas situ idas al alcance de la artillería de la forta- ron ma…</t>
  </si>
  <si>
    <t>Simó, Pedro</t>
  </si>
  <si>
    <t>Pedro Simó</t>
  </si>
  <si>
    <t>lenaron sus deberes á porfía; pero se distinguieron el sargento mayor de Fieles Zaragozanos D. Mariano Villas pesa, los capitanes D. Cayetano Ma­ ta, D. Pedro Simó, D. Pablo Víbct, D. Antonio Figiieroíay D Juan Graell; los teníanles D. Juan Fort, D. Jnaa Pablo Part y D. Juan Moneas!; I03 subtenientes D. Simón Vda3CO y D. Manu…</t>
  </si>
  <si>
    <t>Simón</t>
  </si>
  <si>
    <t>a tander. real casa y corte. Romero (D. Francisco Xavier), coronel de caba­ Iwan ( D. Bstéban), granadero de nuestra guar­ llería. dia real. Rousrel (D. Simón), tirador de nuestra guardia Zayas (D. Francisco), subteniente de tiradores real. del regimiento Josef Napoleón. Ruiz (D. Tomas Antonio ) , corregidor de Alcalá ART. ir…</t>
  </si>
  <si>
    <t>Simplicio</t>
  </si>
  <si>
    <t>ana ; va­ Certificaciones del tesoro público........ . 7H rios trozos del de Doña Elvira, y en general el de Acciones del Banco nacional de S. Carlos D. Simplicio. Idem de la Compañía de Filipinas............ Oro español contra piara............................. Los actores han sabido hacerse cargo del ar­ Napoleones de oro..…</t>
  </si>
  <si>
    <t>Sin</t>
  </si>
  <si>
    <t>e I ig'aterra, ó de I g'aterra, sea en­ Milán 28 de febrero. carcelado por 10 años , y pierda todos sus bienes. Antes de ayer llegó á esta ciudad el mariscal Sin embargo, el mismo decreto permite la expor­ duque de Ragusa, gobernador general de las pro­ tación para Inglaterra de aguardientes, vinos, fru- vincias ilincas. S. E…</t>
  </si>
  <si>
    <t>Sin, Valentín Fran</t>
  </si>
  <si>
    <t>Valentín Fran Sin</t>
  </si>
  <si>
    <t>uez, con unos quadernitos, sobre los expó­ chos según se previno por al ministerio en $ sitos de Málaga. de setiembre de 1806. Un caxon, con rótulo á D. Valentín Fran­ Sin número. Quatro caxones introducidos cés, con libros en papel. con otros dos mas en junio de 1808 con guia Un serijo, con rótulo á D. Gabriel Valez, de Vict…</t>
  </si>
  <si>
    <t>Sinclaire</t>
  </si>
  <si>
    <t>itán Ilunt. les cansa la concmrencia de los prisioneros de El Vixen , teniente Brambidge. goerra, que de a.guu tiempo á esta parte se han El Nautilo, capitán Sinclaire. dedicado á fabricar estos objetos , y que ven­ den mbehos. Una falta de formalidad impide á Schooners. Mr. Giles presentar esta petición á la cámara ; pe­ La …</t>
  </si>
  <si>
    <t>Sinternes</t>
  </si>
  <si>
    <t>a acción de Fregona 1 se pasaron á nuestras tropas. Se han puesto en camino para Ay amonte unos 200 quintos ó alista­ dos de Aracena y sus aldeas. El Coronel Sinternes salió ayer de aquí para Calañas con 200 ca­ ballos de órden del general Ballesteros. Ayer mismo por la tarde lle­ garon unos 3000 infantes de la división de di…</t>
  </si>
  <si>
    <t>Sipor, Juan Josef</t>
  </si>
  <si>
    <t>Juan Josef Sipor</t>
  </si>
  <si>
    <t>ad la adquisi­ Mecanismo del arte de la imprenta para facilidad ción de otro mis coordinado é ilustrado; pero no de los operarios que le exerzan. Por D. Juan Josef Sipor esto se menoscabará el mérito y reputación de giienza y Vera, discípulo de Ibarra. y actual regente de la imprenta de la compañía de impresores y libre­ las …</t>
  </si>
  <si>
    <t>Sirarola, José</t>
  </si>
  <si>
    <t>José Sirarola</t>
  </si>
  <si>
    <t>José de la Rosa Manzanilla, 100. D. Francisco de Estrada, 100. D. Juan Brioso , 50. D. Cenon Sastre, 50. Alexo Fncalada , 50. D. Juan González , 50. D. José Sirarola, 50. Don Joaquín Casares, 50. D. Juan Vicente Alfonso , 50. D. Pedro Delgado, 50. D. D iego Ríos Carta, 50. D. Martin Yerobi, 50. D. Juan Bautista Yerobi, 50. D.…</t>
  </si>
  <si>
    <t>Sirvent, Antonio</t>
  </si>
  <si>
    <t>Antonio Sirvent</t>
  </si>
  <si>
    <t>................................................. 2200 dente en Pezuela de las Torres, por... 2200 |n Juan Barba , id. , residente en id. , por 2 200 D. Antonio Sirvent, ex-hospitalario de San Id • Corenzo Barba, id. id., en id-, por... 2 209 Juan de Dios, residente en Madrid,-por 2200 SD,• Manuel Cano, id., residente en Po­ …</t>
  </si>
  <si>
    <t>Sistemes, Manuel</t>
  </si>
  <si>
    <t>Manuel Sistemes</t>
  </si>
  <si>
    <t>res compañías de tiradores. La caba­ lleril compuesta del regimiento provisional de Santiago y el de Usa-res ia Castilla al mando del coronel del i.9 D. Manuel Sistemes , la situé emboscada sobre ia derecha de la reserva, y en está forma esperé el ataque.- A muy poco rato el enemigo lo verificó por la izquierda y cen­ tro de …</t>
  </si>
  <si>
    <t>Sisteras, José</t>
  </si>
  <si>
    <t>José Sisteras</t>
  </si>
  <si>
    <t>os segundos José Pía y .losé Cordoni, y al cabo segundo Vicente Molías. El batallón de expatriados recomieuda al sargento segundo José (Cordoni, y al soldado José Sisteras. F.i de Almugavares al teniente D. Eubaldo Serra, al sargento pri­ mero Salvador Masramon , y al soldado Pedro Garbo. 7 yo recomiendo á V. E. á los capitan…</t>
  </si>
  <si>
    <t>Sitavecka, Felipe</t>
  </si>
  <si>
    <t>Felipe Sitavecka</t>
  </si>
  <si>
    <t>ntería ligera da voluntarios de Sa&amp;iirgo y cazadores clel R y, como también d* Iss col o can as de gVBr.ade.rcs y cazadores de! expresado exérciío, á D. Felipe Sitavecka , D. Fernan­ do Rubia, D. Francisco Bilarmt y D. Salvador Valencia. lía los cuerpos do voluntarios distinguidos de Cádiz so ha servi­ do el Concejo de Regenc…</t>
  </si>
  <si>
    <t>Sitnmons</t>
  </si>
  <si>
    <t>alud del desgracia en el dia de un modo lixo y consume Rei. Hice pocos di.&lt;s que ILmmm á consulta al aquella forma y carácter que hacen i.'fructuosos doctor Sitnmons,yel resultado de ella ha sido ios esfuerzos de los médicos, dedicad s ai estu lio convenir en que no ha habido m. j &gt;m ninguna tn de ios ramos ordinarios de la m…</t>
  </si>
  <si>
    <t>Siuart</t>
  </si>
  <si>
    <t>eza del terreno, había favorecido en extremo al enemigo p?m formar sus columnas y para su ataque subsecuente. La brigada de­ recha de la división del general Siuart á la3 órdenes del teniente coronel Colborne , fué la primera que entró en acción y se conduxo con la mayor bizarría. Tiendo que no podía ser batida la columna ene…</t>
  </si>
  <si>
    <t>Sjgooox</t>
  </si>
  <si>
    <t>rd , va­ Lafit&gt;;, e.iecjtnes del general en gefe, tueron de los dearon el rio por la derecha y por ia izquierda-del" primeros á marchar al ataque: ti coronel Sjgooox, puente , á pesar de la rapidez de. la corriente , y del 103.0, era ef comándente de trinchera. Seria que el agua les llegaba á ia cintura.. Inmediatamen*.: prec…</t>
  </si>
  <si>
    <t>Skcrret</t>
  </si>
  <si>
    <t>el enemigo desde per la mañana, que con alguna infantería y la artillería volante salí á contenerlo, ha sido grande. Las tropas británicas que con el coronel Skcrret salie­ ron y las españolas, no han dexa do de sufrir bastante ; pero se han batido con el mayor valor. Signe el fuego sostenido por la plaza. El enemigo trabaja …</t>
  </si>
  <si>
    <t>Skeritt</t>
  </si>
  <si>
    <t>1387</t>
  </si>
  <si>
    <t>cisión de mode­ se halla bien apostado, no es de creer que intente rar el rigor de las leyes de navegación en noestroi atacarnos; pero sin embargo el coronel Skeritt ha establecimientos de (a América septentrional. Se fortificado su posición, y se halla en estado de re­ permite llevar á los Estados-Unidos mercancías y sistir …</t>
  </si>
  <si>
    <t>Skerrct</t>
  </si>
  <si>
    <t>val con 2000 so halla en la Luz, dotante una legua; que la artillería caminaba con un cuerpo de 3000, y que el general Victor permanecía en BsgeT. El coronel Skerrct cu» alguna infantería inglesa V española salió el oiisme dia por la playa á poner en móVíiniipio aí eñemigd, y aprovéchame yo de sus mo­ vimientos y reconocer su…</t>
  </si>
  <si>
    <t>Skerreít</t>
  </si>
  <si>
    <t>do el primero aprobar el plan; pero que se suscitaron altercaciones entre los gene­ rales, y se propusieron y desecharon piros planes. Q ¿e obtuvo el coronel Skerreít dd primero úna Tíntruccion por escrito, á la que accedieron lo» dema» generales, y partió á disponerse para p rae ti* car el plan , aunque bastante dísa simado.…</t>
  </si>
  <si>
    <t>Skerret</t>
  </si>
  <si>
    <t>isión Cony que probablemente va destinada para el Mediterianeo* roux de Pepieville maniobraba por las montañas, ,, El regimiento q8.", mandado por el coronel Skerret, 50 hombres del 95.0 fde los cazadores carabine­ y amenazaba al enemigo por la espalda, mientras ros) y media compañía de artillería, se han embarca­ que los señ…</t>
  </si>
  <si>
    <t>Skerrett</t>
  </si>
  <si>
    <t>la ciudad, per ser inútil para la guarnición, y probablemente de consecuencias desastrosas por la dificultad del reembarco. Q ía el 27 se presentó al coronel Skerrett el barón de Eróles, que venia del exército del marques de Campoverde en busca de socorre : consultaron les dos en unión del ComiHodoTO y del general Doy le, y c…</t>
  </si>
  <si>
    <t>te, y casado no se esperaba, dió el asalto. Qie el general Contreras había distribuido muchas copias da una órd¿n suya entre li guarnición, y eres el coronel Skerrett que alguna cayó en poder del enemigo, y fué la causa deí ataque repentino é inesperado. Qile las tropas británicas se dirigieron ei 29 hacia Vlllanueva con inte…</t>
  </si>
  <si>
    <t>Sketreit</t>
  </si>
  <si>
    <t>e estaban en Rcgodin han enviado á lla­ no atacaría él á los franceses por Yin lado» mien­ mar el destacamento que estaba en Kladowa para tras qde él coronel Sketreit , qne mandaba cerca dé qae venga á rearárseles. 1200 ingleses, los aconétia por otro, al mismo El señor MJaden, presidente del senado servio, tiempo que la guar…</t>
  </si>
  <si>
    <t>Skiddi</t>
  </si>
  <si>
    <t>o ñeron varios comerciantes de las dos naciones, en salió de Nueva-Yortk el brick el Tamaahmaah, términos que vinieron á las manos unos con otros, so capitán Skiddi, con destino á Burdeos, en lu­ y de resultas quedaron muertos algunos de ellos. cre, y con 4 c pasaeetos. A las 6 de la tarde puo El comandante Mláden- Miilowanow…</t>
  </si>
  <si>
    <t>Skioldebrand</t>
  </si>
  <si>
    <t>ejero de tra situación, y podemos formar algunas esperan­ Estado Adlerkreutz, del gobernador de la ciadad» zas de qoe se conseguirá este intento. del general Skioldebrand y de otro* ▼arios oficia­ En virtud de una orden de S. M. el regimien­ les superiores, recorrieron á caballo las filas de to i.°de la Prnsia occidental sald…</t>
  </si>
  <si>
    <t>Skorrett</t>
  </si>
  <si>
    <t>, en Jas alturas hacia la izquierda , estaba Suchet, cuya fuerza total'era de 10 á 12000 hombres, y la de la guarnición de 70P0. Que á la llagada del coronel Skorrett no había mas punto de desembarco que uno de rocas, expuesto al fuego de flanco ael mue­ lle, y por eí frente á una batería de morteros y varias piezas de campiñ…</t>
  </si>
  <si>
    <t>SL, Nicolás</t>
  </si>
  <si>
    <t>Nicolás SL</t>
  </si>
  <si>
    <t>blos, que con ti n en 50 pares de me­ dias, 19 piezas de manta, 234 cordobanes, y 2GG pars de zapato*: un far. o co 100 pares de zapatos, donativo de D. Nicolás SL* ou, vecino de la v lia de Atlixca: 50 caxones con 4 monturas para caba­ llería efeda uno: 2 caxones con 50 chaquetas. 50 pantalones de ga­ muza y 50 chaleco* de h…</t>
  </si>
  <si>
    <t>Slade</t>
  </si>
  <si>
    <t>tiempo foé seguido prr la di vi ion lig ra, por los húsares, dragones reales y la brigada del brigadier, generar Puck , rodo á .as órdenes c’ei mayor general Slade, y haciendo tífuerzt s p^oa mar. tener el antiguo castiiio de ía villa ae Po xibd, fué desaloja Jo de él ; pe­ ro tu s xto cuerpo y la caballería del general Mor.i…</t>
  </si>
  <si>
    <t>tra un destacamento enemigo en Avelans: y asimismo una partida de caballería ligera y un t destacamento del regimiento 95 con que se hallaba el mayor general Slade, obligaron al enemigo á retirarse del lugar de Frexedas. Esta patrulla y destaca­ mento hicieron muchos prisioneros; pero me es muy sensible tener que participar á…</t>
  </si>
  <si>
    <t>701 El mayor general Slade dirigió en persona toda la acción, y frus­ tró con su3 movimientos los designios del enemigo : la caballería bri­ tánica sostuvo, cómo acostumbra, su grande reputación , y tuvieron ocasión de distinguirse ei mayor Dorviile</t>
  </si>
  <si>
    <t>oldados muertos; un cjp¡trn, un esquadron del 14.", se han distinguido baxo el inun­ dos tenientes , seis sargentos, 63 soldado» herido;; qua­ do del general Slade. tro soldados extraviados. ,,Creo que la marcha de! enemigo en esta ocasión 57.a Un alférez extraviado. ha sido con Ja mira no solo de hacer un reconocimien­ ■/4-°…</t>
  </si>
  <si>
    <t>e actualmente esta ciudad sitiada estrechamente y Caballería mandada por Stapplet Cotton. bombardeada, y sus habitantes reducidos ai mwor Brigada del general Slade: i,° de dragones, apuro por falta de víveres , Jos buques ingleses que 12.0 de dragones ligeros, en Casrel-B-anco. hai en el puerto, y los que en lo sucesivo entra…</t>
  </si>
  <si>
    <t>Slges, Luis</t>
  </si>
  <si>
    <t>Luis Slges</t>
  </si>
  <si>
    <t>Un paquetito, rotulado al Sr. Proust, coa lantejuelas de Francia. quadernos en francés. ■Núm. 123. Dos atados con papeles de Un serijo, con rótulo á D. Luis Slges, con música, venidos de Francia á nombre de Col- papel impreso. bran hace unos seis años, los quales fueron de­ Un paquetito, rotulado á D„ Esteban Ro­ tenidos por …</t>
  </si>
  <si>
    <t>Sluridm</t>
  </si>
  <si>
    <t>ara ver si se hallaban nuevas por cartas particulares que se h* expedido un auto minas de azogue. Bien se sabia que las habia en de prisión contra el doctor Sluridm y' algunes esta provincia; pero como las de Idria bastaban otros delegados. Entre las 5 personas presas sola­ para el consumo , habían sido abandonadas en tér­ me…</t>
  </si>
  <si>
    <t>Smith</t>
  </si>
  <si>
    <t>asciende á 355937 esterlinas, les y 900 soldados. Entre los muertos se cuenta que juntas con los fondos de amortización y con 4tl mayor Bumigham, al capitán Smith , al tenien­ los gastos de admioistracion suben á 465403 ester­ te coronel Maelean , y á otros muchos exceleates linas, las quales añadidas al tot-1 del otro emprés…</t>
  </si>
  <si>
    <t>9oo han sido socorridos no ha excedido de 9© , inclusa* El Essex, capitán Smith. las mugeres , los viejos y ios enfermos; y que en Juan Adams, capilar» Evans.’ este momento el de pobre* que están á cargo de la La Avispa (corbeta) , espitan Jones. ciudad no es mmho mayo</t>
  </si>
  <si>
    <t>Smitli</t>
  </si>
  <si>
    <t>hizo preciso avanzar , para que el enemigo no puiiess ocupar un bosque espeso de cinco millas que tenía­ mos cute atravesar; y así habiendo dexado al teniente coronel Smitli con su brigadapara que cubriese el punto del desembarco, la colum­ na se pnso en marcha "y atravesó el bosque sin mas oposición qae al­ gunas descargas d…</t>
  </si>
  <si>
    <t>Smliet</t>
  </si>
  <si>
    <t>tancia y valor, de que tantas pruebas había dado, se vio Toma del fuerte de Balaguer. precisado, después de mil trabajos, á pararse á la Queriendo el general Smliet aprovecharse del distancia de 1440 varas del vértice: el intrépido terror que había infundiJo la toma de Tortosa, Humbaldt subió mas de i3 varas mas arriba; pero …</t>
  </si>
  <si>
    <t>Snchet</t>
  </si>
  <si>
    <t>aseguremos t fe Que la invención de Montgolfier es la mas ex­ Tortosa 11 de enero. ~ traordinaria, y la qne desde la antigüedad mas re­ De orden del general Snchet se están reparan­ mota siempre se deseó hallar, pero que siempre se do con la mayor actividad las brechas de la mura­ desconfió poder encontrar; que ha exteadido e…</t>
  </si>
  <si>
    <t>arte de los del fuerte de O iva. españoles d&gt;. xaron en el campo de batalla 300 hombres muertos, y tuvieron mas de 600 heridos. Parte remitido por el conde Snchet, comandante Por nue-tra parte tuvimos too hombres entre en gefe del exército de Aragón , d S. A. S. el muertos y hetidos. príncipe de Neitfdintel, mayor general. En…</t>
  </si>
  <si>
    <t>So, Antonio</t>
  </si>
  <si>
    <t>Antonio So</t>
  </si>
  <si>
    <t>rra una vanguardia , compuesta de \o¿ batallones rimero de Cataluña, Baibastró y cazadores de la Co^a al mando S el coronel y comandante del primero, D. Antonio So*á.— El 26 del anterior supe *qúe LevaE era el deliciado p-ra mandar ge fe toda esta expedición, y que se hallaba ooñ 6Qff(j&lt; infurtes - y 800 ca­ ballos en Eitepóc…</t>
  </si>
  <si>
    <t>So, Elvira y Doña</t>
  </si>
  <si>
    <t>Elvira y Doña So</t>
  </si>
  <si>
    <t>la admisión de las mercancías es­ el ultraje que recibió aquel valeroso guerrero, en tán encargados de juzgar de la validez de las recla­ sus hij/.s Doña Elvira y Doña So], quando fueron maciones. tan cruel y alevosamente maltratadas por los con­ i, Pasado el día 30 de abril no se podrá por des de Carrion, y la venganza que t…</t>
  </si>
  <si>
    <t>Sobaron, Antonio</t>
  </si>
  <si>
    <t>Antonio Sobaron</t>
  </si>
  <si>
    <t>Santiago García, 100. D. José García del Barrio , 100, D. Alexaudro Marina , lOÍ). D. Juan García del Barno , 100. D. Juan de Cebados Argumeda , 100. D. Antonio Sobaron, 100. B. José Escalante, 100. D, Ramón de Renedo , 100. I). José de la Campa* 100. D. José Mancina, 100. D. Vicente Gutiérrez, 100. D. José de Rueda, lOO. ( S…</t>
  </si>
  <si>
    <t>Sobrado, Gabrl</t>
  </si>
  <si>
    <t>Gabrl Sobrado</t>
  </si>
  <si>
    <t>cado 17 hiladas de sillares en el primer entubía- teniente de la tercera compañía, e:i reemplazo de miento del arco de triunfo, y este monumento iic- D. Gabrl 1 Sobrado. gi ya á una uretra parte de la elevación que ha D. Genaro Abad , sargento primero , á subte­ ele tener. niente de la ocr-iva compañía, eo la vacante de Tambi…</t>
  </si>
  <si>
    <t>Sobre, Vicente</t>
  </si>
  <si>
    <t>Vicente Sobre</t>
  </si>
  <si>
    <t>emulación á todo el exército; De ios individuos del propio regimiento quedaron heridos de bala de fúsil -4, y otros de piedra, incluso el subteniente D. Vicente Sobre villa, li­ geramente en la barba. En la misma acción* el dragón de provinciales de Querétaro Marcos Arroyo mató á un artillero de los insurgentes en el cerro no…</t>
  </si>
  <si>
    <t>Sochet</t>
  </si>
  <si>
    <t>dad infatigable de los ponto­ valo qoe mediaba entre él y el 117.°, y alargóse neros. hasta la orilla del baxo Ebro, en el qoe el enemi­ Firmados* Ei conde Sochet. z=Por copía con­ go abandonó la batería Lili, destinada á impedir formes El ayudante comandante, gefe interino del el paso del tío. La artillería, qoe había princi…</t>
  </si>
  <si>
    <t>Soeder</t>
  </si>
  <si>
    <t>mos con gran satis­ saber, la Fortuna, capitán Boer; la Margarita, facción que mochos comerciantes y varios habitan­ capitán Ewertz, y el Peperbootn, capitán Soeder. tes acomodados de Copenhague se dan priesa á ar­ El navio sneco Waksamheten, capitán Takersreglar con la comisión nombrada para ello la quota trom, ha tocado en …</t>
  </si>
  <si>
    <t>Sol, Francisco</t>
  </si>
  <si>
    <t>Francisco Sol</t>
  </si>
  <si>
    <t>Teniente. D. lLmor. F.ores. I). Rafael Orive. D. Josef Goztnan. D. Ramón Ncgtete. Subteniente. D. José! Fernandez de Córdoba. 4 1 D. Rat.iel S^ravia. D. Francisco Sol.no Tablada. D Josef C-F zas. art. iv. En la villa de Cabra se formará UQ D. Miguel Gírela Vizcaíno. batallón. D. Josef Mana Conde. Queda nombrado para comandant…</t>
  </si>
  <si>
    <t>Sola, Blas María</t>
  </si>
  <si>
    <t>Blas María Sola</t>
  </si>
  <si>
    <t>íui xcyi09 D. Ignacio Martínez Caveto y D. Jo3é Mana Arizala; te­ nencias á D. Blas María Sola, D. Jo?é Carrasco, D. Nmroírío Cor­ vino, D. Biitoiomé Wüitt, D. José Wüitt, D. Manuel Vago, Don Simón d&amp; la Greta, D. Ramón Lanctoy, D. José Andalo, D. José García, D. Francisco Gómez, B.</t>
  </si>
  <si>
    <t>Solana, Manuel</t>
  </si>
  <si>
    <t>Manuel Solana</t>
  </si>
  <si>
    <t>a.................. a art. iv. En los batallones de la ciudad de Toledo. TEATROS. Primer batallón. En el del Príncipe, á las ocho de la noche, se re­ D. Manuel Solana á capitán en la vacante de Don presentará por la compañía española la comedia en Marcelo de Córdoba. quatro actos titulada el Imperio de las costumbres, ó la Vi…</t>
  </si>
  <si>
    <t>Solana, Tomas Ruiz</t>
  </si>
  <si>
    <t>Tomas Ruiz Solana</t>
  </si>
  <si>
    <t>nguren , guarda almacén , para la manutención de un soldado., 9. D. José Joaquín Rivero , id., 3. D. Geróni­ mo José de Aguiar, oficial de libros, 1. D. Tomas Ruiz Solana , sobrestante segundo, 3. D. Rafael Rensoli, id, tercero , 1. D. Marcos Fernandez Castañe­ da, id. cuarto y fiel de peso, J y 4 rs. D. Gabriel de Lamas Pard…</t>
  </si>
  <si>
    <t>Solana, Vicente Gutiérrez</t>
  </si>
  <si>
    <t>Vicente Gutiérrez Solana</t>
  </si>
  <si>
    <t>........................... 4400.-21 En nuestro palacio de Madrid á 6 de setiembre D. Claudio Boutelou................................ 1200 de ibi 1. D. Vicente Gutiérrez Solana................. 4802..25 Don Josef Napoleón por la gracia dé Dios y por D. Rafael Riesco....................................... 91 24..13 la constit…</t>
  </si>
  <si>
    <t>Solano</t>
  </si>
  <si>
    <t>nte á Tarragona. resantes ba continuado su camino para París. £1 ingles Doile ba ¡Atentado levantar nn regi­ miento en las montañas de Cataluña; y el coronel Solano andaba también reclutando á fuerza de di­ El señor coronel barón de Krnse, encargado nero los mozos de los pueblos » y aun Jas partida* de recorrer las fronteras …</t>
  </si>
  <si>
    <t>Solano, Joan</t>
  </si>
  <si>
    <t>Joan Solano</t>
  </si>
  <si>
    <t>.ica , proporcionó la prisión ción de ayudar á los párrocos en su ministerio. de sn sargento llamado Félix Torres , conocido por ART. m. Concedemos á D. Joan Solano , ex­ el Pajarraco, natural de Dos-Barrios, de 50 años franciscano observante, el goce de 250 ducados de edad; este antiguo criminal, compañero de Se­ anuales con…</t>
  </si>
  <si>
    <t>Soldevilla, Bernarda</t>
  </si>
  <si>
    <t>Bernarda Soldevilla</t>
  </si>
  <si>
    <t>8¿ no de D. Vicente González Arnao.. 7290 D. Antonio Muñoz, por mano de Sin- D. Claudio Boutelou, como marido de foriano de la Torre , y á nombre del Doña Bernarda Soldevilla................... 7560 hospital dé la Resurrección de Va- Doña Francisca, Doña Justa y Doña lladolid...................................................…</t>
  </si>
  <si>
    <t>Soleare, Luis</t>
  </si>
  <si>
    <t>Luis Soleare</t>
  </si>
  <si>
    <t>Han vuelto á esta ciudad láduquesaLuisay SUIZA. sus hijos, como también el duque Guillelmo , que había salido,á'recibir á su hermano. £1 duque Luis Soleare de abril. es el único qne permanece en Kircheim, La dieta extraordinaria ha oidq. en su primera sésion un informe circunstanciado de S. E. el lanGRAN DUCADO DE FRANCFORT. …</t>
  </si>
  <si>
    <t>Soler, José Miguel</t>
  </si>
  <si>
    <t>José Miguel Soler</t>
  </si>
  <si>
    <t>. El comisario de guerra y secretario del gobierno y capitanía general D. Juan Ibañcz, por el prest de 4 soldados en un mes du­ rante la guerra , 36. D. José Miguel Soler , oficial 2.° de la secretaría de go­ bierno y capitanía general , por el de un soldado id. , 9. B. Esteban Cambreleng v .Espinosa , oficial agregado á la m…</t>
  </si>
  <si>
    <t>neral por el prest de 4 soldados en dos meses , durante la guer­ ra, 72. D. Esteban Cambreleng y Espinosa, por dos meses de su oferta men­ sual , 12. D. José Miguel Soler, oficial segundo de la secretaria del gobierno y capitanía general, ppr,el prest de un soldado en dos meses durante la guer­ ra, 18. D. Juan Miguel Calvo, c…</t>
  </si>
  <si>
    <t>sario de guer­ ra honorario D. Juan íbañez , secretario del gobierno y capitanía general, par el prest de 4 soldados en un mes durante la guerra, 38. D. José Miguel Soler, oficial segundo de Ja misma, por el de un soldado en un mes, 9. D. Esteban Cambreleng, agregado á la misma secretaría, por oferta mensual, 6. Los re­ gidor…</t>
  </si>
  <si>
    <t>smo á nombre de D. Fran­ cisco Barderan , maestro de escuela , 86. El teniente coronel D. Juan Montalvo., por el prest de G soldados en 3 meses, 103. D. José Miguel Soler, por el prest de un soldado en 4 nieses, 3G. D. Diego José de Aguiav /entre­ tenido del tribunal de cuentas , por dos meses de su oferta de 10 pesos en ca­ …</t>
  </si>
  <si>
    <t>Soler, Juan</t>
  </si>
  <si>
    <t>Juan Soler</t>
  </si>
  <si>
    <t>183 y 3. D. Ignacio Tubores , 30. D. Juan. Rosoli, 40. D. Francisco Carreras, 256 y 4. D, José Xavier de Aranzarnendi , 203 y 6. D. José Geipi , 38. D. Juan Soler, 30. Francisco Aguerra,# 80. D. Andrés Gonza’ez , 40. D. Juan-Mayvnó y compañía , 150. D. Antonio Escardó , 70. D, Francisco Puche , 50. D. ¡Miguei l’orrens, 100. D…</t>
  </si>
  <si>
    <t>Soler, Pablo</t>
  </si>
  <si>
    <t>Pablo Soler</t>
  </si>
  <si>
    <t>, 25. D. Isidro Arecha,25. D. Nicolás Soriano, 25. D. Pedro í«opea , 35. D. Ignacio Cantarcy , 25. D. Bartolomé Rusconi , 25. D. Joan Villaseca, 25. D. Pablo Soler , 25. Don José Bobos , 25. D. José Ector Padrón, 25. I&gt;. Antonio Castilla, 25. Don Manuel Salecio, 25. D. Roberto Ciaberot, 35. D. Joaquiu Español, 25. (Se continu…</t>
  </si>
  <si>
    <t>Soler, Pedro</t>
  </si>
  <si>
    <t>Pedro Soler</t>
  </si>
  <si>
    <t>. 80$ D. JosefGrumeta, sargento primero, á sub­ Oro español contra plata.....;.......... lk teniente de la octava compañía. Quinto batallón. TRATEOS. D. Pedro Soler, teniente, á capitán de la quin­ En el del Príncipe, á las siete de la noche, se re­ ta compañía. presentará por Ja compañía española la comedia de D. Antonio Hid…</t>
  </si>
  <si>
    <t>rra , *50. Varios vecinos del par­ tido de Toa-baxa, 193. Id. del partido de Toa-alta, 800 y 4. Id. del partido de Guainabo ,210. Id de la Moca, 427. D. Pedro Soler , 164 y 1. D. Miguel Boíarnll, 120. Varios vecinos del partido de Juncos, 05. Id. de la Vega-alta, 105. Id. de la Vega-baxa , 505. 14. Manuel Alora les, 1 63 y l.…</t>
  </si>
  <si>
    <t>Solernou, José</t>
  </si>
  <si>
    <t>José Solernou</t>
  </si>
  <si>
    <t>é Co!í, 1000. Don Ignacio Garceran , 200. D. Pascual Moreno de. Mora, 200. D. Antonio Cortes y Coll, 300. D. Félix Pulí, 200. D. Mariano Lobera, 400. D. José Solernou, 200. D. J. L. F., 150. D. José Ignacio Inciartc, 100. D. Luís de Córdoba, 100. Sres. Viuda de Roberts y compañía, 500. D. Antonio Valiarino, 1000. .cu marques …</t>
  </si>
  <si>
    <t>Soletire</t>
  </si>
  <si>
    <t>esarmarle, quitándole el fusil y sable coa que le amenazó. SUIZA. Estas dos armas han sido reconocidas como per­ tenecientes á un ordenanza del señor comandante Soletire 28 de marzo. de Alcobendas, que apareció asesinado pocos dia* S. E. el landamann de la Suiza ha nombrado al antes de estos sucesos antiguo landamann y burgom…</t>
  </si>
  <si>
    <t>Solis, Francisco</t>
  </si>
  <si>
    <t>Francisco Solis</t>
  </si>
  <si>
    <t>cio, son: el R. P. Fr. Miguel Vazquez , cura del partido, D. José María Escalena, encargado de justicia, D. José Francisco Subori, D. José Santander, D. Francisco Solis, D. Pedro Zsvala, D. Juan Romero, D. Ignacio Hsrrera, D. Miguel EscarníHa, D. José Francisco López , D. José Francisco Hernández , Don Manuel Güemes, y el ind…</t>
  </si>
  <si>
    <t>Solis, Josef</t>
  </si>
  <si>
    <t>Josef Solis</t>
  </si>
  <si>
    <t>a, natural de la villa de reside, por........................................................ 2 2®0 - de Tembleque , en la misma provincia, residente D. Josef Solis, natural de Montanclios, en Extre­ en Toledo. Basta que mejore la situación de su madura, residente en Toledo , por.................. 2200 pueblo, por............…</t>
  </si>
  <si>
    <t>Solít, Cristóbal</t>
  </si>
  <si>
    <t>Cristóbal Solít</t>
  </si>
  <si>
    <t>llón. «con que en lo general se batieron nuestras tro— Nombramos para comandante de este batallón »pas, y del orden coa que executarou sa retirada, á D. Cristóbal Solít; para ayudaut* á D. Diego</t>
  </si>
  <si>
    <t>Solkukin</t>
  </si>
  <si>
    <t>les hará saber el señor gobernador en los á Bucharest el teniente general Markoff, y de Cra- términos mas serios y positivo*, que el gobierno jowa el general Solkukin, el qual ha sido nombra­ zela sobre su conducta, que do se le oculta nindo comandante de Braila. gnno de los pasos que dan, y qne se les aconseja Ya se ha prese…</t>
  </si>
  <si>
    <t>Sologaistoa</t>
  </si>
  <si>
    <t>guerrilla, la que inmediatamente rompió el fuego coa el mayor orden, sosteniendo su poeicion media h^ra larga, á consecuencia de haberla reforzado el capitán Sologaistoa con SO voluntarios; pero tratando el enemigo de cortarla, se v'ó precisada á replegarse sobre la derecha en cura* plimknto de las órdenes que se le habían co…</t>
  </si>
  <si>
    <t>Solór, Tomas</t>
  </si>
  <si>
    <t>Tomas Solór</t>
  </si>
  <si>
    <t>situación de su madura, residente en Toledo , por.................. 2200 pueblo, por........................................................... 2200 D. Tomas Solór/ano, lego, natural de Noves, re­ D. Luis Eustaquio de Paz, natural de Madrid, don­ sidente en su pueblo , por.................................... . X ICO de reside…</t>
  </si>
  <si>
    <t>Somarriba, Francisco</t>
  </si>
  <si>
    <t>Francisco Somarriba</t>
  </si>
  <si>
    <t>teniente, á tenien­ En el ,dp )a Cruz, &amp; las cinco de la tarde, se exete de la quinta compañía. cutará el drama titulado Misantropía y Arrepentimien­ D. Francisco Somarriba , sargento primero, í to; y se dará : fin oon el pequeño baile pantomimo ti­ subteniente de la novena compañía. tulado ia Vieja astuta. SUPLEMENTO</t>
  </si>
  <si>
    <t>Sonlt</t>
  </si>
  <si>
    <t>e por conseqiieneia de aquél prinoi-» pío tomó el mando el acreditado y-digno mariscal Beresfbrd., A la primori noticia q re se tuvo de la venida del mariscal Sonlt sobréExtremadura , dispuso el Sr. BLtke el* moviínieafeo de reunió». de-sus tropas'con’ las del exercito alíenlo 3 ‘.con tanta puntualidad-y exactitud có’ri'el pl…</t>
  </si>
  <si>
    <t>regente y á los ministros. Todo el tiempo que do en Huclva, y su destino parece que esa Cádiz. S. A. no ha estado ocupado en los negocios del es­ El mariscal Sonlt ha vuelto- de ¿ovilla a Lieretado , lo ha empleado en ir á Windsor,. y volver á na , y una parte de sus trop-.s está acantonada en Londres,y asi ha padecido mucho …</t>
  </si>
  <si>
    <t>Sontag</t>
  </si>
  <si>
    <t>mpaña , recopiladas de las vieras y ordenanzas de Federico el Grande , rey de F rusia : traducidas del ale­ mán al ingles en forma de diálogos por el general Sontag al servicio de S. M. B- ¿ y del ingles al castellano con notas por I). Federico Ma­ reta y Cascone, brigadier de los reales exórcitos, y coronel que fué de la ext…</t>
  </si>
  <si>
    <t>Sontwfd</t>
  </si>
  <si>
    <t>te stn preparativos, sns movimientos, sus A propuesta del lord No.tterwiíle , que ap„.j ó planes y el nú ñero de sos trepas , y que él se ha­ el lord vizconde Sontwfd, el lord Finga ocupó á bía vi to precisado á reanir todo su cxéri_ito para las 11 de la mañ na la silla del presidente eu me­ cbserv-r por sus propios ojos al e…</t>
  </si>
  <si>
    <t>Sopeña, José</t>
  </si>
  <si>
    <t>José Sopeña</t>
  </si>
  <si>
    <t>qucs,200. D. Guillermo Power, 500. D. Martin de Ujoeta, 400. D. Francisco Buch y Verges, 400. D. Pedro Mártir Pascual , 200. 1). José TraseiJas, 150. D. José Sopeña , 3,20. IX José Alvareda , 3000. D. Manuel Ferrer y Sans, 1000. D. José Closa, 4-00. D. Antonio Guirií'au , 4üü. D Simón de Agreda , 200. IX José Cubero , 200. i)…</t>
  </si>
  <si>
    <t>Sor, Dominga</t>
  </si>
  <si>
    <t>Dominga Sor</t>
  </si>
  <si>
    <t>iios de ca­ ñón despedidos por una partida de íS himhrcs que Cita’a destara­ da en el campichuelo llamado de Cundt loria, al manco d 1 eaphan. urbano D. Dominga Sor*ano del Monge. No hubo en La «clon mí s pérdida por nuestra parte que üb cañón. de finio y u-i peche;o :ue ko pudo sostenerse por 40 hombres de armas de fuego, á …</t>
  </si>
  <si>
    <t>Sorel-a, Pedro</t>
  </si>
  <si>
    <t>Pedro Sorel-a</t>
  </si>
  <si>
    <t>sxtrciio uS Cataluña, ví El Sr. marques de Astorga, 1000 r$. vn. D. íFYancíscp Bayona ,| 80. Don Nicolás Coronado , 500. IX José Bautista Pau, 20Q. .D. Pedro Sorel-a, 200, D..Francisco. Matali40. ©. Bartolomé Mayfot,- 200., ,Q|.; Rampq - Valiente, 1000. E! Sr: Regente D. Pedro Agár, 16^0 y'ÍO nirs/É! Sr. Regente Don Gabriel C…</t>
  </si>
  <si>
    <t>Sorela, Pedro</t>
  </si>
  <si>
    <t>Pedro Sorela</t>
  </si>
  <si>
    <t>de Criarte, 500. I). Juan Ma­ ría de Inarte , 500. D. José Romero Campo, 400. D. Paulo Larriela y corn•jjanía , 500.IX Antonio y D. Juan Víctor, 500. D Pedro Sorela, 200. D. An­ tonio Faxas , 500. D .Joíé Moda , 300. 1). Pedro Perato, lOoO. D. Bernardo• A'uevo-Iglesias , 30,0. D. Joaijuin Bucet. 600. D. José Escardo , 1000. D…</t>
  </si>
  <si>
    <t>Soret, Víctor</t>
  </si>
  <si>
    <t>Víctor Soret</t>
  </si>
  <si>
    <t>visio­ nes , que no ha sido pagada, y estaba coraprehendida en la suma , ex­ presada allí ,de 98322 rs. vn , 88416. De D. Benito Dilabre, 40. Del Sr. D. Víctor Soret, tesorero general del rey 13o, 500 Baxo las iniciales; N. N., h D. Ignacio María de Alaba, en pitan ge? jera! de De la Exorna. Sra. condesaduques?i de Benavi slt…</t>
  </si>
  <si>
    <t>Soret, Victor</t>
  </si>
  <si>
    <t>Victor Soret</t>
  </si>
  <si>
    <t>go Iienette, 390 rs. D, Hugo Mucdermot, 500» D. Enrique Linch, 900. Ei Etnuio. cardenal de Borbon , 3000. D. Agustín de Sorondo , 500. Don E. B. 300. D. Victor Soret, 500. D. Francisco de Berrio, 500. D. Luis Fran­ cisco de Gardea/abal, 200. D. Juan Soler y G-arceran, 400. D. Alexandro Firpo , 300. D. Pablo Roura, 400. D, Gas…</t>
  </si>
  <si>
    <t>Sórí, Adeoelató</t>
  </si>
  <si>
    <t>Adeoelató Sórí</t>
  </si>
  <si>
    <t>e habiendo sido muerto el coraiaiidahfé- español con 7 de ios suyos y héridfes otros 15 , no quedando sino'3 sobre cubkrta coa el alférez de fragata, D Adeoelató Sórí biran, sé apoderó dé la 'Fénix; y la abandonó eit fe l a agua gránde1] detjfáes de saqueada toí&amp;K mente y perdida casi toda la correspondencia. Es digno de los …</t>
  </si>
  <si>
    <t>Soriano, Josef</t>
  </si>
  <si>
    <t>Josef Soriano</t>
  </si>
  <si>
    <t>práctica de los siglos mas brillantes del cristianis­ te á D. Bartolomé Roldan , y para abanderado ¿ mo. La España puede gloriarse justamente de ha­ D. Josef Soriano. ber observado en la materia de qne se trata la prác­ Para capitán de la segunda compañía á D. Fer­ tica y costumbre antiguas acaso por espacio de aLnando Laina …</t>
  </si>
  <si>
    <t>Soriano, Nicolás</t>
  </si>
  <si>
    <t>Nicolás Soriano</t>
  </si>
  <si>
    <t>obi, 50. D. Francisco Batllé , 50. D. Cristóbal Sansón , 50. D. Miguel Lanz, 40. D. Rafael Bailester, 25. D. Gaspar Machín , 25. D. Isidro Arecha,25. D. Nicolás Soriano, 25. D. Pedro í«opea , 35. D. Ignacio Cantarcy , 25. D. Bartolomé Rusconi , 25. D. Joan Villaseca, 25. D. Pablo Soler , 25. Don José Bobos , 25. D. José Ector…</t>
  </si>
  <si>
    <t>Soroa-Soroa, Josef María</t>
  </si>
  <si>
    <t>Josef María Soroa-Soroa</t>
  </si>
  <si>
    <t>ó después en su real cámara á to­ lentín María de Echevarri, D. Alexandro Burgué, das las autoridades expresadas, y otras personas D. Diego Arrióla , D. Josef María Soroa-Soroa, que pasaron á cumplimentar.e. Por la1 noche hubo D. Josef María de Lariumbíde y D. Manuel de iluminación general, fuegos de artificio y músicas Abarr…</t>
  </si>
  <si>
    <t>Sorzano, Juan Manuel</t>
  </si>
  <si>
    <t>Juan Manuel Sorzano</t>
  </si>
  <si>
    <t>declaran acreedores del regui................................ 5400 Estado á D. Blas Sánchez Pueitas..... 396 Los señores D. Pedro Bayle Pea'cs. Mrs. D. Juan Manuel Sorzano y y compañía, por............ 1000 Soria.................................. 10920.-19 Doña María de la Concepción D. Josef Badan , por cesión Echeverría....…</t>
  </si>
  <si>
    <t>Sorzáno, Juan Manuel</t>
  </si>
  <si>
    <t>Juan Manuel Sorzáno</t>
  </si>
  <si>
    <t>... 180; rado D. Nicolás Barsanti............... 10 j 9 10 Doña Margarita de Pereda.................. 7039 17 X Doña María Brígida Torilla, por su 18 D. Juan Manuel Sorzáno ySoria.... 55129 17 apoderado Pinillos y Perez............ 1985 17 36 Pinillos y Ptrez................................... 14530 8-‘- 1 D. Tomas Mencndez..…</t>
  </si>
  <si>
    <t>Sostoa, Tomás</t>
  </si>
  <si>
    <t>Tomás Sostoa</t>
  </si>
  <si>
    <t>a muy muticutamente á I03 oficiales dotación ©. Rodrigo Tavira y D. Fran­ cisco de Pauta Cuadrado, y ádos que traía de transporte ©. Vicente ■Bausa y D. Tomás Sostoa, quienes luego que se libertaron á duras penas de la muerte, se mantuvieron inseparable? del alcazar por 3 dias, animando á la gente, y dándola exemplo ex*,raord…</t>
  </si>
  <si>
    <t>Sota-Riva, Manuel de Ja</t>
  </si>
  <si>
    <t>Manuel de Ja Sota-Riva</t>
  </si>
  <si>
    <t>. Francisco Goyenechey D José Gabriel Armijo. El Sr. mayor general de caballería coronel D. Diego Garda Con­ de , y el de infantería teniente corone! D. Manuel de Ja Sota-Riva con sus ayudantes D. Esteban Munusra, capitán de dragones de Pue­ bla y el teniente del Pii. c»pe D. Casimiro León, el capitán de la Co­ rona D. Juan C…</t>
  </si>
  <si>
    <t>Sotello, Ignacio</t>
  </si>
  <si>
    <t>Ignacio Sotello</t>
  </si>
  <si>
    <t>vincia d$ Tiyas , una de las internas de UsutvaEspaiia. Compañía de Sta. Fe. Primer teniente D. Nicolás Almansa, 50 pe­ sos fuertes. Segundo teniente D. Ignacio Sotello, 50. Alférez D. .fo­ sé María Arce, 20. Idem 1). Manuel Portillo, 10. Capellán Fr. Fran­ cisco de Ocio, 25. Cadete D. Xavier de Arregui, 5. Los sargentos, cab…</t>
  </si>
  <si>
    <t>Sotelo, Joaquín</t>
  </si>
  <si>
    <t>Joaquín Sotelo</t>
  </si>
  <si>
    <t>de milicia cívica de y cabildos, para que se vea la uniformidad de los Malaca quedan promovidos sentimientos de que están animados , y los principios D. Joaquín Sotelo, subteniente, á teniente de qué profesan en una materia de tanta importancia; la primera compañía del segundo batallón. principios que podrán tranquilizar á al…</t>
  </si>
  <si>
    <t>Soto</t>
  </si>
  <si>
    <t>esta arma en Usa­ gre y Bienvenida. Sobre la marcha se tuvo aviso de que los enemigos abandona­ ban también á Llerena. A las 9 de la mañana llegó et capitán Soto con sus tiradores á esta ciudad, y siguiendo el camino de Berlanga, empezó á batirse co?i la retaguardia enemiga á un tiro d1 fusil de Llerena. El enemigo siguió su …</t>
  </si>
  <si>
    <t>o , porque se retr o , y los enemigos vol­ vieron á ocupar sus puestos. A la tarde salieron de esta pLz- nuestros tiradores'de caballería abmándo dél teniente coronel Soto, y sobre Jas</t>
  </si>
  <si>
    <t>el acceso de este. Una densa pube de polvo cubría su marcha, de mo­ do que era imposible calcular la fuerza que traía, y muy pronto los tiradores del coronel Soto se vieron atormentados por el fuego de su infantería que marchaba delante, y que le obligó á retirarse con pérdida de 4 heridos, y se le mandó replegarse detrás del…</t>
  </si>
  <si>
    <t>Soto, Francisco de Paula</t>
  </si>
  <si>
    <t>Francisco de Paula Soto</t>
  </si>
  <si>
    <t>, á te­ es ¡niinito. La traslación de un cuerpo en linea recta, niente de ía octava compañía. # de un punto del espacio ¿ otro, sea por su propia vo­ D. Francisco de Paula Soto , sargento primero, luntad, sea por la acción de un motor qualquíera, es á abanderado. un caso particular-del movimiento que hemos indicado Séptimo ba…</t>
  </si>
  <si>
    <t>Soto, Josef</t>
  </si>
  <si>
    <t>Josef Soto</t>
  </si>
  <si>
    <t>olonia acaban de enviar al se­ dictoral de la catedral de Segovia, al presbítero ñor prefecto una caxa de añil, que han sacado del ex-prernostrarense D. Josef Soto. glasto, y que en nada es inferior al de las Indias. Para el de la H &gt;rra , Vacante por promoción ¿ Qué especulación tan lucrativa y tau útil para un de D. Gerónim…</t>
  </si>
  <si>
    <t>Soto, Juan</t>
  </si>
  <si>
    <t>Juan Soto</t>
  </si>
  <si>
    <t>a que había llagado) formada ©n dos columnas paralelas, y entre ellas y las de infantería de la derecha los tiradores á las órdenes de su ccraaad&amp;Bi* D. Juan Soto. Nuestros descubridoras por sus tiros nos hicieron conocer muy luego .que estaban á ia vista del enemigo , que efectivamente salla á las 7 de la mañsiia de Arroyo-M…</t>
  </si>
  <si>
    <t>Soto, Miguel</t>
  </si>
  <si>
    <t>Miguel Soto</t>
  </si>
  <si>
    <t>acertados y bien sostenidos fuegos el ataque de la izquierda ,y Jas- 6 piezas restantes colocadas en lo baxo del puerto al • mando &amp;-1 ten ¡eme navio D. Miguel Soto, comandante de tbdá'la ¡artillería del exérctao, sos­ tenían , no solo el referido ataque sino el de la- derecha ; pues su si­ tuación proporcionaba atender á var…</t>
  </si>
  <si>
    <t>Sotolongo, Pió</t>
  </si>
  <si>
    <t>Pió Sotolongo</t>
  </si>
  <si>
    <t>cia a1, a? fe reí D Rimon de Melgarejo : empleo &lt;te al­ férez de cazadores, ai de fusileros D. Luis Monteroj y empleos de al­ féreces de fusileros, á D. Pió Sotolongo , subteniente del batallón d-a voluntarios de Campomayor, D. Joaquip Carcer , teniente del regi­ miento de caballería de A garbe, D. Juan Velarde yRoxas, subten…</t>
  </si>
  <si>
    <t>Sou</t>
  </si>
  <si>
    <t>o esperar á los tur­ En los últimos diarios que hemos recibido de cos al otro lado dcl'Danubio. No se sabe todavía París hai dos cartas de bfiéio del mariscal Sou/t re­ qué providencia* adoptará esté general para defen­ lativas á las últimas operaciones que ha habido en der á la Servia , que en este caso quedaría mui España y…</t>
  </si>
  <si>
    <t>Sou't</t>
  </si>
  <si>
    <t>mos hablado, S. M. cayó en un abatimien­ -y le obligará á destacar tropas para dsfenmr esta to tal, que dió mucho cuidado. Se le irfLmarón ciudad. Él mariscal Sou't ha ido en persona á Se­ las glándulas de la garganta con dolores tan vivos, villa para tomar las medidas de precaución nece­ que se le oia quejarse desde el terra…</t>
  </si>
  <si>
    <t>Soub</t>
  </si>
  <si>
    <t>, y acase es mover la m s3i*ia de M.álaga (2). La cerradura del puerto es la medida mas im­ política que p&amp;cde imaginarse. Ycremos lo que responde el mariscal Soub. \Como digo á Y. do oficio, los golillas so han apoderado de S-m F.dipe Neri escandalosamente. Es el edificio mas vasto de la ciudad, y ellos no necesitan mas que …</t>
  </si>
  <si>
    <t>Souham</t>
  </si>
  <si>
    <t>piado contra el general Abadía en Galicia. Este exército se componía de 22 bat-illonf.-s de lá guardia imperial, y de la divi­ sión de'infantería del general Souham , que son tropas recien veni­ das á Esparta dei exército de Ñipóles, y últimamente sacad..» de las fioateras de Navarra, dovele ss empleaban en perseguirá Mina. E…</t>
  </si>
  <si>
    <t>Náxera dos divisiones de á 3000 hombres , la mayor parte conscritas, aun­ que vienen incorporados con tilos una. buena porc en de soldados viejos. Él general Souham que manda esfns fuerzas, quería llevarse también consigo la guarnición de Logroño; pero dexó de hacerlo per súplicas y dádivas drl corregidor intruso. Los que vie…</t>
  </si>
  <si>
    <t>Souir</t>
  </si>
  <si>
    <t>el iltfla Cruz, á las ocho de la noche, se eje­ Badajoz, cuya guarnición es de ó® hombres. El cutará la comedia antigua en tres actos titulada la Ni­ mariscal Souir ha vuelto á Sevilla con la mayor ña de Gómez Arias; seguirá el bolero á tres, y se con­ parte de sus tropas. (Idem del 27 de julio.) cluirá con un sainete. EN LA …</t>
  </si>
  <si>
    <t>Sóuit</t>
  </si>
  <si>
    <t>gués batió completa y gloriosamente en estos campos de la Al­ buhera antes de ayer 16 al exército enemigo que atrevida y jactanciosamente conducía el mariscal Sóuit, para liber­ tar á Badajoz y conquistar de nuevo la Extremadura. Desvanecidos sus proyectos está en decidida retirada , y le persigue la caballería, sostenida por…</t>
  </si>
  <si>
    <t>Souit</t>
  </si>
  <si>
    <t>de la legión de Honor. Del 14. He aquí las únicas noticias que se han recibido La platina es nn metal refractario, inalterable; de la peeittsola. El mariscal Souit, según varias y capaz de nn bello pulimento ; basta ahora soló cartas particulares, conserva sn quartel general en se ba encontrado este metal singular eo las miua…</t>
  </si>
  <si>
    <t>s llinptoo, que confirman la noticia qne habíamos plazas de Olivenza y de Badajoz: el cnerpo del recibido por los periódicos franceses de la retirada mariscal Souit maniobró por la orilla derecha de del exército aliado de Portugal, y de haberse le­ este rio, y tomó el camino de Talavera, mientras vantado el sitio de Badajoz. …</t>
  </si>
  <si>
    <t>que se dispersasen, vergonzosamente , dexaudo ea el campo G hombres y 2 cabedlos muertos, y im maletón con. el correo que conducían ¿í Málaga para ei mariscal Souit, cue ha puesto en mi peder. * El subteniente D. Roque Gallego, comandante de la de Cortés, ha presentado en este cuartel general 12 prisioneros, que con tu par­ t…</t>
  </si>
  <si>
    <t>Soulc</t>
  </si>
  <si>
    <t>do aun á los sitiadores? Nos tememos mucho junio. Su señoría dice que quando tuvo noticia que esta infeliz ciudad pague bien caro su resis­ de que el mariscal Soulc avanzaba otra vez un tencia: nuestros temores son tanto mas fundados, su exército, había resuelto esperarle para d..r¡e quanto hemos leido en muchos periódicos un…</t>
  </si>
  <si>
    <t>Soüli</t>
  </si>
  <si>
    <t>. Cuartel general de Yehes 24 de mayo de 1811. —- “Después que dirigí á V. E mi carta de 22 del corriente, he recibido aviso de ha­ berse retirado el mariscal Soüli á Llerena. lie dado órdenes para que B ajoz quede embestida por la derecha del Guadiana mañana, per la n-añvia, y me propongo comenzar nuevamente con toda activid…</t>
  </si>
  <si>
    <t>Soult</t>
  </si>
  <si>
    <t>e es­ to , las últimas noticias recibidas que alcanzan hasta principios de enero son que el sitio de esta plaza sigue con la rñayor actividad (n). El general Soult, que ántes de su salida visitó todaslas obras, quedó muy / (7) Es de sentir que m nos hayan copiado la declaración del obis­ po de. Orense, y tendríamos este docum…</t>
  </si>
  <si>
    <t>dido en el discurso de dos meses las plazas de Tortosa, Oiivencia y Badajoz , sin que para ello hubiese causas suficientes : y en el mismo periodo el mariscal Soult con un cuerpo de tropas que nunca se supuso que excedia de 20$ hombres, adamas de haber tomado las dos ultimas plazas, ha destruido ó hecho prisioneros m°.s de 22…</t>
  </si>
  <si>
    <t>ha puesto en movimiento : el enemigo ha evacuado á Al* mería ; y Sebastiani, moribundo en Granada , envía las pocas tropas que le restan y á sostener d Soult en Sevilla. Soult , el orgulloso y bár* baro Soult y que creía haber hecho una campaña decisiva en Extre­ madura y ha perdido todo elfruto de ella y se concentra en Sevi…</t>
  </si>
  <si>
    <t>í baxo mis órdenes, obtuvo el 16 del corriente, después del mas san­ griento combate, una completa victoria sobre el exérciío enemigo, mandado por el mariscal Soult, y voy á referir las circunstancias. En mi anterior parte informé á V. S. de la marcha del mariscal Soult desde Sevilla, y que en su consecuencia creí conveniente…</t>
  </si>
  <si>
    <t>604 piído el mariscal Soult las altivas fanfarronadas con que arengó á las tropas al partir de Sevilla, vuelve allá cor un exéreito cerce­ nado , y lo que acaso es mas funesto paTa él, con una reputación menguada. Al referir los servicios que ha heriio mi estado mayor, debo lla­ mar particul</t>
  </si>
  <si>
    <t>2 de mayo de 1811. —- í£La noche del 1.5 del corriente recibí caitas dei mariscal Biresford de los dias 12 y 13, por las cuales me participaba que el mariscal Soult había salido de Sevilla el 10 del corriente, y que avanzaba háoia EsdreKiadura; sin embargo los avisos que anteriormente se hablan recibido sj redu­ cían á qti* s…</t>
  </si>
  <si>
    <t>an , y á otros muchos exceleates linas, las quales añadidas al tot-1 del otro emprés­ oficiales. tito,forman la suma de 1.125810 libras esterlina* El mariscal Soult salió el dia 7 de su posición de intereses y gastos. de Guillena al frente de 15© hombres, y su quarEl canciller ofreció proponer en la sesión pró- tel general fu…</t>
  </si>
  <si>
    <t>cida en ei gobieruo de Kaluga, se trabaja ya al sud de Badajoz, entre el mariscal Beresford y con tanta perfección , que sus cristales son tan es­ el mariscal Soult , ha sido mui sangrienta. Anadea timados como los que venían de Inglaterra. El sis­ qae ademas de los 4© españoles que fueron derro­ tema erróneo del gabinete ing…</t>
  </si>
  <si>
    <t>rovidencia, alegando que el citado impuesto, pera alguna novedad importante de los exércitos, que producía poco mas ó menos el mismo efecto porque el mariscal Soult se ha reforzado mucho, qne una prohibición de exportar lanas, subsistía y so exército, compuesto de 32® hombres, va hacia 44. años, y que á él debían principalmen…</t>
  </si>
  <si>
    <t>e el Papa en lo espiritual con los principios del im­ ocupaba antes de la salida del último correo. El perio, los qoales no permiten que ningún obis­ mariscal Soult se ha adelantado desde Llerena con po extiangero pueda ó deba exercer en él influen­ un exército, que asciende, según dicen, á 33© cia alguna. hombres, inclusos 7…</t>
  </si>
  <si>
    <t>ue ha ha­ mucho que se vea obligadj a replegarse ba ta bido alguna mala novedad en su salud. L isboa. El lunes último han salido para Piimouth los El mariscal Soult ha enviado algunas partidas buffts reales en número de 287 hombres. Este es de Caballería á la orilla derecha dei Guadi.n.. , á el cuerpo que quedó destruido en l…</t>
  </si>
  <si>
    <t>y descubrir los motores del albiroto. Esta comi­ á mediados de junio, para cuya época calculaba que «l sión ha condenado á muerte i dos de los gefes mariscal Soult recibiría los refuerzos que le venían de principales; á cinco i baquetas y seis años de pre­ Castilla. sidio, y í uno á prisión á pan y agua por espacio ,.Por desg…</t>
  </si>
  <si>
    <t>................ 9 i "■ objeto que difícilmente podrá llenar , pues que des­ Oro español contra plata.................... j|a| de el 12 se hallaba el general Soult en Lumbreras. Otros restos del exercito enemigo se han encami­ nado á Almería para embarcarse en aquel puerto. TEATRO. El señor mariscó duque de Dalmacia ha dado l…</t>
  </si>
  <si>
    <t>006 Del 7. Hoy por la tarde ha llegado mi edecán del general Soult, quien pasó á hablar á José que se hallaba en la casa del Campo, y de resultas de la conversación se le notó á este de muy mal humor sin embargo de que ántes le tenia bueno. Eí 5 salió Arri</t>
  </si>
  <si>
    <t>suecos, que, según damente nuestra pérdida; no obstante, concuerda todas las apariencias, estaban enterrados desde el exactamente con lo que dice el mariscal Soult. Ai año de 1657, en tiempo de la guerra del Rei dé confesar su señoría que el enemigo ha cortado un Suecia Carlos Gustavo contra el Rei de Polonia piquete, añade q…</t>
  </si>
  <si>
    <t>e 5 horas , y cometieron varios asesinatos y tropelías; que quedaron en aquella ciudad 3000 i?;fan-t?síy' unos SÓ0-caballos; que habiendo recibido el general Soult un parte ei 12 en la tarde,, mandó que saliesen el 13 de madrugada 1500 infantes y 400 caballos para Almería, y en la tarde del misino tiici 1000 infantes y 200 ca…</t>
  </si>
  <si>
    <t>ahora de particular , pero esperamos que los fran­ refuerzos, de que tenemos mucha necesidad. El ceses ataquen de nn dia á otro nuestras obras de la mariscal Soult ha ido á Córdoba con 12® hom­ lila de León. Et enemigo ha colocado algunos bres y un tren considerable de artillería. El 29 morteros en el fuerte de Santa Catalina…</t>
  </si>
  <si>
    <t>proporción al aumento que no­ , Varias cartas particulares de España confirman sotros hagamos en los de los expresados géneros. la noticia de que el mariscal Soult ha enviado re-, Pero ann quando asi suceda, siempre resultará nn fuerzos á Granada y al Puerto de Santa María. nuevo fomento del comercio de Nueva Escocia y Tememo…</t>
  </si>
  <si>
    <t>Soveron, Aivrel José</t>
  </si>
  <si>
    <t>Aivrel José Soveron</t>
  </si>
  <si>
    <t>, 20. D. José .María I’aniagua, 20. D. Loren o Ci-neros y Toledo , 0‘*&gt;. D. Nicolás Hernández, 60. X). Agustín Maestre, 40; D. Ignacio Salazar , i60. D. Aivrel José Soveron, 50). D 'Carlos Gira1 Jo, 60. D. Nlcoas de Castro , 40. D. Francisco de los .Santos, 20. D. Ramón Carbalteda, 80. D. Juan Miguel de Carlos v D. N. F x rdo…</t>
  </si>
  <si>
    <t>Span</t>
  </si>
  <si>
    <t>scolástica , introducida en un siglo mucho en principiar las obras. semi-bárbaro por hombres que tenían -en la cultu­ Ayer llegó aquí de Darmstadt el conde Span- ra de las letras el mal gusro que se advierte en los ger , general al servicio del Austria. monumentos que nos han dexado, retardó el feliz iafluxo que el estadio de…</t>
  </si>
  <si>
    <t>Spcncer, Sir Erent</t>
  </si>
  <si>
    <t>Sir Erent Spcncer</t>
  </si>
  <si>
    <t>irada. Debo también decir á V. E. que me han ayudado con el mayor celo 6 inteligencia en todas las epeíaciones que refiero en este plegó, el teniente general Sir Erent Spcncer , y el mariscal Beresford á quien yo había rogado que pasase ti Tajo , y ha estado conmigo desde el dia n (d:l corriente $ los mayores generales Etskin…</t>
  </si>
  <si>
    <t>Speacer</t>
  </si>
  <si>
    <t>sobre el Tormesj el noveno eh Zamora. En Ciudad-Rodrigo hay a® hombres, y unos 1200 en Almeida : esta última plaza se halla enteramente bloqueada. El general Speacer mandaba el exército en ausencia del lord Wellington» Se ha recibido de Azere en la Beyra alta con fecha de 3 de este raes una carta que dice : u Tenemos vida y s…</t>
  </si>
  <si>
    <t>Spencer</t>
  </si>
  <si>
    <t>los médi­ ro una quadrilla numerosa se ha reunido en las cos acerca dei estado de la salud del Reí. montañas de la Selva-Negra, y parece que se ha El conde Spencer se opuso formalmente á que establecido en la parte que separa los estados de se difiriese la reunión del parlamento; y asi él co­ Wurtemberg y de B.iden para exerc…</t>
  </si>
  <si>
    <t>y tomó posesión de la ciudad llerizo mayor el duque de Northumberland ; lord sin haber encontrado resistencia ninguna. Su gober­ del sello privado el conde Spencer; lord-teniente nador , como también Liniets y otros varios suge— de Irlanda el conde Darnleí; gefe de la guarda ro­ tos de su partido, escaparon á lo interior del …</t>
  </si>
  <si>
    <t>. del ataque, y esta circunstancia retardó la execucioo del proyecto, y saivó nuestro exército; por­ IMPERIO FRANCES. que habiendo llegado en esto el general Spencer, se horrorizó a! considerar lo arriesgado' de la em­ Boloña $o de diciembre. presa , y la graduó de impracticable. Lord We- Escriben de Calais que en la noche de…</t>
  </si>
  <si>
    <t>ario del general Bkke.. Añaden que habían llegado ¿ J\&gt;rialeg;e, tanto de Lisboa como del norte del Portugal, 20000 hombros de refuerzo al mando d‘ l general Spencer , y que rey na ía mayor armonía entre los gefes y tropas de las tres naciones .aliadas. ARTICULO DE OFICIO. Habiendo -procedido las Cortes generales y extraordin…</t>
  </si>
  <si>
    <t>Los movimientos de los franceses para reunir sus fuerzas han obligado al lord Welliogton á dar hemos dicho que los trancases han formado un orden al general Spencer de que venga á unirse nuevo exército en1 el norte, con el qual Marmont con él á marchas forzadas con todo su exército, á ha podido unirse con'Soult, llevando 2j® …</t>
  </si>
  <si>
    <t>yúde con sus consejos. ,,Mi estimado Greenhorn, Entre los documentos que ha traído la embar­ «me respondió, antes de comprehender el estado cación el conde Spencer, procedente del rio de la «de U cuestión, convendría entender perfectamen- Plata , se encuentra una proclama de Elio, el qual «te el sentido de las palabras y de l…</t>
  </si>
  <si>
    <t>Spina</t>
  </si>
  <si>
    <t>o­ medio de las aclamaciones de viva el Emperador, lemne para inaugurar este monumento. S. Erna, el y al son de una música militar. El señor ingenie­ cardenal Spina, arzobispo de Géoova, celebró de ro Grehan, encargado de las construcciones nava­ pontifical, con asistencia de los señores obispos de les de este puerto, dirigió…</t>
  </si>
  <si>
    <t>Spssex</t>
  </si>
  <si>
    <t>estphal , ha transportado á Tavira al arzo­ esta mañana 00 estaba tan bien como ayer.” bispo de Toledo y á otros varios personages ; des­ S. A. S. el duque Spssex tuvo'ayer un nuevo des ha salido, este buque con nn convoi para Gi- ataque, el qual fue mui violento. raltar. El general francés que manda en Santa El lialtimore am…</t>
  </si>
  <si>
    <t>Sptncer</t>
  </si>
  <si>
    <t>e hada , lino los filósofos. Filo■'ofia: ciencia del interino en Cádiz, adonde ira á la mayor breve­ charlatani mo. Humanidad: amor á los m„ hedad el general Sptncer. choies. Jansenista: especie de gato fi-roz. Mo­ El dia 9 de junio ascendía el exé.cito ingles nasterio : especie de café-tonda. Patriotismo: de Portugal a 50© h…</t>
  </si>
  <si>
    <t>Squella, Gabriel</t>
  </si>
  <si>
    <t>Gabriel Squella</t>
  </si>
  <si>
    <t>ha concedido el mismo Consejo gra­ do de teniente-coroneles á D. Pedro Juan Morell , segundo teniente del regimiento de reales guardias Walonas , y á D. Gabriel Squella, sapitan segundo del batallón de voluntarios segundo de Barcelona^ CADIZ : EN IA IMPRENTA REAL.</t>
  </si>
  <si>
    <t>Ssgura, Ventura</t>
  </si>
  <si>
    <t>Ventura Ssgura</t>
  </si>
  <si>
    <t>al alumno de la escuela militar de este cuarto exórcito, Don Antonio Aguado, cadete de! batallón de Campo*; ayor; y en el de Guadalaxara, compañías á D. Ventura Ssgura, D. Vicente Santist-'ban, D. Santiago Moreda, D. Jasé Capilla, D. Joaquín Covisa, D. Ramón Lodares y D. Salvador d® Les; ayudantía á D. Francis­ co de la Torre…</t>
  </si>
  <si>
    <t>Sta</t>
  </si>
  <si>
    <t>899</t>
  </si>
  <si>
    <t>uebas de patriotismo y de hu­ sma. manidad, ha adquirido recientemente nuevos de­ CAMARA SAXA. rechos al reconocimiento público, abriendo sns gra­ El coronel Sta.ni.ei tomó la palabra para rectifi­ neros á todos los compradores por ana tercera par­ car una interpretación falsa que se había dado i te menos del precio del merca…</t>
  </si>
  <si>
    <t>Sta, Manuel Martínez</t>
  </si>
  <si>
    <t>Manuel Martínez Sta</t>
  </si>
  <si>
    <t>D. Gerónimo Martines García., 200. ♦IX llamón. Larrue , 50Q. IX José Gaona, 500.1). Manuel de-Jes?»* Fernandez# 30-'). 1). Gregorio Sania Cruz , 090. D. Manuel Martínez Sta. Coloma , 1000. ,p. Pomingo-DenzeS-, 400, •‘Condesa, duquesa de Benavente, 1280. Marques, de Saks, 500. D, Narciso Cuyas, 100, D. Carlos Amelle»’, 500. i)…</t>
  </si>
  <si>
    <t>Staeder</t>
  </si>
  <si>
    <t>ontos 40 caba­ SAXONIA. llos para el gecerrl en gefe Kutusow. Ayer tarde salió á su encuentro todo el divan , precedido por Uresde 8 de setiembre. el general Staeder , více- presidente; pero todavía Acaba de hacerse un tratado de comercio en­ do ha llegado. tre las cortes de Berlín y S^xonia. Los géneros fa­ Continúan demolie…</t>
  </si>
  <si>
    <t>Stanhope</t>
  </si>
  <si>
    <t>varias c.tx.is, Sesión del 27 de junio. tanto en la capital como eu los condados: 2.0 que el banco tenga abiertvis registros eri estas diferentes E) conde Stanhope se levantó para hacer la pro­ caxas:3.°que los tenedores de billetes de banco, y puesta que había anunciado relativa al descrédito que los entreguen en estas caxas…</t>
  </si>
  <si>
    <t>Otros el de un labrador .de Hamsphire , el qpal después los signos representativos de la moneda. de haber hecho muchas mejorasen una prnpiedjd que El conde Stanhope tomió la palabra y explicó por' valia 400 libras esterlinas , se ha visto precisado a de­ tegnnda vez las bases del plan propuesto: repitió que jarla , porque qmn…</t>
  </si>
  <si>
    <t>, fina me­ cree, que la in'erven&gt;.inn dr! Icgi.'.ador sea tan tu-, cu­ dida , añadió, en nada perjudica á los ¡ntere-.es de los ria como lo piensa el conde Stanhope ; y sin pr. ten­ nrrcrid it -rios; porque al hacer las contratas han debido der de ningún modo vituperar la conducta del ! rd calcu ar que Con la venta de una cie…</t>
  </si>
  <si>
    <t>á acantonada en la Valaquia: la caballería se ha retirado á la Protesta contra el último bilí propuesto por el Moldavia para proporcionarse forrages. conde Stanhope. Todas las cartas de Tarquía anuncian unáni­ Se ha insertado en el diario de la cámara alta memente la continuación de los grandes preparati­ la signiente protest…</t>
  </si>
  <si>
    <t>anunciar su propuesta, Sesión del iz de julio. para que la cámara pueda disentir sus proposicio­ CAMARA ALTA. nes otro día con mayor conocimiento. El conde Stanhope respondió que su obj.ro ha­ El lord Stanhope tomó la palabra para hablar bia sido solamente imponer silencio á los que dicen acerca det bilí que ha propuesto, y q…</t>
  </si>
  <si>
    <t>Stanlei</t>
  </si>
  <si>
    <t>El doctor Wallin pronuoció un discur­ Sesión del dia 5 de junio. so acomodado á las circunstancias. Es falso que el tribunal de la corte baya pro­ El coronel Stanlei, después de haber hecho alnunciado la sentencia contra los asesinos del conde , gunas observaciones preliminares sobre la miseria de Fersen; lo que hai hasta aho…</t>
  </si>
  <si>
    <t>Starch, Bernhard</t>
  </si>
  <si>
    <t>Bernhard Starch</t>
  </si>
  <si>
    <t>perador nel barón de Muff.l , comandante de esta ciudad. N*po¡enn para arruinar el comercio de este país. (Alfred.) Augsbttrgo 25 de abril. INDIA. El profesor Bernhard Starch ha hecho á prin­ cipios de este mes una nueva excavación en el jar­ Las cartas de la India traen algunas noticias dín de Neumoller cerca de Rumbona; y a…</t>
  </si>
  <si>
    <t>Starck</t>
  </si>
  <si>
    <t>Gaceta de Madrid n.º 172</t>
  </si>
  <si>
    <t>co. referendarios íntimos de medicina. HUNGRIA. Augs burgo jy de mayo. He aqui las observaciones interesantes que ha P res burgo to de mayo. hecho el profesor Starck sobre un metéoro que sé Parece que esta ciudad está coodenada á pere­ ha aparecido aqui, y que ha excitado vivamente cer por el fuego, pues no podemos vernos lib…</t>
  </si>
  <si>
    <t>os estao ya de acuerdo por lo El dia 6 á las 3 y 27 minutos de la mañana respectivo á los subsidios que debe dar la Hun­ (tiempo medio) el canónigo'y profesor Starck ob­ gría, sin distinción de personas, y á que todas las servó el cometa hácia la pierna derecha de detras iglesias envíen á la casa de la nv-neda sus alhajas de …</t>
  </si>
  <si>
    <t>Stark</t>
  </si>
  <si>
    <t>allen des­ ocupadas por ausencia de algunos de los diputados Augsburgo 4 de noviembre. de ¡a dieta, sino que Las tengan preparadas y en El canónigo y profesor Stark continúa obser­ disposición de ser habitadas para el invierno. De vando exacta :,ente el cometa. Se vió el 3 1 de oc­ aquí se infiere que uo se concluirá tan pron…</t>
  </si>
  <si>
    <t>Steding</t>
  </si>
  <si>
    <t>stros fieles -fibdiios sejo del imperio. contra semejantes transgresiones, sino también re­ Del rg. cordarles las ordenansas del 6 de abril 1799 y El conde Steding, teUl-miriscal soeco, saldrá del ye de noviembre del mismo año &amp;c. htc,” nal pronto de aquí de vodca á Suecia. Ya ha lle­ gado el yacbt en que d b hacer to viage. …</t>
  </si>
  <si>
    <t>Stediogk</t>
  </si>
  <si>
    <t>ado á sos ideas y proyectos ai señor Andrés do nombrados feid-mariscalcs los generales conde Giorgt, dueño del terreno que cubre estas rui at Etsen y conde Stediogk. antiguas&gt; y de común acuerdo han conseguido de El lunes próximo se celebrará un capítnlo de la autoridad compétente el permiso para hacer ex­ las órdenes del rei…</t>
  </si>
  <si>
    <t>Steffers</t>
  </si>
  <si>
    <t>1462</t>
  </si>
  <si>
    <t>12® escudos para nucsttos prisioneros ea xo del aposento del Rei. S. M, no tuvo tiempo Inglaterra. mas que para salir de ¿a alcoba, medio ahogado £1 capitán Steffers enseñará este invierno de por el humo, y subir corriendo al quarto de la orden de S. M. á los oficiales de nuestra guarni­ Reina. ción el arte militar. En menos …</t>
  </si>
  <si>
    <t>Steínheil</t>
  </si>
  <si>
    <t>'Escriben de Cristiaiuand, en Noruega» que el Suecia, fue nombrado poco después minittro dé capitán Holcn» que mandaba los bricks Loílaod, Guerra. El general Steínheil, antiguo gefe del es­ Kiel y Langeo, ha recobrado dos bnqoes de. la tado mayor del general Benningsen, ha vuelto 4 Jutlandia cargados de trigo, y que habiao si…</t>
  </si>
  <si>
    <t>Stepliens</t>
  </si>
  <si>
    <t>774</t>
  </si>
  <si>
    <t>sus pueblos, y da á V. M. puerto desde el 1 de lebrero aci han sido deteni­ nuevos derechos al reconocimiento de una nación, das, y condenadas por el juez Stepliens , por ha­ celebrada tan largo tiempo por su lealtad , y por ber violado ¡a acta de non iatercourse. Hn electo, su amor á sus Soberanos. es tan positiva , tan term…</t>
  </si>
  <si>
    <t>Stewart</t>
  </si>
  <si>
    <t>ias. Mr. Peüetau presentó también á S. M. sus Se va á enviar á toda prjesa un oficial qne memorias sobre la cirugía y la química , y Mr. reemplace al general Stewart, el qual en uu acce­ Sabathier su tratado de Medicina operatoria. so de de irio , ocasionado por ana,fiebre , se arro­ Los presidentes dei Instituto presentaron …</t>
  </si>
  <si>
    <t>artillería francesa derribaba un mos al regimiento 48.", que había padecido tanto gran número de nuestros pobres soldados. Nues­ como el nuestro. El general Stewart, aunque he­ tro objeto naturalmente no podía ser otro que et rido, seguía á caballo, y se ocupaba en reunir los desplegarnos en línea, lo que executamos á 20 pa­ …</t>
  </si>
  <si>
    <t>do de la esquadra que anda cruzando Eo un bosque, distante 3 leguas de esta ciu­ delante de Toíon. dad, se prendió fuego, y hace 4 dias que conti­ El general Stewart y un gran número de ofi­ núa. Se toman todas las medidas convenientes para ciales heridos han llegado de Lisboa á Portsmouth que no se extienda á otros punto1. e…</t>
  </si>
  <si>
    <t>Stewart, Guillermo</t>
  </si>
  <si>
    <t>Guillermo Stewart</t>
  </si>
  <si>
    <t>damente los de* quieto regi­ miento, estaban tendidos en las fiías según habian combatido, y que todas sus heridas eran de frente. El horonable mayor general Guillermo Stewart se distinguió muy particularmente, y contribuyó mucho á la victoria: recib o 2 contusiones, pero no abandonó el campo. El mayor general G. IA Colé tamb…</t>
  </si>
  <si>
    <t>Sti</t>
  </si>
  <si>
    <t>c iado de Transilvania , ha sido nombrado comandante ge­ suspen ¡idas hasta el 6 de nr&gt;vj -rnbre, es decir, has­ neral de Hungría , y le reemplaza el general Sti- ta que ios comisarios de S. M., después de haber plicz. El g-neral príncipe de Roseuberg ha sido hectio sus visitas y registros, permitieron abrir los nombrado cons…</t>
  </si>
  <si>
    <t>Stipsitz</t>
  </si>
  <si>
    <t>peratriz. Ei 28 habrá concierto en lei. El mérito tiene derecho pata elevarse siu obs­ la corte. táculo en qualquiera clase que se encuentre. Debe El general Stipsitz ha salido ya para Hcrmanshaber en el gobierno, unidad, orden y energía. La tadt, donde va á tomar el mando general de la educación, la religión y todas tas otra…</t>
  </si>
  <si>
    <t>StM</t>
  </si>
  <si>
    <t>os los condados de Irlanda se convocarán asam­ cubrió, hace algún tiempo, que el pedernal (sílex) bleas de católicos. era un óxido ó cal metálica. El profesor StM.-hm.der Si liai personas que vituperan al gobierno, es de Gottinga ha repetido los mismos experimentos, por haber sido tan tolerante hasta ahora. Hace ya y tiene po…</t>
  </si>
  <si>
    <t>Stmhope</t>
  </si>
  <si>
    <t>de haber consultado sobre el parti­ una uiurdia de h-.ñor. cular con mochos banqueros y con letrados. F¡ Todas las gentes hablan de negociaciones de conde Stmhope impugnó en seguida algunos de las paz; sin embargo, parece que no se entablarán has­ medios propuestos en la cámara baxa, y entre otros ta que se concluya esta conf…</t>
  </si>
  <si>
    <t>Stmlt</t>
  </si>
  <si>
    <t>mucho tiempo, príncipe? Bueno será para todos que no.... Desde que pasó el coronel Avis no se han re­ cibido noticias de Andalucía; pero yo se que el mariscal Stmlt ha llagado á S ir illa, y los habitantes, que están embreñes de la resis­ tencia de 7000 hombres contra 22000 , pretenden qme el exércit© in­ gles combinado ha pe…</t>
  </si>
  <si>
    <t>Strogonow</t>
  </si>
  <si>
    <t>pado ni un bei si­ pelo de cabra. quiera, mediante que las guardias de las puertas Del -2j&gt;. tedian órden de no dexar pasar á niagüUOi Algu­ El señor conde Strogonow, administrador de nos de los que estaban en sus pueblos se han dis­ las minás en el. gobierno de Parma, ha hecho al persado; pero £ todos les espsra la misma Sue…</t>
  </si>
  <si>
    <t>Strolz, Juan Bautista</t>
  </si>
  <si>
    <t>Juan Bautista Strolz</t>
  </si>
  <si>
    <t>mó de todo quarito podía Ei Sr. D. Leopoldo Hugo............................... 200 interesar á estos pobres habitantes, y después man­ El kxcmo. Sr. D. Juan Bautista Strolz...... 200 dó echar al agua el barco insumergible, construido El Sr. D. Agustín Bigarré.............................. 200 para liberrar á los náufragos. T…</t>
  </si>
  <si>
    <t>StstFord</t>
  </si>
  <si>
    <t>ienen sus intereses en mui buen estado." Mr. Frecman; Mr. y madama Hickman y so hijo ; Mr. Butcher, quartel-maestre del regimien­ Del 2 j. to 6.°; el coronel StstFord; Mr. Hargrave Quakero; Mr. Cohén; Mr. Glinn, Mari, Raadall y En las cartas que llegaron ayer de Liverpool Elisa Handfield para Gnernesei; Mr..... piloto del se …</t>
  </si>
  <si>
    <t>Stuart</t>
  </si>
  <si>
    <t>a, marchó en línea á atacar la izquierda del enemigo, y llegó oporf ttnísimaifiente para contribuir con las car­ gas de la brigada de la división del general Stuart i forzar al ene­ migo á que abandonase su situación , á retirarse precipitadamente y á refugiarse á su reserva. Aquí se distinguió particularmente la bri­ gada de…</t>
  </si>
  <si>
    <t>Suarez, Cayetano</t>
  </si>
  <si>
    <t>Cayetano Suarez</t>
  </si>
  <si>
    <t>Franco, D. Diego Tu ñon, D. José Montoto, que no obstante su herida continuó mandando su com­ pañía hasta que los gefes le obligaron á retirarse , y D. Cayetano Suarez de ía Vega , que quedó herido y prisionero. En la-segunda divi­ sión del mando del brigadier Porlier se distinguieron, sú caballería, el coronel de está D. Jua…</t>
  </si>
  <si>
    <t>Suarez, José María</t>
  </si>
  <si>
    <t>José María Suarez</t>
  </si>
  <si>
    <t>. D. Juan Perez, 4. D. Valerio Grau , á D. Juan de Dios \randa, 8. D. Esteban Borom, 3. D. José García, 2. D Pedro Ferrer , 2. D. Domingo Marera , 1. D. José María Suarez , 2. Antonio Balao, 8. D. Francisco Armario, 4 D. Manuel Malavear , 2. D. José Badia,2.— Hacendadas. Doña María Manuela Gqla, 500. Doña Ana María Morgues, 2…</t>
  </si>
  <si>
    <t>Suarez, Juan</t>
  </si>
  <si>
    <t>Juan Suarez</t>
  </si>
  <si>
    <t>y 29 granaderos que te dirigían hásia Tata vera. Luego que nos vieron, se pusieron en defensa forinsudo el cuadro , por lo cual mandé que el teniente D. Juan Suarez y el subteniente D. Félix Mata, cada uno con su respectiva compa­ ñía , los atacasen por derecha é izquierda, mientras que yo con la otra ae mi mando lo hacia por…</t>
  </si>
  <si>
    <t>Suarez, Tomas</t>
  </si>
  <si>
    <t>Tomas Suarez</t>
  </si>
  <si>
    <t>rilla de reales zapadores mandada por el subteniente D. José Pa­ reja , otra del regimiento de Burgos al cargo de los tenientes Don Pablo Bscerril y D. Tomas Suarez; el batallón de cazadores de Ve­ jez-Málaga de mi caigo á las órdenes de su sargento mayor D. José Moreno, y el primer batallón de infantería de Lorca, á las de s…</t>
  </si>
  <si>
    <t>Subori, José Francisco</t>
  </si>
  <si>
    <t>José Francisco Subori</t>
  </si>
  <si>
    <t>gratitud de la patria por tan señalado servicio, son: el R. P. Fr. Miguel Vazquez , cura del partido, D. José María Escalena, encargado de justicia, D. José Francisco Subori, D. José Santander, D. Francisco Solis, D. Pedro Zsvala, D. Juan Romero, D. Ignacio Hsrrera, D. Miguel EscarníHa, D. José Francisco López , D. José Franc…</t>
  </si>
  <si>
    <t>Subtenientes, Lope Fernandez de Cór</t>
  </si>
  <si>
    <t>Lope Fernandez de Cór Subtenientes</t>
  </si>
  <si>
    <t>go de Leori; para mayor á D. Francisco de D. Josef María Sánchez. Paula Valdivia; para comandantes de batallona D. Pedro de Vaca. D.J uan de Molina y D. Lope Fernandez de Cór­ Subtenientes. doba ; para ayudantes D. Josef Vázquez y D. Ra­ fael Fernandez , y para abanderados á D. Vicente D. Mariano Pineda. Fernande z y D. Manue…</t>
  </si>
  <si>
    <t>Sucbet</t>
  </si>
  <si>
    <t>vio precisado á evacnar toda so dilatada línea zos, y se caote el Te Deum. = Firmado = El ge­ hasta la contraguardia del baluarte de S. Carlos. neral conde Sucbet. = Por copia confórme = Saiut,, Hemos cogido en el fuerte un mortero de 12 Cir-Nugues, gefe del estado mayor general. pulgadas de diámetro , y dos culebrinas de á 1…</t>
  </si>
  <si>
    <t>Suchct</t>
  </si>
  <si>
    <t>da tn ius empresas , á pe­ lar de lo* tratados que hayan sido estipulados. Es­ Parts rp de julio. ta peligro, que es una consequ-ncu tu cesaría de El mariscal Suchct, después de h.ber tomado la organización del gobierno ingles; amenaza á to­ á Tarragona , ha ido á Barcelona , pasando por Vi- da potencia que se una con él; y é…</t>
  </si>
  <si>
    <t>Súchel</t>
  </si>
  <si>
    <t>{tonteras de Castilla detras de Teruel sobre ia Chlopiski que mandaba la acción. = Firmado ss&gt; montaña de nuestra Señora de Fuensan *a f posición Ei conde Súchel, general en gefe. cercada por el Guadahviar ,escarpada y casi ínac- „Es copia conformes El ayudante comandan­ cefible, delante de la quat hablan sido colocados te, g…</t>
  </si>
  <si>
    <t>Sucher</t>
  </si>
  <si>
    <t>bandera que el D. Ramón del Rio y S,.inz al de Romacones, al Rei de Inglaterra regaló á la ciudad deTcrtosa, y presbítero D. Modesto Martin.' que el conde Sucher ganó en esta plaza. Y para el de Zorita de lo Canes , vacante por Ha traído también la noticia de la toma de Ha- ascenso de D Francisco Aparicio al de Fernán Ca­ lag…</t>
  </si>
  <si>
    <t>también del exército de Cam­ Durante «1 sitio de Tarragona, y con arreglo po-Verde; y aunque estos quisieron defenderse á las órdenes del Excmo. Sr. conde Sucher, se ha fue en vano, pues 60 quedaron en el campo y 30 reedificado el puente de tablas de esta ciudad, in­ prisioneros. En resolución, por todas partes se en­ cendiad…</t>
  </si>
  <si>
    <t>Suchet</t>
  </si>
  <si>
    <t>ayoneta calada, y nier ; todos los quales han dado pruebas de su va­ arrojándolos de toda la altura comenzó á perse­ lentía y denuedo. = Firmado = El conde Suchet, guirlos , mandando á sus soldados que dexasen las general en gefe. mochilas; y ayudado de un destacamento del 4.0 „ Es copia conforme, z El ayudante coman­ de húsa…</t>
  </si>
  <si>
    <t>hono­ rios átrpñerados del Coll del Alba» ha puesto «o rífica de los peligros y la gloria huida 30© hombres, que se han retirado precipt- Firmados El conde Suchet. se Por copia con­ tadásnenfe á la plaza antes qoe sé pudiera cortar­ forme** El ayudante comandante, sefe interino del los , en coya acción ha quedado herido el su…</t>
  </si>
  <si>
    <t>oraciones nuevas, el mas prnfi n lo re.'peto S. S. de V. A. S =Mu¡ pintadas por el célebre profesor D. Antonio María Tahumi:de y mui afecto servidora conde Suchet.sr dei; finalizando con el divertido sainete titulado los Quartel genera! de Tortosa 4 de enero de 1811.” Cómicos en ia Sierra. EN LA IMPRENTA REAL.</t>
  </si>
  <si>
    <t>su par­ las ciencias. tida, y con 75 caballos que se les cogieron. Sola­ mente uno de los bandidos logró escaparse. fUTB FISICA. Una carta del señor general Suchet, coman­ Por Mr. Cuvier, secretario perpetuo, dante del tercer cuerpo de exéicito, confirma las noticias que hace a gua tiempo dieron varios paisa­ Pocos años han s…</t>
  </si>
  <si>
    <t>y delante de F güe­ ras son 9*300 infantes y 400 caballos por la parte mas corta.—El mar­ ques de Campe-verde e¿taba el 27 en Vich con sus tropas. El general Suchet ha entrado por Lérida con y 11 600© hombres y un cor-ivcy de 400 carros. Hoy está en Momblanch, á 6 leguas de etta plaz?: fe ignora el camino que tomará, pero se …</t>
  </si>
  <si>
    <t>dexaoda en el campo mas de 80 nom­ bres muertos y 50 prisioneros. Por nuestra parte Efectos públicos. hubo quatro coraceros muertos y 10 heridos. El general Suchet llegó el 26 de abril al frente Vales reales............... ........................ 93 «• de Tarragona coo su cuerpo de exército: los apres­ Cédulas hipotecarias..…</t>
  </si>
  <si>
    <t>rte, y se reembarcó con precipitación después del desastre de Campoverde, cuya? tropas desalentadas no pudieron reu­ nirse. Esperamos que habiendo el general Suchet marchado con el exérdio de Aragón sobre Tarragona, no habrán podido volver d esta ciu­ dad las reliquias del de Campoverde— A pesar de las esperanzas dei iiícr.it…</t>
  </si>
  <si>
    <t>„ Dorante esta escena terrible una alarma gene­ De V. A. S. muí rendido y obediente servidor = ral dada por una brigada italiana en la derecha , y El conde Suchet. hácia el Francoli por la división del general Ila- ,,En el campo delante de Tarragona á 3 de jabert , aumentó el terror de los enemigos, los qua­ nio de i8n.’‘ les…</t>
  </si>
  <si>
    <t>tra el enemigo, y no se necesitó mas para obli­ de V. A. S. mui rendido y obediente servidor == garle á entrar en la plaza. Esta tentativa ha sido £1 conde Suchet. la última, ó por mejor decir, la únÍGa que han „En el campo delante de Tarragona á 26 de hecho para desalojarnos de la parte baxa de la ciu­ junio de 1811.” dad, c…</t>
  </si>
  <si>
    <t>, recogien­ (3) He aquí otra calumnia atroz de los ingleses. do á los muchos heridos españoles, y suministrándolas Por el parte remitido por el señor mariscal Suchet, y toda género de socorro*. . ■</t>
  </si>
  <si>
    <t>rido:!: ántes ds ayer salieron 50 corres cargados e*‘cs para Turf.osa, adonde también conducen mucha srhllería de^d Tarragona. Samhuja 1de agosto. El general Suchet llegó á Chivera el 27</t>
  </si>
  <si>
    <t>tercero de Ori huela, y sostuvieron con la murria avar zada ene­ miga un vivo fuego, de que nos resultó un herido levemente. Ea Beñicarló subsiste el conde Suchet con cri cuartel general. Fortifican el convento de S. Francisco; las fuerzas de esta división</t>
  </si>
  <si>
    <t>da ia relación qfiéml 'de los sucesos de EspantóInserta enlos diariosiraneesesq ¡donde ¿wilce íb siguiente: después áe la conquista de Tarragona , él-mariscal Suchet marchó sobre Berga, y destruyo el fuerte : la juntafmurreccióteál intimidada por la toma de Tarragona, se había embarcado para Mallorca. Ei. fuer­ te se destruyó…</t>
  </si>
  <si>
    <t>de la desconfianza con que suelen, mirarse toda» El cuerpo de\ general Mahi fue atacado por el Jas obras nuevas que se publican, puede asegurarse que mariscal Suchet el 25 de octubre entre Liria y Va­ estos cuentos merecen un aprecio particular por la el«lencia cerca del pueblo de Pozol. Los regimientos gancia con que están e…</t>
  </si>
  <si>
    <t>ocurrido el menor accidente que turbe nuestro re­ del Coa. Srgun las cartas de Cnaluña el mariscar gocijo. Tales son los efectos de un buen gobierno. conde Suchet marchaba sobre Valencia, y se ha­ S. M. la Emperatriz salió ayet al medio dia de llaba ya mui cerca de esta ciudad, que esperamos palacio para ir á ver la aldea de …</t>
  </si>
  <si>
    <t>de ectahre de 1811 á las 10 de la en*ñaña.— Ix:m S;. — E bg-gsdier gobernador, Luis María Anáriani.— JSxanc. Sr. cocde de Sache!.” Segundo efieio del general Suchet al gobernador.—(íSr.'-goberna­ dor : ei t nííJi&gt;? o&amp;rojieí O. Joaquín de Miguel m« ha remitido el plie­ go ¿e V. S.—Ha podido conví-noerse de caanio le teisgo exp…</t>
  </si>
  <si>
    <t>real da Cataluña, intentaron amliaiio, pero, fueron rechaza­ dos con pérdida de 12 muertos y 50 heridos ; lo que obligo á la par­ te de exéicito del general Suchet, que venia de Tortosa, á 'desistir .de la empresa, dirigiendo su marcha por Cavanep, para unirse con íes que baxaban por Morella y venían de Tamal, «laxando en obs…</t>
  </si>
  <si>
    <t>Sucos</t>
  </si>
  <si>
    <t>mas capi­ reina una inquietud general; los habitantes temen tales y bienes raices destinados para objetos públi­ ser atacados de un dia á otro por el mariscal Sucos se administren por la cámara real. chet al frente de 35© franceses. GRAN DUCADO DE BADEN. SUIZA. Carlsruhe ty de agosto. Serna 74 de agosto. De orden de nuestro g…</t>
  </si>
  <si>
    <t>SUECIA</t>
  </si>
  <si>
    <t>393</t>
  </si>
  <si>
    <t>s­ . tenores que aqaban de manifestarse. tro permiso. ,,,Quando un extrangero se presenfe enlatfron­ teras del reino, recibirá del comandanta militar d SUECIA. del magistrado, ó si no lo hubiere del ge fe de la Estockolnto 30 de febrera. aduana, un pasaporte para ir á presentarse al go- • bernador de la provincia, quien elimi…</t>
  </si>
  <si>
    <t>Suelto, Manuel García</t>
  </si>
  <si>
    <t>Manuel García Suelto</t>
  </si>
  <si>
    <t>o primero, guos baxo la dirección del señor Canora , director á subteniente de la octava compañía. general de los museos. Las excavaciones que se ha­ D. Manuel García Suelto, sargento primero, á cían hasta ahora para cada objeto particular, se­ subteniente de la décima compañía. gún planes parciales , se executarán en adalant…</t>
  </si>
  <si>
    <t>Suelto, Tomas García</t>
  </si>
  <si>
    <t>Tomas García Suelto</t>
  </si>
  <si>
    <t>at io , quien la tacó de dicho manus­ Comedle en cinco actos, Traducida al castellano prr el crito. El P. U'ebal «jimia cu dichos Rcpar s que pa­ Sr. D. Tomas García Suelto, titulada el Cid, y ei fin ra su t ompo.it ion se va .¡í únicamente de documentos de fiesta Trapala y Tramoya Actores en la tragedia. origina, f' qur exis…</t>
  </si>
  <si>
    <t>Suelves, Abrrto</t>
  </si>
  <si>
    <t>Abrrto Suelves</t>
  </si>
  <si>
    <t>nencias de cazadores á los ae fusilaros D. Domi Junco y D. Francisco Xavier de Bocear : pri­ meras tenenci&amp;s de fusil.Tcs al primer teniente agregado D. Abrrto Suelves, marques de Atizona „ y á les seguidos tenientes D. José Brodoni, D. Wenceslao conde de P-raiir-g , y D. Car os González de .Llanos : segunda teatncia de grana…</t>
  </si>
  <si>
    <t>Suiglesia, Francisco</t>
  </si>
  <si>
    <t>Francisco Suiglesia</t>
  </si>
  <si>
    <t>á D. José Mosquera"; el de primer ayudante á Don Marmol d-.v Castro: les de cappan segundo á Di José. Asas y D."Fran­ cisco Príor; los de teniente á D. Francisco Suiglesia, D. José.'Vera y PíU:toja, yD'. Joaquín Pardo, D. Miguel Majo y D. Pedro. Mir; les de subteniente á D. Joaquín Savaíla y Besafee, D. Antonio Ca­ sas y D. M…</t>
  </si>
  <si>
    <t>Sun-Juan</t>
  </si>
  <si>
    <t>fuegos se cruzan sobre el camino, que allí forma una garganta; en una situé al batallón de voluntarlos de Valencia, y el de Molina en la ©ira , y el general Sun-Juan formó la caballe­ ría que con él se hallaba, á espaldas de estas, en la parte mas opor­ tuna de este valle, á fia de disputar á toda costa el pa?o á í©s euemigo?…</t>
  </si>
  <si>
    <t>Suri</t>
  </si>
  <si>
    <t>cosas dice lo siguiente: á los cantones la cárta siguiente de S. M. el Em- „ La hermosa colección de pinturas, formada erador Napoleoñ, traída por el coronel Suri de por el consejero de Estado West, atrae mas cada Siussi, encargado de uní comisión cerca de S. M. I. dia la atención de ios artistas y aficionados. Esta preciosa …</t>
  </si>
  <si>
    <t>Surianor, Gaspar</t>
  </si>
  <si>
    <t>Gaspar Surianor</t>
  </si>
  <si>
    <t>Busardo Vida?, Don Juan de Dios Lasa!», D. F«iip5 Ma varíete, D. Jo&amp;quin Gomez, D. F:ranr?ísco Lop:.z Salazar, D. Manuel BjUmonts, D. José Giiau-de., D. Gaspar Surianor, D. Pablo Lozano, D. Ciato.Eguimbái, y D. Fabián Mantilla; y subtenr notes á D. Juan'Psu*»!», D. J«&amp;é A ios'Ós , D. Pedro Lí/ó, D. Akonio Bereitgtier, D. «Jos…</t>
  </si>
  <si>
    <t>Suris, Antonio</t>
  </si>
  <si>
    <t>Antonio Suris</t>
  </si>
  <si>
    <t>Tomas SoW y Molins , 100. D. Santiago Castañete», 500. D. Pedro Raynaud , 400. D. Esteban Gas'taca y sobrino Vadillo , 300. I). Jorge Montañés. 500. D. Antonio Suris, 200. í&gt;..Domingo Gual, 500. DrAntonio Pizano , 200. D. Benito Picnrdo, 1000. IX- Francisco Escudero, 500. D. Ramón Eguilus, 300. Sres. Somera Hermanos,.500.. D.…</t>
  </si>
  <si>
    <t>Sutton</t>
  </si>
  <si>
    <t>ueses núm. 6 á las órdenes del te­ niente coronel Pinto, perlas compañías ligeras déla brigada por­ tuguesa del coronel Ckampalimond, mandadas por el coronel Sutton, por las de las mismas tropas de la brigada portuguesa del co­ ronel Ashworths , mandadas por el coronel Pynne , y finalmente por los piquetes de la tercera divis…</t>
  </si>
  <si>
    <t>rbeta Pheseant, capitán Palmer, cogió el corsario francés Héroe, de 6 cañones y 46 hombres, que había salido de la Rochela 4 dias íntes.-—El Derwent, capitán Sutton, apresó un cor­ sario de Granville, y ia corbeta Violeta envió á Guernesey 2 corsa­ rios pequeños. — Ei capitán Parker, comandante de la Amazona, se apoderó el 30…</t>
  </si>
  <si>
    <t>Süveyra</t>
  </si>
  <si>
    <t>ha enviado á la paite del sur. Parte de las tropas del general Boanet, cuya salida de A tu rías se ha confirmado, se dirigió al rey no de León , y el general Süveyra me avisa con fecha ¡de 25 del pasado que eí enemigo bahía evacuado el 19 á Astorga. Por las noticias de Valladolid parece que el mariscal Bessleres había dexado …</t>
  </si>
  <si>
    <t>Suzzo</t>
  </si>
  <si>
    <t>dero del Bosforo, hasta que esté completa­ tes de banco por cada billete de amortización de mente equipada. 20 florines. Un tal Paciuzzo , á quien el príncipe Suzzo ha­ ,1 Desde el 15 de agosto del presente año cesa­ bía enviado á Constantioopla desde el exército á rá el cambio de billetes de banco de 100 florines negocios de…</t>
  </si>
  <si>
    <t>Svebelio</t>
  </si>
  <si>
    <t>JEstockolmo 16 de abril. Viena 24 de abril. . Se ha pohlicado aquí an nuevo catecismo » cor­ Hoi sale de aquí S. M. el Emperador, acom­ regido por el obispo Svebelio, cuya publicación se pañado solamente de so primer gentilhombre el estaba esperando hace mucho.tiempo. Nos presu­ conde de Wrbna , á visit-r sus posesiones parti…</t>
  </si>
  <si>
    <t>Svesoa</t>
  </si>
  <si>
    <t>también los pormenores siguientes: ,,Durante el cló á tres quartos de milla de Kessnaer. El te­ mes de abril ha habido en todo el gobierno del niente capitán Svesoa se dirigió contra él con 8 Cáucaso muchas tempestades acompañadas de nie­ lanchas cañoneras, y ancló junto al cabo Rif. A ve , que han cansado grandes estragos. S…</t>
  </si>
  <si>
    <t>Sveson</t>
  </si>
  <si>
    <t>e Rif, mientras que los bricks POMERANIA. dirigían su rumbo al sud, y 16 buques de remo Stralsund € de julio. . te separtian para atacar las alas. El capitán Sveson levantó también áncoras, y maniobró al frente de Ayer se publicó de orden del gobierno un de­ la línea delante de Rif, porque observó que el na­ creto relativo al…</t>
  </si>
  <si>
    <t>Szuehrz, Julián</t>
  </si>
  <si>
    <t>Julián Szuehrz</t>
  </si>
  <si>
    <t>gua®3 prisioneros ingleses, y pasó á Toro á recoger dinero y. vestuario para ia guarnición de O u.iad-Rodrigo, iba ya de vurita áutes de ayer, cuando D Julián Szuehrz salió al encuentro háck S. Muficz , y sin embargo de que solo pulo traer al combate su caballería con SO ó 100 infantes , ha cogido cuanto lle­ vaban los france…</t>
  </si>
  <si>
    <t>T, Antonio</t>
  </si>
  <si>
    <t>Antonio T</t>
  </si>
  <si>
    <t>ientes: En el regimiento de infantería primero de la Princesa; ayudan­ tía á D. Miguel B\1 buena; tenencias á D. Juan de la Fuente, Don José Psreyra, D. Antonio T«rrer, D. Francisco Corrales, D. Fiancisco Lomban y á D, Antonio Pravía : subtenencias á D. Tomas Sal­ cedo, D. Ignacio Pinedo, D. Ignacio Chamuia, D, José Rahamonde…</t>
  </si>
  <si>
    <t>T, Eu</t>
  </si>
  <si>
    <t>Eu T</t>
  </si>
  <si>
    <t>acta civil, la que firmaron como testigos S. A. I. el de la* princesas y de los grandes dignidades, precedido gran duque de Wurtzburgo, y S. A. I. el príncipe Eu­ T seguido de dos testigos , de los grandes oficiales, de genio, vire! 4?Italia. los ministros, de los’ grandes-águilas de la legión de ' Concluidas estas formalidad…</t>
  </si>
  <si>
    <t>T, Francisco Oliver y T</t>
  </si>
  <si>
    <t>Francisco Oliver y T T</t>
  </si>
  <si>
    <t>reces de id.; I). Luía Postillón y D. Juan Dieste , tenientes de voluntarios de la Patria: D. Antonio A malte , subteniente de imperiales de Toledo : D. Francisco Oliver y T&gt; %T■ i), ene as Salazar , capitanes del batallón de cazadores : capitán D. Carlos Ciery , se undo teniente de ídem : D. Luis Rute y D. Francisco Ceruti, …</t>
  </si>
  <si>
    <t>T, José</t>
  </si>
  <si>
    <t>José T</t>
  </si>
  <si>
    <t>o Jdibo; empleo de c&amp;nitan segundo al teniente graduado de capitán D. Actoaio II jvert; tenencia al subteniente D. Saturnino Martin; y sub* ensucia á D. José T royan©, distinguido del real -cuerpo de t*riilk-.ria , y alumno de la escuela militar dei quarto exército. •&lt; CADIZ : EN LA IMPRENTA REAL, .....í'.^</t>
  </si>
  <si>
    <t>T-boada, Manuel</t>
  </si>
  <si>
    <t>Manuel T-boada</t>
  </si>
  <si>
    <t>Agustín Magi Domenec, D. Juan Ma­ nuel Suero y D. Isidro' Parrado; los de subteniente á D. Bernardo Cohniro, D J mn La*o Policarpo, D. Juan Corvera, D. Manuel T-boada, D. Nicolás Pardo, D. Juan Mosquera. D. Manuel Varo, D. Francisco García, D. Ojmingo de Torres y D. Andrés Lapido; el de subteniente de bandera á O. Santiago Es…</t>
  </si>
  <si>
    <t>T-ornas</t>
  </si>
  <si>
    <t>íit cuantos auxilios pudiese proporcionarme, dirigiéndome al mismo tiempo con la otra parte á ocupar la isla grande. Auxiliado podero­ samente por el capitán T-ornas, sus subalternos y cuantos medios tenia á su dísrodcion, se. verifico fado con la felicidad que me prometía, menos el sor-/' -henderlos, porque se hablan retirad…</t>
  </si>
  <si>
    <t>Ta, Vicente</t>
  </si>
  <si>
    <t>Vicente Ta</t>
  </si>
  <si>
    <t>200. D. José Goma, 100. D. Andrés Ibarra, 100. D. -Juan de la Fuente y Valle , 100. D, An­ tonio de Estrada , 100. D. José Buenaventura Batllé , 100. D. Vicente Ta­ layera, 100. D. Buenaventura Oliver y Barquez , 100. D. Manuel Ansel­ mo López Carta, 100. D. Cristóbal Rieart, 100. D. Andrés Sauri , 100. D. Salvio Garbo y comp…</t>
  </si>
  <si>
    <t>Tabeada</t>
  </si>
  <si>
    <t>a contra too infantes enemigos por espacio de dos horas, habiéndoles muerto 20 y herido 7, después de lo qual se retiró sin perder un solo hombre. Ei general Tabeada avisa que ua d*st*cim to de hú jures á las órdenes de D. Antonio Grllarza , 2 quien h bia coi i iona ío para reco­ nocer varios puestos, llegó hasta Vilalangos, …</t>
  </si>
  <si>
    <t>hacer sospechosa su legitimidad, aun prescindiendo de otras con­ sideraciones que ofrece ?u contexto. Los que se acuerden de la su­ puesta carta del general Tabeada á lord Welüngton,- que lós diarios franceses de agosto del año pasado insertaron en la relación cíi.ial do los sucesos de España (1) , tendían un exea pío de lo p…</t>
  </si>
  <si>
    <t>Taboada, Pedro</t>
  </si>
  <si>
    <t>Pedro Taboada</t>
  </si>
  <si>
    <t>ar­ ees. O. ■ Antonio Nieva. D. Gerónimo BaÜeza. D Joaquín Xiinanez. D. Teodoro C3iab;U. D. Francisco Pastor. D. José Mari* Canal. D. Vicente. Fría». D. Pedro Taboada. D. Juan Echáis. D. Sebaptiun Conejo. D. Manuel María Lanza sorta. Lie. D. Jcsé Marín Chicc. D. Luis Msrcles. Lie. D. José María Letona. D. Jacoho A rctdo, teni…</t>
  </si>
  <si>
    <t>Tabu-nca, Juan Antonio</t>
  </si>
  <si>
    <t>Juan Antonio Tabu-nca</t>
  </si>
  <si>
    <t>etíguardia, trataría de apoyarse en el bosque, que ya tenia ocupado con el hatillo a de Rtoja, á las órdenes de su comandante el t-snierste co* roñe! D. Juan Antonio Tabu-nca. La gaeiriíía de caballería Itenó sus deberes, en términos que los soldados Joaquín Salas y Manuel Me!cro entraron en la ciudad haciendo fnego, lo que m…</t>
  </si>
  <si>
    <t>Tabuenca, Juan Antonio</t>
  </si>
  <si>
    <t>Juan Antonio Tabuenca</t>
  </si>
  <si>
    <t>cado á la junta superior de estaprovin^ia par la de SorjQy con fecha de 24 de agosto de lSll.-rr-IíOs c^mandantesdeeíitadivisigp IX. Bartolomé Amor y D. Juan Antonio Tabuenca, han entrado en la ciudad de Tarazona con el objeto de coger aquella guarnición, y aunque avisada esta por viles emisarios, se retiró llena de miedp al …</t>
  </si>
  <si>
    <t>tre* gaion sus caballos á varios infantes fatigados, siguiendo con los fusiles haciendo fuego hasta la entrada de Amedillo, en donde un esisf.ente de D. Juan Antonio Tabuenca dió muerte á un francés cosiéndole á puñaladas. Por la adjunta relación verá V. S. á los que ha tocado distinguirse en esta gloriosa jornada, y por lo m…</t>
  </si>
  <si>
    <t>Tadei, Antonio</t>
  </si>
  <si>
    <t>Antonio Tadei</t>
  </si>
  <si>
    <t>extensión, y. claridad el lico Aecaredo, con toda su teatro y dos decoraciones Iprizonte d,e la ciencia que profesa : nUi bcb.ru nuevas pintadas por D. Antonio Tadei , la una de mon­ te con varias figuras de movimiento, y la otra un salou los buenos principios: allí encontraría el modo mo­ de máscara - se bailará el fandango;…</t>
  </si>
  <si>
    <t>nte justificada de la nota lico Recaredo, con todo su teatro, y dos decoraciones de inmoralidad de que la habían sindicado perso­ nuevas pintadas por D. Antonio Tadei, la una de mon­ nas de mala fe, como se ha hecho ver en un infor­ te con varias figuras de movimiento, y la otra un salón me que se le ha presentado sobre este …</t>
  </si>
  <si>
    <t>Tadei, Antonio María</t>
  </si>
  <si>
    <t>Antonio María Tadei</t>
  </si>
  <si>
    <t>puesta, y Mágico catalan , adornada con decoraciones y .transfor­ de ellas, escrita por un católico de distinción, dice maciones nuevas, pintadas por D. Antonio María Tadei, lo siguiente: V dirigidas por el maquinista del teatro Manuel López; ,,Esta persecución ha producido un efecto ad­ concluida la comedia,, se bailará el b…</t>
  </si>
  <si>
    <t>Tadeo</t>
  </si>
  <si>
    <t>lado (D. Diego), tirador del regimiento de guardia real. Toledo, 2.0 de infauteiía de línea. Aivarez (D. Anselmo), sargento segando del re­ Cnbells ( D. Tadeo), capitap agregado at estado gimiento de Madrid, i.c de infantería delinea. mayor de la plaza de Madrid. Aivarez de Faria (D. Juan), mariscal de campo Cubero ( D. Juan)…</t>
  </si>
  <si>
    <t>Taeyo, José</t>
  </si>
  <si>
    <t>José Taeyo</t>
  </si>
  <si>
    <t>a al teniente de granade­ ros D. José la Vil!a¿ tenencias al subteniente D. José Lasi, y sub­ tenencias al sargento primero, graduado de subteniente, D. José Taeyo, y al alumno de la escuela militar de este cuarto exórcito, Don Antonio Aguado, cadete de! batallón de Campo*; ayor; y en el de Guadalaxara, compañías á D. Ventura…</t>
  </si>
  <si>
    <t>Tagle, Antonio</t>
  </si>
  <si>
    <t>Antonio Tagle</t>
  </si>
  <si>
    <t>D. Manuel Gutiérrez de Caballos, 600. D. Manuel de Olea, 500. Mozos de tas tiendas. — D Manuel González Plancho , 500. D. José Gó­ mez Soldado, 300. D. Antonio Tagle , 300. D. José del Rivero, 200. D. Ma3uu-[ Salceda, 200. D. José Candido Sánchez , 300. D. Juan García , 200. Don Dionisio de Hoyos, ‘’OO. D. Pantaleoa y D. Seve…</t>
  </si>
  <si>
    <t>Tagle, Antonio Diaz</t>
  </si>
  <si>
    <t>Antonio Diaz Tagle</t>
  </si>
  <si>
    <t>José Candido Sánchez , 300. D. Juan García , 200. Don Dionisio de Hoyos, ‘’OO. D. Pantaleoa y D. Severo Merino , 240. D. Antonio Diez riel Olmo, 200. D. Antonio Diaz Tagle, 160. D. Antonio González de Columbres, 160. D. José Antonio de la forre , 120. D. Antonio García Tcraa, 120. D. Pedro de Teran, 120. D. Bernardo García de…</t>
  </si>
  <si>
    <t>Tagle, Román Diaz</t>
  </si>
  <si>
    <t>Román Diaz Tagle</t>
  </si>
  <si>
    <t>Concluyen los donativos de varios naturales del obispado de Santander á favor de la división cántabra del mando del brigadier D. Juan I)iaz Portier. D. Román Diaz Tagle, 100. L. Juan Madrazo, 100. D Vicente Sánchez de M-'ifoellan, 100. D. Miguel Ruiz , 100. D. Felipe de Herrera, 100. D. Miguel Villegas, 100. D. Manuel Herrero…</t>
  </si>
  <si>
    <t>Takersreglar</t>
  </si>
  <si>
    <t>antes y varios habitan­ capitán Ewertz, y el Peperbootn, capitán Soeder. tes acomodados de Copenhague se dan priesa á ar­ El navio sneco Waksamheten, capitán Takersreglar con la comisión nombrada para ello la quota trom, ha tocado en este puerto. que les toca del empréstito de quatro millones de Una janta compuesta de algunos…</t>
  </si>
  <si>
    <t>Talavera, Fernando</t>
  </si>
  <si>
    <t>Fernando Talavera</t>
  </si>
  <si>
    <t>­ Granad * queda igualmente promovido ña* y de las Indias. D. Ramón Bravo á subteniente, en la vacante Hemos decretado y decretamos lo que sigue : de D. Fernando Talavera. articulo 1. ,, En los batallones de milicia cí­ art. iv. Nuertro ministro de la Guerra qoevica de e.&gt;ta capital quedan promovidos los indivi­ da encargado …</t>
  </si>
  <si>
    <t>Tállente, José Pablo</t>
  </si>
  <si>
    <t>José Pablo Tállente</t>
  </si>
  <si>
    <t>inaria» á la renovación de su presidente. vice-presidente y secretario en la se sión do 24 del corriente; h%n sido elegidos para p residente el señar D. José Pablo Tállente, diputado propietario por A voy no de Sovida; para vice presidente el Rr. D. Andrés Est ban y Gómez, di­ putado propic-taHo por la junta do Guadalaxara ; …</t>
  </si>
  <si>
    <t>Tamayo, Ramón</t>
  </si>
  <si>
    <t>Ramón Tamayo</t>
  </si>
  <si>
    <t>ón, por cuyo El año mas memorable de mi vida, escrito por Au­ medio ia diferencial que se quiere integrar no contiene gusto Kotzebue, y traducido por D. Ramón Tamayo. mas que un radical, que se reduce naturalmente á las Se'vende en la librería de Calleja, calle de Majadericos: funciones angulares r y por lo mismo las elíptica…</t>
  </si>
  <si>
    <t>Taquinet, Manuel</t>
  </si>
  <si>
    <t>Manuel Taquinet</t>
  </si>
  <si>
    <t>oy, D. José Andalo, D. José García, D. Francisco Gómez, B. Antonio Díaz, D. Juan Sánchez y D. Gregorio Vázquez; y subtenencias á D. Francisco Rafael, D. Manuel Taquinet©, D. íhdegria Msliana , D. Podro Pascual del Castillo, D„ Antonio Elers, D. Melchor Moya, D. José Matras, D. Aarustin Scrra, D. Antonio Quircó, D. Cristóbal A…</t>
  </si>
  <si>
    <t>Taran, Francisco</t>
  </si>
  <si>
    <t>Francisco Taran</t>
  </si>
  <si>
    <t>ajoz el regimiento de infantería número ico con 6 carros de vestuario, arroz y vino. Van también D. Ignacio deC .ceres sombraió pre fecto de Badajoz, D. Francisco Taran para intendente y D. Lorenzo Ayílon para comisario general de po.icía en Z«frc. Del 27. Se han escapado 1 50 de los 40o.prisioneros que llegaron el 24* 'Dd 28…</t>
  </si>
  <si>
    <t>Tarancon, Andrés</t>
  </si>
  <si>
    <t>Andrés Tarancon</t>
  </si>
  <si>
    <t>45 17 1 Doña Angela Imperial........................ 18c j 1 Doña Alfonsa Chavarría.................... 185 17 I D. Josef Jesús García, por su apo­ 2 D. Andrés Tarancon........................... 361 derado D. Juan Josef Gamboa..... 361 6 „ Deña Plácida de "Urquijo................... 2°7f 2J 6 D. Ramón Delgado, por su apode­ …</t>
  </si>
  <si>
    <t>Tarín, Vicente</t>
  </si>
  <si>
    <t>Vicente Tarín</t>
  </si>
  <si>
    <t>Volante de Parras. Capitán D. Juan Ignacio Arrambide ,- 50. Teniente D. Francisco Vázquez, 20. Primer'.alféréz D. Jo­ sé Antonio Aguilar, 40. Segundo D. Vicente Tarín , 20. Sargentos , cabos y soldados, 315.—-Cuerpos de caballería provincial de las colonias del Nue­ vo León y Nuevo Santander que están en la frontera de Tejas.…</t>
  </si>
  <si>
    <t>TarL-tt</t>
  </si>
  <si>
    <t>vispa (corbeta) , espitan Jones. ciudad no es mmho mayor que á tiñes del año pasado. Brtcks. Mr. Giles dixo qoe los fabricantes de sombre­ La Sirena, capitán TarL-tt. ros y de otras obras de p.ja le ha» entregado una El Argos , capitán Lawrence. representación , en que se quejan del perjuicio que El Hornet, capitán Ilunt. les…</t>
  </si>
  <si>
    <t>Tarragona</t>
  </si>
  <si>
    <t>es pueblos. — Las llegan mu­ chos herido:!: ántes ds ayer salieron 50 corres cargados e*‘cs para Turf.osa, adonde también conducen mucha srhllería de^d Tarragona. Samhuja 1de agosto. El general Suchet llegó á Chivera el 27</t>
  </si>
  <si>
    <t>Tarrazo, Francisco</t>
  </si>
  <si>
    <t>Francisco Tarrazo</t>
  </si>
  <si>
    <t>Centeno , en cada mes, 2. El quinto D. José María Echanove, 12 y 4 rs. El oficial agregado D. Miguel González.Rueda, en cada més, 1. El guarda mayor D. Francisco Tarrazo ha ofrecido para mantener 2 soldados por tiempo de 2 uóqs, 501). El escribano D. Agustín Cosgaya, en cada més, 6. Administración de correos. El administrador…</t>
  </si>
  <si>
    <t>Tascher</t>
  </si>
  <si>
    <t>. A. R. la prtocesa Amelia de Badih,- nieta de Prancfort 8 de jtbrero. nuestro gran duque, ha salido hoi de aquí para PeS. A. R. há nombrado al señor conde Tascher tersburg!&gt;¡ donde estará en compañía efe su augus­ de la Pagerie gobernador de Francfort, y repre­ ta hermana la-Emperatriz de Rusia. Acompaña á séntame suyo m est…</t>
  </si>
  <si>
    <t>Tauenzien</t>
  </si>
  <si>
    <t>eayer llegó aquí el señor Blucher, general que ya estau para concluirse. de caballería y gobernador general de la Pomerania , para donde ha'salido el conde Tauenzien , te­ BAVIERA. niente general y comandante de la brigada de Brandemburgo, : ! Munich 2$ de octubre. A últimos de setiembre hubo en Possen de Po­ El conde de Luxb…</t>
  </si>
  <si>
    <t>Tauna</t>
  </si>
  <si>
    <t>se advierten zas diplomáticas relativas á la diputación enviada en ella, qne se recomiende sobremanera su uso á á Paris, y una carta del Excmo. señor conde Tauna y á otra nación. &gt; lleirand, en la qual daba pínte al landamaon que El señor Schwan está publicando actualmente el duque de Cadera le avisaba ,’que S. .M. el Em­ la …</t>
  </si>
  <si>
    <t>Tavira, Agustín</t>
  </si>
  <si>
    <t>Agustín Tavira</t>
  </si>
  <si>
    <t>o de Choya, ayudante, á D. Rafael Laguae*. capitán de la primera compañía. D. Lorenzo Cuenca Romero. Quinto batallón. D. Felipe Gutiérrez de Qaevedo. D. Agustín Tavira, ayudante segundo, á ca­ Subtenientes. pitán de la séptima comoañía. D. Juan Josef de Ulloa. D. Manuel García S¿nz, sargento primero, á D. Josef de Loque Beltr…</t>
  </si>
  <si>
    <t>uar lo que significa el título del drama que ayudante segundo del quinto batallón , en la vacan­ ven anunciado. También me ha parecido mui pru­ te de D. Agustín Tavira. dente é instructiva aquella erudita nota de los car­ D. Julián Sanz Quadro, subteniente, á ayu­ teles en que se explica, con sumo decoro y opor­ dante segundo…</t>
  </si>
  <si>
    <t>Tcraa, Antonio García</t>
  </si>
  <si>
    <t>Antonio García Tcraa</t>
  </si>
  <si>
    <t>o Merino , 240. D. Antonio Diez riel Olmo, 200. D. Antonio Diaz Tagle, 160. D. Antonio González de Columbres, 160. D. José Antonio de la forre , 120. D. Antonio García Tcraa, 120. D. Pedro de Teran, 120. D. Bernardo García de los Ríos, 120. I). Tomas del Corral, 130. D. Manuel Tornero y D. Antonio Hidalgo, 140. I). Juan Anton…</t>
  </si>
  <si>
    <t>Tcrry, Antonio</t>
  </si>
  <si>
    <t>Antonio Tcrry</t>
  </si>
  <si>
    <t>rd Liverpool, ministro de la guerra, y recibió del Sr. H. E. Bumbury , t fifia! de dicha Secretaria, la siguiente carta : la que remiti­ da z Cádiz á D. Antonio Tcrry, y: traducida literalmente , se publi­ ca i. fin de qae no quede ignorada cela prueba reciente de la libera­ lidad con que aquel gobierno atiende á ios buenos d…</t>
  </si>
  <si>
    <t>Te, Manuel</t>
  </si>
  <si>
    <t>Manuel Te</t>
  </si>
  <si>
    <t>oi ¿,a 1 r GACETA DE LA REGENCIA DE ESPAÑA É INDIAS DEL SABADO 16 DE MARZO DE 1811. ; POltTUGAL. 'v Lisboa 27 de febrero Oficio de lord TFellington a D. Manuel Te reyra Forjaz , de su cuartel general de Cartaxo d 23 de febrero de 1811. ** La div.sion dei general Claparede, perteneciente al 9.0 cuerpo* exí re todavía en la ciu…</t>
  </si>
  <si>
    <t>Te, María</t>
  </si>
  <si>
    <t>María Te</t>
  </si>
  <si>
    <t>para defenderme, en vis­ fabrica en todos los países de esta monarquía. Ha­ ta de un papel ó relación impsesa, que me ense­ ce mas de 40 años que ,1a Emperatriz María Te­ ñaron ayer, del general Lapeña, el qual me echa resa fomentó esta producción indígena, y mandó á mí la cuipa, á lo menos de una manera implíci­ propagar en …</t>
  </si>
  <si>
    <t>Te, Matías</t>
  </si>
  <si>
    <t>Matías Te</t>
  </si>
  <si>
    <t>D. J?.yme Qjirós, D. Sabas Ma­ rín , D. J isé Ortega , D. Juan Vázquez, D Manuel Sánchez, D. An­ tonio Bermejo, D. Luis Puente, D. Aotolin Sigiienza, D Matías Te­ resa, D. Juan González , D Manuel Calvantes, D. Jé Mora, Don Juan Morgaez, D Alfonso Gírela, D. JranGamez , D. L *&gt;n Acnña, D. Esmeraido Acuña, D. José Correa Ioañe…</t>
  </si>
  <si>
    <t>Te-ue, Blas Manuel</t>
  </si>
  <si>
    <t>Blas Manuel Te-ue</t>
  </si>
  <si>
    <t>uan Pa­ lomino, D. 'Juan Scciats , D Pedro Saípzar y D Migue! A ochávala: á s^rggntos mayores dé'brigada 9. á‘Iosr¡capitanes D Séb^sf an de S. Juan, »D Blas Manuel Te-ue? , p. ‘José "María Dana , ‘D. Vicente Sánchez, D. Joaqui« d i la G qz , D Raf el dél-Barrio , D. Miguel S.mtillana y D. Ignacio O ovas: á capitanes á los ten…</t>
  </si>
  <si>
    <t>Teaorio, Ignacio María</t>
  </si>
  <si>
    <t>Ignacio María Teaorio</t>
  </si>
  <si>
    <t>n á ias relaciones de los pueblos. Para el segundo curato de l/’tnisma parroqnia, ,, El comercio interior uo encontrará ya los vacante por ascenso de D. Ignacio María Teaorio,</t>
  </si>
  <si>
    <t>Tecla</t>
  </si>
  <si>
    <t>e- TEATROS. iecen grandes elegios la actriz encargada del papel En el del Príncipe, á las siete de Ir, noche , se re­ de Juana, y la que representó á Doña Tecla. El presentará por la compañía española la comedia en un actor que representó á D. Cirios no debiera haber acto titulada el Zeloso por fuerza, y la opereta el Mé­ man…</t>
  </si>
  <si>
    <t>Tejada, Antonio</t>
  </si>
  <si>
    <t>Antonio Tejada</t>
  </si>
  <si>
    <t>dedi­ D. Joaquín de Medina. quen, como el autor los convida , á comprobar sus D. Juan Cívico. aserciones. Si ea efecto llegasen á realizarse las es­ D. Antonio Tejada. peranzas que ha concebido de sus primeros ensa­ Subtenientes. yos , el descubrimiento es de tal importancia en D. Josef María Garrido. Jas circunstancias actua…</t>
  </si>
  <si>
    <t>Tellez, Pedro</t>
  </si>
  <si>
    <t>Pedro Tellez</t>
  </si>
  <si>
    <t>rmidad i nuestros decretos relativos á las D. Seeunciino Medina , id. id., por........... 2200 pensiones que han de gozar los ex-regulares; vista la :D. Pedro Tellez, id., residente en id. , por 2 200 exposición de nuestro ministro de Negocios eclesiásticos, ,D. Alonso de Madrid, id-, residente en id., y oido nuestro consejo …</t>
  </si>
  <si>
    <t>Telxidor, Josef</t>
  </si>
  <si>
    <t>Josef Telxidor</t>
  </si>
  <si>
    <t>i................................. 165000 tlATXOl. D. Guillermo de Huageo................ 15 7 71 En el del Príncipe, á las siete de la noche, se re­ D. Josef Telxidor.... ...................... 17835 2 £ presentará por la compañía española el drama en cinco Los hospitales civiies de esta corte. 3652 actos titulado el Duque, …</t>
  </si>
  <si>
    <t>Temprano, Antonio</t>
  </si>
  <si>
    <t>Antonio Temprano</t>
  </si>
  <si>
    <t>mbres que traía de escolta , y el coche en que Tenía desde Talayera. — El comandante Tendería se bal? a prisionero en el Ritiro. Del o. Ei comandaste D. Antonio Temprano llegó coa su parti­ da esta mañana i la casa decampo de Gozquez: mató 2 franceses de la guardia real, é hirió 3 : los 27 restantes se encerraron é hicie­ ron…</t>
  </si>
  <si>
    <t>Tendería</t>
  </si>
  <si>
    <t>ha hecho prisiones gh Sta. Cruz dei Retamar á un persoaage francos con 50 hombres que traía de escolta , y el coche en que Tenía desde Talayera. — El comandante Tendería se bal? a prisionero en el Ritiro. Del o. Ei comandaste D. Antonio Temprano llegó coa su parti­ da esta mañana i la casa decampo de Gozquez: mató 2 franceses…</t>
  </si>
  <si>
    <t>Teniente</t>
  </si>
  <si>
    <t>............................ 1,00 nario, y minisrro plenipotenciario de Dinamarca Cepita» 2.“................................ 720 en la corte de Madr d. Teniente i.°.......................................... 470 Por S. E. Joel Barlow, ministro plenipoten­ P'eniente 2.0......................................... 432 ciario de lo…</t>
  </si>
  <si>
    <t>Tenllado, Vicente</t>
  </si>
  <si>
    <t>Vicente Tenllado</t>
  </si>
  <si>
    <t>n todos los concurrentes reinó una franca Capitán. y cordial alegría. D. Bernabé Carado. Teniente. Continúan sin interrupción en esta corte las fies­ D. Vicente Tenllado. tas con el motivo del nacimiento de S. M. el Rei Subteniente. de Roma. El Excmo. Sr. duque de Santa Ee , mi­ nistro de ludias y de Negocias eclesiásticos, d…</t>
  </si>
  <si>
    <t>Teodo</t>
  </si>
  <si>
    <t>ro Valdes, 10. Eos veci­ nos pobres de toda la jurisdicción , 186 y 5 rs. D. Francisco Pereyra, 50. D. José Lobo y su yerno, 40. D. Román Letona, 25. D. Teodo­ ro Carrillo, 50. D. Martin del Rio y D. Pedro de la Fuente , J.3, JD. Pedro Velez Cosío, 80» (Se continuará.) CADIZ : EN LA IMPRENTA REAL.</t>
  </si>
  <si>
    <t>Teodoro</t>
  </si>
  <si>
    <t>ro), comandante de bata­ Labartha (D, Aíexandro), capitán del 3.0 regi­ llón del regimiento Josef Napoleón. miento de cazadores á caballo. O iivier ( D. Teodoro), capitán de caballería ligera Lamarre (D. Nicolás), soldado de caballería lige­ de nuestra guardia real. ra de nuestra guardia real. Oíoghin (D. Juao), ayudante mayo…</t>
  </si>
  <si>
    <t>Teodorowitsch</t>
  </si>
  <si>
    <t>mó entonces, el mando, reunió dida en el sitio de Rudschuck , donde quedó re­ toda nuestra gente en medio de nn fuego el mas ducido á 700 hombres. El coronel Teodorowitsch homicida, y renovó el ataque. hace observar una disciplina mui severa en su re­ „ Una bala de cañón llevó ambas piernas al ca­ gimiento ; y para complacer …</t>
  </si>
  <si>
    <t>Teran, Francisco</t>
  </si>
  <si>
    <t>Francisco Teran</t>
  </si>
  <si>
    <t>la fortaleza de carác­ del servicio....................... 12 ter que mostraron, durante el sitio, el comisariojeTercer batallón de cazadores de gio D. Francisco Teran, y las autoridades españo­ Valencia........ .................. 18 646 las que se hallaban en la plaza.</t>
  </si>
  <si>
    <t>Teran, Juan</t>
  </si>
  <si>
    <t>Juan Teran</t>
  </si>
  <si>
    <t>....................... 27&gt;7y3-I7 D. Benito Navarro..................... ............... 2471- 7 D. Manuel Llórente.................................. D. Juan Teran............................ ............... 1188.. 7 , D. Carlos Menche................ ................. :9o.. 8} D. Fernando Diaz................................…</t>
  </si>
  <si>
    <t>Teresa, María</t>
  </si>
  <si>
    <t>María Teresa</t>
  </si>
  <si>
    <t>reinado de la Emperatriz María Teresa estos rcli- , - que el lord Grenwille no se ha visto todavía con, giosos emigraron de Venecia á Trieste» donde el el Príncipe, y que el lord Holland no solo ha te­ gobierno les permitió establecerse ’t°</t>
  </si>
  <si>
    <t>bre. bién establecer el año próximo casas de comercio ea Anteayer se celebraron en el palacio de la Trieste. Tour y Taxis los desposorios de S. A. la princesa María Teresa con S. A. el príncipe Pablo Antonio GRAN DUCADO DE FRANCFORT. de Esterhazi. Francfort jr de octubre. En celebridad de este acontecimiento se dió ayer una f…</t>
  </si>
  <si>
    <t>Terraza, Francisco</t>
  </si>
  <si>
    <t>Francisco Terraza</t>
  </si>
  <si>
    <t>ex-escolapio, resi­ de los Ojos , por........................................... 2200 dente en id., por......................................... 2200 D. Francisco Terraza , ex-agonizante, re­ D. Gabriel López de Miranda , id. , lego, sidente en Santa Cruz de Múdela, por 2209 residente en Getafe , por..........................…</t>
  </si>
  <si>
    <t>Terricabra, Franeisc</t>
  </si>
  <si>
    <t>Franeisc Terricabra</t>
  </si>
  <si>
    <t>nes Chefino é Inchaústi, el cabo de voluntarios europeos D. Facundo Anxo* nio de Otero y 12 lanceros, y heridos á los oficiales D. Juan José Echarte, D. Franeisc3 Terricabra , D. Ignacio Unquite, el P. Fr. Aiseímo Ocotor, del orden de S. Francisco, y ^ granaderos. Tarragona 19 de marzo. Ua destacamento que había salido de Ja …</t>
  </si>
  <si>
    <t>Tetan, Juan</t>
  </si>
  <si>
    <t>Juan Tetan</t>
  </si>
  <si>
    <t>an....... . 23530 17 íu apoderado D. Juan Bautista D. Santiago Gutiérrez de Arintero. 46429 29 de Lasa....................................... arjo 27 D. Juan Tetan.................... . icSj</t>
  </si>
  <si>
    <t>Texada, Cristóbal</t>
  </si>
  <si>
    <t>Cristóbal Texada</t>
  </si>
  <si>
    <t>...................... 2200 rio descalzo, por.......................................... 2200 D. Tomas del Arco , id. id., id.................... 2200 D. Cristóbal Texada. ex-aerónimo leso, D. Juan Manuel González, ex-cistercienpor..................................................................... 1100 se, residente en Morat…</t>
  </si>
  <si>
    <t>Texada, Norberto</t>
  </si>
  <si>
    <t>Norberto Texada</t>
  </si>
  <si>
    <t>rino de San Carlos de.Chirú , por sí y su sacristán ,7 y í rs I) Marcos del Pino, cura del Calobre , 25. D. Eduardo Rivera , cura de Santa María , G. D. Norberto Texada , presbítero , d. D Manuel ilobl •-&gt; , id. , 2. Varios ve­ cinos Ponobelo , 7'-7. Id. de la villa de los Santos 422 y G rs. $1 pueblo de Pcnononié por mano de…</t>
  </si>
  <si>
    <t>Texciia, Antonio Besito</t>
  </si>
  <si>
    <t>Antonio Besito Texciia</t>
  </si>
  <si>
    <t>1220</t>
  </si>
  <si>
    <t>o uso que hizo resistencia , tuve la satis facción de que se roe presen­ tas s el'enunciado Grant en compañía del teniente de caballería por­ tuguesa D. Antonio Besito Texciia, á quienes proveí de caballos, he encallado para su seguridad, y obsequiado en los términos que per­ mite la escasez de esta tierra ; y continúo hacién…</t>
  </si>
  <si>
    <t>Textura</t>
  </si>
  <si>
    <t>1334</t>
  </si>
  <si>
    <t>ni« vu, y m&amp;s debidos los auxilios: y desde lurgo se precedió en 16 de no* viemhre próximo pasado al íiambrassiieuto de diputado que recayó en el Sr. D. Textura de lo^ Reyes, vecino y del comercio de esta capital, sugeio bien cenoeito por sus luces y patriotismo. Ua día de estos dará la vela para Europa en el navio de la cera…</t>
  </si>
  <si>
    <t>TFúlle</t>
  </si>
  <si>
    <t>te sobre- nuestras mar­ ches. Pero nada me fdl ge sinala falta de municiones , que procura­ rá V. se me remitan luego, luego, lugo. Ea una palabra,el general TFúlle se ha empeñado en perseguirme ii tsta ó sacarme del rey no , ó cogerme con la división, y yo estoy empeñado'en que no suceda ni lo uno ni lo otro. Veremos quien p…</t>
  </si>
  <si>
    <t>Theison</t>
  </si>
  <si>
    <t>mételo de una y de otra , atraerlas per Devuelto , pero pagando los gastos al apresador. su propio ínteres al camino de la justicia. El Honchum Snib, capitán Theison. Este bar­ ,, En la acta del congreso de donde trae su ori­ co, con pabellón dinamarqués, estaba cargado de gen la leí actual de tic importación , se halla ar­ a…</t>
  </si>
  <si>
    <t>Thibau, Pedro</t>
  </si>
  <si>
    <t>Pedro Thibau</t>
  </si>
  <si>
    <t>moso suelo. ( Se cóntirmard. ) ARTICULO DE QFICIO. El Consejo de Regencia se ha servido conferir en el regimiento de infantería de Irlanda compañía á D. Pedro Thibau: tenencia á D. Jo­ sé Ja y me Balcourt,' y subtenencia á D. Cayetano Mingorar.se, te­ niente , subteniente y cadete del mismo cuerpo; y ha reemplazado en el de A…</t>
  </si>
  <si>
    <t>ThibauU, Estéban</t>
  </si>
  <si>
    <t>Estéban ThibauU</t>
  </si>
  <si>
    <t>igen movimientos combinados de real casa................................................... 270 la lengua, de la glotis y de las demas parres del Sr. D. Estéban ThibauU........................... 200órgano de la voz, execntándolo con mas ó menos Los volteadores de la guardia real un dia facilidad, según es mayor ó menor la co…</t>
  </si>
  <si>
    <t>Thie</t>
  </si>
  <si>
    <t>aban por la orilla segunda Coíuna, compuesta de 50 granaderos del del mar. hacían lo posible para llegar á ia cabeza regimiento 115.®, mandada por ei capitán Thie- del muelle. Sarsfield habla enviado allí una reserva band, edecán del general Rogniat, marchaba des­ para deteoernos, y un fuego vivísimo é inespera­ de el foso de…</t>
  </si>
  <si>
    <t>Thiebaud</t>
  </si>
  <si>
    <t>e­ sentarse á S. M. A todos ha asi gorado de su pron­ Madrid 17 de mayo . to regreso, y encargado que velasen sobre los me­ Copia de una carta que el general Thiebaud ha dios de extinguir á los enemigos del reposo de los recibido de Ciudad-Rodrigo del e de mayo pueblos, sin el que no pueden ser fedees. de i8ri. S. M. ha recon…</t>
  </si>
  <si>
    <t>noticia', qne sé os Será mui agradable.— tumbre todos los años para qúe fuese depositado Firmado== el general Reinaud." tu el sepulcro de Mahoma. El general Thiebaud al comunicar esta noticia Sin embargo, los peregrinos pudieron llegar í añade lo siguiente: Meca í donde su dolor fue extremado al ver de­ Las cartas particulare…</t>
  </si>
  <si>
    <t>Thiebault</t>
  </si>
  <si>
    <t>693</t>
  </si>
  <si>
    <t>iales que pasan á Francia, el pagador general con la cax?, la dirección de correos, y muchos españoles que se van con ellos. E'da ncche ha llegado ei general Thiebault que había ido á confe­ renciar con Basieres, y su llegida ha impedido la salida del con­ voy por algunos dias. Para desvanecer el rumor de la marcha , ha manda…</t>
  </si>
  <si>
    <t>Thiebaut</t>
  </si>
  <si>
    <t>ones de Massena- A ganas de sus tropas han quedado en ios puebles ¿e la rivera del Duero, y aquí siguen sus equipages, los empleados de hacienda y el general Thiebaut, que va á salir dentro de pocos dias para Ciudad Rodrigo. Algunos destacamentos de D. Julián Sánchez que circulan por tier­ ra de A iva y cercanías de la sierra…</t>
  </si>
  <si>
    <t>ra el mismo destino. En estes dias tomaron el c-mino de Ma riá 2000 infantes y p:rt; de los regimientos 17 y 27, queetabin en Benavente. Hoy llegó el general Thiebaut que viene de S lamanca con muchos eufeimos y carreteros desmontados, que pasarán de 50000. Las guarniciones de Toro, Z mora , y otros destacamentos de la guardi…</t>
  </si>
  <si>
    <t>Thouvenot</t>
  </si>
  <si>
    <t>el batallón escogido de la guardia na­ esta ciudad, acompañado de i o; generales conde cional, y. execntó varias evoluciones militares', y Caffareld, barón Thouvenot, y demas empleados nn lucido exercicio de fuego en medio de las acla­ en este cxército, su estado mayor y oficialidad, maciones que repitieron todo el d%* y toda…</t>
  </si>
  <si>
    <t>. (Se continuará.) PAPELES INTERCEPTADOS. lielacicn de acontecimientos, paso de tropas y convoyes desde ei 2.® al 5 de julio de 1811 , firmada por el general Thouvenot, gobernador ■ de las provincias vascongadas. Parte de la policía. El regidor de Z urbano da cuenta de que la par­ tida de Dos-pelos está e¡* Maesiu ríe han int…</t>
  </si>
  <si>
    <t>Tib</t>
  </si>
  <si>
    <t>n. Por el tratado de Posen , hecho al para O.rebro i esperar á ‘U augusta lamida. fin de la guerra entre la Francia y la Saxonia , que­ Créese que el coronel Tib.-l sera nombrado prc* dó estipulado que ios católicos gozarían en ade/aa(¡dente del departamento de la Guerra. tc de los mismos derechos que los luteranos. Este Entr…</t>
  </si>
  <si>
    <t>Tiburcio</t>
  </si>
  <si>
    <t>ez (D. Domingo), director de las 2.a &lt;fe infantería de línea. fábricas de salitres. Marchal (D. Juan Bautista), cirujano primero del García Gallardo (D. Tiburcio), corregidor de regimirtuo de tiradores de nuestra guardia real. Vizcaya. Martin (D. Nicolás), subteniente del regimiento Garrido (D. Zacarías Josef). de Toledo, 2.0…</t>
  </si>
  <si>
    <t>Tiílí</t>
  </si>
  <si>
    <t>cación de Andalucía y Ex­ tremadura; pero después recibieron ó id en para marchar hoy hieda Andalucía, pasando por Toledo y dexaado en esta ciudad al general Tiílí.—Los días 18 y 19 no se ha hablado de otra cosa que de la ex­ pedición de Valencia por Suche!. Les afrancesados dicen que ha salido aquel general de Zaragoza con 7…</t>
  </si>
  <si>
    <t>Tilli</t>
  </si>
  <si>
    <t>n sostenida tió por largo tiempo , y aun sostenía gloriosamen­ esta doctrina general de ta iglesia hasta el año 10; 1, te el combate, qnando el señor general Tilli vino y ha sido observada religiosamente durante mil y á su socorro. Las guerrillas le esperaron, pero mas años. bien propto hubieron de arrepentirse de ello. Cien­…</t>
  </si>
  <si>
    <t>Tinto, Ménica</t>
  </si>
  <si>
    <t>Ménica Tinto</t>
  </si>
  <si>
    <t>olás Costeros , 50. D. Antonio Izquierdo , 100. i). José Vendino Ró.baldo, 200. I). Agustín Maigual, teniente á guerra det partido de Maya&amp;ftfd/1091. Doña Ménica Tinto . 144 y 4 rs Juan delaPiz, sargento de artillería , 30. Don Juan Fuertes , 75. D. José Batí le , hermanos y conpañía , 303 y 5. D, Ense­ bio Gómez , 50. D Jaym…</t>
  </si>
  <si>
    <t>Tirado, Manuel</t>
  </si>
  <si>
    <t>Manuel Tirado</t>
  </si>
  <si>
    <t>tian, El subdelegado D. Ignacio Guerrero , 10. D. Miguel Arrieta , 150. D. Juan Ortigosa , 50. D. Antonio Inchauitegui, 10. D. Lorenzo Lizagarra, 10. D. Manuel Tirado, IG. D. Ig­ nacio Fletes, 20. D. Joaquín de Osuna, 10. D. Pedro Chiquete, 40. Don Vicente Osuna , 10. Varios individuos, 8G y 2 rs. — S. Ignacio. El subde­ lega…</t>
  </si>
  <si>
    <t>Tiuxillo</t>
  </si>
  <si>
    <t>sido de 200 hombres y varios prisioneros, con 5 cañones: par nuestra parte tuvimos 2 muertos y un herido de gravedad. ' - En el parte que ha dado el teniente coronel Tiuxillo de esta glo • ríos» acción, recomienda el distinguido mérito que contrax?ron en aquellas ocurrencias el previsor D. Manuel de la Concha, los pres­ bíter…</t>
  </si>
  <si>
    <t>Tixero, Francisco Eusebio González</t>
  </si>
  <si>
    <t>Francisco Eusebio González Tixero</t>
  </si>
  <si>
    <t>ntiago de la Cuesta Manzanal , .natu­ rales del reyno de León , 1000. D. José María de Allende , 4. D. Juan de la Cruz Ríos, 4. D. Rafael Cueto, 0, y D. Francisco Eusebio González Tixero, 17, naturales de la Habana. D. Francisco Layseca, de Alava, 100. D. Juan José de Sangroniz , de Vizcaya, 34. D. Valentín y IX Basilio Martí…</t>
  </si>
  <si>
    <t>Tixero, Rita</t>
  </si>
  <si>
    <t>Rita Tixero</t>
  </si>
  <si>
    <t>, 20. D. Joaquín Muza, 34. D. Valentín González, 6. D. Enri­ que Perez Lastra , 20. D. Andrés Cacho de Herrera , 100. D. Santiago Diego García, 102. Doña Rita Tixero, 51. D. Patricio José Gómez , 17. D. Vicente Samper, 20. D. Pedro Macho del Barrio yvsu hermano , 17. D. Juan Barangot, 10 y 4 rs. D. Fernando Busí amante , 34. …</t>
  </si>
  <si>
    <t>TJLiceta, Ignacio</t>
  </si>
  <si>
    <t>Ignacio TJLiceta</t>
  </si>
  <si>
    <t>á los capitanes de fusile­ ros D. Francisco Utaiiz, y D. Juan Salcedo : compañías de fusile­ ros a los primeros tenientes D. Pedro Perez de Tagle, y D. Ignacio TJLiceta . y al primer ayudante mayor D. Pedro Agustín Roncaii: pri­ mera tenencia de granaderos al de fu fileros conde de M. jotes -claros; primeras tenencias de fhfi…</t>
  </si>
  <si>
    <t>Tnrti</t>
  </si>
  <si>
    <t>......), cabo del regimiento Real Ex­ ,, Reconocemos qoe siendo la jurisdicción epis­ tranjero. copal necesaria en todos momentos, tanto 1 Ja Riffi ( D Tnrti is) , teniente coronel de ingenieros. iglesia como ü los fieles, no se acaba jamas quan— Rogg ( D. Luis) , teniente del regimiento Real do vacan las sedes ; y qoe en el …</t>
  </si>
  <si>
    <t>To, Antonio</t>
  </si>
  <si>
    <t>Antonio To</t>
  </si>
  <si>
    <t>. Al momento de mi arribo p*oca*-é reu­ nir á todos los somatenes y tomar posición en la altura llamada da las Forra* con unos 60 hombres al mando de D. Antonio To relias, conocido por B dianas, y en ella pasamos toda la ñocha aguardando al enemigo, á fin de que cuando no fuese posible detenerle en su marcha, pudiese á lo men…</t>
  </si>
  <si>
    <t>Toas, José</t>
  </si>
  <si>
    <t>José Toas</t>
  </si>
  <si>
    <t>z Cortes, O. Alfonso • C Jbach* * D. José QaFós López, D. JáL&amp;íi Pardo i D. Francisco López, D. Carlos Ls.iréu, D. José Palomino, D. Juüao M-tTiíaez, D. José Toas, D. Mnmié! Lnaif, D. jLmon P*sl, D. Fauetia© Vidal, D Juan Murcio, D. Pascual'</t>
  </si>
  <si>
    <t>Todo, Tomas Gó</t>
  </si>
  <si>
    <t>Tomas Gó Todo</t>
  </si>
  <si>
    <t>1046 T&gt;el ij. aut. xi. Don Josef Pígueras y D. Tomas Gó­ Todo» lo» hombres sensatos deben favorecer la mez Duran quedan nombrados para estas dos nue­ causa de los católico» y su cmancip.cion , como la vas plazas de jueces de primera instancia de esta de una libertad raciona!, en general, tom. da esta capital. palabra en so le…</t>
  </si>
  <si>
    <t>Tofiño, Vicente</t>
  </si>
  <si>
    <t>Vicente Tofiño</t>
  </si>
  <si>
    <t>iencia. Esta ma- varios puntos, asi por alga nos extrangeros como por ici ftaoa á las 8 estaba en Terneuse, á la orilla izquier­ nacionales, a saber, D. Vicente Tofiño, D. Dionisio da del Escalda, y creemos que haya ido á visitar Galiano, y otros oficiales de la armada. la isla de Sud-Beveland, de modo que hasta ma­ ñana no e…</t>
  </si>
  <si>
    <t>de entonces ha habido un justo montaña que tiene 8750 pies de elevación , medida motivo para la resistencia que han hecho muchos geométricamente por. D. Vicente Tofiño (1): su ci­ acreedores á ser pagados cu dicho papel, y de con­ ma está siempre cubierta de nieve: tiene un cráter ó siguiente deben resolverse conforme á la an…</t>
  </si>
  <si>
    <t>Tofíño, Vicente</t>
  </si>
  <si>
    <t>Vicente Tofíño</t>
  </si>
  <si>
    <t>de haber nada de eíto pa, bastará decir, que la costa se ha trazado conforme' con un tribunal que prende, encierra, oculta, y á al excelente atlas de D. Vicente Tofíño , corrigiéndo­ nadie da cuenta de io que hace? ¡Qué contraate! la por las observaciones publicadas recientemente en las Memorias de la dirección de Hidrografía…</t>
  </si>
  <si>
    <t>Toledano, Francisco Xavier</t>
  </si>
  <si>
    <t>Francisco Xavier Toledano</t>
  </si>
  <si>
    <t>fa de Aguirre, por su apoderado rificarse, á pesar de lo ¡caponante que seria para el D. Lorenzo de Iruegas................. . 23013 2j comercio. . 1 D. Francisco Xavier Toledano.......... Del 4j. 722 1 D.*Jacinto Silvestre de Arreguí, por Las voces que han corrido-acerca del casamien­ su apoderado D. Domingo Fernan­ to del d…</t>
  </si>
  <si>
    <t>Toledo</t>
  </si>
  <si>
    <t>ta onasion murieron por su demasiado arrojo el capitán dala gente de Tetipac y un hermano suyo. Entre los muertos por parte de los rebeldes lo í«é el capitán Toledo, ei mismo que había asesinado al justicia de Acuitlapaa Jalian Batalla, porque rehusó acompañarle en la rebelión. Eí capitán de granaderos del regimiento fixo de …</t>
  </si>
  <si>
    <t>Tolstoi</t>
  </si>
  <si>
    <t>eri­ tinguido mui particularmente en la última campan dionales de la Enropa. El general Osterman y el ña, y ha llegado d« grado en grado al de sobte- general Tolstoi, como también el general Tutsh— niente. S. M. I., en recompensa del valor que ha koff, viven retirados en Moskou. El- general Koomanifestado en la última acción …</t>
  </si>
  <si>
    <t>Tom</t>
  </si>
  <si>
    <t>imo se li dia­ PrSspero, de 14 , capitán Golboi; el Kite, de 16, ban el mayor general Layard, que fue últimamen­ capitán Crispin; el Parthian, de i6, capitán Tom- te gobernador de Curazao: ,Mr. Vanderspiegel, kiruon; t\ Drake, de 1 o , capitan Brrwel; el Bri- director de las aduanas de aquella isla , y Mr. Jotomarte, de 10, c…</t>
  </si>
  <si>
    <t>Toma</t>
  </si>
  <si>
    <t>San­ martín, D. José Mosco30, D. José Ruiz Rodríguez , D. Fidel GaÍoso, D. Francisco Bnrmudez, D. Angel Fraile, D. Juan AlJaraira, í. Fa-no' Varela, D. Toma?/ Rea!, D. Pedro Benito Gárrulo, Don Faínian Blanco, D. Filioe Uíloa, D. Leandro García, D. Antonio G.:.t. ? Herraros y D. Francisco Lasa; subtenencia de bandera k i). P …</t>
  </si>
  <si>
    <t>García Orczco, y á D. Francisco Angel Bermudez; los de ayudantes á D. Francisco Torres y D. José Comin ; los de capitán sogundo á D. Fulgencio Sala y D. Toma? Ruiz; los de subteniente á O. Eztquiel Rodríguez Voto y D. Juan March; y el de subteniente de bandera á D. Joaquín Ferrer. En el regimiento de infantería de la Ua on; c…</t>
  </si>
  <si>
    <t>Tomas</t>
  </si>
  <si>
    <t>la acuinp- Nota. Mañana domingo se representaren el refe­ lacion deí fluido..eléctrico , favorecen o destruyen de. rido teatro la comedia original de D. Tomas. Jriarte en la misma manerá 'relativamente á.los mismos cuerpo* tres actos titulada el Señorito mimado. lá acumulación del fluido fosfórico ,'y que la electrici­ En el …</t>
  </si>
  <si>
    <t>Henrie ( D. Joan Bautista), sargento de tiradores de M daga. del regimiento Real Irlandés. Narvarte (D. Joaqain), capitán del regimiento da Herrera (D. Tomas), capitán de granaderos del Madrid, i.° de infamcria de línea. regimiento Josef Napoleón. Nevreda (1). Juñan), teniente del de Toledo, 2.* Herrera (D. Francisco), indivi…</t>
  </si>
  <si>
    <t>parte occiden­ serlo , comedia en cinco actos en verso de Destal de la Escocí*; es bien notorio que en cada uno ’touches, traducida al castellano por D. Tomas de estos se quedan también sin trabajo los torneros, de Triarte, y representada en el coliseo del oficiales de taller, dibujantes , loque unido al Príncipe. , primer nú…</t>
  </si>
  <si>
    <t>dos. Longa tiene 700 mudes reunidos : se asega a que los tiene para cargar 14ÓQ fusiles que los inglesas deben desembarcar por el lado de Santcña. El comandante Tomas observa que da c¿edito á esta reunión de mulos, porque de 15 dias á esta parte los arrieros que tenían costumbre de frecuentar su distrito para el tráfico, no s…</t>
  </si>
  <si>
    <t>Tomás</t>
  </si>
  <si>
    <t>1133 linas penas escarpadas. — Les auxilios de toda especie, que con ¿a mayor actividad ha prestado el capitán Tomás comandante la fragata de S. M. B. Undcmnted, han contribuido principalmente e*l feliz éxito de la empresa, acompañándome él mismo en la direc­ ción de los trabajes, y dando con su presencia el mayor vigor ú ls3…</t>
  </si>
  <si>
    <t>uanto han manifestado' en la acción el yak,r^ qne; tienen tan acreditado. Los ayudantes de WR el teniente coronel JD.Nicoks San ti agoi^ y el capitau D. Tomas. Mateos, que V. E. te srvió poney i mis órde­ nes, no me han dexado nada q&amp;é desear por su actividad y binare fe. Estoy igualmente satisfecho de los servicies de mi .ay…</t>
  </si>
  <si>
    <t>Naranjo, 86. Juan León , 10 Juan Rodríguez, 20. Martin Fornes, 15. Cristóbal Sala, 11 y 2. Narciso Ño­ ñez , 22 y 4. Antonio Vidal., 20. D. Narciso , D. Tomas, D. Domingo , Don Antomo, Doña María GuadaiupeSy Doña María de la Asunción Perez Guer­ ra, 451 y ó. Francisco Oramas, 20. Guillermo Caumil,'- ISO. José Borras, 10. Atan…</t>
  </si>
  <si>
    <t>Tomas, Cirios</t>
  </si>
  <si>
    <t>Cirios Tomas</t>
  </si>
  <si>
    <t>Santa Clara (D. Angel), canóaigo do, 2.0 de infantería de línea. de S. Isidro el Reai de Madrid. Molas (D. Luis), sargento primero.del Real ExGuzman (D. Cirios Tomas), capita» retirado, trangero. caballero que fue de la orden de Santiago. Muñoz ( D. Nicolás), capitán de la milicia cíviaa Henrie ( D. Joan Bautista), sargento d…</t>
  </si>
  <si>
    <t>Tomas, Rafael</t>
  </si>
  <si>
    <t>Rafael Tomas</t>
  </si>
  <si>
    <t>erónimo García, 10. D. Jacinto Perora, 10. D. José Pallan, 10. D. Juan Cabrera, 10. D. Juan Iriarte , 10. D. Agustín Costa, 10. D. Agustín Riera, 10. D Rafael Tomas, 10. D. Juan Puig, 10. D. Francisco Becerra, 10. Antonio Ordz , 10. D. José Espinosa, 10. Doña Rita Viñas , 10. Tomas Herrera , 12. D Juan Ibas , 10. D Francisco …</t>
  </si>
  <si>
    <t>Tomé, Antonio</t>
  </si>
  <si>
    <t>Antonio Tomé</t>
  </si>
  <si>
    <t>primero, á sub­ El gran canciller bará, al menos una vez al año, teniente de la primera compañía. una visita general en la casa real, de educación, y D. Antonio Tomé, sargento primero, á sub­ nos dará cuenta de sus necesidades: hará que se ce­ teniente de la quieta compañía. lebre á presencia soya el consejo de administración…</t>
  </si>
  <si>
    <t>Tomkins, Juan</t>
  </si>
  <si>
    <t>Juan Tomkins</t>
  </si>
  <si>
    <t>natural de Boston. En los periódicos de Dublin se lee el artículo siguiente: ,,Eí dia 4 de enero de 1807 salí de Norfolk á bordo del Carlos- Cárter^ capitán Juan Tomkins, Alborotos del condado de Dorvn, destinado para Londres. Habiendo sido maltratado Nos es sumamente sensible tener que anunciar á su bordo, á mi llegada á Lon…</t>
  </si>
  <si>
    <t>Tona, Pío</t>
  </si>
  <si>
    <t>Pío Tona</t>
  </si>
  <si>
    <t>García, Dan Mu» tía Arrute ? D Juan García, D. Antonio Salgado. D. Pascual Be caria, v ÍJ. José Y^zquez Yarela; subtenencias á D. Manuel de los Ríos, D. Pío Tona, D. Juan Medrana, D. Cristóbal Sánchez, D. Pssdro Alvares:,.D. Cipriano V'dal., .D. Salvador Mora, D. Tomas de Sindc, D. José fereyra , D. D’ego Blanco y D. José Del…</t>
  </si>
  <si>
    <t>Tonnasíviv</t>
  </si>
  <si>
    <t>sus tuerzas con las de scherif-baxu, y mar­ Esiockolmo 13 de noviembre. char luego contra Teñís. La dieta , que hdaia sido traslucí .da aquí para £1 general Tonnasíviv , luego que tuvo noti­ recibir al Pjioeípe Real , concluyó ayeT sus sesio­ cia de los movimientos del enemigo , se adelantó á nes. Ei Re» , sentado en su trono…</t>
  </si>
  <si>
    <t>Torcua</t>
  </si>
  <si>
    <t>idos, entre ellos gravemente el voluntario ;D. T ^doá&gt; ‘ Alday.—- Mientras esto sucedía en Caiceo, el conde de Pedro del Acarno, ayudante del eoronel D. Torcua+o TiuxiÜo, comisionado para el intento, hizo prender en el pueblo de Vandacaseo á uno do los principales cabecillas de la comarca, que se había hadado en todos los ate…</t>
  </si>
  <si>
    <t>Tórdesillas, Diego</t>
  </si>
  <si>
    <t>Diego Tórdesillas</t>
  </si>
  <si>
    <t>............................ 4061 8§ .5 Juan Bautista Goitia................. 31500 H Doña Angela Pineda........... ................ ' ' 3SSO 2i-| 10 D. Diego Tórdesillas, su apoderado 3 D. Antonio Fernandez de Córdoba.. 1173 8¿ D. Clemente de Cabía...... ............. 2 Fernando Bernardo de Qairós........ . 361 19687 16 9 D.…</t>
  </si>
  <si>
    <t>Torgas, Miguel</t>
  </si>
  <si>
    <t>Miguel Torgas</t>
  </si>
  <si>
    <t>rehen­ didos y conducidos fuera del reino. .Parte de S. E. el lord Wellington al excelentísü El Reí acaba de prolongar por tres meses titas tno señor D. Miguel Torgas. «1 Indulto concedido á los militares naturales de Cartaxó 5 de enero. rovincias reunidas al reino de Wurtemberg, que Lot refuerzos del enemigo, que participé á…</t>
  </si>
  <si>
    <t>Toribio, Patricio</t>
  </si>
  <si>
    <t>Patricio Toribio</t>
  </si>
  <si>
    <t>provincia de Toledo, re­ de Cuen, a , residente en Toledo, por.......... . 2200 sidente en su pueblo, por....................................... 2100 D. Patricio Toribio, natural de Mal.igon , en la D. Sebastian Ruano, natural de Toledo , donde re­ Mancha, residente en Toledo, por....... ............. 2200 side , por.........…</t>
  </si>
  <si>
    <t>Torilla, María Brígida</t>
  </si>
  <si>
    <t>María Brígida Torilla</t>
  </si>
  <si>
    <t>. Francisco Calleja...................... 180; rado D. Nicolás Barsanti............... 10 j 9 10 Doña Margarita de Pereda.................. 7039 17 X Doña María Brígida Torilla, por su 18 D. Juan Manuel Sorzáno ySoria.... 55129 17 apoderado Pinillos y Perez............ 1985 17 36 Pinillos y Ptrez..............................…</t>
  </si>
  <si>
    <t>Toriño, Vicente</t>
  </si>
  <si>
    <t>Vicente Toriño</t>
  </si>
  <si>
    <t>artínez de Arizo................ 23013..23 D. Francisco de Sesane........................... 1600 Extracto de las minutas de la secretaría de Estado. D. Vicente Toriño.................................... 4400.-21 En nuestro palacio de Madrid á 6 de setiembre D. Claudio Boutelou................................ 1200 de ibi 1. D…</t>
  </si>
  <si>
    <t>Torrado</t>
  </si>
  <si>
    <t>ea. y 600 caballos, hizo mudar de propósito, y ei brigadier Cabrera entró en esta villa con su división en la nochs dél i7. Ai día siguiente llegó ei brigadier Torrado, dtexando en Sfca. Co­ loraba .el regimiento de Orense, que viene á servir en esta división. D/mUm de pocos dias se aguarda al regimiento de Lobera que saldrá …</t>
  </si>
  <si>
    <t>Torre, Manuela</t>
  </si>
  <si>
    <t>Manuela Torre</t>
  </si>
  <si>
    <t>que cu adsjíástá sb imprimieran» Continúan los donativos patrióticos de la isla de Puerlorico, " T) José Rafael Piznrrn , SO ) ps. Juan Matárin , 50. Doña Manuela Torre», 20 T) ña María Catalina Baldemoti, 100. Miguel Castillo'', 120 y 4 rs:;E1-Sar­ gento mayor de la plaza,oficiales y demás individuos' agregados á‘ odia, 1 42…</t>
  </si>
  <si>
    <t>Torrejon, Antonio Barroso y Joaquín</t>
  </si>
  <si>
    <t>Antonio Barroso y Joaquín Torrejon</t>
  </si>
  <si>
    <t>como á los demas individuos, pues todos se han hecho acreedores á ello, habiendo.sobresalido con los oficiales y sargentos nombrados los dragones del Rey Antonio Barroso y Joaquín Torrejon, y los fianqueadores de Numancia Pascual Samel y León Febrer, dando pruebas dichos oficiales de su estimación y valor , como en to­ das la…</t>
  </si>
  <si>
    <t>Torrelia</t>
  </si>
  <si>
    <t>­ Por el Exctno. S&lt;\ duque de Campo claro, emcuito. baxador de S. M. el Rei de las Dos Sicí.us , En Bedoués, lo mismo que en Florac, han si­ El señor príncipe Torrelia , do arrancados de quajo, y arrebatados por el ha- El señor C.rrafa, cabillerizo de S. M. el Reí racan , muchos árboles de los mas gruesos, como' de las Dos Si…</t>
  </si>
  <si>
    <t>Torrellas, Antonio</t>
  </si>
  <si>
    <t>Antonio Torrellas</t>
  </si>
  <si>
    <t>ios y prisioneros arriba expresados , tuvo raucMsimos heridos y algunos de gn V ídad. — No puedo menos de recomendar * Y. E. el valor é intrepidez de D. Antonio Torrellas y su hermano José , quienes n« pasa dia que no hagan conocer á Ies satélites dei ¿mino dé la Eu­ ropa, lo qus puede un paisano español resuelto á matar 6 mo…</t>
  </si>
  <si>
    <t>Torres, Juau de Coca</t>
  </si>
  <si>
    <t>Juau de Coca Torres</t>
  </si>
  <si>
    <t>Coca Cueliar. D. Nicolás J‘ *ndei. sarpecro primero, á sub­ D. Francisco Navarro López. teniente de la ottav* comp: nía. Tenientes. Noveno batallón. D. Juau de Coca Torres. D. Calixto Ruiz Funes, sargento primero, á D. Joaquín de Córdoba. íubreniente de ía octava comp nía. art. xiv. Nuestros miuistros de lo Interior y Subteni…</t>
  </si>
  <si>
    <t>Torres, Magia</t>
  </si>
  <si>
    <t>Magia Torres</t>
  </si>
  <si>
    <t>é María del Carmen , 52 y 1. D. Gabriel C-.diar , alguacil mayor de la villa de Coamo , 160. D. José Grao , 140 y 2. D. Jaime Turró y Vivas* 117 y 4. D. Magia Torres, 242. D. Fernando Fernandez, i90. (Se continuará.) CADIZ : EN LA IMPRENTA REAL.</t>
  </si>
  <si>
    <t>Torres-cano, Gerónimo</t>
  </si>
  <si>
    <t>Gerónimo Torres-cano</t>
  </si>
  <si>
    <t>acatecas con 6 00 hombres de criba Hería , y 300 indios de flecha , y la rindió acoderándose de 8 cañones , y cogiendo algunos gefes de los rebeldes. D. Gerónimo Torres-cano, con solos 160 hombres rompió y dis­ persó el .18 del inistno un cuerpo de unos 3000 mil sediciosos á pie y * caballo, en A n gangueo, junto al Real de T…</t>
  </si>
  <si>
    <t>Torrescano, Gerónimo</t>
  </si>
  <si>
    <t>Gerónimo Torrescano</t>
  </si>
  <si>
    <t>mbres , sin mas pérdida que un muerto, 2 heridos y algunos contusos, entre ellc3 el mismo capitán la Torre. El teniente del batallón ligero de México D. Gerónimo Torrescano, comandante de un destacamento de 153 soldados, peleó el 8 del mismo mes en el Real de Tlalpujahua con un cuerpo de rebeldes, que al parecer pasaba de 600…</t>
  </si>
  <si>
    <t>Torriani, Cayetano</t>
  </si>
  <si>
    <t>Cayetano Torriani</t>
  </si>
  <si>
    <t>neral de brigada Chandron-Rousscau y el coronel Autier fueron muertos:estos oñciales,mu¡ t AVISO. distinguidos por su valor, han perdido la vida glo­ D. Cayetano Torriani , 'natural efe Arbitel en Ita­ riosamente. lia, y capitán de caballería, falleció abintestato el 9 Se han contado en el campo de batalla poo ca- de octubre …</t>
  </si>
  <si>
    <t>Torró, Antonio</t>
  </si>
  <si>
    <t>Antonio Torró</t>
  </si>
  <si>
    <t>cisco Catarla y D. Diego Roca, les tenientes D. Pas­ cual la Rosa, D. Antonio Garniel, D Francisco Bemabeu y D. Ni­ colás Dodero; el segundo ayudante D. Antonio Torró; el subteniente D. Pedro Perales ; los cadetes D. Antonio Aus?j.&gt; y D. Juan Artaíejr; ti sargento primero Ju?.n Monera, y los segu idos José Badirto, Mi­ guel A…</t>
  </si>
  <si>
    <t>Tortero, Ambrosio García</t>
  </si>
  <si>
    <t>Ambrosio García Tortero</t>
  </si>
  <si>
    <t>natural de ValleIX francisco Guzm.m , idem, por............................. noo cas, residente en I oledo , | or............................. 2 2co D. Ambrosio García Tortero , natural de Valda- D. Rafael González, natural de z\ranjaez , resi­ racele, residente en su pueblo, pnr..................... 2200 dente en Toledo, por…</t>
  </si>
  <si>
    <t>Tortosa, Ignacio Mequincnzay</t>
  </si>
  <si>
    <t>Ignacio Mequincnzay Tortosa</t>
  </si>
  <si>
    <t>gana otra ; hai tanta gente! .. Josef Madrid , ex franciscano observante. ademas de que aun quedan por tomarse Lérida, Y para ¡a de Picens y Cherin á D. Ignacio Mequincnzay Tortosa , las llaves de la Cataluña. Madrid, del mismo órden. Una en pos de otra llegaron á caer estas tres pla­ zas en manos del conquistador: y bien , 1…</t>
  </si>
  <si>
    <t>Tos, Bonifacio</t>
  </si>
  <si>
    <t>Bonifacio Tos</t>
  </si>
  <si>
    <t>íos, y ^1 alférez D. José Ignacio de la Cuesta. Igualmente llevaron con acierto y actividad las órdenes , partiendo desde la vanguardia los capitanes D Bonifacio Tos a y D Bernardo Tello, el ayudante mayor de la Corona D. Juan de UVquidi , los de la columna de granaderos teniente D. Ignacio Urrutia y subteniente D. José Maria…</t>
  </si>
  <si>
    <t>Tosar, Francisco Sánchez</t>
  </si>
  <si>
    <t>Francisco Sánchez Tosar</t>
  </si>
  <si>
    <t>Manuel de San Román, 200. X). José Diez Imbreck , 200 y 4 fusiles-. D. Miguel de Trucha Basco, 300. D. Manuel de Hebia, 100. D. Ramón de Náxera* 300. D. Francisco Sánchez Tosar, 400. Fr. D. Francisco de Paula Madrigal, por sí y por otro, 40. D. Ramón Valiente, 1200. Un emigrado,! 20. D. Santiago de Aldama, 610. Una emigrada ,…</t>
  </si>
  <si>
    <t>Toscano, Manuel Sánchez</t>
  </si>
  <si>
    <t>Manuel Sánchez Toscano</t>
  </si>
  <si>
    <t>no; pero debemos emplear las representaciones. £1 Sr. D. Francisco Bringas, calle de la Platería. oro y la sangre que hemos prodigado nos dan de­ Sr. D. Manuel Sánchez Toscano, calle de Rela­ recho para mostrar al gobierno de Cádiz sus erro­ tores. \ res , y sxígir la enmienda---- Hasta aquí el London- Sr. D. Manuel de Aguirr…</t>
  </si>
  <si>
    <t>Toscano, Mauuel Sánchez</t>
  </si>
  <si>
    <t>Mauuel Sánchez Toscano</t>
  </si>
  <si>
    <t>D. Fernando de D. Cirilo Sánchez Deva, ex-carmdira cal­ Mayora, por mano del citado Iribarren. 124830.. 4 zado, residente en Valdemoro, por.... 2200 D. Mauuel Sánchez Toscano......................... 14I34-io D. Pedro de la Plaza, ex carmelita des­ D„ Nicolás María Guendica, por mano de calzo, residente en Cobeña , por.......…</t>
  </si>
  <si>
    <t>Tosquella, Joaqun</t>
  </si>
  <si>
    <t>Joaqun Tosquella</t>
  </si>
  <si>
    <t>de fragata, y á sus segundos D. José Argandóña y D. Toribio Pasalagua, alférez de ídem ; y á los de los faluchos D. José Aldana, alfeíez de navio, y D. Joaqun Tosquella, ídem de fragata, me ponen en la honrosa obligación de recomendarlos á V. E., así como i lós oficiales de ar­ tillería de transporte D. Juan Pedro de Carpa, D…</t>
  </si>
  <si>
    <t>Tosta, Bonifacio</t>
  </si>
  <si>
    <t>Bonifacio Tosta</t>
  </si>
  <si>
    <t>el te­ niente coronel D. Juan Diez, los tenientes ¿e artillería D. Pedro Sagarra y D. Francisco Montalvo, y los agregados á ella teniente de fragata D. Bonifacio Tosta, teniente del regimiento de la Corona Don Francisco Faila, alférez de navio D. Manuel Murga , y el sargento primero de dicho real cuerpo, Santiago Aguirre. Deb…</t>
  </si>
  <si>
    <t>Tostado, Fernando</t>
  </si>
  <si>
    <t>Fernando Tostado</t>
  </si>
  <si>
    <t>ayo, D. Raílolomé Berris, Don Manuel Gata y D, José Mesia y Monxoy; ayudantía á D. Maria­ no Mediano, tenencias á D. Pedro Guerrero, B. Juan Mercado, D. Fernando 'Tostado,' D. Miguel Bravo , B. Fraucise© Bolaño?. D. Valentín Navarro, y D. Manuel Sai? Roznan: y subtenencias á D. Disgaio Hernández, D. Pedro de la Riva, 0. Pedro…</t>
  </si>
  <si>
    <t>Tostado, Juan Antonio</t>
  </si>
  <si>
    <t>Juan Antonio Tostado</t>
  </si>
  <si>
    <t>ante á D. José Florez Galan y D. Juan Sánchez del Pezo; los de capitán segundo á D. Juan Vivas, D. Calixto Gar­ cía Buj.anda, D. Liocente^Argüello, y D. Juan Antonio Tostado; los deteniente á D. Ignacio Perez, D. Vicente Descalz,D. Juan Hi­ dalgo Chacón, D. José Carrasco, D. . Ra r on González y D. Ra­ món Novoa; los de subte…</t>
  </si>
  <si>
    <t>Tótal</t>
  </si>
  <si>
    <t>ente. Muertos. Regimiento 2o.0 portugués... 1 Teniente coronel. Estado mayor: un alférez del primer regimien­ to de guardias, que hacia de edecán del coronel Tótal deoficial, herid, d.cpelig. a Weathli. Heridos levemente. Artillería real........................ 1 Teniente. Segundo regimiento de húsa­ Primer regimiento de guar…</t>
  </si>
  <si>
    <t>Totosans, Luis</t>
  </si>
  <si>
    <t>Luis Totosans</t>
  </si>
  <si>
    <t>te y vocales de la junta superior de la provineia.”— Siguen los donativos de la provincia de Tucatan. Comercio: D. Pedro Manuel de Regil, 400 ps. fs. D. Luis Totosans , 300. Doña María Josefa del Valle , 4000. D. Fernando Gutierre*;, 500. D. Mi­ guel Duque de Estrada, 500. D. José Perez Medina, 500. D. Hemeterio Dalias, 500. …</t>
  </si>
  <si>
    <t>Tournier, María</t>
  </si>
  <si>
    <t>María Tournier</t>
  </si>
  <si>
    <t>Francisco Meruendano...................... 2707..17 D. Josef Escalera.................................... . 1Q4f D. Andrés de Abrisquieta por sí, y á Doña María Tournier.................................... 872 nombre de otros interesados.............. 77181 D. Livino Stuick y Van-Dergoten...... 98896.. 4 La marquesa de la Soi…</t>
  </si>
  <si>
    <t>Tovar, Francisco de Paula</t>
  </si>
  <si>
    <t>Francisco de Paula Tovar</t>
  </si>
  <si>
    <t>n D. Juan Manuel González, ex-bernardo, Pedro Antonio de Ursueguia.................... 17797..17 residente en Morata, por....................... 2200 D. Francisco de Paula Tovar , conde de D. Josef Gómez Rodríguez, ex-merec- Camelada, por mano de D. Lorenzo nario calzado, lego,residente en el Bur­ Barreda.....................…</t>
  </si>
  <si>
    <t>Tovar, José</t>
  </si>
  <si>
    <t>José Tovar</t>
  </si>
  <si>
    <t>ueda regresarse sin batirse á Londres (5). Oí as muchas noticias fatales para la España y favorables para d sisíí ma que héroes abrazado (6), refiere D. José Tovar , h jo del conde de está título, que ha palpado en España los desórdenes del gobierno, con cuyo motivo se formaban d; sde el tiempo de la Junta Central pandillas d…</t>
  </si>
  <si>
    <t>Tovar, Vicente</t>
  </si>
  <si>
    <t>Vicente Tovar</t>
  </si>
  <si>
    <t>Subprefecto de la subprefectura de Plasencia, Búrgos............. ...... efectivo. Vitoria........... ..... efectivo. en la prefectura de Cáceres , á D. Vicente Tovar, Bilbao............. ..... efectivo. i* oficial de rentas de Plasencia. Santander......... ..... efectivo. 3 Valladolid...... ..... efectivo. * Guadalaxara. Cór…</t>
  </si>
  <si>
    <t>Tra</t>
  </si>
  <si>
    <t>r extraordinario. rece que 00 está Mala contento con sus tropas, ío . ,, Mora 3 de marzo de 1811. = Firmadp= NeOqual nos h a desbancado un p c&lt;&gt;.'*El coronel Tra t cheZe.” „ . ;i ha dexado a Coinibra por el temor del noveno cuerpo, que es quien la ocupa actu-ioaente. Continuación de la análisis de las memorias de la clase&gt; de…</t>
  </si>
  <si>
    <t>Tra, Francisco</t>
  </si>
  <si>
    <t>Francisco Tra</t>
  </si>
  <si>
    <t>ario y sacristán, 8. Los veci­ nos de la villa de S. Marcos , 8 y 4 rs.— Villa de la Trinidad. D. Ge­ rónimo Hernández, 6. D. Bernardo Despalier, 30. D. Francisco Tra­ vieso, 6. Varios individuos, 146. Los vecinos»de la había del Espí­ ritu Santo , 105 y 6 rs. — Nacogdoches; ¡Comandante el. teniente Don José María Guadiana, 6…</t>
  </si>
  <si>
    <t>Trant</t>
  </si>
  <si>
    <t>chas y fuertes posiciones le facilitaban y masiado tarde la imposibilidad en que se encontra­ presentaban los medios de detener al enem'go, aun ba el coronel Trant para llegar á tiempo á Saidao, con una corta porción de las fuerzas que man­ y para destacar de sus tropas una fuerza capaz de daba ; detener en su marcha al maris…</t>
  </si>
  <si>
    <t>rvar que la caballería fran­ una batalla no omitían nada para tener reunidas cesa era tres veces mas numerosa que la nuestra; y todas sus fuerzas. El coronel Trant no tenia mas asi un ataque dado por lord Wellington hubiera encargo que reconocer el pais como ge fe-de parti­ expuesto el exército aliado á una destrucción total.…</t>
  </si>
  <si>
    <t>o camino que vino Mas- ,, S. M. está como ayer." sena , y como eran soperiores en número á las que El bilí de la regencia se leyó ayer por tercera el coronel Trant mandaba en Coimbra, ha tenido vez en la cámara de los pares. Mañana pasará á la este que evacuar la plaza y pasar el Vouga, di­ de los comunes, y et viernes próxim…</t>
  </si>
  <si>
    <t>e están muy cerca los exércicos, y se operaba que hubiese alguna acción mayor. Del 13. Por cartas de Coimbra de principios de este mes sabemos que el coronel Trant habia mandado que todos los habitantes de Mi­ randa , de Corvo , Lousan y pueblos inmediatos h cia el Alva, se re­ fugiasen á Coimbra con todos sus efectos, tanto …</t>
  </si>
  <si>
    <t>nviaba sus b gages por el puente cié M -rc.da, coligió lord Weílington, que el enemiga no se atrevía . á desude, r tro­ pas para forzar el cuerpo del coronel Trant que se hallaba apesta lo en Coimbra , y á consecuencia hizo marchar um d visión de su exército por las montanas sobre el flanco izqui rio del enemigo , hácia el ún…</t>
  </si>
  <si>
    <t>e en Condeixa j y obscrv» que entre tanto marchaban adelante sus b gnges por el camino del pues:te de Murceíla : colegí de esta clrcur stancia que el coronel Trant no había dexado á Coimbra, y que el enemigo btbicndose visto muy apurado y perseguido de cerca en su retirada, no hnjbia podido destacar tropes para forzar ó desal…</t>
  </si>
  <si>
    <t>estaba en Alfayates. La derecha del exército aliado estaba enfrente de Sabugal, y su izquierda en el puente de Ferrerias. Las milicias del mando del coronel Trant, y Wilsoa pasaron el Coa debaxo de Almeyda con orden de amenazar la comunicación de aquella plaza con Ciudad-Rodrigo y el exército enemigó. El rio Coa es muy difíci…</t>
  </si>
  <si>
    <t>Tranzo, Miguel</t>
  </si>
  <si>
    <t>Miguel Tranzo</t>
  </si>
  <si>
    <t>97 : Tarragona 2a de diciembre. Parte del mar ¿¿cal de campo D. Miguel Tranzo al general en gefe. Excmo. Sr,: u Habiendo dispuesto desde Yinaige el brigadier D. Pablo Mcsiua saliesen en la noche del 19 del corriente 40 caba­ llos con el objeto de caer en la madrugada del 20 sobre las B</t>
  </si>
  <si>
    <t>Traut</t>
  </si>
  <si>
    <t>te de Portugal ha creado á lord Welli gton con­ de de Yíraieire; al general Beresford conde de Tronerso ; ai general Silveyra conde de Amarante; y al coronel Traut, giaa-cruz do la orden de la Espada. Al título de conde de Vbraieiro iba agregada una pensión considerable, que no ha aceptado el general ingles. En dias pasados s…</t>
  </si>
  <si>
    <t>Travieso, Vicente</t>
  </si>
  <si>
    <t>Vicente Travieso</t>
  </si>
  <si>
    <t>nacio Pcrez, 200. D. Francisco Montes, 50. D. Manuel Barrera, 40. D. Francisco de los Santos, 30. D. Fernando Baramendi, 30. D. Clemente Delgado, 10. D. Vicente Travieso, 10. I). Francisco de Arocha, 9. D. José Antonio de la G irza, 10. D. Víctor Blanco, 20. D. Apolinar de Marrnela, 40. D. Be nito Antón, ,20, D. Francisco Per…</t>
  </si>
  <si>
    <t>Treceno, Antonio</t>
  </si>
  <si>
    <t>Antonio Treceno</t>
  </si>
  <si>
    <t>anciscano, resi­ Dona María Francisca Fernandez de Cór­ dente en Villaviciosa , por...................... 2200 doba, ex-agustina recoleta del conven­ D. Antonio Treceno, id., residente en to de ía Encarnación de.esta corte, por 2200 Almoguera, por.............................. 2200 Doña Rita de Adan Martínez, id., por... 2200…</t>
  </si>
  <si>
    <t>Trejn, Antonio</t>
  </si>
  <si>
    <t>Antonio Trejn</t>
  </si>
  <si>
    <t>sargento primero, á subte­ P^ra el de FueocemiPao, vacante por ascenso niente de la octava compañía. de D. Jasel Celedonio de Cea al de Valhermoso, k D. Antonio Trejn. Noveno batallón. Y para el de S. Gines de Gundalaxara , vacan­ D. Manuel Zavala Especulo, teniente, á capi­ te por ascenso de D. Ignacio Ramón Velasco ai tán d…</t>
  </si>
  <si>
    <t>Tresch</t>
  </si>
  <si>
    <t>nester pagarles y dotarles decente­ munmente elogios, dirigidos por el gobierno fran­ mente. cés á su gefe. Sin embarco , ¡ oxarlá que no merecie­ El doctor Tresch )W acaba de publicar una obra ra tanto estas alahanz si P-. ro quando. se considera mui importante en dos volúmenes , intitulada Mo­ que el gobierno francés no pid…</t>
  </si>
  <si>
    <t>Treviño, Luis Antonio</t>
  </si>
  <si>
    <t>Luis Antonio Treviño</t>
  </si>
  <si>
    <t>Ruiz de Celada......................... » 34000 D. Diego Giraldo............................. 3348 25 D. J o«ef Ignacio de McoÜia........... 9538 21 D. Luis Antonio Treviño*............... 8340 8 La duques, de M hon....*.............. 50799 33 • D. Josef Lacrorts............ ............... »555é 5 D- Juan Vázquez Gcvallos...…</t>
  </si>
  <si>
    <t>Trigo, JuItera</t>
  </si>
  <si>
    <t>JuItera Trigo</t>
  </si>
  <si>
    <t>Francisco Serrano, y da Jos oficiales y tropa del escuadrón de húsares de; Castilla* como la ote! comandarte de guer­ rillas patrióticas de Andalucía D. JuItera Trigo, que viendo á isi salida de Ayamonte la falta cíe-buques para su transporte , rué mani­ festaron Ies permitiese venir per tierra á este destino, y concedién­ do…</t>
  </si>
  <si>
    <t>Trigo, Julián</t>
  </si>
  <si>
    <t>Julián Trigo</t>
  </si>
  <si>
    <t>ado infinidad de piezas , la ma­ yor parte asestadas contra la ciudad. E i la Puebla de Coria entraron anoche 100 patriotas montados de la partida de D. Julián Trigo, y se llevaron algunos caballos y dispersos: la columna móvil de Sanlucar la mayor tiene orden de perseguirlos. Antes de ayer á fes 6 de la mañana se junto el ay…</t>
  </si>
  <si>
    <t>» descono¡;idos. Antes de ayer salieron 500 infantes pata Moron; i-yer 190 para Toe na , y 60 dragones á San aca*- la mayor i peí egu r la par ida de D. Julián Trigo , quu es una de las que les dan ra*s que hacer en el día. H ty han salino al cam no de Uire?a como 100 u fantes en bu ca d-* ana gueriilía nuestra, qu* *e ha pre…</t>
  </si>
  <si>
    <t>Triva</t>
  </si>
  <si>
    <t>811. dos Generales de infantería; el teniente general con­ de Wrede, general de caballería, y el teniente Ademas de los objetos de que debe tratar la general Triva, general de artillería. El comandan­ dieta , y de que hemos hablado ya , debe también te general de Munich barón de Ow, y los dos pensar en formar reglamentos gene…</t>
  </si>
  <si>
    <t>Trivino, Domingo</t>
  </si>
  <si>
    <t>Domingo Trivino</t>
  </si>
  <si>
    <t>para conservar la anidad, el orden y la de la décima compañía. paz en la iglesia de Oios. Quinto batallón. „ Eo virtud de esto, y conformándonos con D. Domingo Trivino, sargento primero, á subte­ los principios del derecho público, que pertenecen niente de la décima compañía. á la esencia de ia religión, y que pueden impedir …</t>
  </si>
  <si>
    <t>TrlerAhabal</t>
  </si>
  <si>
    <t>idió la suerte de la campaf¡ 3 ? y contribuyó il triunfo ?:o me?,t»s' eficazmente que la brillante conducía de sus tro­ x’ pas durante el combate.*El general TrlerAhabal, peleando por elección suya en tais guerrillas y dando heroicos cxcmplcs ds intrepidez y de arrojo , ha manifestado que si la victoria suele ser un don capri…</t>
  </si>
  <si>
    <t>Trompeta, Diego</t>
  </si>
  <si>
    <t>Diego Trompeta</t>
  </si>
  <si>
    <t>estribo á estribo, y 14 pies de ancho. Se empezará á pasar por é, á principios del mes Sexto batallón. que viene. De de el mes de ab.il se han colo­ D. Diego Trompeta, sargento primero, á sub­ cado 17 hiladas de sillares en el primer entubía- teniente de la tercera compañía, e:i reemplazo de miento del arco de triunfo, y este…</t>
  </si>
  <si>
    <t>Trotíaga, Pascual</t>
  </si>
  <si>
    <t>Pascual Trotíaga</t>
  </si>
  <si>
    <t>nedo........... ............ 27254 26 D. Livinio Stuyek y Vandergoten. 1173 8f D. Andrés de Abrisqneta.............. D. Raimundo Ruiz de Alegría..... D. Pascual Trotíaga...................... . 33°45 iS 4188 238 [j D. Martin de Vergara.................... 13076 8f D. Francisco Xavier Porto.......... D. Joaquín de Cordero y Va…</t>
  </si>
  <si>
    <t>Trr, Joé María</t>
  </si>
  <si>
    <t>Joé María Trr</t>
  </si>
  <si>
    <t>488</t>
  </si>
  <si>
    <t>gnos de la-atención de V. S., y particu­ larmente a! coronel D. Daniel O Sollivan , gefe de la vanguardia . igual­ mente que á su segundo el corone-5 D. Joé María Trr jjos, á quienes recomiendo. — Dios guarde i V. S muchos años. Manresa &amp;c. — Pedro 'Sarsfield. — Sr marques dé Cnmpovírde.” Sevilla 1.° de mayo. Ayer p &lt;r la t?r…</t>
  </si>
  <si>
    <t>Truxillo, Juan</t>
  </si>
  <si>
    <t>Juan Truxillo</t>
  </si>
  <si>
    <t>a, id. , 5. D. Pedro Gil., teniente, 10. D. Fran­ cisco Argaez, id., 10. D. Roque Gil, id., 6. D. José .Bello , id. 10. D. Ga­ briel Santos, id., 10. D. Juan Truxillo , subteniente, 50. MT. José María Ibarra, id, ¿ ó.^D.v^hiyiteo Ortega , id: 10. * D. Francisco Cicero, id/, 25. DVCÍemente Trdxillo,/id., ágj,*eg(ado, teniente,…</t>
  </si>
  <si>
    <t>Tsvhertsuwow</t>
  </si>
  <si>
    <t>Ndm. 3. 9 GAZETA DE MADRID DEL JUEVES 3 DE ENERO DE 1S11. ^ J\rTURQUIA. plaza de Bregowo, cuya guarnición intentó salvarse en VViddinjpero el coronel Tsvhertsuwow , cuvo Constantinopía x 1 de octubre de 18 ro. cuerpo estaba apostado en el camino de Widdín, El b.ixá de Egipto se ha apoderado de la pro­ rechazó á los enemigos, …</t>
  </si>
  <si>
    <t>Tu, Diego</t>
  </si>
  <si>
    <t>Diego Tu</t>
  </si>
  <si>
    <t>vanguardia; el comandante de tira­ dores de Asturias D Fernando Miranda ; los oficiales heridas D. Mi­ guel Prieto, D. Blas Bermejo, D. José Franco, D. Diego Tu ñon, D. José Montoto, que no obstante su herida continuó mandando su com­ pañía hasta que los gefes le obligaron á retirarse , y D. Cayetano Suarez de ía Vega , que q…</t>
  </si>
  <si>
    <t>Tubores, Ignacio</t>
  </si>
  <si>
    <t>Ignacio Tubores</t>
  </si>
  <si>
    <t>, 35 y 5 rs. D. Santiago Parodi, 30. D. Domingo Esiaracbe , 60. D. Domingo íJarcia , 45 y 3 rs. D. Francisco Grana, 52 y 2 D. Pedro "Rumen , 183 y 3. D. Ignacio Tubores , 30. D. Juan. Rosoli, 40. D. Francisco Carreras, 256 y 4. D, José Xavier de Aranzarnendi , 203 y 6. D. José Geipi , 38. D. Juan Soler, 30. Francisco Aguerra,…</t>
  </si>
  <si>
    <t>Tuero, Francisco Alfonso</t>
  </si>
  <si>
    <t>Francisco Alfonso Tuero</t>
  </si>
  <si>
    <t>ncia de Cataluña ; para oidores á D. José Fernandez de Córdova, y D. Isidro Lasáuca, ministros de la misma audiencia , d D. Ildefonso Crespo Manj&amp;n y D. Francisco Alfonso Tuero , el pri­ mero ministro de la chancillería de Granada , y el segundo elido an­ teriormente para la misma; y por fiscal d D. Manuel Gatiercz Sustillo ,…</t>
  </si>
  <si>
    <t>Tuna, Anselmo</t>
  </si>
  <si>
    <t>Anselmo Tuna</t>
  </si>
  <si>
    <t>D. Ignacio Barros, D. José 1^ í~lo T-oloiTW^ - Antonio Sonto, D. Juan Garmon , D. Juan García y F ~ o*uk***£ v/wj Xiraenez ; subtenencia de bandera á D. Anselmo Tuna. CADIZ : EN LA IMPRENTA REAL</t>
  </si>
  <si>
    <t>Tunero, SCárses</t>
  </si>
  <si>
    <t>SCárses Tunero</t>
  </si>
  <si>
    <t>A REGENCIA DE ESPAÑA É INDIAS DEL MARTES 17 DE DICIEMBRE DE 1811.’ ESPAÑA. PARTIDAS PATRIOTICAS DE GUERRILLA. '' MI 22 da ageste 88 acero» el capitaa D. SCárses Tunero con 6 saldarlos á las saaeámcloaas de Paitada, da donde sa!i«.toa á parseguirlos 40 é 50 húsares; mus x&amp;forcaáes le« aues-tres coa 20 ham­ bres'-que e^vió el C…</t>
  </si>
  <si>
    <t>Tunjel</t>
  </si>
  <si>
    <t>odos, y puedan volverse magistrados de esta capital un exequátur, por el antes de esta ¿poca, aprovechándose de la genero­ qae se inanda reconocer al consejero Tunjel en ca­ sidad de su Soberano. lidad de cónsul general de S. M. el Emperador de las Rusias en esta ciudad. GRAN BRETAÑA. S. M. ha concedido permiso á la dirección…</t>
  </si>
  <si>
    <t>Túpper, Pedro</t>
  </si>
  <si>
    <t>Pedro Túpper</t>
  </si>
  <si>
    <t>apatos, rae * ias y camisas, hecho por el generoso gobiemo, ingles para la di ­ visión del brigadier D. Juan Martin, el Empecinado. .Posteriormen­ te D. Pedro Túpper, cónsul de S. M. B. en la ciudad de Yaíéncia, ha conducido i este puerto otro donativo todavía mas considerable del mismo gobierno, como una muestra de sus verda…</t>
  </si>
  <si>
    <t>Tur, Manad</t>
  </si>
  <si>
    <t>Manad Tur</t>
  </si>
  <si>
    <t>manes, cadete, dyl mismo cmr%\o.En (*\ cscuádroa de cazadores én Ubriquc, se ka servido c!. Osa* scjo d«: R¿*gdxcia conferir compaña* á los capilar? D. Manad Tur­ re, del regimiento da c^baliería «§ M-srfea , D. M-'^aa F*i?i»nricz, ¿el enci&amp;tguido escuadro® de lanceros de Utrera, y D. J^.qtFn F-useca, nrp:c--i.s,éo al do Cola…</t>
  </si>
  <si>
    <t>Turquía, Joa</t>
  </si>
  <si>
    <t>Joa Turquía</t>
  </si>
  <si>
    <t>de funciones en el consejo , y ‘ son reemplazados en " edad de ocho á catorce años de las fronteras de la aquellos cargos por el cbnsfcjéfo de Estado D. Joa­ Turquía; han hecho una travesía de3f° leguas , y quín Leandro Solís; el inferidenté de Granada Don se han dirigido á Lion, donde uno solo se ha que­ Fernando Osorno,' y …</t>
  </si>
  <si>
    <t>Tutsh</t>
  </si>
  <si>
    <t>en la última campan dionales de la Enropa. El general Osterman y el ña, y ha llegado d« grado en grado al de sobte- general Tolstoi, como también el general Tutsh— niente. S. M. I., en recompensa del valor que ha koff, viven retirados en Moskou. El- general Koomanifestado en la última acción de Rudschock » le wing ha dexado e…</t>
  </si>
  <si>
    <t>TXrq</t>
  </si>
  <si>
    <t>omuni­ case á los pueblos un gran número de ejemplares por meció de las .'paitadas. de guerrillas. JLUta ’de ¿os que 'acompañan al reí/ intruso. — El ministro TXrq’.r j^. El irúni^rro-de la Guerra. Duque de Csnapo A’ange. Duque de Coradiña. Corcr^l Dep; c. C r^re, Espá. Coiona. Latid. Lombardo. Con­ de 'de Melit -. Conde de 5…</t>
  </si>
  <si>
    <t>U'lo, Bernardo</t>
  </si>
  <si>
    <t>Bernardo U'lo</t>
  </si>
  <si>
    <t>............... 12 00 drid, residente en Toledo, por........................... 2200 F. X-BUR VAROOS. D. Antonio Fernandez Qucipo, natural y residen­ D. Bernardo U'lo.t. natural del Barco de Valde- te en ídem...................................................... . 2200 01 res , en Galicia, residente en Iolcdo, por.... 2100 D.…</t>
  </si>
  <si>
    <t>U, Joaquín J</t>
  </si>
  <si>
    <t>Joaquín J U</t>
  </si>
  <si>
    <t>s partes que adjun os pasó á manos de V. E., habiendo llegado el navio y faluchos á rada con la guarnición de la torre. — Asi me manda el Exorno. Sr. D. Joaquín J$U k participarlo á V. E., para que tenga k bien tÍ€7&amp;£.o á noti­ cia de S. A. el Consejo de Regencia.” Parte del capitón Eyre del navio ingles M-¡guiñeo, al capitán…</t>
  </si>
  <si>
    <t>Uatalá, Jayaxe</t>
  </si>
  <si>
    <t>Jayaxe Uatalá</t>
  </si>
  <si>
    <t>: por la de Alicante, D. Francisco Miraba!! : por Jia de Alcoy, I&gt;. Joaquin Rico y B'tfaat: por la dé Aldr'a, D. Vi­ cente EXpert: por la de Denla . D. Jayaxe Uatalá : por la de Cas* tellon de la Plana, D. Vicente M daer: por la ds* 8; Felipe, el ba­ rón de Sia. Bhkra : porta de Mordía, el marques de S. Josa : por la de Penís…</t>
  </si>
  <si>
    <t>Udef</t>
  </si>
  <si>
    <t>al del Barco de Valde- te en ídem...................................................... . 2200 01 res , en Galicia, residente en Iolcdo, por.... 2100 D. Udef my&gt; Fernandez de Vargas, natural y resi­ D. Vicente A.enj &gt; , natural de Cislero, en J.eon, dente en Idem....................................................... 2 3CO re…</t>
  </si>
  <si>
    <t>Udom</t>
  </si>
  <si>
    <t>r el día 8, refle­ junto á Rimnick en el Rim, que estaba bastante je que un convol ingles de rjo barcos, escoltados crecido. Su compañero de viage ¿1 general Udom ipor nueve navios de línea, algunas fragatas y cu­ ha tenido la felicidad de salvarsé. Ya habían pasa­ te rs , h;-bia aparejado el mismo día para dirigir su do 11 h…</t>
  </si>
  <si>
    <t>Ufcgó, Bsssiercs</t>
  </si>
  <si>
    <t>Bsssiercs Ufcgó</t>
  </si>
  <si>
    <t>e pruebas, en grado eminente, de v üor. Dia 19. Ei exército ha hecho •movimiento para tomar otra posi­ ción mas conveniente á sus circunstancias. —El mariscal Bsssiercs Ufcgó el 17 á Valencia de-D: Juan. Dia SO. Se asegura que ha retrocedido Bessiereo hasta- Valdorá»: las partidas patrióticas le han incomodad© ¿ su retaguardi…</t>
  </si>
  <si>
    <t>Ugaide, Pedro</t>
  </si>
  <si>
    <t>Pedro Ugaide</t>
  </si>
  <si>
    <t>quietud , y ofreciéndo­ les protección- y amparo es neinbzo del $r. vírey. Mientras paraban estas cosas, los curas párrocos de Lolst’a , ba­ chiller D. Pedro Ugaide, y d© Tianchiucl, bachiller D. José Ra­ fael Sánchez Espinosa , ocupaban con la gente de su mande ios pueblos levantados de. Tepehuacan, Tamasa y Xscala. Estes di…</t>
  </si>
  <si>
    <t>Ugar, Félix Ugarte y Doña Brígida</t>
  </si>
  <si>
    <t>Félix Ugarte y Doña Brígida Ugar</t>
  </si>
  <si>
    <t>oaquín Pelaez..................................... 1173.. «i Don Valentía de Ursueguia.............. 4318.-26 La real sociedad económica de esta cor­ D. Félix Ugarte y Doña Brígida Ugar­ te, por mano de D. León de Galarza. 1985..17 te , como herederos de Doña MauueD. Manuel Mancebo.............. .......... ....... 2017.. 8£ l…</t>
  </si>
  <si>
    <t>Ugarriza, Sebastian</t>
  </si>
  <si>
    <t>Sebastian Ugarriza</t>
  </si>
  <si>
    <t>arena que la cubre en toda su extensión, y se arranca de la madre con gran facilidad. D. Juan Miguel de Castañeda, asentista de esta real fábrica , y D. Sebastian Ugarriza, vecino de Lima, han hecho varias diligencias para conocer las calidades de este ni trate con los auxilios que le ha podido franquear el real cuerpo de art…</t>
  </si>
  <si>
    <t>Ugarte</t>
  </si>
  <si>
    <t>arios emisarios ia- Viena 9 de enero. gleses, que han venido en los paquebotes que con­ tinúan ilegando regularmente á la bahía de Got- Dicese que el conde Ugarte será ayo del Prín­ tenburgo, ce han introducido en Noruega con el cipe heredero, y que el conde Wallis, presidente intento de impedir el alistamiento de marineros q…</t>
  </si>
  <si>
    <t>co­ comienda de GrieUtaeds, que hacia parte de la Je lía; acababa de salir de una grave enfermedad. Hesss , con todos sus derechos, renta* y demas El conde Ugarte , gran canciller de Bohemia y dependencias. de Auitria, y el conde de Bcllegarde, presidente S. M. concede á estos bienes todos los dere­ del consejo de Guerra , fu…</t>
  </si>
  <si>
    <t>Ugarte, Félix</t>
  </si>
  <si>
    <t>Félix Ugarte</t>
  </si>
  <si>
    <t>.......................... ............. &gt; 3í3-a5l D- Josef Lab.rte................... ..................... 2190 D. Faustino González Mingúela , por D. Félix Ugarte , como tutor de Doña mano de D. Juan Ramón García...... 1624..17 Ramona Mota......................................... 2920.. 2 D. Nicolás Blasco de Orozco , por …</t>
  </si>
  <si>
    <t>...................... 14035 6 Doña María Teresa de la Concha.. 1022 2 Doña Antonia Pascual Moreao..... 1201 6 D. Ramun Fernandez de Quiroga. 2593 20 D. Félix Ugarte................. ............ 3301 3 D. Ildefonso Calbacho.................... 1088 D. Cayetano d» la Lana................ X978 33 La archicofradía del Santísimo…</t>
  </si>
  <si>
    <t>Ugarti</t>
  </si>
  <si>
    <t>ía venido al qnar- mayoría del Príncipe heredero su hijo, y á nom­ tei general ruso; pues no han salido de Constan- brar su servidumbre. Dicen que el conde Ugarti tiuopia oí el reis-tffcndi, que es un persooage de será su mayordomo mayor, y que la grande can­ la mayor gerarquía del imperio otomano, ni el mi­ cillería, que aho…</t>
  </si>
  <si>
    <t>Ugolino</t>
  </si>
  <si>
    <t>rencia en 126'}. traductores que en su lengua se conocen. Véese'esBanctro Litini, uno de los hombres mas sabios’de to principalmente en el pasage del conde Ugolino su siglo, fue su maestro. V¡óse pronto complicado y en el de Francisco de Rimini. La baxada al oc­ en las turbulencias de su patria , de donde fue des­ tavo círcul…</t>
  </si>
  <si>
    <t>Uhagon, Guillermo</t>
  </si>
  <si>
    <t>Guillermo Uhagon</t>
  </si>
  <si>
    <t>.............. 3068 Doña Rosa de Siman Pontero...... 810 D. Ramón de Arana....................... 20559 8f Doña Juana de Muga.................... 900 D. Guillermo Uhagon.................... 6coo D. Juan Hourco............................. 1800 D. Juan Hourco.............................. 20100 Sor María de la Asuacion Moreno.…</t>
  </si>
  <si>
    <t>Uhagon, Luis Guiltelmo</t>
  </si>
  <si>
    <t>Luis Guiltelmo Uhagon</t>
  </si>
  <si>
    <t>,.............. 207J..25I Arruta...................................................... 90000 D. Cayetano Merchi, por mano de Rs. vn...- 1.574387.'. 5 D. Luis Guiltelmo Uhagon.................. 3971 D. Joaquin de Orue, por mano de Don Luis Mattinez de Novales......... ......... 4873..17 Que á una suma importan un millón quinie…</t>
  </si>
  <si>
    <t>Uibna</t>
  </si>
  <si>
    <t>a 150®. Lo mismo de las provincias han sorteado ya los qu _&gt; han d¿ sucede respecto de los quadros, medallas y otras salir , y ha tocado la suerte al conde Uibna, pre­ colecciones que había en los conventos, y se re­ sidente de la comisión; al príncipe de Saint , vice­ unirán ahora en un edificio á propósito para este preside…</t>
  </si>
  <si>
    <t>Úiialgo</t>
  </si>
  <si>
    <t>en y avi­ sasen de i 'S gavillas que habian reunido los cabecillas G dinez $ A'atorre y Huidrobo, llamados este inspector, y los otros cap-'tañes del Cura Úiialgo; hizo que se cantase en acción de gracias eí Te D-um , y dió parte ce lo acaecido al señor virey y al gobierno de Guadal., xara. A I-4 madrugada del dia viendo que …</t>
  </si>
  <si>
    <t>Uíloa, Filioe</t>
  </si>
  <si>
    <t>Filioe Uíloa</t>
  </si>
  <si>
    <t>del GaÍoso, D. Francisco Bnrmudez, D. Angel Fraile, D. Juan AlJaraira, í. Fa-no' Varela, D. Toma?/ Rea!, D. Pedro Benito Gárrulo, Don Faínian Blanco, D. Filioe Uíloa, D. Leandro García, D. Antonio G.:.t. ? Herraros y D. Francisco Lasa; subtenencia de bandera k i). P tal Mido®. Ea el regimiento de infantería de Toledo ; compañ…</t>
  </si>
  <si>
    <t>Uiriñones, Juan Antonio</t>
  </si>
  <si>
    <t>Juan Antonio Uiriñones</t>
  </si>
  <si>
    <t>n Gregorio Cespedes, 32 y 4 rs. Leonor Bul ron , 50. Los ge íes , oficiales v tropa del regimiento de caballería Ue mi­ licias disciplinadas , 747 4. D. Juan Antonio Uiriñones , 60. Juan Domingo' Ra­ mos , 25. I). José Mayo , lOí). Antonio Castre-, 10. Gerardo González, 4. Ni­ colás Ruiz, 3. Nicolás de Rite ra, 3. Id. José An…</t>
  </si>
  <si>
    <t>Ujaravi, Tomasa</t>
  </si>
  <si>
    <t>Tomasa Ujaravi</t>
  </si>
  <si>
    <t>smerado en darle testimonio de la cribanía del cargo de D. Antonio Fernandez, por parte alegría mas pura, colmándole de aplausos y de vi* de su viuda Doña Tomasa Ujaravi una renuncia hecha vas: en todos ellos las autoridades, al frente de á su favor por D. Rafael y Doña Inés de León , veci­ los vecinos, han salido i tributar …</t>
  </si>
  <si>
    <t>Ulíoa, Luis</t>
  </si>
  <si>
    <t>Luis Ulíoa</t>
  </si>
  <si>
    <t>en ti servicio, resultando de dicha acción Juan de la Paz , herido.’* — La junta superior déla Mancha remite el parte siguiente del teniente corone! D. Luis Ulíoa, que manda las compa­ ñías Manchegas. —f&lt; Excmo. Sr. Noticioso el 4 del corrien­ te de que había salido de Infantes la columna volante ene­ miga y dirigiéndose al B…</t>
  </si>
  <si>
    <t>Ulle, José</t>
  </si>
  <si>
    <t>José Ulle</t>
  </si>
  <si>
    <t>ías E'lizalde, 4000. E¡ cirujano D. José de Avi­ la , 200. Ei conde de S. Isidro , 500. D. Antonio Bedoya , 102. 1). Manuel García de ia Plata, 1000. D. José Ulle, 10J. E! conde de Monteblanco , su espesa, v su hijo el conde de Montemar, 4000. Real cuerpo de artillería. El coronel D Joaquín de ia Pezuela, 300. Su esposa Doña …</t>
  </si>
  <si>
    <t>Ulloa</t>
  </si>
  <si>
    <t>ones.)” El comandante D. Francisco Abad ( Chalaco ) avisa también al expresado capitán general, que después de haber escaramuceado, de acuerdo con el comandante Ulloa , por la retaguardia de la colum­ na enemiga, que se dirigió ¿ Alcaraz en 25 de agosto, trató de ata­ car un convoy en el camino real de Andalucía á Madrid , no…</t>
  </si>
  <si>
    <t>Ulzmrun</t>
  </si>
  <si>
    <t>1013 sor resultas de los sucesos del 7 de junio próximo pasado, en que el comandante Ulzmrun atacó antes de amanecer la guardia del puen­ te del Paso, mató é hirió algiinos enemigos, quemó muchas cargas de algodón, y se llevó otras 150 con algunos prisioneros , los'guardas y el caudal de la aduana perteneciente á Francia. Tam…</t>
  </si>
  <si>
    <t>Un, Pedro</t>
  </si>
  <si>
    <t>Pedro Un</t>
  </si>
  <si>
    <t>lla , y á po­ Otra en Viñas nuevas de 6 niente con tierras de Don cuerdas; linda con el rio y Manuel de Torres.............. 3013 $61^6 con huerta de D. Pedro Un c&lt; rtijo nombrado del Bru- Contreras.............................. 1500 18000 juelo, en el mismo término, Un olivar en término de la con 682 cuerdas, 10 cele­ ciudad…</t>
  </si>
  <si>
    <t>Una</t>
  </si>
  <si>
    <t>uarnm fecunditas, plena liberis , tali venia indiget. ( Pumo , lib. 29 , cap. 4. ) La Hoitgue /p de diciembre. En una c^rta escrita desde la China al doctor Una corbeta i- gk-sa de tó c. ñones se estrelló Anderson se dice que quaado llegó a ;qtiel p.T; la ayer á media noche contra las rocas llamadas las noticia del descubrimi…</t>
  </si>
  <si>
    <t>ue IMPERIO FRANCES. asisten á S. M. Dice la nota que quando el Reí se restableció de Ja enfermedad qae tnvo en 1801 París 18 de octubre. exigió de la Reina Una obligación solemne de no S. M. ha dado un decreto en Ambérei, con consentir que este módico le asistiese otra vez en fecha del 30 de setiembre, en que manda que *• cas…</t>
  </si>
  <si>
    <t>Una, Agustín</t>
  </si>
  <si>
    <t>Agustín Una</t>
  </si>
  <si>
    <t>z, vina de Anto­ con la heredad de D. Ra­ nio Rodríguez, y carnioo món de Torres, tierras de que va á la dehesa............ j8o 6960 la capellanía de D. Agustín Una heredad nombrada de Blanco, y olivas de Don Tenteson, término de la Cristóbal Macus................. 660 7920 ciudad de Jaén, su cabida Un olivar en la cuesta de …</t>
  </si>
  <si>
    <t>Uñares, Antonio</t>
  </si>
  <si>
    <t>Antonio Uñares</t>
  </si>
  <si>
    <t>pació tan curto; determiné avanzar, mandando á la caballería de la izquierda, que con la compañía de voluntarios europeas, Alas órdenes de su c-pitan D. Antonio Uñares, ocipaba unas U nas tendidas fren­ te del pueblo, que amenazase atacarlo por este lado mientras yo ex­ tendía mi línea sobre la derecha, hádenlo queda columna …</t>
  </si>
  <si>
    <t>Unquite, Ignacio</t>
  </si>
  <si>
    <t>Ignacio Unquite</t>
  </si>
  <si>
    <t>l cabo de voluntarios europeos D. Facundo Anxo* nio de Otero y 12 lanceros, y heridos á los oficiales D. Juan José Echarte, D. Franeisc3 Terricabra , D. Ignacio Unquite, el P. Fr. Aiseímo Ocotor, del orden de S. Francisco, y ^ granaderos. Tarragona 19 de marzo. Ua destacamento que había salido de Ja plaza de Hostalrich el día…</t>
  </si>
  <si>
    <t>Úranga, Don José María</t>
  </si>
  <si>
    <t>Don José María Úranga</t>
  </si>
  <si>
    <t>án Don José Manuel Camacho, 20. Sargentos,-cabos y soldados, 12S6.— iliogrand't.- Capitán D. Ma­ riano Vareta, 100. Teniente Ron Antonio Griego,, 50. Alférez Don José María Úranga, 50. Jd. Don Matías Ximenez, 50. Capellán D. Andrés Ramos , 40. Sargentos, cabos y soldados, 764. — Empica­ dos 7/ particulares. Villa de Monclova.…</t>
  </si>
  <si>
    <t>Urbiaa, Alberto</t>
  </si>
  <si>
    <t>Alberto Urbiaa</t>
  </si>
  <si>
    <t>D. Francisco Lasa; subtenencia de bandera k i). P tal Mido®. Ea el regimiento de infantería de Toledo ; compañías á D. José Cta.5, O. Cirios S-Jdos y D. Alberto Urbiaa; ayudantía á Don Jtaé Mo-renG; tenencias 3 D. José Mosquera, D.B ¿as Feynador, D. José Vui, D. Jcsé Petan, D. Benito (Grabarre, D. José Pruna, id. Fernando Orí…</t>
  </si>
  <si>
    <t>Urquiza, Víctor</t>
  </si>
  <si>
    <t>Víctor Urquiza</t>
  </si>
  <si>
    <t>ando Yara, D. Antonio Barbeira, D. Lorenzo Lema, D. Juan Duran, D. Luis Antonio Freise, D, Julián Alvarez, D. Dirgo Fragoso, Don Vicente María López, D. Víctor Urquiza, D. José Cameiro., Doa Manuel Cid, D. Anselmo Quíroga y D. José Tefi; subtenencia de bandera á D. Miguel Mana Nuñez. En el batallón-de infantería .ligera prime…</t>
  </si>
  <si>
    <t>Urraca</t>
  </si>
  <si>
    <t>r.'— Solo quedaron intactos cuatro sepulcros. Dos reMg’osos comisionados después para reconocer las ruinas, han recogido alg ¡no;í huesos de la reyna Doña Urraca y parte de stn vestí iós ; el cuerpo, que se mantiene incorrupto, de la reyna Deñi B striz, el del rej D. Pe­ dro I que está entero con piel y cabelles, y algunos pe…</t>
  </si>
  <si>
    <t>Urrntia, Tomas</t>
  </si>
  <si>
    <t>Tomas Urrntia</t>
  </si>
  <si>
    <t>3£0 ' Continúan los donativos áfttoor del ez&amp;'tífo Je Cataluña* I). Casimiro de Salvoermt, 300 r-nale.*. P. Juan Antonio Martines Salazn? 100. D. Tomas Urrntia , 2000. D. .Sebastian Martínez Torrecilla , 600. Sres. Yugla, CcHiellet y compañía. , 1G00. D. Sebastian Peñasco , 1000. D. Toma* Fleming, 300. 1&gt;. Domingo Pont y Clos…</t>
  </si>
  <si>
    <t>Urrutia, Ignacio</t>
  </si>
  <si>
    <t>Ignacio Urrutia</t>
  </si>
  <si>
    <t>rdia los capitanes D Bonifacio Tos a y D Bernardo Tello, el ayudante mayor de la Corona D. Juan de UVquidi , los de la columna de granaderos teniente D. Ignacio Urrutia y subteniente D. José Mariano Zavala , el del cuerpo de patriotas de S Luis D. Juan Juárez , los «de dragones de España y México a:fé ez D Ja é María Barfieri…</t>
  </si>
  <si>
    <t>Urrutia, Josef</t>
  </si>
  <si>
    <t>Josef Urrutia</t>
  </si>
  <si>
    <t>eferido Don des Fe , Esperanza , Caridad y Prudencia. Des­ Martin de Elorza, al presbítero ex-regular Don pués del evangelio Mr. Dondi Dal’orologio , obispo Josef Urrutia. de Padna, pronunció la oración fúnebre. Nuestro ministro de Negocios eclesiásticos que­ Al fin de la misa los quatro obispos designadas da encargado del cu…</t>
  </si>
  <si>
    <t>Ursueguia, Valentín</t>
  </si>
  <si>
    <t>Valentín Ursueguia</t>
  </si>
  <si>
    <t>ederas de Do­ D- Santiago Gutiérrez de Ariutero........ 180.. 17 ña María Antonia Ruiz y Urrutia, El convento de religiosas deSanta Clara por mano de D. Valentín Ursueguia. 12837-26 de la villa de CLnpczuelus................. 27°..25f D. Sebastian Otacgui.............................. 6012 D. Juan de Lecanda..................…</t>
  </si>
  <si>
    <t>Utaiiz, Francisco</t>
  </si>
  <si>
    <t>Francisco Utaiiz</t>
  </si>
  <si>
    <t>del honor. En el regimiento de reales guardias Españolas ha conferido el Con­ sejo de Regencia compañías de cazadores á los capitanes de fusile­ ros D. Francisco Utaiiz, y D. Juan Salcedo : compañías de fusile­ ros a los primeros tenientes D. Pedro Perez de Tagle, y D. Ignacio TJLiceta . y al primer ayudante mayor D. Pedro Ag…</t>
  </si>
  <si>
    <t>Utges, Ramón</t>
  </si>
  <si>
    <t>Ramón Utges</t>
  </si>
  <si>
    <t>o á consecuencia de este decreto á la elección de otros dos se­ cretarios del Congreso en la sesión del 28 del mismo mes, han sido elegidos I03 Sres. D. Ramón Utges, diputado propietario por el prin­ cipado de Cataluña, y D. Manuel Antonio García Herreros , dipu­ tado suplente por la provincia de Soria: debiendo todos los dec…</t>
  </si>
  <si>
    <t>Uudecona</t>
  </si>
  <si>
    <t>ue se albergaban en este y ^ tros pueblos , comi-ionó al capAan D. Joaq.. in.Vizcaync , quien en la mafia na dd 31 de enero hico arañar t dadas obras d. Uudecona, y cegrr el f so que circuía el pu b'p&gt;, en térruines de no dax*c ni aun rastro de la fcriificaciun , cogiendioo 5 desertores , y haciendo condu.ir á Pehfscola inas …</t>
  </si>
  <si>
    <t>UUoa, Anselmo</t>
  </si>
  <si>
    <t>Anselmo UUoa</t>
  </si>
  <si>
    <t>l regimiento de ir?fardería, de. H¿berniacompañía a D. Cir­ io? Tlorati ; tenencias i D. Francisco Gramari, D. Felipe Caballero,D. Vicente Mosquera , D. Anselmo UUoa y á D. M .miel Parta; subtenencias á D. José Gonzauz, D. Temas Adran, D. José Gar­ cía, D. Silvestre Ibarra, I). Cayetano Várela, D. José -Cernadas, y á D. Manue…</t>
  </si>
  <si>
    <t>Uwaixff</t>
  </si>
  <si>
    <t>se nado un incendio él 28 de jalio, que ha reducido le dió una escolta de joo caballos. á cenizas una gran parte de e?ta capital, princi­ El teniente general Uwaixff ha pasado por palmente en el quartel, de los Armenios, entre Je- aquí camino de Rusia por Odessa. n¡ y Knm-Kapi. Hace algunos días que ea cada posta entre</t>
  </si>
  <si>
    <t>V'dal, Cipriano</t>
  </si>
  <si>
    <t>Cipriano V'dal</t>
  </si>
  <si>
    <t>al Be caria, v ÍJ. José Y^zquez Yarela; subtenencias á D. Manuel de los Ríos, D. Pío Tona, D. Juan Medrana, D. Cristóbal Sánchez, D. Pssdro Alvares:,.D. Cipriano V'dal., .D. Salvador Mora, D. Tomas de Sindc, D. José fereyra , D. D’ego Blanco y D. José Delgado; subtenencia de bandera á D. José Muñoz. En el batallón de infanter…</t>
  </si>
  <si>
    <t>V, Baltasar Var</t>
  </si>
  <si>
    <t>Baltasar Var V</t>
  </si>
  <si>
    <t>ios , los estos calamidades. ' quales, junto con una onza de oro , han sido la ,,Ln junta ha creído conveniente exponer á recompensa de su v,¡ or. Mi capitán Baltasar Var­ V. E. los motivos de su separación de la España, gas , despreciando .el fuego de vuestras batería'-, y presentarle una relación sucinra de los aconteci­ lu…</t>
  </si>
  <si>
    <t>V, Diego González</t>
  </si>
  <si>
    <t>Diego González V</t>
  </si>
  <si>
    <t>uan Josef Estéoan Yañez. Octavo batallón. Para el de S. Juan Bautista de Ocaña, vacan­ D. Rnfino Ballesteri, subteniente, á teniente te por muerte de D. Diego González V al , á Don de la rercera compañía. Fernando Aferruche. D. Josef Lebuei, sargento primero, á subte­ P^ra el de FueocemiPao, vacante por ascenso niente de la o…</t>
  </si>
  <si>
    <t>V, Francisco Guerrero</t>
  </si>
  <si>
    <t>Francisco Guerrero V</t>
  </si>
  <si>
    <t>tonio Argos, y i. subtenientes á IX San virgo Cazad* y D..Pudro Alonso, sargentos..primeros del aniamo cuerpo, y Á Daa Nicolás Muñoz, D~ Luis Villarr D. Francisco Guerrero V«?lo y D. Pedro Robles , cadetes Alumnos de lu aeadenda militar áel cuarta exército..</t>
  </si>
  <si>
    <t>V, Guillermo Lihes</t>
  </si>
  <si>
    <t>Guillermo Lihes V</t>
  </si>
  <si>
    <t>ms coro -T D. Francisco Moreda, el brigadier D. Pedro Gastelu, y el de ígiuu clase D. Guillermo Lihes&amp;V , que mandaba toda la reserva, se situó en ei pueblo sosteniendo ei ataque de las otras tropas. Los enemigos tuvieron que abandonar su situación, colocándose en otra á su retaguardia, que po</t>
  </si>
  <si>
    <t>V, Juan Alelendez</t>
  </si>
  <si>
    <t>Juan Alelendez V</t>
  </si>
  <si>
    <t>a, establecida por en lo sucesivo. Era esto uqío rn^s'necesario é im­ nuestro decreto de este dia , portante, quanto ia infioita vatiplad de máquinas D. Juan Alelendez V^ldás. empipadas en las artes , en las manufacturas, y ea D. Juan de Pcñalvcr. todas las necesidades de la sociedad presentaba D. Josef Vargas y Ponce. grande…</t>
  </si>
  <si>
    <t>Va'depebro</t>
  </si>
  <si>
    <t>y al medio i ia estaban ya tiroteándose con tas apostadas en la Puebla del Bosque. De todo se iba ciando avisos á la junta Superior territorial y al general Va'depebro. Al anochecer llegaron Ies enemigos á Ubrique. adonde el expresado gener *1 mar* Jó que acudiese el regi mentó provincial compuesto de 400 hombres; pero qu&amp;náo…</t>
  </si>
  <si>
    <t>Va, Ignacio</t>
  </si>
  <si>
    <t>Ignacio Va</t>
  </si>
  <si>
    <t>e de&amp;de k Puebla de Ssnabrú con focha de 31 de osario último al general en ge ib que habiendo dad o sus instrucciones a? teniente coronel ¿eBo aveate D. Ignacio Va­ lle , comandante interino de ios cuadros de Cesada, p,ua que pasan­ do el fisia , tratase de socprvheuvkr 2 los ene*;figos en les puñetes oa« ocupaban; lo executó…</t>
  </si>
  <si>
    <t>Vafdcs, Don Cayetano</t>
  </si>
  <si>
    <t>Don Cayetano Vafdcs</t>
  </si>
  <si>
    <t>nafejr y pensando uros y otros tan solo en el fia que era ccmun k ambos. Cuando así se obraba en toda la-extensión del rio Santi Petri, el te­ niente general Don Cayetano- Vafdcs habh hecho desplegar las fuer­ zas sutiles de la parte interior áe bahías en una* línea ás ataque so­ bre el Troca tero , mantel ié:?dr?se así const…</t>
  </si>
  <si>
    <t>Vago, Manuel</t>
  </si>
  <si>
    <t>Manuel Vago</t>
  </si>
  <si>
    <t>Martínez Caveto y D. Jo3é Mana Arizala; te­ nencias á D. Blas María Sola, D. Jo?é Carrasco, D. Nmroírío Cor­ vino, D. Biitoiomé Wüitt, D. José Wüitt, D. Manuel Vago, Don Simón d&amp; la Greta, D. Ramón Lanctoy, D. José Andalo, D. José García, D. Francisco Gómez, B. Antonio Díaz, D. Juan Sánchez y D. Gregorio Vázquez; y subtenenci…</t>
  </si>
  <si>
    <t>Vaí</t>
  </si>
  <si>
    <t>421</t>
  </si>
  <si>
    <t>aliento en los patriotas. Gausin l.° de abril. Sumario de los sureso? ocurrido? en la serrama de Honda durante el mes de marzo de 181.1. Luepo que e! general Vaí:ienebro envió las partidas de tropa regla­ da de su mando á reunirse con el exército que salió de Cádiz el 16 de febrero, dió órdenes á los patriotas para que ocupas…</t>
  </si>
  <si>
    <t>Vaibuena, Isidro</t>
  </si>
  <si>
    <t>Isidro Vaibuena</t>
  </si>
  <si>
    <t>niente D. Manuel Mueres, y á los sargentos Cortina y 0.rsi en el d.- Rivadts Ai, al subteniente D. José de Fuente, y á sus ayudantes I) Runon Gdines, D. Isidro Vaibuena, capitán de tiradores, y D. J mé Dorado. CÁDIZ ; EN LA IMPRENTA REAL.</t>
  </si>
  <si>
    <t>Vaícarcsl, Rafael</t>
  </si>
  <si>
    <t>Rafael Vaícarcsl</t>
  </si>
  <si>
    <t>Miguel de Sentmanat: idem de fusileros á D. Juan de h Chausee, alférez de fragata retirado ce-la reai armada, D. Juan de Cortes, guardia de Corps, y D. Rafael Vaícarcsl, cadete del propio cuerpo de guardias Walonas. Igualmente se ha servido conferir el regimiento de dragones de! Rey al coronel D. José Lanzarote, capitán de la…</t>
  </si>
  <si>
    <t>Vaiderrama, Leandro Sainz</t>
  </si>
  <si>
    <t>Leandro Sainz Vaiderrama</t>
  </si>
  <si>
    <t>en pasta. —El Azote de tunos, holgazanes y vagamundos: obra utilúima v va­ D. Francisco Pérez. dosa, en Ja quai se descubren los engaños y fraudes de D. Leandro Sainz Vaiderrama. los que corren ej inundo i costa agena; traducido d:l Subtenientes. toscano, tercera impresión: un tomo en 8.° en pasta, 7 rs.C=Lícito recreo casero…</t>
  </si>
  <si>
    <t>Vaidés, Juan</t>
  </si>
  <si>
    <t>Juan Vaidés</t>
  </si>
  <si>
    <t>s . 300. X). Miguel do Mendizabal, 500. D. Francisco Lerda de Tejada, 1000. ÍX Juan Bautista Cheirasoo y Vico, ÍÜOÍL D. Santiago José de Tenar ,'500. D. Juan Vaidés 400. D. Fiaticúsco Jert.'s , 200. I). Miguel Mateu, 2000 D. José Balboa, 40. D. José Puyade , 100. D. Tomas SoW y Molins , 100. D. Santiago Castañete», 500. D. Pe…</t>
  </si>
  <si>
    <t>Vaidés, Juan Melendez</t>
  </si>
  <si>
    <t>Juan Melendez Vaidés</t>
  </si>
  <si>
    <t>a los sugetos siguientes :&gt;'■ plenipotenciario de S. M el Rei de Suecia, D. Leandro Fernandez Moratin. - El barón de Robcek , cabiHero de la real or­ D. Juan Melendez Vaidés. b : r den de la Espada , y el barón de Jock , oficial d&gt;1 D. Vicente González Arnao. regimientp de caballería ligera de la casa dei R5i D, Peoro Estala.…</t>
  </si>
  <si>
    <t>Vaíleteaux</t>
  </si>
  <si>
    <t>a que fueron incautamente tomados en flanco por la sección del brigadier C&amp;stpulpn con los regimientos de O viedo y segundo de Asturias , y muerto el general Vaíleteaux con otros 500 de pérdida entre muertos y heridos , huyendo precipitada­ mente los restantes, le dice al mariscal : “Loa es pan ales han tenido 500 hombres mue…</t>
  </si>
  <si>
    <t>Valcarcel, Rafael</t>
  </si>
  <si>
    <t>Rafael Valcarcel</t>
  </si>
  <si>
    <t>rto id.: segundo ayudante mayor IX José Olaguer Fcliu, segundo teniente del primer batallón de guardias v alonar,: capitán I). Manuel María Vanherk y D. Rafael Valcarcel, alféreces de id.; I). Luía Postillón y D. Juan Dieste , tenientes de voluntarios de la Patria: D. Antonio A malte , subteniente de imperiales de Toledo : D.…</t>
  </si>
  <si>
    <t>ValcnzUela, Miguel</t>
  </si>
  <si>
    <t>Miguel ValcnzUela</t>
  </si>
  <si>
    <t>ndújar, sitio mino fundó D. Pedro Ca­ de la Ropera ; liúda cm olíllejón , y consisten en 7 vas de D. Miguel Cañete, y aranzadas de olivar viejo, y de D. Miguel ValcnzUela.. 60» 7200 2 fanegas de tierra calma; Una hacienda compuesta dé sitio del pozo de las Atara- casa , molino de aceite cotí yuelas, 2§ aranzadas de oli­ bodeg…</t>
  </si>
  <si>
    <t>Valdenebro</t>
  </si>
  <si>
    <t>stepona : aunque perecieron algunos, íes restantes se abrie­ ron paso con mayor daño de los enemigos, y unidos á otras partidas baxo la dirección del general Valdenebro, cubrieron la entrada de la Sierra por Casares. Los enemigos de rechazo Laxaron á S. Roque , en donde saquearon é hicieron lo que acostumbran, volviéndose la …</t>
  </si>
  <si>
    <t>s obuse3, matando 5 franceses del primer tiro. Según ioa entrando el Júi, iban llegando al sonido de loa caracoles varias cuadrillas de patriotas. El general Valdenebro ¿aba las disposiciones convenientes para cubrir el camino de Ron­ da. ícfo 'zan ío !cs puncos donde rra mayor el peligro &gt; y les enemigos r_o y uiiíjon hacer …</t>
  </si>
  <si>
    <t>Valdenebro, Serrano</t>
  </si>
  <si>
    <t>Serrano Valdenebro</t>
  </si>
  <si>
    <t>urrido en la serranía de Ronda varios encuentros entre los patriotas y las trepas francesas. So­ bre varios de ellos se ha publicado una relación del general Serrano Valdenebro, que en sustancia dice lo siguiente: ÉCLa llegada á Málaga del general Sebastiani con una divisian de infantería y caballería , la reunión de partidas…</t>
  </si>
  <si>
    <t>Valderas, Luis</t>
  </si>
  <si>
    <t>Luis Valderas</t>
  </si>
  <si>
    <t>lio. Mariis Carnea, D. Rimon Vázquez y D. Ber­ nabé Fae-zsubtenencias i D. Juan-Castellanos, D. Casimiro Fue­ llo , D. Miguel -DuranD. José Morales, D. Luis Valderas, Don Juan Extrémela , D. José Romas»nta , D. Diego Malfeito, D. Alon­ so Perez, D. Pedro Santiso, D. Manuel Morgade, D. José Moreno García, D. José Gil Malfeito …</t>
  </si>
  <si>
    <t>Valderraba, Pablo</t>
  </si>
  <si>
    <t>Pablo Valderraba</t>
  </si>
  <si>
    <t>a compañía. PRIMER ARTICULO. D. Josef Cabrera está nombrado capitán , Don Había yo creído hasta ahora que nadie tenia fa­ Alonso Utrilla, teniente, y D. Pablo Valderraba- cultad para alterar los títulos de las obras de otros, ua , subteniente. y mucho menos de Jas que ya están consagradas art. v. En e! regimienta de milicia c…</t>
  </si>
  <si>
    <t>Valdés, Agustín</t>
  </si>
  <si>
    <t>Agustín Valdés</t>
  </si>
  <si>
    <t>s soldados en 3 meses 3.arante la- guerra, 54. El regidor D. José Agre iin de Peralta , por el prest de 3 soldados en 3 meses durante la guerra , 81. D. Agustín Valdés , 500.</t>
  </si>
  <si>
    <t>Valdes, Antonio</t>
  </si>
  <si>
    <t>Antonio Valdes</t>
  </si>
  <si>
    <t>presente guerra. El mismo por sobrante del fondo de Pósitos de la villa de los Santos, 1000. — Pueblo del Chepo, El capitán Don Manuel de Avala ; 90. D. Antonio Valdes , 50. José María Carrasquilla, 50. Marcelo de León , 25. Esteban Garibaldo , 25. José del Rosario Moreno , 30, D. Francisco Ximenez , teniente del batallón fix…</t>
  </si>
  <si>
    <t>Valdes, Juan</t>
  </si>
  <si>
    <t>Juan Valdes</t>
  </si>
  <si>
    <t>el del Rio, D. Juan Peña; y ásus ayudances D. Joaquín Castañeda, D. Narciso Salinas, D. Tomas Bermado, D. Francisco Pacheco, y al cabo de voluntarios D. Juan Valdes. El enemigo tuvo de pérdida un gran número de muertos y heridos y 300 prisioneros. Por nuestra parte tuvimos muertos los capitanes Chefino é Inchaústi, el cabo de…</t>
  </si>
  <si>
    <t>Valdes, Pedro</t>
  </si>
  <si>
    <t>Pedro Valdes</t>
  </si>
  <si>
    <t>de -Rumayor , 20. D. Toribio Alcalá , 5. D. Nepomuceno Váleles , 8. D. Juan de Aguirre , 10. D. Cristóbal Domín­ guez , 25. D. Francisco Aguirre, 15. D. Pedro Valdes, 10. Eos veci­ nos pobres de toda la jurisdicción , 186 y 5 rs. D. Francisco Pereyra, 50. D. José Lobo y su yerno, 40. D. Román Letona, 25. D. Teodo­ ro Carrillo…</t>
  </si>
  <si>
    <t>Valdés, Sebastian</t>
  </si>
  <si>
    <t>Sebastian Valdés</t>
  </si>
  <si>
    <t>Juana Diaz , maestra do las torcedoras de la Beneficencia, 1 y 4 rs. D. Francisco Cabrera y Martínez, guatda montarlo , 2, D, Tomas Sánchez , id., 2. D. Sebastian Valdés , id., 3, D. Domingo Menendez de S. Pedro, id. , 2. D. Francisco Ximenez, id. , 2. El maestro carpintero de la factoría , José Rosado, 2.—- Total del dona* t…</t>
  </si>
  <si>
    <t>Valeázar, Josef Rodríguez</t>
  </si>
  <si>
    <t>Josef Rodríguez Valeázar</t>
  </si>
  <si>
    <t>........................................................ 2100 por........................................... ................................... 2200 D. Josef Rodríguez Valeázar, natural de Toledo, D. Francisco Antonio Gallego, natural de Urda, donde reside , por..................................................... 2 loo en l…</t>
  </si>
  <si>
    <t>Valeé</t>
  </si>
  <si>
    <t>s en el de Zurich. Pa­ ñas, por donde solo podijn transitar antes caballe­ ra que se extiendan á aquel los efectos dél regla­ rías y gentes á pie. Él general Valeé, comandante mento de policía, que priva de los derechos de de la artillería, habiendo esperado mucho tiempo vecindario a las personas desarregladas y viciosas, á q…</t>
  </si>
  <si>
    <t>Váleles, Nepomuceno</t>
  </si>
  <si>
    <t>Nepomuceno Váleles</t>
  </si>
  <si>
    <t>Antonio Farias , 50. Don Cristóbal Rodríguez, 5. D. Juan Bautista Chacón, 25. D. Manuel Alcalá, 5..D. Miguel de -Rumayor , 20. D. Toribio Alcalá , 5. D. Nepomuceno Váleles , 8. D. Juan de Aguirre , 10. D. Cristóbal Domín­ guez , 25. D. Francisco Aguirre, 15. D. Pedro Valdes, 10. Eos veci­ nos pobres de toda la jurisdicción , …</t>
  </si>
  <si>
    <t>Valencia, Tomas</t>
  </si>
  <si>
    <t>Tomas Valencia</t>
  </si>
  <si>
    <t>a Sopeña, 25. D. Antonio Andrade , 5. D. Manuel Rodríguez, G. D. José Buelna , 20. D. Xavier Díaz , 25. D. Ignacio León , 25. D. Ignacio Serrano, 10. D. Tomas Valencia, 10. D. José López, 20. D. Ignacio Noriega , 8. D. Manuel Bailo , tesorero interino de la real caxa de Cósala, 120. D. Martin Vázquez Franco, 80. D. Bernabé Es…</t>
  </si>
  <si>
    <t>Valencia, Vicente</t>
  </si>
  <si>
    <t>Vicente Valencia</t>
  </si>
  <si>
    <t>el Smta María, mariscal. D. Mariano Abasólo, mariscal. D. Ignacio Camargo, mariscal. D. Nicolás Zapata, mariscal. Don Francisco I^nragorta, mariscal. D. Vicente Valencia, director de ingenieros.- B Manad Ignacio Solia, intendente de exército, con 22 de servicio. D. Onofre Portugal, brigadier. B, Juan Bautista Cax(I) No sé ha …</t>
  </si>
  <si>
    <t>, capitán general. D. Juan Aldama, teniente genera?. Don Pedro Anuida, mariscal.’ D. Manuel Sasta M-ría,.mariscal. D. Frarrebeo L^nzagorta, mariscal. D. Vicente Valencia, director de 'in­ genieros; D. Ouofré Póitugal, brigadier. D. Juan B iribú Carrasco, 'brigadier. D. José Salios Villa, coíenel. D. Pedro Leen, m^yor de plaza…</t>
  </si>
  <si>
    <t>Valentín</t>
  </si>
  <si>
    <t>arón , 500. Don Ramón Soler, 504. D. Juan Francisco de Vergara , ItíOO. D. Miguel Gomer, 400. D. José JLaíihre, llKX D. Juan García de Falencia, 150. D. Valentín. Tar* ris, 2000. (Sé continuará.) CADIZ t EN LA IMPRENTA REAL.</t>
  </si>
  <si>
    <t>Vales</t>
  </si>
  <si>
    <t>ntes es tan grande que por ahora no pue­ de hacer mención mas qne del coronel Gouré , ge- Efectos públicos. fe del estado mayor d.l quinto cuerpo; el coronel Vales reales..................................... 9° I Lapornte, empleado cerda del señor mariscal du­ Cédulas hipotecariai........................... 94|á} que de Trevi…</t>
  </si>
  <si>
    <t>de dra­ DIA 29 DE OCTUBRE. DB l8ll. gones. EJ 25 llegó el exército á la vista de la ciudad Efectos públicos. de Murviedro y del fuerte de Sagunto. El general Vales reales................... ................... ILbert, á quien se dio la comisión de apoderarse 95 i Cédulas hipotecarias......................... 96 i de la poblac…</t>
  </si>
  <si>
    <t>Vales, Josef Ma</t>
  </si>
  <si>
    <t>Josef Ma Vales</t>
  </si>
  <si>
    <t>OIA ¡¡4 DS ACOSTO 1&gt;* l8ll. por ia constitucioa del estado, REI de las Espa­ ña* y de las Indias. Eftctot- públicos. Vista la solicitud que fea hecho D. Josef Ma­ Vales reales.......................... '............ ría Metcader pidiendo la confirmación de sus títu­ 9 2i Cédulas hipotecarias............... .:...... 9AÍ los de…</t>
  </si>
  <si>
    <t>Valez, Gabriel</t>
  </si>
  <si>
    <t>Gabriel Valez</t>
  </si>
  <si>
    <t>Valentín Fran­ Sin número. Quatro caxones introducidos cés, con libros en papel. con otros dos mas en junio de 1808 con guia Un serijo, con rótulo á D. Gabriel Valez, de Victoria, de tránsito á Málaga, para Don con libros. Juan Rubio y Torres, los quales deben conte­ Un paquete, con rótulo á Castillo y So­ ner quincalla, y su…</t>
  </si>
  <si>
    <t>Valiarino, Antonio</t>
  </si>
  <si>
    <t>Antonio Valiarino</t>
  </si>
  <si>
    <t>Lobera, 400. D. José Solernou, 200. D. J. L. F., 150. D. José Ignacio Inciartc, 100. D. Luís de Córdoba, 100. Sres. Viuda de Roberts y compañía, 500. D. Antonio Valiarino, 1000. .cu marques de Béigida; en una letra sobre Valencia, 1000. Marques de Camarasa , lOOO. I). G. Z., 120. D, Juan Bautista Tamarit, 200. Duque del Infan…</t>
  </si>
  <si>
    <t>Valiente, Ramón</t>
  </si>
  <si>
    <t>Ramón Valiente</t>
  </si>
  <si>
    <t>o, 300. D. Manuel de Hebia, 100. D. Ramón de Náxera* 300. D. Francisco Sánchez Tosar, 400. Fr. D. Francisco de Paula Madrigal, por sí y por otro, 40. D. Ramón Valiente, 1200. Un emigrado,! 20. D. Santiago de Aldama, 610. Una emigrada , natural de'Madrid , 80. Doña María Püeyo , 160. Uria patrio­ ta, 200. D. R. B;. D., 590. Di…</t>
  </si>
  <si>
    <t>Valiente, Roque</t>
  </si>
  <si>
    <t>Roque Valiente</t>
  </si>
  <si>
    <t>iega, con destino á la división del mi-pulo del general Balles­ teros ; cinco caxones con 50 vestuarios para tropa montada, igual-, mente donativq de D. Roque Valiente; 63 caxones con zapatos, como donativo colectado por el real, tribunal del consulado de Mé­ xico ; y un tercio con 150 pares tdq zapatos que envía de do­ nativ…</t>
  </si>
  <si>
    <t>Valladares, Blas</t>
  </si>
  <si>
    <t>Blas Valladares</t>
  </si>
  <si>
    <t>te la guerra , 500. El tesorero D. Francisco de Paula Hornillos, en cada mes , 15. El oficial mayor D. Manuel Ortiz , en cada un año , 80. El segundo D. Blas Valladares, en cada mes , 5. El tercero D. Gerónimo Medina . 30. El quai'to D. Juan de Dios Centeno , en cada mes, 2. El quinto D. José María Echanove, 12 y 4 rs. El ofi…</t>
  </si>
  <si>
    <t>Valle, Francisco de Paula</t>
  </si>
  <si>
    <t>Francisco de Paula Valle</t>
  </si>
  <si>
    <t>ecibieron el señor D. Vicente Cerrato. coronel y el primer gefe de batallón D. Juan de Tenientes. Ortega , y estos las entregaron á los dos abandera­ D. Francisco de Paula Valle. dos , quienes las colocaron á la derecha é izquier­ D. Joaquín Hidalgo. da'de S. E. D. Pascual Muñoz. Se cantó despoes una misa, á la que siguió on …</t>
  </si>
  <si>
    <t>Valle, Rafael</t>
  </si>
  <si>
    <t>Rafael Valle</t>
  </si>
  <si>
    <t>47 y 2 rs. — Santa Rosa. D. Francisco del Prado, 30. D. Melchor Velarde, SO. D. Antonio Muñiz, SO. D. José María Cadena, 20. Don Miguel Sánchez, 35. D. Rafael Valle, 10.—Riogrande. D José le Je­ sús Rodríguez, 10.*D. José Barreda, 6. D. Juan Antonio ’Crtiaga, 25, D. Juan Francisco de la Garza, 15. Varios individuos , 30. El p…</t>
  </si>
  <si>
    <t>Valleacx</t>
  </si>
  <si>
    <t>as enemiga» quí-; .gobiernan sus guendSas. L-i pérdida de los enemigos, que los primeros avisoj supusieron, de 300 hombres; con .muchos oficial?», el general Valleacx musito, V r*l corone'. Gautier hífido,-se ha sabido por carta interceptada del general B &gt;nnet á B ‘ssieres que es de cerca de 500 hombres coa mui hos oficiales…</t>
  </si>
  <si>
    <t>Vallejo, Sebastian del Conde</t>
  </si>
  <si>
    <t>Sebastian del Conde Vallejo</t>
  </si>
  <si>
    <t>, en reemplazo de D. Gre­ de evitar que las gentes al leer ios avisos de la re­ gorio Alfonso Choya. presentación se anden alambicando los sesos para D. Sebastian del Conde Vallejo, teniente, á averiguar lo que significa el título del drama que ayudante segundo del quinto batallón , en la vacan­ ven anunciado. También me ha p…</t>
  </si>
  <si>
    <t>Valles, Baltasar</t>
  </si>
  <si>
    <t>Baltasar Valles</t>
  </si>
  <si>
    <t>es apa ros y agonías, es fácil que se le dé una nio Cortes , conservando aquella plaza; para fiscal faerza mal combinada, dictada mas bien por el te­ D. Baltasar Valles, fiscal nombrado para Lean; mor que por la prudencia. No tenemos sistemafi­ y para jaeces D. Joaquín Lezaeta, D. Segundo sco , y sin él nos perderemos. (El Re…</t>
  </si>
  <si>
    <t>Valles, Francisco</t>
  </si>
  <si>
    <t>Francisco Valles</t>
  </si>
  <si>
    <t>é Fue­ llo ; los de capitán segundo á D. Francisco Sierra y D. José Guiña; les de teniente í D. José Biiosa, D. Diego Castro, I). Ignacio Rebo­ llo y D. Francisco Valles; los de subteniente á D. Gabriel Larín y D. Pedro Galan. ' CADIZ : EN LA IMPRENTA REAL.</t>
  </si>
  <si>
    <t>Valleteaux</t>
  </si>
  <si>
    <t>ger ó dispersar .con ua corto número de gente todo el exército enemigo; la acción hubiera sido la mas brillante á no ser por ía de torosa pérdida del general Valleteaux &amp;c.” Los enemigos han hecho movimiento desde Villamañ&amp;n á B Clá­ vente , donde el 31 quemaron sus muüieiones , salieron y volvieron luego. — En León trabajan …</t>
  </si>
  <si>
    <t>Válls, Feliciano</t>
  </si>
  <si>
    <t>Feliciano Válls</t>
  </si>
  <si>
    <t>o Aguerra,# 80. D. Andrés Gonza’ez , 40. D. Juan-Mayvnó y compañía , 150. D. Antonio Escardó , 70. D, Francisco Puche , 50. D. ¡Miguei l’orrens, 100. D. Feliciano Válls, 40. D. Pascual Este vez , 44. José Aliguel Andino, 502. D. Manuel González , 30 y 2. D. Juan Manuel Fe.ixoo , 60. D. Manuel Carambó , 76 y 2. D. Francisco Gó…</t>
  </si>
  <si>
    <t>Valtejo, Rodrigo</t>
  </si>
  <si>
    <t>Rodrigo Valtejo</t>
  </si>
  <si>
    <t>rs. Otra donde dicen los Garbanzales y ca­ miento de D. Antonio Romero Espinosa, al pres­ mino de los Yeseros, de una fan., 6 cel. y 8 est, á bítero D. Rodrigo Valtejo. 800 rs. Otra en la huerta de’He'rrera, de z fan., 8. cel. Parn el de Padules, vacante por muerte de Don y 4 est. á 800 rs. Otra enfrente de la huerta de Her­ …</t>
  </si>
  <si>
    <t>Valterstor</t>
  </si>
  <si>
    <t>l al servi­ cesi respectiva; y se han dado secretamente algu- cio de Suecia. "dos pasos con el fin de excitar la discordia y la se­ Por el Excmo. Sr. general Valterstor íf, minis­ dición en nuestros súbditos. Los cabildos han des­ tro plenipotenciario dcS. M.el Rei de Dinamarca: echado algunos breves contrarios á sus derechos…</t>
  </si>
  <si>
    <t>Valverde, Pedro</t>
  </si>
  <si>
    <t>Pedro Valverde</t>
  </si>
  <si>
    <t>vez no pudieron parar á cura de la Poza. aquella distancia á que solian quedarse regular­ Para el de Almocita y Beires, vacante por mente. muerte de D. Pedro Valverde, al presbítero ex­ Si la noticia de este suceso llega á Inglaterra, dominico D. Blas Marin. producirá ciertamente una saludable desconfianza Para el de Alquería…</t>
  </si>
  <si>
    <t>Valvero, Francisco de Paula</t>
  </si>
  <si>
    <t>Francisco de Paula Valvero</t>
  </si>
  <si>
    <t>principios de D. Manuel Alvarez. guerra perpetua son bien notorios y públicos en D. Miguel de Barcia. toda la Europa. El viage di Mr. 1-abouchere es D. Francisco de Paula Valvero. re a ivo a sus negocios personales, y no puede in­ D. Mariano Salgado. fluir en uada en las transacciones de comercio. D Josef Sánchez G ilan. D. N…</t>
  </si>
  <si>
    <t>Van-Halein, Juan</t>
  </si>
  <si>
    <t>Juan Van-Halein</t>
  </si>
  <si>
    <t>ITALIA. Madrid 2 6 de mayo. Ckiavari rS de abril. Por decreto de 8 de abril se ha servido S. M. Mas de 4® obreros estao trabajado en el ca­ nombrar á D. Juan Van-Halein, teniente de ca­ mino de Parma ijjla Spezzia , y á pesar de su ex­ ballería y ofi ial de ordenanza, capitán de la mis­ tensión y de las grandes dificultades q…</t>
  </si>
  <si>
    <t>Vandembrourke, José</t>
  </si>
  <si>
    <t>José Vandembrourke</t>
  </si>
  <si>
    <t>El capitán D. José de Fábrega, comandante acci­ dental del castillo de Chagre , 200. D. Lino de la Barrera, 50. D. Fidel Martí en plata labrada 225. D. José Vandembrourke , ayudante de ja pla­ ta , Ion. El Dr. D. Isidro de Arroyo, 25. El comandante , oficiales, vete­ ranos y voluntarios del batallón de Pardos, 159. D. José Ló…</t>
  </si>
  <si>
    <t>Vango, Ramón González</t>
  </si>
  <si>
    <t>Ramón González Vango</t>
  </si>
  <si>
    <t>............ 34565..25f La casa de Mezcorta y ccmpañía,por D. Josef Antonio de Olalde.................... 58030. .17 tnano de los mismos Gorbea y so­ D. Ramón González Vango.................. 2246..19 , brinos........................................................ 192413 D. Francisco González............................. 190…</t>
  </si>
  <si>
    <t>Vaquero, Francisco</t>
  </si>
  <si>
    <t>Francisco Vaquero</t>
  </si>
  <si>
    <t>atural de Ma­ dente en Toledo,por............................................... 2200 drid , y residente en Toledo, por......................... 2100 D. Francisco Vaquero, lego, natural de Ciudad D. Juan Josef del Prado , nat.iral de Toledo, don­ Real, donde reside, por............................................ jico de resi…</t>
  </si>
  <si>
    <t>Varela, Josef Joaquín</t>
  </si>
  <si>
    <t>Josef Joaquín Varela</t>
  </si>
  <si>
    <t>iente de la séptima compañía. del movimiento rectüín», que no esrmas que ei mo­ Sexto batallón. vimiento circular y continuo de nn círculo cuyo radio D. Josef Joaquín Varela, subteniente, á te­ es ¡niinito. La traslación de un cuerpo en linea recta, niente de ía octava compañía. # de un punto del espacio ¿ otro, sea por su pr…</t>
  </si>
  <si>
    <t>Vargas, Antonio</t>
  </si>
  <si>
    <t>Antonio Vargas</t>
  </si>
  <si>
    <t>cia á tismo y gallardía , el qnal llevaba sus banderas, D. Antonio Polo; para ayudantes á D. Antonio del que debian bendecirse aquel dia mismo. Rio y D. Antonio Vargas, y para abanderado á A la hora señalada, en medio de la alegría de D. Lorenzo de Burgos. nn pueblo numeroso, de la guarnición que estaba Asimismo quedan nombra…</t>
  </si>
  <si>
    <t>Vargas, Baltasar</t>
  </si>
  <si>
    <t>Baltasar Vargas</t>
  </si>
  <si>
    <t>en Cabul se con­ mucho mas funesta para los enemigos con las tro­ virtió á la fe cristiana por la lectura de una biblia pas que mandan los capitanes D. Baltasar Vargas de dd cristiano de ia Armenia. En los estados ma­ y D. Baltasar Ojuda. = Firmado = Josef Rondean. hometanos se castiga con pena de muerte á quuí:=Quartel gener…</t>
  </si>
  <si>
    <t>Vargas, Miguel</t>
  </si>
  <si>
    <t>Miguel Vargas</t>
  </si>
  <si>
    <t>sé María Fiores , 25. D. José Puig y Escardó , 25. D. Sebastian Ferrer, 25. D. Francisco Maristani , 25. D. Miguel Roig , 25. D. Joaquín Sánchez, 25. D. Miguel Vargas , 25. D. Juan Huise, 25. D. Manuel Antonio Barbachano , cada año , 20. D. Antonio Gual , 20 D Antonio Martin , 20. D. José Mauricio Rodríguez, 12. D. Alexmidro …</t>
  </si>
  <si>
    <t>Varias, Ni</t>
  </si>
  <si>
    <t>Ni Varias</t>
  </si>
  <si>
    <t>eplegarse, y los enemigos con­ mil rasos, entre ellos el nuevo regimiento de en­ servaron su posición de Saotaten. sacas de á caballo, mandado por ei coronel Ni- Varias cartas de Lisboa dicen qne e! general Jtitsch, vinieron á reunirse con su exéretto. Drouer se ha reunido con Massena con 22© hom­ Fedefico ei Gfande se defend…</t>
  </si>
  <si>
    <t>Varin, Noei</t>
  </si>
  <si>
    <t>Noei Varin</t>
  </si>
  <si>
    <t>........... 2 o parada con mucho gusto. E¡ Sr. D. F-'rmio Marie............................. . 2co El Emperador visitó esta mañana mui tempra­ Ei St. D. Noei Varin..................................... 50 no la fundición de cañones, y en seguida salió con El Sr. D. Mariano Luis Cujucc..................... 80 S. M. la Emperatri…</t>
  </si>
  <si>
    <t>Varkoni</t>
  </si>
  <si>
    <t>entra por este medio ningún numerario en El almirante Young', comandante en gefe de la el estado. flota del mar del Norte; el contra-almirante StraEl conde Varkoni ha hecho desecar en la isla chan y el vice-almirante Ferner 1 egaro^ el vier­ de Schutt una grande extensión de terreno panta­ nes pasado á las Dunas con 13 navios…</t>
  </si>
  <si>
    <t>Varo, Manuel</t>
  </si>
  <si>
    <t>Manuel Varo</t>
  </si>
  <si>
    <t>ro' Parrado; los de subteniente á D. Bernardo Cohniro, D J mn La*o Policarpo, D. Juan Corvera, D. Manuel T-boada, D. Nicolás Pardo, D. Juan Mosquera. D. Manuel Varo, D. Francisco García, D. Ojmingo de Torres y D. Andrés Lapido; el de subteniente de bandera á O. Santiago Esteban. En el batallón de isnfantería ligera de volúnta…</t>
  </si>
  <si>
    <t>Vas, Josef</t>
  </si>
  <si>
    <t>Josef Vas</t>
  </si>
  <si>
    <t>doblamos el cabo de Buena- vacante, á D. Josef María de Velasco. Esperanza por los 35 grados, 3© minutos de latitud. Por decreto de 23 del corriente D. Josef Vas„ El segundo pasamos á 4 leguas de 8 embarcacio­ coni ha sido nombrado administrador general de nes de á 3 palos , que reconocimos por navios de la com­ pañía , y una…</t>
  </si>
  <si>
    <t>Vasallo, Josef</t>
  </si>
  <si>
    <t>Josef Vasallo</t>
  </si>
  <si>
    <t>del estado, lo expuesto por nuestro tías Almarza......................................... 11415 ministro de Hacienda , y oido nuestro consejo de Es­ D. Josef Vasallo....................................... 9476- 8f tado, hemos decretado y decretamos lo siguiente: Doña Bernarda Cortarramont................ 10469 articulo 1. „Se…</t>
  </si>
  <si>
    <t>3294 66622 10 Doña María Francisca Adelaida £1 duque de Cotadilla................... 9615a t Sf Rouyer....................... ................ 19440 D. Josef Vasallo...........;................. 2279i 5 D. Apolinar Rouyer...................... 9720 D. Alejandro Silva......................... 9220 20 D. Felipe Carlos de Vailej…</t>
  </si>
  <si>
    <t>VaUarino</t>
  </si>
  <si>
    <t>ur, ex director de la Compañía de Filipinas. Décimo, D. J. García, D. J. de la Sotilla y Mr. F. de Taster. Undécimo , D. J. M., de Mota , el teniente capitán VaUarino, el Dr. Jones y M^.K^mey. Duodécimo,el capellán de los</t>
  </si>
  <si>
    <t>VaUetaux</t>
  </si>
  <si>
    <t>allos, los persiguió raodía legsa; pero observando que de Oeb’go salían considerables fuer­ zas ele isfantéría y caballería, que fueron todas las del general VaUetaux, emprendió su retirada, que hubiera coaclnJdo sin díog = acía, á no encontrar á su puso por Benavides una porción de inLníeyía de Moaterey muy expuesta, á la qu…</t>
  </si>
  <si>
    <t>VaUscillo, Antonio</t>
  </si>
  <si>
    <t>Antonio VaUscillo</t>
  </si>
  <si>
    <t>encias 3 D. José Mosquera, D.B ¿as Feynador, D. José Vui, D. Jcsé Petan, D. Benito (Grabarre, D. José Pruna, id. Fernando Oríiz, D. Francisco Atonso, D. Antonio VaUscillo, D. José Velas-"ío y, J&gt;. José Armada; subtenencias á D. Santiago de Armas , D. F¡tapisco P.ieto, D. Antonio Pueyo, D. José Gon­ zález Suarez, D. Ignacio Sá…</t>
  </si>
  <si>
    <t>Vázquez, Felipe</t>
  </si>
  <si>
    <t>Felipe Vázquez</t>
  </si>
  <si>
    <t>el misino; el Dr. I). Pedro Inguauzo Rivcro , canónigo doctoral de la san­ ta iglesia de Oviedo, y gobernador eclesiástico de esta diócesis; el J3r. D. Felipe Vázquez, catedrático de prima de sagrados cánones de la real universidad de Oviedo y secretario de la Junta Superior del Principado ; el brigadier de la real armada-D. …</t>
  </si>
  <si>
    <t>Vázquez, Francisco</t>
  </si>
  <si>
    <t>Francisco Vázquez</t>
  </si>
  <si>
    <t>guia , 12. Capellán D. José Martínez, 20. Sargentos, ' cabos y soldados , 326. — Volante de Parras. Capitán D. Juan Ignacio Arrambide ,- 50. Teniente D. Francisco Vázquez, 20. Primer'.alféréz D. Jo­ sé Antonio Aguilar, 40. Segundo D. Vicente Tarín , 20. Sargentos , cabos y soldados, 315.—-Cuerpos de caballería provincial de l…</t>
  </si>
  <si>
    <t>Vázquez, José María</t>
  </si>
  <si>
    <t>José María Vázquez</t>
  </si>
  <si>
    <t>vo por el prest de quaíro meses de 2 soldados durante la guerra, 72. El teniente coronel D. Rafael Montalvo, por igual oferta , 72. El presbítero Dr. D. José María Vázquez , 102. D. José Naranjo, 204. D. Manuel Moinelo, 100. D. Mariano de Medina por el prest de 3 solda­ dos durante la guerra en un mes , 27. D. Tomas de Je,ara…</t>
  </si>
  <si>
    <t>Vázquez, Josef Ramírez</t>
  </si>
  <si>
    <t>Josef Ramírez Vázquez</t>
  </si>
  <si>
    <t>e Morou. Para el de la villa de Santa Olalla, vacante por muerte de D. Diego García Cabrera, al diácono S. M. ha tenido hoi consejo privado de minis­ D. Josef Ramírez Vázquez. tros. Para el de la de Coria , vacante por muerte de D. Pedro Josef de Contreras, á i). Juan Francis­ co Martínez, cura beneficiado de la villa de Gelv…</t>
  </si>
  <si>
    <t>Vázquez, Juan</t>
  </si>
  <si>
    <t>Juan Vázquez</t>
  </si>
  <si>
    <t>iago Pereyra , D. Pedro González , D J í^n Ssnovilla , D Ig­ nacio Carrasco, D. Pedro Giménez, D. J?.yme Qjirós, D. Sabas Ma­ rín , D. J isé Ortega , D. Juan Vázquez, D Manuel Sánchez, D. An­ tonio Bermejo, D. Luis Puente, D. Aotolin Sigiienza, D Matías Te­ resa, D. Juan González , D Manuel Calvantes, D. Jé Mora, Don Juan Mor…</t>
  </si>
  <si>
    <t>Vázquez, Vicente</t>
  </si>
  <si>
    <t>Vicente Vázquez</t>
  </si>
  <si>
    <t>con decoraciones nuevas; y se dará fin ccn un D. Juan Antonio I-eonardo á capitán en reemplazo pequeño baile cómico, compuesto por. el señor Sandade D. Vicente Vázquez. lio Luengo. _ EN LA IMPRENTA REAL,</t>
  </si>
  <si>
    <t>Vázquez, Vicente Ramón</t>
  </si>
  <si>
    <t>Vicente Ramón Vázquez</t>
  </si>
  <si>
    <t>ndro Merino de Porras. Mr. de Fourcroi ha hecho un gran número de aná­ D. Rarnon Gil Couder. lisis , tanto de minerales en su estado concreto, como x D. Vicente Ramón Vázquez. de aguas mas ó menos mineralizadas.</t>
  </si>
  <si>
    <t>Vci</t>
  </si>
  <si>
    <t>d de encontrarse en ella. bien pronto sus esfuerzos. El regimiento 34*° de línea* coronel Raimond, Campo delante de Badajoz 20 de febrero de El 88.°. coronel Vci ande. ¿Ya estiba pedido para i8ti. = El mariscal del imperio, general en gefe . este oficial el grado de general de brigada , y coa del exárcirn del Mediodía &gt; c= fi…</t>
  </si>
  <si>
    <t>Vciez, Clemente</t>
  </si>
  <si>
    <t>Clemente Vciez</t>
  </si>
  <si>
    <t>l, 2000. I). Jo­ sé de Teran , 2000. D. Pedro de Mier y Teran , 2000, D. Manuel de la Torre, 1500. D. Antonio y D. Manuel Gutiérrez del Corral, 15o0. D. Clemente Vciez, 1500. D, Francisco Mantilla é hijo, 600. D. Manuel Perez González, 600. I). Bernardo Salceda, 600. D. José San Juan, 600. D. Manuel Gutiérrez de Caballos, 600…</t>
  </si>
  <si>
    <t>Vclasco, Pedro</t>
  </si>
  <si>
    <t>Pedro Vclasco</t>
  </si>
  <si>
    <t>gro y Manzanares con mas la partida de D. Antonio Porras, compuerta como de SO caballos mentados por españoles y mandad os por el in­ fiel y renegado D. Pedro Vclasco, gasó á intentar sia duda una sor­ presa sobre mi tropa, pues para ello buscó la capa de la noches y midiendo el tiempo, llegaron á mis avanzadas cusndo ya apen…</t>
  </si>
  <si>
    <t>Vda, Bjrnabó</t>
  </si>
  <si>
    <t>Bjrnabó Vda</t>
  </si>
  <si>
    <t>la; y subtenr notes á D. Juan'Psu*»!», D. J«&amp;é A ios'Ós , D. Pedro Lí/ó, D. Akonio Bereitgtier, D. «José- Cueva?, D. Jasé S&amp;rnpér, D. Aídolu» Forrar, D. Bjrnabó Vda, D. y ícen­ te N¿ñaz Cortes, O. Alfonso • C Jbach* * D. José QaFós López, D. JáL&amp;íi Pardo i D. Francisco López, D. Carlos Ls.iréu, D. José Palomino, D. Juüao M-tT…</t>
  </si>
  <si>
    <t>Vdanova, Don Francisco</t>
  </si>
  <si>
    <t>Don Francisco Vdanova</t>
  </si>
  <si>
    <t>e los demás, que hicieron al­ gún daño á los franceses. Estos se marcharon inmediatamente para e! Coroííil; pero noticioso de semejante ocurrencia el capitán Don Francisco Vdanova, que cm 40 patriotas de caballería se hallaba en aquellas cercanías, trató de perseguirlos, y al efecto se dirigió á- di­ cha villa del Carón i!, d…</t>
  </si>
  <si>
    <t>Veaegas, Juan</t>
  </si>
  <si>
    <t>Juan Veaegas</t>
  </si>
  <si>
    <t>varra, compañías al ayudante y tenientes D. Die­ go Estrada, D. Domingo Notario y D. José Rodríguez, y tenencias á los subtenientes D. Antonio Nieto, D. Juan Veaegas, D. Raiuoa Dieguez, D. Antonio Mena y D. Juan Antonio Pardo; y en el del infante D. Carlos, en el segundo exército, subtenencia á D. Esteban Falcon. Igualmente h…</t>
  </si>
  <si>
    <t>Vean, Diego</t>
  </si>
  <si>
    <t>Diego Vean</t>
  </si>
  <si>
    <t>en el valle de Matehuala la gabilla que acaudillaba el lego Villerias, quedando este muerto en la acción. Con igual objeto capitanean otras partidas D. Diego Vean, cura del Armadillo ,„y el cura Alvares ; siendo notorios los servicios que en esta materia han contraído ios virtuosos y beneméritos curas de Si* lao y León desde …</t>
  </si>
  <si>
    <t>Veas, Antonio García</t>
  </si>
  <si>
    <t>Antonio García Veas</t>
  </si>
  <si>
    <t>alojado, y dotando las calles llenas de cadáveres y de heridos, retrocedió á situarse en el camino de Chiclana. Entretanto la partida de guerrilla de D. Antonio García Veas desti­ nada á cubrir nuestro flaneo derecho tomaba posesión de Paterna; el escuadrón franco de Ubrique á las órdenes de su comandante D. Gre­ gorio Fernan…</t>
  </si>
  <si>
    <t>Vefazqtiez, Buenaventura</t>
  </si>
  <si>
    <t>Buenaventura Vefazqtiez</t>
  </si>
  <si>
    <t>25. D. Joaquín Medina, 10. Matías Montes de Oca, 10. D. José Sierra, 2. D. Francisco Romero, 5. D. Salvador Arabich, 10. D. José Francisco Alfaro, 5. D. Buenaventura Vefazqtiez , 2 D. Francis­ co Sierra, 2. José Sixto Caravajal, 5. José Eusebio Cetina , 3. Juan de la Luz Gómez , 5. Felipe Díaz , 6. José Guiñones, 4. Francisco…</t>
  </si>
  <si>
    <t>Vegue, Juan Martin</t>
  </si>
  <si>
    <t>Juan Martin Vegue</t>
  </si>
  <si>
    <t>dos que ofrece por todo el presente año, 27. D. Juan Antonio de Unzueta, secretario ele la superintendencia, para la manuten­ ción de un soldado , 9. D. Juan Martin Vegue, oficial segundo , 2. D. Ma­ riano Medina, ofieia! tercero , 1. D. Francisco Azcona, oficial cuarto, 2. Don Antonio Cachureo , oficial mayor de la contadnrí…</t>
  </si>
  <si>
    <t>Veiasco</t>
  </si>
  <si>
    <t>/red.) Uruguái. En esta disposición dos de sus oficiales pasaron desde San-Borgi á la ciudad de la Asun­ Del 2 de setiembre. ción , y tuvieron con ei gobernador Veiasco una Hemos recibido los diarios de la Jamaica hasta conferencia secreta, que duró muchos dias, y á la el 21 de julio, y por ellos hemos sabido algunas que asis…</t>
  </si>
  <si>
    <t>Veiasco, José Magdalena</t>
  </si>
  <si>
    <t>José Magdalena Veiasco</t>
  </si>
  <si>
    <t>. D. José Santos del Bosque , vicario juez cele ■lasticn , 20. Fr. Martin de la Santísima Trinidad, cura interino , 25. I). Jo­ sé Sixto Márquez , 5. D. José Magdalena Veiasco , 5. D Juan de Arjoña , 2. D. José: Reyes , cura de Ocú , ÍO. D. José Dámaso Franco, cura de Santa Bárbara, 4. Fr. Baitasai Cabezudo , cura interino de…</t>
  </si>
  <si>
    <t>Veiez, Francisco</t>
  </si>
  <si>
    <t>Francisco Veiez</t>
  </si>
  <si>
    <t>, 100. D. Juan Capistrano , 30. D. Antonio Moreno, 50. I). Matías Bueno, 14. D. Manuel Montoya , 12. D. Cipriano Rentería, 8. D. Tomas Rentería, 10. D. Francisco Veiez, 12. Varios individuos, 100 y 0 rs. Los vecinos de Moconito , 237 y 5 rs. Los de Bacuvirito , 148 y 4 rs. Los del Valle de Oposura, 49 y 1 rs. — S. Sebastian, …</t>
  </si>
  <si>
    <t>Vejdenbielm, Cir</t>
  </si>
  <si>
    <t>Cir Vejdenbielm</t>
  </si>
  <si>
    <t>mi­ mo grado; pero lo llevan con aquella resignación, nistro plenipotenciaiio de Suecia , el caballero de que es propia de un siglo tan ilustrado. Si D. Cir­ Vejdenbielm, mayor de Caballería. ios del Filósofo casado se avergüenza , no preci­ Por él Eterno, Sr. Maillardoz, ministro pleni­ samente de haber tomado estado, sino d…</t>
  </si>
  <si>
    <t>Vela, Berdírno</t>
  </si>
  <si>
    <t>Berdírno Vela</t>
  </si>
  <si>
    <t>o de Cárdenas , 13. D. José Camacho, 13. D. José Miguel Sánchez, 10. D. Vicente Florez, 10. D. Juan Francisco Roxas, 6. D. José Antonio Villareál, 7. D. Berdírno Vela , 5. D. Manuel de la Garza, 6. Varios individuos, 15. — Parras. Don Juan Tágíe, 50. Don Juan Nava, 25. Don Francisco Antonio Gutiérrez, 50. D. Juan Antonio Paez…</t>
  </si>
  <si>
    <t>Vela, María Antonia</t>
  </si>
  <si>
    <t>María Antonia Vela</t>
  </si>
  <si>
    <t>ia Andrés, por real or­ den de 22 de agosto de 1807 , por vía de la viudedad de 5 rs. diarios. 1090 Libramientos de réditos de vitalicio al interes 1 Doña María Antonia Vela, por real de s&gt; por too. orden de 26 de abriltde 1804, por Libramientos. via de viudedad de 9 rs. diarios.... 864 ' ... ~t ■l D. Domingo García Fernandez…</t>
  </si>
  <si>
    <t>Velandia, Jacinto</t>
  </si>
  <si>
    <t>Jacinto Velandia</t>
  </si>
  <si>
    <t>á puro y debido efecto. — Así consta todo de la certifi­ cación remitida al Gobierno por la suprema junta de censura, firma­ da en 11 de este mes por D. Jacinto Velandia , su secretario. Buques que han recogido correspondencia en la administración de correos de Cádiz durante la semana finalizada en 15 del corriente. Para la H…</t>
  </si>
  <si>
    <t>Velar, Emeteriu</t>
  </si>
  <si>
    <t>Emeteriu Velar</t>
  </si>
  <si>
    <t>general á D, Luis Muda Ba­ lanza: : los de ayudanrts primeros á D. Francisco del Rey , D. S.n* tos de Allende, D. Eraclio A:aiz &gt; D. Manuel de Tena, D. Emeteriu Velar de, D. Francisco Pablo de la Peña, D. Juan Morales y</t>
  </si>
  <si>
    <t>Velarde, Emeterio</t>
  </si>
  <si>
    <t>Emeterio Velarde</t>
  </si>
  <si>
    <t>ad ingleses de los que sufrieron la carga de la. caballería enemiga.. O. Carlos España ha venido también con una mano atravesada de un bote de lanza. D. Emeterio Velarde , ayudante de la división de Ballesteros está gravemente herido. Este general tuvo dos caballos muertos. Al general Castaños le rozó también el uniforme por …</t>
  </si>
  <si>
    <t>Velarde, José Antonio</t>
  </si>
  <si>
    <t>José Antonio Velarde</t>
  </si>
  <si>
    <t>. Subtenientes. D. José María Ayala , 25. D. Carlos del Casti­ llo , 20. D. José María Velarde , 29. D. Juan Paredes , 29. D. Sebastian Biasini , 10. D. José Antonio Velarde , 25. D Manuel Rodríguez 10. D..Eduar­ do de la Guardia vecino de Peronomé , 7- D Pedro Ortiz, á nombre de va­ rios vecinos de Santiago de Veragua, 1270 …</t>
  </si>
  <si>
    <t>Velarde, José María</t>
  </si>
  <si>
    <t>José María Velarde</t>
  </si>
  <si>
    <t>G y medio rs.D. Pedro Chiari, 36. D. Félix Paredes, 36. D. Ma* too Matos , 3G. Subtenientes. D. José María Ayala , 25. D. Carlos del Casti­ llo , 20. D. José María Velarde , 29. D. Juan Paredes , 29. D. Sebastian Biasini , 10. D. José Antonio Velarde , 25. D Manuel Rodríguez 10. D..Eduar­ do de la Guardia vecino de Peronomé ,…</t>
  </si>
  <si>
    <t>Velarde, Juan</t>
  </si>
  <si>
    <t>Juan Velarde</t>
  </si>
  <si>
    <t>á D. Pió Sotolongo , subteniente del batallón d-a voluntarios de Campomayor, D. Joaquip Carcer , teniente del regi­ miento de caballería de A garbe, D. Juan Velarde yRoxas, subtenien­ te de infantería ccn sueldo de tal, y á los cadetes del mismo regi­ miento de guardias Españolas D. Manuel Barry, D. Manuel de San Llórente , D…</t>
  </si>
  <si>
    <t>Velarde, Melchor</t>
  </si>
  <si>
    <t>Melchor Velarde</t>
  </si>
  <si>
    <t>s. — S. Fernando. D. Fé­ lix Cevallos , 25. D. José Antonio Me riel mea, 12. V arios individuos, 47 y 2 rs. — Santa Rosa. D. Francisco del Prado, 30. D. Melchor Velarde, SO. D. Antonio Muñiz, SO. D. José María Cadena, 20. Don Miguel Sánchez, 35. D. Rafael Valle, 10.—Riogrande. D José le Je­ sús Rodríguez, 10.*D. José Barreda,…</t>
  </si>
  <si>
    <t>Velas, José</t>
  </si>
  <si>
    <t>José Velas</t>
  </si>
  <si>
    <t>era, D.B ¿as Feynador, D. José Vui, D. Jcsé Petan, D. Benito (Grabarre, D. José Pruna, id. Fernando Oríiz, D. Francisco Atonso, D. Antonio VaUscillo, D. José Velas-"ío y, J&gt;. José Armada; subtenencias á D. Santiago de Armas , D. F¡tapisco P.ieto, D. Antonio Pueyo, D. José Gon­ zález Suarez, D. Ignacio Sánchez, D. Francisco Bu…</t>
  </si>
  <si>
    <t>Velasco, Bartolomé</t>
  </si>
  <si>
    <t>Bartolomé Velasco</t>
  </si>
  <si>
    <t>á nuestros ojos , si su Capitanes. fruta , como asegura el inventor, prodnee en azú­ D. Juan Calvo. car la quinta parte de su peso. ¿Qué mas necesi­ D. Bartolomé Velasco. taría la Eoropa para libertarse de la dependencia D. Rodrigo Cañaveral. eo que ha estado de la América hasta aqui por es­ Tenientes. te artículo? Merece pue…</t>
  </si>
  <si>
    <t>Velasco, Felipe</t>
  </si>
  <si>
    <t>Felipe Velasco</t>
  </si>
  <si>
    <t>para el de Fonpedraza, Oro español contra plata.................... vacante por promoción de D. Vicente Revilla al de Cebico de la Tor re. TEATRO. A D. Felipe Velasco para el de la Torre, va­ cante por promoción de D. Cristóbal Peres al del En el del Príncipe, 4 las siete de la noche, se re­ logar de Collazos. ’ presentará po…</t>
  </si>
  <si>
    <t>Velasco, Ignacio Ramón</t>
  </si>
  <si>
    <t>Ignacio Ramón Velasco</t>
  </si>
  <si>
    <t>so, k D. Antonio Trejn. Noveno batallón. Y para el de S. Gines de Gundalaxara , vacan­ D. Manuel Zavala Especulo, teniente, á capi­ te por ascenso de D. Ignacio Ramón Velasco ai tán de la segunda compañía. ' de Arroba, á D. Juan Manuel García Fiores, cu­ D. Lorenzo Campillo, sargento primero, á ra de Sto. Tomas de la mi mi ci…</t>
  </si>
  <si>
    <t>Velasen</t>
  </si>
  <si>
    <t>nos lloraban, sus hogares ardían; « enemigos del fuerte, cortina real y otros puntos, pero sus ecos no llegaban á nosotros; sus harnean­ «mientras el brigadier Velasen tomaba e! irunin tes edificios no los de'cobrian nuestros ojos.... «de los puntos que había abandonado, por habrr,,As¡ , en esta apatía vergonzosa liemos yacid…</t>
  </si>
  <si>
    <t>senal de Ambéres. Después recibió ciales portugueses, y de varias conferencias que S. AI. al maire, al consejo municipal, al tribunal tuvieron-con el gobernador Velasen , habia terodé primera instancia, al consejo de comercio, y á nocido este por regenta y hereditaria del Rei las demas autoridades de Dordrecht. Fernando á la …</t>
  </si>
  <si>
    <t>Velasen, Melchor</t>
  </si>
  <si>
    <t>Melchor Velasen</t>
  </si>
  <si>
    <t>Antonio Qiu-vedo, En el de la Cruz, á las qnatro y media ó' h: ' tA-, D. Joan de la Torre. se cxeeut¿irá la comedia antiesn en tres actos &gt;tr r ■ el D. Melchor Velasen. Negro más prodigioso, de D Juan JJmtJ-ia Psim i1' v’l D. Francisco Vil):.verde. con todo el adorno y »p trato terral cu.- &lt; v-e o i re* art iv. Nuestros minis…</t>
  </si>
  <si>
    <t>Velazquez, Teresa</t>
  </si>
  <si>
    <t>Teresa Velazquez</t>
  </si>
  <si>
    <t>e en Almozado, residente en Guadalaxara , por.. 2 200 dovar del Campo , por................................ 2200 D. Julián Herrainz de ía Fuente, ex— Doña Teresa Velazquez, ex-calaírava, franciscano, lego, residente en Peñal- residente en Almagro, por........................ 2200 ver, provincia de Guadalaxara, por.... XXOO Do…</t>
  </si>
  <si>
    <t>Velero, Fiaocisco Caro</t>
  </si>
  <si>
    <t>Fiaocisco Caro Velero</t>
  </si>
  <si>
    <t>M., y en D. Fernando Lugo. seguida se dirigieron ios dos al palacio, y han sido D. Cayetano Saravia. admitidos á la audiencia de S. M., con quien han D. Fiaocisco Caro Velero. tenido nna conferencia de mas de una hora, é in­ mediatamente después de esta conferencia se haa Subtenientes. puesto los dos en camioo para Lisboa.'* …</t>
  </si>
  <si>
    <t>Veliez, Jorge</t>
  </si>
  <si>
    <t>Jorge Veliez</t>
  </si>
  <si>
    <t>ige de mí la justicia que llame la atención de los se ñores goh» ^madores del reyno á favor del primer batailoa de cazadores del mando del te­ niente coronel Jorge Veliez, el qual en todas las o misiones se portó muy bien. Era imposible que oficiwl alguno se pudiese conducir con mas ha­ bilidad, valor y bizarría que ei corone…</t>
  </si>
  <si>
    <t>Vemegas</t>
  </si>
  <si>
    <t>i esta mañana 4 las cial ; y en efecto fue enviado al Rio de la Plata 10. El camino estaba lleno de nn gentío inmenso, el general Elío, y á México el general Vemegas, en cuyos rostros se veia pintado, no ya el vivo en­ hombres valientes, pero violentes, que con sus tusiasmo que experimentamos á su llegada, sino el medidas pus…</t>
  </si>
  <si>
    <t>Vemos</t>
  </si>
  <si>
    <t>orqne est.mos íntimamente convenci­ Parts a 8 de julio. dos de que ella es en efecto la caasa de todo el mal. Carta del contra - almirante Emeriau al ministro Vemos que quando empezó , la Francia no te­ de la Marina. nia ni un solo abado, que por tolas partes la aco­ A bordo del navio el Austerlitz ea la rada de saban enemigo…</t>
  </si>
  <si>
    <t>Ven, Juan</t>
  </si>
  <si>
    <t>Juan Ven</t>
  </si>
  <si>
    <t>real caxa de Cósala, 120. D. Martin Vázquez Franco, 80. D. Bernabé Escobosa, 20. D. Fran­ cisco Lascuraiiv, 12. El subdelegado D. Manuel Sebeas, 30. D. Juan Ven­ tura Vatiz, 25, El presbítero D. Manuel de la Flor, 12. Diario de las discusiones y acias de las Cortes, que se publica La­ xo de su soberana autoridad é inspección,…</t>
  </si>
  <si>
    <t>Vencgas, Francisco Xavier</t>
  </si>
  <si>
    <t>Francisco Xavier Vencgas</t>
  </si>
  <si>
    <t>siasmados y trabajan con gusto.— Dios guarde &amp;e. Laten 4 de febrero de 1811 á las once de la ccch?. — Excmo. Se. — José de la Cruz. —Excmo. Sr. virey D. Francisco Xavier Vencgas.” Parte del cura de S. Blas. ' , ‘‘Tiene este vecindario, y yo á su nombre, ei beso: y satisfacción de poner en noticia de V. S. la generosa acción q…</t>
  </si>
  <si>
    <t>Venegaa, Francisco Xavier</t>
  </si>
  <si>
    <t>Francisco Xavier Venegaa</t>
  </si>
  <si>
    <t>s habitantes de estos dominios, que tan oportunamente los han auxiliado con quantio.os prestamos y donativos. Nuestro benemérito ge fe el Exc/no. Sr. D. Francisco Xavier Venegaa, penetrado de esta verdad, y colindo en las acreditadas virtudes patrióticas de estos tifies V ;salloj , hizo notoria desde los primeros, dios de su …</t>
  </si>
  <si>
    <t>Venegas</t>
  </si>
  <si>
    <t>del regimiento 27.0 de ca­ diz,donde deben agregarse 'á otros 2® para enviar­ zadores, y 17 soldados. Un oricial del estado ma­ los á las órdenes del general Venegas, virei de yor, otro oficial supeiiof y 27 soldados han «ido México. heridos. • , EnHalifax ha habido un huracán terrible.que „ Luego que fuimos dueños de la isla…</t>
  </si>
  <si>
    <t>Venégas, Francisco</t>
  </si>
  <si>
    <t>Francisco Venégas</t>
  </si>
  <si>
    <t>rde á V. E. muchos años. Campo de batalla del puer­ to de Urapetiro 14 deenero de 1811 á las doce del dia. — Excmo. Sr.— José de la Cruz — Excmo. Sr. D. Francisco Venégas. P. D. La acción ha durado de hora y media á dos horas.?» Madrid 4 de marzo. Por un decreto del 2 del corriente José Bonaparte ha declarado exentas de diezm…</t>
  </si>
  <si>
    <t>Venegas, Francisco</t>
  </si>
  <si>
    <t>Francisco Venegas</t>
  </si>
  <si>
    <t>e: “En at encioíi á las recomendables circunstancias , decidido patrio­ tismo , distinguidos y relevantes servicios que ha hecho en la época presente D. Francisco Venegas , vire y y capitán general del .rey no de Nueva España , pacificando aquellas provincias , y restituyéndolas ai orden y tranquilidad pública ¿ deseoso él re…</t>
  </si>
  <si>
    <t>e Y. E. en honor del interesado. — Dios guarde á Y. E. muchos años. Tutuca 11 de julio de 1811.— Exorno. Sr. —- El conde de Alearaz.— Exc m Sr. virey D. Francisco Venegas.” Del corregidor de Toluca al conde de Alearan.—- &lt;:Ayer m® encar­ gó Y. S. la manufactura de 100 sábanas y 50 almohadas, para el abrigo y posible comodidad…</t>
  </si>
  <si>
    <t>Venegas, Francisco Xavier</t>
  </si>
  <si>
    <t>Francisco Xavier Venegas</t>
  </si>
  <si>
    <t>que posteriormente he tenido. Chapultepec 6 de noviembre de 1810. Dios guarde áV.E. muchos años. —r Éxcmo. Sr.— Torquato Truxillo. —Excmo. Sr. virey D. Francisco Xavier Venegas.” Parte del brigadier 2). Félix Calleja. ,, Excmo. Sr. —A las 9 de la mañana de este dia ataqué al exército de los insurgentes en posición tan ventajo…</t>
  </si>
  <si>
    <t>e lo manifiesta. Dos guarde á V. E muchos años. Qieréraro 15 de noviembre de 1810. --- Excmo. Sr.—Fetix Calleja, — Excmo. Sr. virey de estos reynos , D. Francisco Xavier Venegas.5’ El Sr. virey ha visto con la mayor satisfacción la loable con­ ducta observada por los oficiales y cuerpos recomendados, que ele­ vará á la sobera…</t>
  </si>
  <si>
    <t>n ha tenido hasta ahora los mas felices resultados.—Dios guárde &amp;c. Ixdan 3 de febrero de 1811 á las tres de la tarde.— José de la Cruz. — Excmo. Sr. D. Francisco Xavier Venegas.” II. “Excmo. Sr. Esta mañana á i&amp;s di s llegó á este pueblo toda la artillería y el resto del exército sin novedad , habiendo vencido en el di a de …</t>
  </si>
  <si>
    <t>ales circuns­ tancias se ha distinguido en bien de la patria D. Antonio Basoco, vecino de México, y conformándose con la propuesta de su actual vir y D. Francisco Xavier Venegas ; lian decretado y decretan que concedía al expresado D. A líonio Basoco la gracia de título de Cas­ tilla , con la denominación de conde de Basoco ,…</t>
  </si>
  <si>
    <t>Venera</t>
  </si>
  <si>
    <t>, Las gentes formaron míl conjeturas shbre qué Lambcrti, Barisatt, Bruti, Came rata , Armaseria esto; pero á poco tiempo se esparció la voz noli , el conde Venera , ministro del tesoro; Bo-y de que habían caído varias piedras en la juris­ vara , Scrbelloni, Maríinengo , Cotuiulmer, OrrVr— dicción ó término de Clursnuviüe, dis…</t>
  </si>
  <si>
    <t>Venezuela</t>
  </si>
  <si>
    <t>. particalares. Han creído que no podían ofrecer cosa mejor El congreso general de las provincias unidas de al momento.de la instalación del congreso general Venezuela, deseando mantener el patriotismo que de las provincias de Venezuela; y puede estar ha manifestado el exéreito que ha rendido á ia persuadido ei congreso , que…</t>
  </si>
  <si>
    <t>Vengnot</t>
  </si>
  <si>
    <t>y confiscados. D .do razón de todos los espectadores. en Dusseid ¡rt’á t2de enero de i8ii. = Firmado = Ha llegado del Tajo un bareo de transporte El conde Vengnot.” que sálico de Lisboa el 26 de diciembre último , y La capa de hieio que cubria el Rin se ha roto ha traído muchas cartas que alcanzan hasta dicho ayer tarde , y l…</t>
  </si>
  <si>
    <t>Ventura</t>
  </si>
  <si>
    <t>utivamente Belén , propia de los arquitectos , donde reposas se le dio lá c /misión de hacer los gadineros que sus cenizas al lado dé las del célebre D. Ventura alli teni.u SS. AA. el príncipe de Astúrias é infan­ Rodríguez. te D. Gabriel, y después la de disponer y cons­ truir la casa de familia de SS. AA. En todas estas obr…</t>
  </si>
  <si>
    <t>Veque, Manuel</t>
  </si>
  <si>
    <t>Manuel Veque</t>
  </si>
  <si>
    <t>Juan Braojos. de ella á los cabildos, á menos que estos no hayan D. Pedro Rodríguez del Cartilla. perdido sn derecho por causas legítimas , y qn vir­ D. Manuel Veque. tud de nn.juicio legal y competente. art. iy. En los 10 batallones de milicia cívica de ,,Reconocemos, Señor, que no hil en la iglesia esta capital quedan promo…</t>
  </si>
  <si>
    <t>Vera</t>
  </si>
  <si>
    <t>estaba nombrado fiscal general. dada para embarcar á D. Juan Antonio Obelle, Se leyó al pueblo este decreto; y respondió D. Josef Antonio Roxas, y el doctor Vera, que que quedaba contento y satisfecho: al retirarse la estaban presos , con motivo , se decía , de haber gente el presidente Je dirigió estas palabras: „Usproferido…</t>
  </si>
  <si>
    <t>1293</t>
  </si>
  <si>
    <t>dida á la guar­ nición de.Calatayud, que ya va caminando para.Moare&amp;l' baxo la. escolta de 200 soldados del batallón de Numantinos, á las órdenes del capitán Vera. Han muerto en Calatayud mas de 100 franceses, y io&amp; prisioneros, inclusos les hsrkíos, pasan de 600&gt; estaba ha­ ciendo inventario de todos los efectos, y se habían…</t>
  </si>
  <si>
    <t>Veranes, José Nicolás</t>
  </si>
  <si>
    <t>José Nicolás Veranes</t>
  </si>
  <si>
    <t>e , 100. D. Ignacio Arnaud de Courbille, oficial segundo da la contaduría de Panzacola, 25. D. Manuel José Bínelo , como apoderado y á nombre del Dr. D José Nicolás Veranes , canónigo de Cuba, 90. Doña Ma­ nuela Teresa Caballero, por sí y á nombre de su hijo el cadete D. Francisco de Paula de la Luz, por el prest de 2 soldado…</t>
  </si>
  <si>
    <t>Verdugo, Hilario García</t>
  </si>
  <si>
    <t>Hilario García Verdugo</t>
  </si>
  <si>
    <t>, por... 2200 bezuela en Extremadura, por.................. 2200 B. Manuel Sánchez, cx~capuchino, por 22cc D. Joa ’ uin Madrigal ¡ id, , residente en D. Hilario García Verdugo, ex-inercena- Madrid, por................................................... 2200 rio descalzo, por.......................................... 2200 D. T…</t>
  </si>
  <si>
    <t>Vergara, Mariano</t>
  </si>
  <si>
    <t>Mariano Vergara</t>
  </si>
  <si>
    <t>icia cí— ♦ poeps, estábamos mui equivocados. Ále persuado vica de la ciudad de Toledo queda promovido que entre varias razones que habrán tenido para D. Mariano Vergara , subteniente, á teniente poner por primer títu'o de dicha tragedia el de de la quarta compañía , en reemplazo de D. Julián Joas restituido al trono de David …</t>
  </si>
  <si>
    <t>s Condes de Melito y Pop go Roxo. Andrés Romero Vaides , consejeros de Estado. -Don Gregorio Diaz de Cerio, sargento, ú sub­ teniente en reemplazo de D. Mariano Vergara. » Extracto de las minutas de la secretaría de Et- Don Cipriano Fernandez Cid á ayudante setado. ^ gundo en la vacante de D. Diego García Ortiz, En nnestro pa…</t>
  </si>
  <si>
    <t>Vergas, Juan</t>
  </si>
  <si>
    <t>Juan Vergas</t>
  </si>
  <si>
    <t>, D. ‘Miguel A rióla y D. Joaquín Rodríguez; el de primer ayudante á D. Miguel Me­ ra; los de capitán segundo á D. Mariano Ó diana, D. Juan Csvallos, D. Juan Vergas, D. Manuel Melgares y D. José Morera; les de teniente i D. Antonio García , D-' Mateo Peñaranda, D. Pedro Vizcaíno. D. Tomas Rodríguez, D Pedro García, D. Frutos …</t>
  </si>
  <si>
    <t>Verle</t>
  </si>
  <si>
    <t>552 tos se encuentra el general Verle' que quedó en~ el 'campo desbataba y el general Pcpin que murió por la noche de resultas de sus herida* Los generales Gazan, Brix y otros salieron heridos* Nuestra pe'rdida ha sido también considerable , aunque muy inferior á la del enemigo. El general Blake siempre á l</t>
  </si>
  <si>
    <t>Verrón</t>
  </si>
  <si>
    <t>ue ha observado en esta ocasión y presas inglesas hechas por el corsario la Confianza, eo todas las demás en defensa de la libertad de la de S. Malo, capitán Verrón. La primera es no brick. religión católica , y que la junta le diese las gra­ de 175 toneladas, cargado de cueros, lanas , hojacias p^r la presente declaración. =…</t>
  </si>
  <si>
    <t>Vertel</t>
  </si>
  <si>
    <t>26 DE FEBRERO DE 1S11. RUSIA. orden en aquel distrito, donde al presente reina la mayor tranquilidad. Petersburgo 29 de diciembre de 18 ro ■ El mayor general Vertel ha vuelto á marchar BOHEMIA al exército del Danubio. El general de infantería Praga 14 de enero. conde Kamenski continúa todavía aquí. La regencia de Bohemia ha m…</t>
  </si>
  <si>
    <t>Veüande</t>
  </si>
  <si>
    <t>Gébora y en Badajoz. Suplico á V. A. coronel Gourré, gefe del estado mayor del quinto tenga á bien preseatac estos' honoríficos trofeos á cuerpo, el coronel Veüande , del regimiento 88.°, lo* pies de S. M. y el coronel Quiot del roo.° ,, La rendición de la guarnición de Bidjoz ,, El coronel Bocchu, gefe del estado mayor compl…</t>
  </si>
  <si>
    <t>Vfgent</t>
  </si>
  <si>
    <t>la altura llamada del Viento. El capitán de empezado á conít-uie en él caminó de Ta’avera. ingenieros Vainsot, oficial mui distinguido» fue El señor coronel Vfgent, del regimiento 64.°,1fue herido', como también el capitán Mesclop, y Chau- herido. Los regimientos 34. 40/V64.0 y B8-% y ▼el , edecanes del general Girard, y los …</t>
  </si>
  <si>
    <t>Vi, Btitasnr</t>
  </si>
  <si>
    <t>Btitasnr Vi</t>
  </si>
  <si>
    <t>ientes de compañías Don Enrique del 'Sol, D. Tomas Pía v i). Alexandro Herrera , T69' y 7. EÍ ca­ pel SaiTD.. Felipe Mata, 43 y 6. El médico-cirujano D. Btitasnr Vi11 alóbos, 42 y 4. El capitán de milicias agregado D. Antonio Vellan , 71 y 5. Los sub­ tenientes de milicias agregados 1). Francisco Concha y D. Manuel Núñez, 113…</t>
  </si>
  <si>
    <t>Viagp</t>
  </si>
  <si>
    <t>ud por dos fragatas francw*. VI AGES. íi Según r.oticiis 3e los Estados-Unidos ha sido ■ » -i ■ * * . ’ 1 -í destituido de su empleo el señor Smiih , secretario Viagp comercial y político d las Indias onentah^, de Estado america 00. a.. Lts islas Filipinas y d la China t por Mr&gt; En una cart, de Sto. Domingo, de fecha de Fe-jx…</t>
  </si>
  <si>
    <t>Vial</t>
  </si>
  <si>
    <t>Arabia, y sobre todo en el precipitación hacia e; X rama , cuyo rio logró pa­ Yemen, Ja tradición de un sueño que.tuvo un po­ sar por Uceda. El señer coronel Vial, que estaba bre pastor llamado Suleiman, padre de Abdulen Argete , y que obser aba sus movimientos, la Wahab, y abuelo de Mohammed. Parecióle que alcanzó en este ú.…</t>
  </si>
  <si>
    <t>Vial, Juan</t>
  </si>
  <si>
    <t>Juan Vial</t>
  </si>
  <si>
    <t>319 guel Antonio Olave, idem , D. Joaquín Villafea y D. Antonio Seque­ ra: á tenientes á los subtenientes ... . Joaquín Goñi, D Juan Vial, Don Celestino Gastón , D. Tomas Murrieta y D. José Foxa. Igualmente se ha servido ‘promover á subinspector del real Cuerpo de artillería en el depart menro de Cataluña al mariscal 'de camp</t>
  </si>
  <si>
    <t>Viant, Francisco</t>
  </si>
  <si>
    <t>Francisco Viant</t>
  </si>
  <si>
    <t>o que tenga dere­ guientes : , cho para impedir á ios cabildos que exerzan esta Primer batallón. prerogativa coa medios contrarios á los dispuestos _ D. Francisco Viant, subteniente, á teniente de la por los sagrados cánones: que los cabildos no pue­ primera compañía. den exercer eo.cuerpo la jurisdicción episcopal, y D. Juan…</t>
  </si>
  <si>
    <t>Víant, Francisco</t>
  </si>
  <si>
    <t>Francisco Víant</t>
  </si>
  <si>
    <t>á sub­ neros conocidos, y ciertamente de agua dulce, teniente de la quarta compañía en reemplazo de son sin embargo de especies desconocidas; y como D. Francisco Víant. muchas de las que tienen analogía con algunas de art. viii. Nuestros ministros de lo Interior y ellas han sido clasificadas hasta ahora entre las dé de la Gue…</t>
  </si>
  <si>
    <t>Víbct, Pablo</t>
  </si>
  <si>
    <t>Pablo Víbct</t>
  </si>
  <si>
    <t>eres á porfía; pero se distinguieron el sargento mayor de Fieles Zaragozanos D. Mariano Villas pesa, los capitanes D. Cayetano Ma­ ta, D. Pedro Simó, D. Pablo Víbct, D. Antonio Figiieroíay D Juan Graell; los teníanles D. Juan Fort, D. Jnaa Pablo Part y D. Juan Moneas!; I03 subtenientes D. Simón Vda3CO y D. Manuel.......... lo…</t>
  </si>
  <si>
    <t>Vicario, Jasé</t>
  </si>
  <si>
    <t>Jasé Vicario</t>
  </si>
  <si>
    <t>empleo de capitán de infantería agregado en el quinto exército, á D. Nicolás Giimoens ; y subtenencias en el regi­ miento de infantería de Zamora, á D. Jasé Vicario, es dete del pro­ pio cuerpo: y en el de Valencia, á D. Fernando Pén&amp;rrubia, ayu­ dante de la batería de la purria de Serranos de la ciudad do Valencia. En el reg…</t>
  </si>
  <si>
    <t>Viccor</t>
  </si>
  <si>
    <t>satisfecho de ellas, y dispuso otras que se están executando con una celeridad increible. El general Viccor permanece con su cuartel general en Ghiciana, y el general Leval, que está á sus órdenes, en Puerto Real. Los regimientos están todos completos, y hay abundancia ¿e víveres (12). Parece que en Cádiz hay desavenencias en…</t>
  </si>
  <si>
    <t>Vice</t>
  </si>
  <si>
    <t>etario de fa legación westfadana cerca de ia corte de Dresde. Varsovia / de maya, El i x de este mes fnleció aquí á la edad de 46 WURTEMBERG. años ei conde Vice t: de Campo Scipios, de la familia'de este nombre, que tantos siglos hace Stuttgardt aj de mayo. existe en Polonia. Eia uno de los hacendados mas S. M. se ha dignado …</t>
  </si>
  <si>
    <t>Vicen</t>
  </si>
  <si>
    <t>Lita, como madre, D- Ignacio» Agudo y Andrade, corno tiutora y curadora de D. Francisco ‘, apoderado de Doña Nicolasa Rcn- - ■ Opizotji, su apoderado D. Vicen­ queret,, por real-orden'de 2 s de te González Arnao..............................‘ 3041 1 ctavo dé: 1795 se la concedió una é D. Antopict Fernandez de Córdoba, ■asi,ma…</t>
  </si>
  <si>
    <t>Vicente</t>
  </si>
  <si>
    <t>para esta resulta al teniente coronel D. Francisco Herch, capitán agregado al segundo regimien­ to de Sevilla: para el empleo de ayudante al teniente D. Vicente timbado : para esta resulta á D. Nicolás Sánchez ; y para otra te­ nencia á D. F rancisco Martínez Junquera, ambos tenientes agrégat­ elos al expresado regimiento seg…</t>
  </si>
  <si>
    <t>Manuel) , reniente de granaderos del Larrea Salcedo ( D. Miguel de) , caballero que fue regimiente1 Josef Napoleón. de la órden de Carlos 111. Ortiz (D. Vicente), subteniente de granaderos del Larregui (D Francisco), oficial de la secretaría mismo cuerpo. del ministerio de Hacienda. Palencia (D. M.ncio). Leclair ( D. Juan ), …</t>
  </si>
  <si>
    <t>es. II. D. Mamirl Car­ ees. O. ■ Antonio Nieva. D. Gerónimo BaÜeza. D Joaquín Xiinanez. D. Teodoro C3iab;U. D. Francisco Pastor. D. José Mari* Canal. D. Vicente. Fría». D. Pedro Taboada. D. Juan Echáis. D. Sebaptiun Conejo. D. Manuel María Lanza sorta. Lie. D. Jcsé Marín Chicc. D. Luis Msrcles. Lie. D. José María Letona. D. J…</t>
  </si>
  <si>
    <t>para gastos del común, Por decreto del mismo dia S. M. ha nombrado separadamente del honorario de los recaudadores, corregidor de Alcalá de Henares á D. Vicente que nunca podía exceder de 5 céntimas por fran­ Munarriz, y regidores de aquella municipalidad á co. Al capital de la contribución de puertas y ven­ D. Martin de Asto…</t>
  </si>
  <si>
    <t>teniente del regimiento 3.* Oído nuestro gran consejo de la- Orden Real de cazadores á caballo. de España, hemos decretado y decretamos lo si­ Ruiz (D. Vicente), comisario de guerra de se­ guiente : gunda clase , caballero que fue de Calatrava. articulo i. «Nombramos caballeros de la Ruiz de Celada (D. Josef Gonzalo), oidor d…</t>
  </si>
  <si>
    <t>entes y uno de Los individuos que componen estos consejos son revisión en esta capital, ha verificado boi de or­ los siguientes: D. Santiago Arias. = D. Vicente den del REI nuestro Señor su instalación el exce- Martorell. r= D. Ra morí García del Postigo. = Don lentímo señor D. Gonzalo O-Farril,,ministro de la Carlos T’Sercla…</t>
  </si>
  <si>
    <t>ClefriÉñ’é'ij de TiÍo:l 9 D. Carlos- Al-txnndrc* Rase de Gaí- seguirá una; tonadilla, y se daráfiri-cou una pieza ’cúínica nue«| vre, m • igioderiidó D. Vicente original titulada la Optica moral. EN LA IMPRENTA REAL.</t>
  </si>
  <si>
    <t>Vicente, Paulino</t>
  </si>
  <si>
    <t>Paulino Vicente</t>
  </si>
  <si>
    <t>de ingenieros, y D. Francisco Serrano, comandante de escuadrón del regimiento de caballería de cazadores de Olí vencía, y el de ayudantes segundos H D. Paulino Vicente j espitan del de dragones de la Rey na, Don Agustín de Jáuregui, que lo es del de caballería de voluntarios do Madrid, D. Miguel Anlestía, que lo es del de inf…</t>
  </si>
  <si>
    <t>Viciedo, Antonio</t>
  </si>
  <si>
    <t>Antonio Viciedo</t>
  </si>
  <si>
    <t>por el prest de un soldado en 5 meses, 45. D. José de Flores, cadete del regimiento de milicias de infantería, por el de. 2 soldados en 2 meses, 18. D. Antonio Viciedo , subteniente del regi­ miento de milicias de infantería á cuenta de 100 pesos que ha ofrecido , 40, I). Juan José Iguaran , capitán de la tercera compañía urb…</t>
  </si>
  <si>
    <t>Vico, Teeiosio</t>
  </si>
  <si>
    <t>Teeiosio Vico</t>
  </si>
  <si>
    <t>* del regimiento, re^l de zapadores mi nadares iü teniente coronal ü. Antoa Lo Mores®, espitan del regístrenlo de infantería de Mure&amp;a; ¿capitanes, á D. Teeiosio Vico, ayudante •mayar dul-exprsflada ie?inti»nto, ©. Pedro Fernandez Palacios, teniente'del-de- Sevilla, D. Antón!® Frías, capitán segundo déla segunda sección catal…</t>
  </si>
  <si>
    <t>Viconcio</t>
  </si>
  <si>
    <t>n una bizarría capaz de resistiv á otros ella á no haber sido por la traición de su goberna­ so'dados que no fueran los del Emperador: atribu­ dor el^duque Viconcio, aunado coa los bárbaros yase solo al valor y confianza de las tropas impe­ en perjuicio de los intexeses de Roma. riales , á las sabias combinaciones de su digno…</t>
  </si>
  <si>
    <t>Víctor</t>
  </si>
  <si>
    <t>tías ), capitán de (a milicia cívica Oído nuestro gran consejo de la Orden Real de Madrid. de España, hemos decretado y decretamos lo si- • Chevaux ( D. Víctor), tirador de nuestra guar­ guíente: dia real.' articulo i. ,, Nombramos caballeros de la Or­ Ciabnrris (D. Antonio ),-teniente del regimiento den Real de España á los …</t>
  </si>
  <si>
    <t>a de las operaciones con que la Marina real auxVió en fines de febrero 7/ principios de marzo ¡a expedición que salió de Cádiz contra el exército del mariscal Víctor. E11 el plan de ataque combinado que se formó contra los enemigos que siii-an la rs’a de León y sus inmediaciones, entraba como parte muy sustandal la formación …</t>
  </si>
  <si>
    <t>produxo la en­ hecho prisionero. El gefe del estado mayen geney trada al concierto que se d»ó el miércoles pasado, rál Bellegarde (3), un edecán del mariscal Víctor han ido á dicha casa, á nombre de la sociedad de y un coronel quedaron muertos en el campo de damas nobles , y acompañadas del secretario de ja batalla. Nueve cap…</t>
  </si>
  <si>
    <t>fuerza que creía muy suficien­ te pava su objeto de socorrer á Badajoz, y á este fin había sacado multitud considerable de tropas de-los cuerpos del mariscal Víctor y del general Sebastian!, y aun también creo que del exéreita nan­ ces del centro. H nbisndo completado de este modo sus preparativos, se puso en marcha el 10 del…</t>
  </si>
  <si>
    <t>nat (D. Cirios), segundo director.del retí Vega barco oe Ciaste, masques de Crevccoeur, gabinete ae Historia natural. y conde de Beirbcrana. dGlutz ( D. Víctor), teoiénte del regimieoto Real Caballerizos Extrangeio. ~r •Gómez de ia Torre ( D. Antonio ), intendente de A Ips señores cqnde de Galvez, P-Alexan- Asturias. dro Moñv…</t>
  </si>
  <si>
    <t>.era gruespj.y españoles qaeriendo defeoder mochos pantos á nn áspera al tacto. tiempo, no defienden ningano. Es preciso que * jo. q confiesen qoe el mariscal Víctor se hubiera apo­ Las cartas que han llegado ayer de Heíigoiand derado mochos meses hi de Cádiz, si no fuera por á Londres han acabado'1 de convencernos enteralas …</t>
  </si>
  <si>
    <t>Wgazeta ministerial de St. Peters- mediaciones de Buenávista. El mismo día espe­ burgo. Lá única gazera de Rusia que puede conside­ raban ea Bejar al general Víctor con oíros dos ge­ rarse como ministerial es la qae se publica en len­ nerales y dos batallones. El dh- 13 llegaron 6® gua rusa con el título-de gazeta de Peiersbu…</t>
  </si>
  <si>
    <t>Victor</t>
  </si>
  <si>
    <t>as alturas que dominan la plaza; que Leval con 2000 so halla en la Luz, dotante una legua; que la artillería caminaba con un cuerpo de 3000, y que el general Victor permanecía en BsgeT. El coronel Skerrct cu» alguna infantería inglesa V española salió el oiisme dia por la playa á poner en móVíiniipio aí eñemigd, y aprovéchame…</t>
  </si>
  <si>
    <t>Víctor, Juan</t>
  </si>
  <si>
    <t>Juan Víctor</t>
  </si>
  <si>
    <t>¿00. D. Juan Antonio de Criarte, 500. I). Juan Ma­ ría de Inarte , 500. D. José Romero Campo, 400. D. Paulo Larriela y corn•jjanía , 500.IX Antonio y D. Juan Víctor, 500. D Pedro Sorela, 200. D. An­ tonio Faxas , 500. D .Joíé Moda , 300. 1). Pedro Perato, lOoO. D. Bernardo• A'uevo-Iglesias , 30,0. D. Joaijuin Bucet. 600. D. J…</t>
  </si>
  <si>
    <t>Víctor, Lorenzo</t>
  </si>
  <si>
    <t>Lorenzo Víctor</t>
  </si>
  <si>
    <t>a helvética, y antiguo Escriben de Pertc-Morizio qne el di» 29 de gran b.ilío de la del Valé. junio último ia lancha de Un xabeqne enemigo Beaumeile (D. Lorenzo Víctor de la), capitán apresó en aquellas aguas dos buque* pequeños» de ingenieros. uno de Finalc en lastre, y otro de Savon* cargado Bendicho (D. Francisco León), oi…</t>
  </si>
  <si>
    <t>Vicuña, Joaquina</t>
  </si>
  <si>
    <t>Joaquina Vicuña</t>
  </si>
  <si>
    <t>escalzo, residente en esta corte, por 2200 D. Juan Bautista Iribarren....................... 106653.. 4 D. Josef Aguirre, ex-franciscano, porv.. 2200 Doña Joaquina Vicuña , por mano de Don D. Cándido Nuñez, ex-frantiscano, re­ Josef Antonio Rendon................................. 9929-25 sidente en Miraflores de la Sierra, po…</t>
  </si>
  <si>
    <t>Vidal, Fauetia</t>
  </si>
  <si>
    <t>Fauetia Vidal</t>
  </si>
  <si>
    <t>s López, D. JáL&amp;íi Pardo i D. Francisco López, D. Carlos Ls.iréu, D. José Palomino, D. Juüao M-tTiíaez, D. José Toas, D. Mnmié! Lnaif, D. jLmon P*sl, D. Fauetia© Vidal, D Juan Murcio, D. Pascual'</t>
  </si>
  <si>
    <t>Vidal, Francisco</t>
  </si>
  <si>
    <t>Francisco Vidal</t>
  </si>
  <si>
    <t>ldada* , y particularmente á los capitanes de la prima­ ra de granaderos D. José Viga, y de la segunda D. J :sá Vive!, gTavemeats liando, al teniente D. Francisco Vidal, a! subteniente 13. José G:Ls, á I03 distinguidos de granaderos D. José C'udá, contuso , y D. Francisca Caníalotella , ai sargento primero Antonio Colina y al…</t>
  </si>
  <si>
    <t>Vidal, José</t>
  </si>
  <si>
    <t>José Vidal</t>
  </si>
  <si>
    <t>D. José Ozaeta, teniente coronel’ agregado al de voluntarios de Madrid ; y sargentos mayores en los batallones de ca­ zadores de Carmona y Canarias á D. José Vidal, capitán primero de voluntarios de Valencm, y á D. Vicente María VYdearcel, te"ñiéñte'cótdiiel; gradando'¿rc^^^líé^égiTíitciitfrdr^^Írtniída. Igualmente^ lia n'^ia…</t>
  </si>
  <si>
    <t>Vidarte, Pedro</t>
  </si>
  <si>
    <t>Pedro Vidarte</t>
  </si>
  <si>
    <t>alencia.......... 589 Doña Josefa Juana Vázquez de Doña María Rosa de O-Rcilli..... 12996 Silva............................................ . 6623 24 D. Pedro Vidarte..................... .,... 3790 r7 La abadesa y religiosas del conven­ D. Juan Francisco Finat.,............. 9205 J 7 to de Sta. Clara de CiempozueD. Francisco…</t>
  </si>
  <si>
    <t>Vides, Antonio José</t>
  </si>
  <si>
    <t>Antonio José Vides</t>
  </si>
  <si>
    <t>en del enpitan general en-: tregó el resto del depósito para el traft-sp'orre. de las familias pobres de fiante» Domingo, 127. D. Justó PóvliéV, 520. D. Antonio José \Vides, por entrega de varios niños que i; s; ruye , 148. Doña -.Lntgarda Sal azar , 17 y 6 rs. 1). Nicolás Tabeada, 221. D. José de Oliva y Flores, l(/2. Don Ju…</t>
  </si>
  <si>
    <t>Viegas, Simón</t>
  </si>
  <si>
    <t>Simón Viegas</t>
  </si>
  <si>
    <t>a y Mourni. 44150 21 D. Jos.-f de Carranza...................... 27387 I? D. Josef Badan...... ................ 26178 22 D- Josef Gonzalo y D, Miguel D. Simón Viegas............................. 22486 6 Ruiz de Celada......................... » 34000 D. Diego Giraldo............................. 3348 25 D. J o«ef Ignacio de M…</t>
  </si>
  <si>
    <t>Viejo, Lorenzo González</t>
  </si>
  <si>
    <t>Lorenzo González Viejo</t>
  </si>
  <si>
    <t>Tomas de Ara­ pronunciando el discurso.siguiente: gón. = D. Pedro Gd de Bernabé. = D. Raimundo „ Señores: la justicia, primer atributo de la Ruiz. = D. Lorenzo González Viejo. = D. Josef «soberanía, conserva, en Iqs estados el buen orden, Martínez. = D. Pedro Dabadie. = D. Juan Moriar« y hace respetar las leyes con que sop go…</t>
  </si>
  <si>
    <t>Viejo, Ramón</t>
  </si>
  <si>
    <t>Ramón Viejo</t>
  </si>
  <si>
    <t>or: D. Joaquín Aisa á capitán de la quárta com­ ,,He visto con el mayor placer el zelo que el pañía. cabildo metropolitano de la catedral de París ha D. Ramón Viejo á subteniente de la misma. manifestado en sn representación á S. M. I. y R. D. Saturnino Andrés á teúiénte de la tercera para la defensa y conservación de las lib…</t>
  </si>
  <si>
    <t>VIERA, EA</t>
  </si>
  <si>
    <t>EA VIERA</t>
  </si>
  <si>
    <t>por la tarifa. El señor Netzel,encargado de Negocios de Sue­ cia , ha notificado á nombre de su Soberano á nues­ tro senado el nombramiento del nuevo Príncipe EA VIERA. Real y su adopción. Nuremberg jo de novienibre. El encargado de Negocios de Dinarmrca Mr. Rip ha notificado también el murirnonio de la - A consecuencia de un…</t>
  </si>
  <si>
    <t>Vierta, Luego</t>
  </si>
  <si>
    <t>Luego Vierta</t>
  </si>
  <si>
    <t>l D mnbin , y con espe­ otros á Spaodau. cialidad hacia Rudschuck y Silhtrii. Rl dia 12 de ju­ AUSTRIA. nio habia llegado su quarte^ g neral á Rasgr. d Luego Vierta tes de julio. quo el general en gefe ru o supo este movimiento, que no tiene nada de pacífico , dió orden á los re­ Apenas se habla aquí de otra cosa que de la gi…</t>
  </si>
  <si>
    <t>Vift</t>
  </si>
  <si>
    <t>re. Por S. E. el principe Komak'a, embalador de Le» periódicos extrangeros, copiando lo que Rusia, han dicho ios de Francia, han hablado acerca de El conde Vift, coronel al servicio de Rusia. una planta, qae arrancada de la tierra , y colgada Por S. E. el s&lt;rá&gt;r Ceno, ministro plenipoten­ después de un techo, vegeta, y ñorece…</t>
  </si>
  <si>
    <t>Viga, José</t>
  </si>
  <si>
    <t>José Viga</t>
  </si>
  <si>
    <t>comandante de Leales mauretanos recomienda á todos ios señoree oficiales y soldada* , y particularmente á los capitanes de la prima­ ra de granaderos D. José Viga, y de la segunda D. J :sá Vive!, gTavemeats liando, al teniente D. Francisco Vidal, a! subteniente 13. José G:Ls, á I03 distinguidos de granaderos D. José C'udá, co…</t>
  </si>
  <si>
    <t>Vigil, Joaquín</t>
  </si>
  <si>
    <t>Joaquín Vigil</t>
  </si>
  <si>
    <t>a Peñalver, por el prest de 5 soldados en un mes durante la guerra , 45. D. Diego Cabra /comandante del castillo de Jagua, 50. El capitán de.milicias D. Joaquín Vigil, subdelega­ do de real Hacienda de S. Juan de los Remedios, por donativo de varios indi­ viduos de aquella villa, 135 y 2 rs. El intendente de exército graduado…</t>
  </si>
  <si>
    <t>ViHacampa</t>
  </si>
  <si>
    <t>costaron al enemigo mas de 200 muertos y too prisioneros, sin mas pérdida por parte de Espoz que 3 muertos y 23 heridos.—El 24 de enero consiguió el general ViHacampa una ventaja de alguna consideración en las inmediaciones de Teruel contra la divi' sion francesa mandada por Kíiski que ocupaba aquella ciudad , hacien­ do 80 p…</t>
  </si>
  <si>
    <t>ViHamil, Cayetano Fernandez</t>
  </si>
  <si>
    <t>Cayetano Fernandez ViHamil</t>
  </si>
  <si>
    <t>rimes de ella en Íes dias 4 y 5 del corriente por msñína y tar­ de. Dió e principio k ellos por un papel alusivo al objeto que leyó el primer maestro D. Cayetano Fernandez ViHamil. Fueron exami­ nados en aiismética, D. Agustín Nogueyra, D. Conon Auge, D. Mi­ guel O íoste y Vidal , D. 'Domingo González, D. Francisco Otero, I).…</t>
  </si>
  <si>
    <t>VII, Femando</t>
  </si>
  <si>
    <t>Femando VII</t>
  </si>
  <si>
    <t>Sr. : Tengo el honor y ia indecible satisfaeei m de-comu­ nicar á V. A. que la plaza de S. Fernando de Fogueras está en poder de nuestro *ey y señor D. Femando VII La adjunta copia del parce</t>
  </si>
  <si>
    <t>Viiadomar, Antonio</t>
  </si>
  <si>
    <t>Antonio Viiadomar</t>
  </si>
  <si>
    <t>istinguieron los coroneles D. Felipe de Fieyres, Don Bernardo Turen y y Don Juan Claros, e! teniente (coronel D. Andrés Bacigalupi, el de igual cíase D. Antonio Viiadomar, y el sargento ma­ yor L). Francisco Claros. — En la; noche del mismo dia se apostó Mihnt juftto á Llavanera*, y los enemigos evacuaron i Arens de Mar con m…</t>
  </si>
  <si>
    <t>Viihc, Pedro</t>
  </si>
  <si>
    <t>Pedro Viihc</t>
  </si>
  <si>
    <t>ir.feliz orí-ioturo que no podía andar. Huertu-Hernando 3 de marzo Los enena;g s de Aragón , que per­ siguieron ia ai visión ael tir ria al de campo D. Pedro Viihc mpa , liegaron en su regreso el dia 12 h sti Cidlabradss , dos leguas c-e este pueblo. Nuestras tri pas se hall bao entonces , la caballería en Sacedon y la infant…</t>
  </si>
  <si>
    <t>Viiiaroel, José</t>
  </si>
  <si>
    <t>José Viiiaroel</t>
  </si>
  <si>
    <t>iafa*vAria da Zamora ; compañías é D. Vicante Casado, D. Horm'jnegiido- Mancebo y D, Antonio Marga­ do; ayudantía á D D o Asió de Arce ; tenencias á D. José Viiiaroel, D. José de los Jtav'js, D. Francisco Puebla, D. Antonio Nieto, D. Franc'seo Or iuda? D.-Francisco de Ibarra, D. Manuel Caba­ llero, D Juan Magollo D. José D:az…</t>
  </si>
  <si>
    <t>Viílacampa</t>
  </si>
  <si>
    <t>ayan , comandante de ios cazadores de Cariñena , habían co­ gido la guarnición de Daroca, compuesta de 200 hombres : y el mis­ mo dia por ia tarde el general Viílacampa se dirigió con su división hácia Atbarncin.— En las Peñas de S. Pedro en la Mancha, D.Fran­ cisco Gómez Barreda con 600 soldados y 800 paisanos armados ha bat…</t>
  </si>
  <si>
    <t>Viílagarua, Nicolás</t>
  </si>
  <si>
    <t>Nicolás Viílagarua</t>
  </si>
  <si>
    <t>quierda , y dando siempre pique á mi guerrilla que constaba de 20 caballo?. Viendo que el enemigo intentaba envolverla con pidas suv fuerzas, mandé á D. Nicolás Viílagarua , nombrase 30 cabelles para reforzarla, con ia prevención de que saliesen sable en roano á todo escape contra el enemigo, dexando la restante caballería al…</t>
  </si>
  <si>
    <t>Viilalta, Fernando Gaicía</t>
  </si>
  <si>
    <t>Fernando Gaicía Viilalta</t>
  </si>
  <si>
    <t>Almendros, cura ecónomo de la mi-ma parroquial. Para .el de Cantaras, varante por fallecimiento Lista de los corredores que trafican en el pasage de D. Fernando Gaicía Viilalta , á D. Josef Sán­ clandestino de Inglaterra d Holanda. chez Ortega, cura ecónomo de la misma parro­ quial. Juan Otte, hijo, tabernero, natural de Ams­…</t>
  </si>
  <si>
    <t>Víilatre</t>
  </si>
  <si>
    <t>ra lo ,, El general Rousseau , oficial de gran mérito» menos de 220 hombres. En vista de esto envié or­ y el coronel Autie , han sido muertos. den al general Víilatre para que no se opusiese al ,, Nosotros hemos tenido 300 hombres muertos paso del enemigo, y que le contuviese en ia iz­ y 1400 heridos ; pérdida mui sensible,en…</t>
  </si>
  <si>
    <t>Viilatte</t>
  </si>
  <si>
    <t>ió que eraa tan considerables las fuerzas enemigas, y que ios in­ París 1.° de abril. gleses formaban una gran parte de ellas, mandó i la brigada del general Viilatte que dexase abiertos Extracto de la correspondencia del exército del mediodía de la España del iG de marzo. los desembocaderos y caminos qoe van á la Isla de Leó…</t>
  </si>
  <si>
    <t>Viilauueva, Angel González</t>
  </si>
  <si>
    <t>Angel González Viilauueva</t>
  </si>
  <si>
    <t>stian Izquierdo , 500. D. Pascual Cebada , 704. D Juan Córd ido , 300. D. Felipe de....... 100. D. Juan Ferrari, 30 ). D. Nicolás María Carmena 1500. D. Angel González Viilauueva, 1000. Total , U,451. ' h'i plata y otros efectos. E! Sermo. Señor presidente D. Pedro de Agar, 25 libras y 8 onzas de plata labrada en varias pieza…</t>
  </si>
  <si>
    <t>ViItacampa</t>
  </si>
  <si>
    <t>246</t>
  </si>
  <si>
    <t>, 18, 19 y 26 de enero, junto á Bañólas, Bada lona y L’nrá. El fxé'cdo de Micion Id se hallaba el mismo dia 26 en Bedpuig , Agram.mt y B.laguer. — Eí general ViItacampa peleó e! 31 de enero en C íe :a, contra un cuerpo de ^3 in­ fantes y 300 c ballos f anceses, y de resu tas se retiró á Guaiaiabiar.- — El cuartel general -del…</t>
  </si>
  <si>
    <t>Vil, Fernando</t>
  </si>
  <si>
    <t>Fernando Vil</t>
  </si>
  <si>
    <t>204</t>
  </si>
  <si>
    <t>de nuestro amado monarca , por la larga vida de S. M. B. yorge m, por el buen suceso de las armas españolas, y pot la uni n de los va­ sallos del Sr. D. Fernando Vil en ambos mundos. — (Suplemento á la gaceta de Puerta rico del xa de diciembre.)</t>
  </si>
  <si>
    <t>dole también el uso de un escudo de distinción sobre el brazo izquierdo , en cuyo centro estén marca­ das las iniciales de nuestro deseado rey el Sr. D. Fernando Vil, y en su orla este letrero : herido en Acúleo no abandonó sus filas. --El subdelegado de la villa áe Xaiapa de la Feria á nombre de los gobernadores y república …</t>
  </si>
  <si>
    <t>231 rey Fernando Vil , y de.su amada hermana la España, tan pérfida­ mente invadida por el tirano de la Europa. Con este objeto ofrecen todo el sobrante de sus rentas y propios, reservando solo lo preciso para J</t>
  </si>
  <si>
    <t>Vilaaova, Narciso</t>
  </si>
  <si>
    <t>Narciso Vilaaova</t>
  </si>
  <si>
    <t>s de otros. Veas recomien­ da mucho á tqdos los individuos de las tees partidas pr r su valor y constancia en las fatigas, pero muy particularmente á D Narciso Vilaaova, teniente del batallón segundo de Barcelona.— El mismo brigadier B-’gines de los Ríos, con f¿cha en Ximena á 18 del actual, remite copia del parte que Je diri…</t>
  </si>
  <si>
    <t>Vildosoia, María Josefa</t>
  </si>
  <si>
    <t>María Josefa Vildosoia</t>
  </si>
  <si>
    <t>a , por mano D. Vicente Diaz Alonso, id., por./,........ 2200 de D. Juan Bautista de Iribarren....... 4ÓQ2..2¡ D. Pedro Celestino de la Rion, ex-mer- Doña María Josefa Vildosoia , por mano cenario descalzo, residente en Chinchón, del misino Iribarren....................í................ 336l7-I$ por...........................…</t>
  </si>
  <si>
    <t>Viliatte</t>
  </si>
  <si>
    <t>les , á hs órdenes parte dd qusrtO cuerpo que me hubiera ayudado, de Peña , estaban al frente empeñados va cor, e¡ todo L-te exército estaba perdido. general Viliatte. El fuego de artillería y fusilería ,i Hemos cogido tres cañones, tres coroneles, era sumamente vivo. Al ver sus lineas reconocí too rtiidaies y óco soldados , …</t>
  </si>
  <si>
    <t>Villa</t>
  </si>
  <si>
    <t>de Arrigon 16 de enero. El brigadier D. Juan. Martin ha llegad6 á este pueblo con 400 caballos , á que se agregarán, según dicen, la caballería elej. general Villa campa, la de Eraso y las dp los partidarios Merino y Tapia , qué han llegado á feste señorío eoq varios vocales de la junta de Soria y perseguidos por la división …</t>
  </si>
  <si>
    <t>rdía y Tort.vsa habían pensa­ do harer una inearsion hacia P, díscola , pero han desistido de su inínnto. Uncí 2 de marzo. Extracto de los parles del general Villa campa al comandante Ozeacra1* de A/aven. O i.9 Huélamo 4 de febrero de i3i r. «La noche del 30 del pasado Penó el enemigo á Traid , ea las ium-tdiaci. nes ¿e Checa…</t>
  </si>
  <si>
    <t>Villa, Jasé</t>
  </si>
  <si>
    <t>Jasé Villa</t>
  </si>
  <si>
    <t>1179 Busíamante y D. José de Torres, ¿ los capitanea de voluntarlos y üko dí? Veracruz D. Juan Luengas y Dan Juan Zavaleta, al sar­ gento mayor D. Jasé Villa iba, y á los ayudantes D. Francisco Mar­ tines y D. Ignacio Iben-i: co no asimismo á los capellanes D. Ma­ nuel de Neira , y los RR, PP. Fr. José Jáuregui, Fr. Andrés Ga…</t>
  </si>
  <si>
    <t>Villa, José Salios</t>
  </si>
  <si>
    <t>José Salios Villa</t>
  </si>
  <si>
    <t>Frarrebeo L^nzagorta, mariscal. D. Vicente Valencia, director de 'in­ genieros; D. Ouofré Póitugal, brigadier. D. Juan B iribú Carrasco, 'brigadier. D. José Salios Villa, coíenel. D. Pedro Leen, m^yor de plaza. D. Ignacio Garuargo, mariscal. U. Mariano Hidalgo. D. Agus­ tín Marroquin. D. Mariano Abáselo, mariscal. I&gt;. Luis Me…</t>
  </si>
  <si>
    <t>Villa, José Santos</t>
  </si>
  <si>
    <t>José Santos Villa</t>
  </si>
  <si>
    <t>laico , ir!. D. Joan Ignacio ífc\mon , id. D. José Santos Villa , coro­ nel. D. Mutual Chica, coronel retirado. D. Pidro L’jon, mayor de plaza. D. Vicente Sildieraa, tenieata coronel retirado. D. José Mi­ guel Arroyo. D. A ¿toaio Alvarez Vega, sargento m</t>
  </si>
  <si>
    <t>Villa, Mariano</t>
  </si>
  <si>
    <t>Mariano Villa</t>
  </si>
  <si>
    <t>ros D. P iéro GMcob*,' y á todos lo$’'£ótmtédantesr y. • demns individuos de las guerrilUíf ; é igualmente* recomiendo á V. E-. al * teniente eóronel D. Mariano Villa, ei que per los exactos conccimiectos-. qué mi ha dado de roclos ¿quelíos terrenos ha contribuido mucho para el éxito de la empresa , h hiendo ida durante el fu…</t>
  </si>
  <si>
    <t>Villa, Pedro</t>
  </si>
  <si>
    <t>Pedro Villa</t>
  </si>
  <si>
    <t>e Canet se llevaren 1250 duros y las maldiciones de todos sus habitantes. Cuenca 27 de marzo. E! 23 del comente , la división del ma­ riscal de campo D. Pedro Villa campa, de acuerdo con la del briga­ dier D. Juan Martin, hizo un movimiento sobre el puente y v lia de Anfión. Parte del batallón de Cariñena vadeó el Tajo, y el …</t>
  </si>
  <si>
    <t>á la iz­ quierda de este; por la izquierda ei mariscal de campo D. Carlos ODonnell con las divisiones de los mariscales de ca upo D. Jo é Mi­ randa, D. Pedro Villa campa y la de caballería de D. Jiaé San Juan. El general en gefe con tropas de la reserva y artillería quedó en las pequeñas alturas del Paig, y el stñor Mahy con …</t>
  </si>
  <si>
    <t>Villacampa</t>
  </si>
  <si>
    <t>rance­ ses de la parte de Müniesa habian hecho movimiento, ignorándose su número y dirección. El 30 por la mañana* se recibió aviso, envia­ do por el general Villacampa, de que el enemigo había entrado en fuerza la noche antes en Mezquita , y que -su objet o era probablemen­ te el atacarle. Al momento se dió orden de retirar …</t>
  </si>
  <si>
    <t>ha remitido el general Carvajal, relativos á la' acción de Villel y al juramento de Jideüdad á las Cortes prestado por sus tropas. num. 1. Parte del general Villacampa. ¿íA las 10 de la noche del 11 del corriente se me avitó desde Teruel, que aquel mismo dia, en el momento que los enemigos lle­ garon á la ciudadpidieron dos r…</t>
  </si>
  <si>
    <t>do á retroceder de sti dirección, situándose en Xea de Albarraein , y dpsde allí en los pueblos de Saldou y Val decuenca. al paso que las fuerzas del general Villacampa se replegaron á Javaloyas el dia 25. Albarraein fué A pun­ to de re u,. ion de todos, y el comandante general noticioso de que ios enemigos al mando de Kiski …</t>
  </si>
  <si>
    <t>as lab-ricas de armas del señorío de Molina. Llegaron con efecto los franceses á esta villa el 28, pero retrocediendo rápidamente sobre la marcha del general Villacampa , se retiré esté á Óhééa , em donde fué’ Wtacaio ei dia 31 por 3000 ihfdhté£ y 300 caballos: la naturaleza;del Eérreno le cbJ¿aba á mahtenér una linea de tres…</t>
  </si>
  <si>
    <t>y diverso, y el enemigo hubiera perdido parte de su artillería, que ya estaba en poder de los nuestros. (Ó) Tenemos é la vista , ademas del parte del general Villacampa, varias cartas y relaciones de sugetos fidedignos que presenciaron la ac­ ción , y de todo resulta que tuvimos 31 muertos , 79 heridos y 35 pri­ sioneros. To …</t>
  </si>
  <si>
    <t>rviedro. ‘¡El mariscal de campo D. .Carlos O Donncll , cubre nuestra iz­ quierda en la orilla déla huerta con una dividen ce infante -ía al mando del general Villacampa, otra de caballería al dei gripal San Juan, y algunas piezas de artillería. Ei mariscal de campe D José Obispo, con c^rca de 3000 hom* brea, estaba en Arcos d…</t>
  </si>
  <si>
    <t>Villacampa, Pedro</t>
  </si>
  <si>
    <t>Pedro Villacampa</t>
  </si>
  <si>
    <t>campo D. Francisco Marcó del Pont, segundo comandan­ te general de este exércíto , I). Cárlos Francisco Cabrer, coman­ dante general de ingenieros , D. Pedro Villacampa, comandante general-de la división, el coronel ©. Francisco de Arce , comandan* te general de artillería , con todos los demas oficiales agregados á la plana …</t>
  </si>
  <si>
    <t>ndante general dd exército y reygo de Arngon D. José Obispo, revistó É prmeipios de este mes en Laú­ detela división 'del mando del marisca! de campo D. Pedro Villacampa, compuesta de 5000 hombres. Estas trepas ¿ pesar de lo ík« “ s y faltas tig-jdiis '' de’ s varios ’ articules ■*' 1 que se_ haliaa ,■ manifiestan los mas viv…</t>
  </si>
  <si>
    <t>Villademoros, Rico</t>
  </si>
  <si>
    <t>Rico Villademoros</t>
  </si>
  <si>
    <t>la medida , dixo, entre otras co­ sas ; ,,Yo me acuerdo , Señor , que se hizo aquí uná Eo la sesión de 29 de julio de las moribundas «justicia con el abogado Rico Villademoros, el cortes de Cádiz, no atinando , ó no queriendo ati­ «quai aceptó de los enemigos un einp¡eo de alnar los individuos de ellas el verdadero origen de …</t>
  </si>
  <si>
    <t>Villaeampa</t>
  </si>
  <si>
    <t>l domingo 17 del pasado, bastó con sobras para el.pago de 2034 pares de zapatos que se necesitaban, y se remi­ tieron inmediatamente á su destino. El general Villaeampa contestó el recibo con acción dé gracias y elogio del patriotismo valenciano, des­ de TaJayuelas con fecna de 26 del mismo mes. — Del resto del dona­ tivo ha …</t>
  </si>
  <si>
    <t>Villalba, Clemente</t>
  </si>
  <si>
    <t>Clemente Villalba</t>
  </si>
  <si>
    <t>mero, á Vitoria.......... .......... efectivo. subteniente de la .'¿prima compañía, en la vacante Bilbao........................ efectivo. ia par. de D. Clemente Villalba. Santander............. efectivo. ■ Quarto batallón. San Sebastian.......... efectivo.j Valladolid.............. efectivo. I 2 D. Josef Lenard , teniente , …</t>
  </si>
  <si>
    <t>Villalobos</t>
  </si>
  <si>
    <t>80 donde se había retirado con anticipación'el comandante Villalobos. Dia 4. Los enemigos de Velez-Hubio se han reforzado hasta el número de 1000 hombres de toda arma, mandados por un general: tienen 4 cañones. ^ Dia 5. A las tres de la madrugada salieron lo</t>
  </si>
  <si>
    <t>Villalobos, José</t>
  </si>
  <si>
    <t>José Villalobos</t>
  </si>
  <si>
    <t>Del 30. Habiendo desocupado á Gaadix íes francesas e! 28, tu­ vo orden de adelantarse el cap lían D. José Villalobos con sus guer­ rillas que e! mismo dia durmieron en la Peza y en Diezma, y el si­ go ente llegaron á Cuentar, distante dos leguas y media de Grana­ da, donde permanecen. Valencia 25 de junio. La junta provincial…</t>
  </si>
  <si>
    <t>Villamil, José</t>
  </si>
  <si>
    <t>José Villamil</t>
  </si>
  <si>
    <t>encer: haciéndome r.ota?Je falta este oficial , á pesar de que el capitán de dragones de España Don Joaquín Perez, y el teniente del mismo regimiento D. José Villamil con sus dragones y la demas caballería, auxiliados con mi infan­ tería atendíamos á todas las salidas del bosque, atacándolos donde se presentaban, y siempre re…</t>
  </si>
  <si>
    <t>Villamil, Manuel Fernandez</t>
  </si>
  <si>
    <t>Manuel Fernandez Villamil</t>
  </si>
  <si>
    <t>da , Santafé Iceles Zaragozanos, líiberia , segundo de Maboya, América, Soria.5 Ultonia, Fernando VII, Almería 5 Baza , Palma y Gerona , al coro* nel D. Manuel Fernandez Villamil, comandante agregado al de Fer­ nando VII: á D Domingo Loaces, comandante agregado al de Amé­ rica: á D. Dominga Díaz Perez , sargento mayor del pro…</t>
  </si>
  <si>
    <t>Villanail, Bernardo</t>
  </si>
  <si>
    <t>Bernardo Villanail</t>
  </si>
  <si>
    <t>dragones de España y del.regvmiento.de S. Cirios. Pttra que dirigiese la marcha de estos cuerpo?, despaché á mi pri­ mer ayudante el teniente coróne! D. Bernardo Villanail, con orden de que formar¿do. otra columna con el segundo batallón de granade­ ros del mando del teniente coronel D* Joaquín de Castillo y Bastá­ bante, lps…</t>
  </si>
  <si>
    <t>Villanova, José</t>
  </si>
  <si>
    <t>José Villanova</t>
  </si>
  <si>
    <t>692</t>
  </si>
  <si>
    <t>l amanecer se batieron nuestras guerrillas.con la mayor bízairía, y las de la parte de levante al mando del teniente del regimiento segundo de Haboya D. José Villanova, sostuvieron el fuego hasta las 9 y media de la mañana, rechazando á las énemigas, y causándoles la pérdida de unos 80 muertos, un oficial y muchos heridos que…</t>
  </si>
  <si>
    <t>Villanueva, Juan</t>
  </si>
  <si>
    <t>Juan Villanueva</t>
  </si>
  <si>
    <t>286</t>
  </si>
  <si>
    <t>as no permití hacer fuego. Mas habiendo atacado por uno de los vados defendido por dos compañías del primero de mis batallones al rnaado del teniente D. Juan Villanueva, y siendo rechazados con mu­ cho vigor, me fué preciso mandar á las columnas del frente de los otros vados, que batidas así se retiraron á una posicicion inme…</t>
  </si>
  <si>
    <t>Villar, Francisco García</t>
  </si>
  <si>
    <t>Francisco García Villar</t>
  </si>
  <si>
    <t>............ 2200 side , por............................................................... 2 lOO D, Ildefonso Barrena, natural de Aldeadávila , en * D. Francisco García Villar, natural de Villa- Salamanca, residente en su pueblo, por............. 2200 vendimio, prou’ncia de Toro, residente en di­ D. Juan de la Escalera, natu…</t>
  </si>
  <si>
    <t>Villardel, Josef</t>
  </si>
  <si>
    <t>Josef Villardel</t>
  </si>
  <si>
    <t>or ella; que In­ regimiento de Toledo, 2° de infantería de línea, terceptan y toman ios buques que llevaban armas y mu­ al teniente del propio cuerpo D. Josef Villardel. niciones á los pueblos que no querían hacer causa co­ Por decreto de 11 del mismo mes se ha servi­ mún con los de Caracas, y que hacen otras cosas, que do S.…</t>
  </si>
  <si>
    <t>Villareál, José Antonio</t>
  </si>
  <si>
    <t>José Antonio Villareál</t>
  </si>
  <si>
    <t>blo García, Jó. D. Juan Antonio de Cárdenas , 13. D. José Camacho, 13. D. José Miguel Sánchez, 10. D. Vicente Florez, 10. D. Juan Francisco Roxas, 6. D. José Antonio Villareál, 7. D. Berdírno Vela , 5. D. Manuel de la Garza, 6. Varios individuos, 15. — Parras. Don Juan Tágíe, 50. Don Juan Nava, 25. Don Francisco Antonio Gutié…</t>
  </si>
  <si>
    <t>Villaseca, Joan</t>
  </si>
  <si>
    <t>Joan Villaseca</t>
  </si>
  <si>
    <t>r, 25. D. Gaspar Machín , 25. D. Isidro Arecha,25. D. Nicolás Soriano, 25. D. Pedro í«opea , 35. D. Ignacio Cantarcy , 25. D. Bartolomé Rusconi , 25. D. Joan Villaseca, 25. D. Pablo Soler , 25. Don José Bobos , 25. D. José Ector Padrón, 25. I&gt;. Antonio Castilla, 25. Don Manuel Salecio, 25. D. Roberto Ciaberot, 35. D. Joaquiu …</t>
  </si>
  <si>
    <t>Villat</t>
  </si>
  <si>
    <t>ltar, con fecha de 12 di i actual, participa al señor gefe del estado mayor general la agradable noticia, de que habiendo atacado la mañana del 11 el general Villat con mas de 2000 hombres de todas armas y artillería el castillo de Alcalá de los Gaznles, defendido únicamente por 200 hombres del batallón de Carmona al mando de…</t>
  </si>
  <si>
    <t>“ Excmo. Sr. .* Par ub prisionero hecho ayer he sabido qao el general Villat con 5000 hoábres ocupaba la parte de las alturas que dominan la plaza; que Leval con 2000 so halla en la Luz, dotante una legua; que la artillería caminaba con un cuerpo de 3000, y que el general Victor permanecía en BsgeT. El coronel Skerrct cu» alg…</t>
  </si>
  <si>
    <t>Villatre</t>
  </si>
  <si>
    <t>as tropas de la Isia de León i la parte con ios 10 batallones de la primera y segunda di­ de &lt;&gt;cU .ir¡ canal de Santi Putri. visión. ,, Mandé pues al general Villatre qne se apro­ ,, Las tropas del genera] Cassagne no se divisa­ vechase dt¡ la uocbe para atacar estas tropas , y ar­ ban todavía; un quaito de legua largo me sep…</t>
  </si>
  <si>
    <t>Villatte</t>
  </si>
  <si>
    <t>Petri y cazadores, me avisó el dia 2 de marzo que el exér- de las baterías de la Isla de León. cito combinado angio-español marchaba por el va­ ,, El general Villatte me envió el dia 4 la rela­ lle deBarvate, diiisiéndose hacia Casas viejas y ción de esta acción , y por ella supe que el enemi­ Medina. 7 go h.bia echado este p…</t>
  </si>
  <si>
    <t>VillauoeVa, Rosa</t>
  </si>
  <si>
    <t>Rosa VillauoeVa</t>
  </si>
  <si>
    <t>......... 50799 33 • D. Josef Lacrorts............ ............... »555é 5 D- Juan Vázquez Gcvallos........... 57999 33 -- ------------ --------------Doña Rosa VillauoeVa................... 12099 33 ' Rs. vn. 7.898414 4ÍEl convento de religiosas francis­ cas de los Angeles de esta corte. S9Í©53 $ Que i una suma importan 7.898…</t>
  </si>
  <si>
    <t>Villegas, Miguel</t>
  </si>
  <si>
    <t>Miguel Villegas</t>
  </si>
  <si>
    <t>)iaz Portier. D. Román Diaz Tagle, 100. L. Juan Madrazo, 100. D Vicente Sánchez de M-'ifoellan, 100. D. Miguel Ruiz , 100. D. Felipe de Herrera, 100. D. Miguel Villegas, 100. D. Manuel Herrero, 100. D. Juan Antonio Gutiérrez, 100. I). José Fernandez y D. Melchor Gómez , 70. D. Ramón Martínez , 100. Ron Liego de Hontoria: 100.…</t>
  </si>
  <si>
    <t>Villela</t>
  </si>
  <si>
    <t>to de setiembre. asistieron á la formación de la constitución, y la jura­ Extracto de las minutas de la secretaría de Es­ ron como al Rei Josef; y el consejero Villela , adrmu tado. del voto que dió por la constitución, entregó otro se­ En nuestro palacio de Madrid á 10 de setiem­ parado, dado voluntariamente, para probar que…</t>
  </si>
  <si>
    <t>Villiams</t>
  </si>
  <si>
    <t>con dirección á Cjndeixa sus prin­ cipales fuerzas. — La infantería ligera perteneciente á la división del mando del general Picton , mandada por el teniente coronel Villiams, y los cazadores número 4 á las órdenes del coronel R go , fueren las tropas que principalmente tuvieron parte en esta operación. — Ayer hallamos á todo…</t>
  </si>
  <si>
    <t>Viñas, Rita</t>
  </si>
  <si>
    <t>Rita Viñas</t>
  </si>
  <si>
    <t>D. Agustín Costa, 10. D. Agustín Riera, 10. D Rafael Tomas, 10. D. Juan Puig, 10. D. Francisco Becerra, 10. Antonio Ordz , 10. D. José Espinosa, 10. Doña Rita Viñas , 10. Tomas Herrera , 12. D Juan Ibas , 10. D Francisco Pé­ rez Díaz , 10 D. José Cabrera , G. D. Francisco Púa , 6. D. Roque Beyroa , G. D Venancio Ramírez , 6. …</t>
  </si>
  <si>
    <t>Vinelo, Manuel José</t>
  </si>
  <si>
    <t>Manuel José Vinelo</t>
  </si>
  <si>
    <t>fantería ligera, á cuenta de 100 pesos que ha ofrecido, 30. Antonio Acosta, sargento de dichas com­ pañías, por 4 meses de su oferta en cada uno , 8. D. Manuel José Vinelo, oficial mayor-jubilado de la secretaría del gobierno, por el de 3 soldados en un año , 316. 1). José Miguel Suarez , vicario de la parroquial de Jesús, Ma…</t>
  </si>
  <si>
    <t>Vinot</t>
  </si>
  <si>
    <t>l Chainorin. {Se ha podido para este ofi­ PLAZA DE MADRID. BOLSA. cial el grado de general de brigada ) El 2.0 de hú­ OIA 12 DI MAXZO DI l8ll. sares, coronel Vinot. El io.° de húsares, manda­ do por el gefe de esquadron Demarest. El 2t.u de cazadores, m.o¡d*do por el g fe de esquadron Mu- Curso dt los cambios. ller, y la comp…</t>
  </si>
  <si>
    <t>servido con distinción, como acostumbra, mandante para los generales Briche y Bouvter de* y ha hecho con gran destreza mucho con pocos Eclats , y el coronel Vinot del 2.0 de húsares, y medios. Suplico á V. A tenga á bien hacer pre­ el grado de general de brigada para el coronel Chxsentes á S. TVI. las solicitudes de ascenso e…</t>
  </si>
  <si>
    <t>Vireioa</t>
  </si>
  <si>
    <t>eneral de los departamentos de la Ho-' Este mismo aumento tendrá lugar en los reti­ Tanda. ros que se concedan por antigüedad deservicio. S. A. 1. la princesa Vireioa de Italia dió i luz art. vn. A los oficiales reformados se o ntann príncipe el día 9 del corriente. rán cada dos años que subsistan en esta clase como uno de se…</t>
  </si>
  <si>
    <t>Virrareal, Lorenzo</t>
  </si>
  <si>
    <t>Lorenzo Virrareal</t>
  </si>
  <si>
    <t>D. Miguel Muzqui , 10. Segundó id. D. Antonio Cadena, 25. Primer alférez D. Félix Areiniega&gt; 10. Segundo D, José Ignacio de Elguezabal , 30. Capellán D. Lorenzo Virrareal, 40. Sargentos, cabos y soldados , 482 y 7 rs. — Bahía del Espíritu Santo. Capitán Di Francisco Amangual , 50. Primer alférez D. Juan Antonio Urrutia , 25. …</t>
  </si>
  <si>
    <t>Virucs</t>
  </si>
  <si>
    <t>una carga fue Entre los prisioneros se cuentan 350 oficiales á plantar su águila en medio de un campo enerargo» entre los quales se halla el teniente general Virucs, que todavía se d»f.nlia, y se bailó al instante ro­ qnarro brigadieres generales, y tj coroneles y te­ deado por los valientes de so regimiento. nientes coronelt…</t>
  </si>
  <si>
    <t>Virues</t>
  </si>
  <si>
    <t>16 entraren de 900 á ioo© prisioneros escoltados por unos 6o dragones y 300 i- fustes franceses, y ico juramentados. Kutre ios pri­ sioneros vetda el general Virues. El trato que les haa dado ea el ca­ mino , ha sido ir-icuo , y ai temor de que lo cuenten se atribuye el cuidado que ponen en que nadie hable con clics. Aseguran…</t>
  </si>
  <si>
    <t>Visiones</t>
  </si>
  <si>
    <t>probar por mí mismo sus fuerzas y atrincheramientos. A las dos de la madrugada de hoy, lo he ver ficado con 400 somátense , qu*s distribuidos en dos d Visiones , una á cargo de mis ayudantes D. Francisco Ri-era y D. PAúio Soler, y la otra mandada per mí mismo y D. Antonio Ralagt er, han em­ bestido la montaña por la sierra de…</t>
  </si>
  <si>
    <t>Vitlalba, Clemente</t>
  </si>
  <si>
    <t>Clemente Vitlalba</t>
  </si>
  <si>
    <t>ciales , se executarán en adalante Tercer batallón. conforme al plan general, cuyo objeto es desem­ barazar enteramente el Foro; y de este modo no se D. Clemente Vitlalba, abanderado , á teniente llenará una parte del Campo-Vaccino con los es­ de la quinta compañía. combros y desmonte de otra parte. La tierra se D. Miguel Gar…</t>
  </si>
  <si>
    <t>Vitoria</t>
  </si>
  <si>
    <t>nu vos clare*, que dan por desbaratados al siguiente. Dicen q:e deben p:iti. para A 1 ialu.í i 12000 hombres y 2o00 caballos, con cuyo objeto vendrá d Vitoria el general Caforelli con su división, reuniéadosele la guardia imperial. CXtas dicen que la división de Seras ya está en marcha p*ra el mismo destino. En estes dias tom…</t>
  </si>
  <si>
    <t>Vitorino, Francisco</t>
  </si>
  <si>
    <t>Francisco Vitorino</t>
  </si>
  <si>
    <t>o, y recomendádome muy particularmente al capitán D. Ga­ briel Corrales, comandante del escuadrón de la cruzada de Alburquerque , y al de igual clase D. Francisco Vitorino. Por mi parto no debo omitir el mérito contraído por el brigadier D. Pablo Mo» trillo en su* expediciones. y el justo crédito que ha adquirido por el acier…</t>
  </si>
  <si>
    <t>Vitorino, Gabriel Corridhs y Doa Francisco</t>
  </si>
  <si>
    <t>Gabriel Corridhs y Doa Francisco Vitorino</t>
  </si>
  <si>
    <t>rría de sus oficiales y tropa, pero muy par* ticuiarmente al primero y segundo comandantas del escuadrón da la cruzada de A!burquer*]ue los capitanes D. Gabriel Corridhs y Doa Francisco Vitorino.” IZdacwn de las cantidades que kan entrado en poder de D. Juan lio* ívira Farinosa, como encargado de la recaudación del donativo p…</t>
  </si>
  <si>
    <t>ViUadtmo, Eduardo Rico</t>
  </si>
  <si>
    <t>Eduardo Rico ViUadtmo</t>
  </si>
  <si>
    <t>e S. S. á las 3 y media de h tz-'J Hemos decretado y decretamos lo qoe siguet para tratar de ciertos puntos pendier.tc-s e:t b;n:fi-d ,, Concedemos á D. Eduardo Rico ViUadtmo- de todos y cada uro; loque se anuncia a¡ público py, ros, bij &gt; legítimo del virtuoso y desgraciado ma­ que todo el que s»a interesado á dicho concurio…</t>
  </si>
  <si>
    <t>Víüals, Pablo</t>
  </si>
  <si>
    <t>Pablo Víüals</t>
  </si>
  <si>
    <t>igos, y rompiéndose el fuego, se les mataron 6 hombres y un caballo, obligándolos á huir precipita­ damente, sin pérdida alguna pqr nuestra parte. De D. Pablo Víüals, capitán del somaten de Terrazo la, al. rn is mo. — S. Pedro de Riudebilles 4 de setiembre*—r- lie logrado desalo j*r al enemigo de esta villa, y lo, he puesto e…</t>
  </si>
  <si>
    <t>VíUatte</t>
  </si>
  <si>
    <t>encia el plausible suceso que da co deI enemigo , al mismo tiempo que una brigada un heredero al trono del imperio, y deseando que de ia división del general VíUatte, que va se ha­ este día sea uno de los mas felices para las clases bía apoderado de la cabeza del puente de*S. Pedro, mas desgraciadas del reino, se ha dignado c…</t>
  </si>
  <si>
    <t>ViUavieja, Prudencio</t>
  </si>
  <si>
    <t>Prudencio ViUavieja</t>
  </si>
  <si>
    <t>rrez, cura de Tejares. nado, ex- regular franciscano, guardián de sn con­ Para el de Pajares del Fresno, vacante por pro­ ven m de Linares. moción de D. Prudencio ViUavieja al de la Tri­ ConcluiJo el acto religioso con toda la solem­ nidad de la referida ciudad de Segovia, á D. Mar­ nidad y aparato qne era propio del dia , sa…</t>
  </si>
  <si>
    <t>Vivas, Josef</t>
  </si>
  <si>
    <t>Josef Vivas</t>
  </si>
  <si>
    <t>bramos por capitán de esta com­ iba con solos dos hombres abandonado de los suyos. pañía á D. Fraricicco Martínez Raga, y por sub­ Del ij. teniente á D. Josef Vivas, subteniente que fue El comandante de la plaza del Carpió ha dado del regimiento de dragones de Lusitania. aviso de que en la tarde del dia 16 una quadrilla ART. …</t>
  </si>
  <si>
    <t>Vives, Francisco Dionisio</t>
  </si>
  <si>
    <t>Francisco Dionisio Vives</t>
  </si>
  <si>
    <t>, D. Juan Esteban de Mancebo, D. José Me rejón, y D. Antonio María San Andrés. Ei Consejo de Regencia se ha servido conferir el empleo de co­ ronel á D Francisco Dionisio Vives, comandante del primer bata­ llón de voluntarios de Cataluña: el de comsndante de! de volunta­ rios de Mérida, á D. Francisco de Paula Pavía, sargento…</t>
  </si>
  <si>
    <t>VíVh</t>
  </si>
  <si>
    <t>ia especería, iéParrt z:y el algouon hilado pasan por Brodi. DINAMARCA. Copenhague127 de abril. AUSTRIA. ntí y ‘r Por un parte rimlrido por el señor capitán VíVh.i 2 j de abril. , i,.„ Klow, gefe dé la prrmefa división' de la defensa de las costas en el distrito de Stavangeren Norue­ El gobierno acaba de desmentir por «pedio …</t>
  </si>
  <si>
    <t>Viví, Gaspar</t>
  </si>
  <si>
    <t>Gaspar Viví</t>
  </si>
  <si>
    <t>1348 Concluyen los donativos patrióticos de la isla de Puertorico. D. Miguel Revira, 160 pesos. D. Gavino Sabad , 43 y 4. D. Gaspar Viví, 100, Varios vecinos del partido de Bayamon, 4S4 y 1. El licenciado D. José de Eib ra, 200. Juan de la Trinidad Moreno, 4. D. Manuel María Caro, 800 Varios vecinos del partido de Punce, 96</t>
  </si>
  <si>
    <t>Vivían</t>
  </si>
  <si>
    <t>* ¡Jamad* nuestra Se­ puente en número de 4© hombres de infantería y ñara de Begoña, que iba de la Coruja á Lon­ 700 caballos para forzar el paso. El capitán Vivían, dres qpn uu carga meato de Upa, maderas finas y del regimiento 5 5encargado de disputarle el cobre* §e vio obligada».por no perecer, á entrar paso, defendió este…</t>
  </si>
  <si>
    <t>Vivien</t>
  </si>
  <si>
    <t>s , que han quedado prisioneros. embarcación iaglesa Nelsont apresada por el corsa­ El señor cdtonel Hugo, el gefe de batalloa rio Rodear. Bossú y el capitán Vivien, arriba mencionados, El mismo dia entró en la isla de Molene, cerca son los que mas bao contribuido al baen éxito de de Bre'st, et brick ingles Orion, cargado de …</t>
  </si>
  <si>
    <t>, no pasaba de 1000: el puente fué tomado á viva fuerza, y de los 240 hombres que lo defendían, fueron muertos 6 prisio­ neros los 200 i así pues el capitán Vivien no se retiró , sino que esca­ pó huyendo con los restantes. Rodeado por todas partes de enemigos, precisado k abandonar el campo, y falto enteramente de municiones…</t>
  </si>
  <si>
    <t>Viyanco, Saturnino</t>
  </si>
  <si>
    <t>Saturnino Viyanco</t>
  </si>
  <si>
    <t>á D. Disgaio Hernández, D. Pedro de la Riva, 0. Pedro da Torres, D. A to ni©. Castellanos ,' D. Frustiso Pansa, B. Jasé María Ptrvz, 1). José Carrón, D. Saturnino Viyanco, D. Pedro Chiega y D. Do­ mingo Lobo: y en el tercer batallo a de cazadores dé Valencia, com­ pra ñiss á O. Cirios Rtd&amp;itra, D. Cesáreo Hsrían y D. José Alo…</t>
  </si>
  <si>
    <t>Vizcaíno, Miguel Gírela</t>
  </si>
  <si>
    <t>Miguel Gírela Vizcaíno</t>
  </si>
  <si>
    <t>nte. D. José! Fernandez de Córdoba. 4 1 D. Rat.iel S^ravia. D. Francisco Sol.no Tablada. D Josef C-F zas. art. iv. En la villa de Cabra se formará UQ D. Miguel Gírela Vizcaíno. batallón. D. Josef Mana Conde. Queda nombrado para comandante de este ba­ D. Antonio Pineda. tallón D. Francisco María Lechuga; para ayudan­ tes D. Ca…</t>
  </si>
  <si>
    <t>Vizcaíno, Pedro</t>
  </si>
  <si>
    <t>Pedro Vizcaíno</t>
  </si>
  <si>
    <t>D. Mariano Ó diana, D. Juan Csvallos, D. Juan Vergas, D. Manuel Melgares y D. José Morera; les de teniente i D. Antonio García , D-' Mateo Peñaranda, D. Pedro Vizcaíno. D. Tomas Rodríguez, D Pedro García, D. Frutos Bo­ ros, D. Manuel Pias ncia y D. Fado Mera; los de subteniente á D. Martin García, D. Manuel Plaza , D Juan, Do…</t>
  </si>
  <si>
    <t>Vizmanos, Antonio</t>
  </si>
  <si>
    <t>Antonio Vizmanos</t>
  </si>
  <si>
    <t>inútilmente; y ya iban á hacer la tercera, D. Juan Pedro MoralesD.- Pascual de Bolafics quando llegó i a bate* tan esperada y tan deseada. y Novoa , D. Antonio Vizmanos , D. Juan Nico­ La noche era sumamente obscura, y llovía á ma­ lás de Ondabeitia; y para fiscal D. Mannel María res; toda la ciudad estaba iluminada , y en to…</t>
  </si>
  <si>
    <t>Vlacu, Dionisia</t>
  </si>
  <si>
    <t>Dionisia Vlacu</t>
  </si>
  <si>
    <t>antip loras para agua , una ojia de campaña , 4 morriones., una casaca , ,un pantalón, una camisa, un par de medias, un par de zapatos y un corbatín. Doña Dionisia ¡Vlacu caniíSAS.rr-Total' del .dinero recaudado según expresa esta nova, 45732 13 v 26 mrs.—'Por ‘liquidó* de un conocimiento de 25398 pesos , venido ven i de Amér…</t>
  </si>
  <si>
    <t>VMate</t>
  </si>
  <si>
    <t>es. (6) Con efecto ? por la de los franceses hubo el general de dhifcm liufn, herido y prisionero ; su gefe de estado mayor Bellegarde, muer­ to ; el general VMate , herido:, el general tkbñ.a.hi Rousseau-('haudron, muerto / un edecán de Víctor y los coronel: s ch los regia di -/dos S y 96, mueilos. Ahora resta, que los franc…</t>
  </si>
  <si>
    <t>Vui, José</t>
  </si>
  <si>
    <t>José Vui</t>
  </si>
  <si>
    <t>ledo ; compañías á D. José Cta.5, O. Cirios S-Jdos y D. Alberto Urbiaa; ayudantía á Don Jtaé Mo-renG; tenencias 3 D. José Mosquera, D.B ¿as Feynador, D. José Vui, D. Jcsé Petan, D. Benito (Grabarre, D. José Pruna, id. Fernando Oríiz, D. Francisco Atonso, D. Antonio VaUscillo, D. José Velas-"ío y, J&gt;. José Armada; subtenencias…</t>
  </si>
  <si>
    <t>Vuk</t>
  </si>
  <si>
    <t>o. neda , pues quanto mayor sea la cantidad de papel L.,s últimas noticias de la Servia dicen que el que entra en circulación, tanto mas inñuye en la general Vuk , que habia permanecido hastaahora verdadera riqueza nacional, y sin salir de la mano en Nt-eotin , al occidente de Widdin, ha repasado del que lo tiene, va siempre …</t>
  </si>
  <si>
    <t>Vülacampet</t>
  </si>
  <si>
    <t>la plaza , tan interesante para el occiden­ te y para el sur de la península. (Gaceta de Lisboa.) ESPAÑA. XJtiel 1.° de abril. Concluye el parte del general Vülacampet sobre la arción de Aun m. "Luego que reconocí la situación de estos y aqu Mi, dispuse, mhntra* q«: por distintos puntos de la esp Ida dtí pueblo tn guerrillas …</t>
  </si>
  <si>
    <t>VV, Ignacio</t>
  </si>
  <si>
    <t>Ignacio VV</t>
  </si>
  <si>
    <t>nrérery de la ventaja de la po­ sición determinó atacarlos : para este efecro, hizo que el subteniente del regimiento de infantería de Nueva-Espr ñ ; D Ignacio VV lardo, con 25 soldados de su cuerpo subiese á'distraerá los enemigosi al mismo tiempo que Anlrade los atacó con tola su columna, y logró disipados, arrojándolos á i…</t>
  </si>
  <si>
    <t>VVattenwü</t>
  </si>
  <si>
    <t>a andanada. El combate duró por reLh , secretario del consejo, acompañado de una espacio de 2 horas, al tin de las quale* la fra- carta para el señor general VVattenwü , á quien t&gt;au Presídeme arrió bmdera, y el Melampo la encarga que haga de modo que llegue dicho de­ conduxo á Ilalifax. L3 fragata americana he per­ creto á n…</t>
  </si>
  <si>
    <t>VVe</t>
  </si>
  <si>
    <t>por estos mal­ acaba de llegar á este puerto de parlamentario. vados : con especialidad á una señora ñutí distin­ Trae-108 pasageros, envía Vs por e! general VVe- guida por su educación y nacimieoto , qt e fue in­ lleslei; salió de* la Isla de Francia el 30 de marzo; sultada , abofeteada y forzada eu fio por quatro lúe deteni…</t>
  </si>
  <si>
    <t>VVeliinglos</t>
  </si>
  <si>
    <t>los de nobleza que se que marchar, sin pérdida de tiempo, hacia Ciu­ reconocen como tales en el reino de Westfalia son dad-Rodrigo; de esta manera el general VVeliinglos de príocipe, los de conde, los de barón y los ton , después de haber logrado so intento, atra­ de caballero. Los títulos de nobleza son heredita­ péndole á u…</t>
  </si>
  <si>
    <t>VViilis</t>
  </si>
  <si>
    <t>dor mandó ayer subir el precio del Parte sobre la enfermedad del Rei. pan un penique por cada pan de 4 libras. Windsor 30 de agosto. Seis criados del doctor VViilis están encargados del „E1 Rei se halla en ei mismo estado poco mas ó cuidado y asistencia del Rei : dos de ellos no se apar­ &gt;1 menos que de algunos días á esta pa…</t>
  </si>
  <si>
    <t>VVjllis</t>
  </si>
  <si>
    <t>a esperanza del dida que combaten seria realmente inconstitucio­ lestablecimiento de S. M. nal , si no la dictara la necesidad; es decir, de el ,, El doctor VVjllis os ha dicho en su declara­ uso y aplicación del gran, sello por órden de las ción que en hs enfermedades de ia naturaleza de la dos cámaras del parlamento, y por …</t>
  </si>
  <si>
    <t>VYdearcel, Vicente María</t>
  </si>
  <si>
    <t>Vicente María VYdearcel</t>
  </si>
  <si>
    <t>e Madrid ; y sargentos mayores en los batallones de ca­ zadores de Carmona y Canarias á D. José Vidal, capitán primero de voluntarios de Valencm, y á D. Vicente María VYdearcel, te"ñiéñte'cótdiiel; gradando'¿rc^^^líé^égiTíitciitfrdr^^Írtniída. Igualmente^ lia n'^iabrudo comaiicbuite flel batallón de granaderos</t>
  </si>
  <si>
    <t>W, Aütaaio Sq</t>
  </si>
  <si>
    <t>Aütaaio Sq W</t>
  </si>
  <si>
    <t>; D. Francisco de F ula Lopes, D, Tomas Ríos , D. Andrés Rodrigo y D. Francisco Gor-znlea ; y subtenencia» i D. Alexandro* Psrezj D, Mariano C'uluby, D. Aütaaio Sq2W¿o, D. Vicente Ji re­ velo , D. Dkgo Fénollet , B; J*sé Saezy D. José Romero , y Dm Jo-é Aguí lar; en el de Valencia, compañías á D. Manuel ÍL mi­ ras, D. Mnriano…</t>
  </si>
  <si>
    <t>Waiies</t>
  </si>
  <si>
    <t>u capiran Van Drouge- cenio des tablas en que está escrito lo que se quie­ len, el buque ingles el Experimentado, de Oí re representar. toneladas, su capitán Waiies, coa cinco hombres „Como las piezas pequeñas tienen mas parte</t>
  </si>
  <si>
    <t>Waliis</t>
  </si>
  <si>
    <t>e es de presumir que se harán asegurar nuestro crédito nacional. La destreza y algunas modihcacior.es en este punto, con arreglo continuas tareas del conde Waliis, que se halla al á lo qne se execota en Austria en esta misma ma­ frente de una comisión central, dé la-qne depen­ teria, y que se concederá á los deudores una mo­ …</t>
  </si>
  <si>
    <t>Walker</t>
  </si>
  <si>
    <t>na se desmanteló la embarcación, tra-almirante P. C. Durliam, capitán W. King; y todas las personas y municiones fueron traslada­ e,) Bedford, de 74, capitán Walker; la Armada, das á una pequeña isla que está situada á Ousse de de 74, capitán A. M. Renzie; el Valiente, de 74» Dagerot; de allí á poco se presentó el Valeroso, c…</t>
  </si>
  <si>
    <t>Wall</t>
  </si>
  <si>
    <t>es efecto de la opinión general. La habido todavía mudanza en el ministerio de Hacien­ comunidad del convento de que se acaba de hablar da. El señor conde Wall» continúa trabajando diz era la mas numerosa de todos ios de la órden de y noche en el arreglo de nuestro sistema de rentas, S. Francisco, y ahora se compone de solos …</t>
  </si>
  <si>
    <t>Wall, Santiago</t>
  </si>
  <si>
    <t>Santiago Wall</t>
  </si>
  <si>
    <t>osé ,Sfe.rranó , y el primer Ayudante del estado hiáyor D. Francisco Ramoy jiet con un escuadrón de granaderos- á'caballo; y el dé ésta última clasfe D. Santiago Wall, con dos compañías dél dé instrucción dé su mando, protegí* dos de 1;as guerrillas de infantería, sostenían éóri áperto y valor él movimreii*. to que se hizo en…</t>
  </si>
  <si>
    <t>Wall, Simón</t>
  </si>
  <si>
    <t>Simón Wall</t>
  </si>
  <si>
    <t>coronel D. Juan Bl¿íke, al sargento mayor D. José Castellar, al de la misma clase gradúa lo de teniente coronel Di José Iglesias ,,y á los capitanes D. Simón Wall, •D. José del Aguila, graduado de teniente coronel, D. Ventura Mena, D. Antonio Puig, graduado de teniente coronel, y Marques de Villacampo; y los de ayudantes segu…</t>
  </si>
  <si>
    <t>Wallace</t>
  </si>
  <si>
    <t>oronel Cadcgan. Estas tropas estaban ademas apoyadas por* los regimientos 74 mandado por el mayor R-ussel Maners y por el 88 del cargo del te­ niente coronel Wallace, pertenecientes á la brigada del coronel M. Kinnon ; y en una de estas ocasiones los regimientos 88, 71 y 79 mandados por el coronel M. Kinnon, cardaron al enemi…</t>
  </si>
  <si>
    <t>Wallin</t>
  </si>
  <si>
    <t>del Lóndret 10 de junio. doctor Juan Olof Wallin, nombrado p^ra ia plaza CAMARA BAXA. ▼acante por fallecimiento del conde Nicolás de Gillemtolpe. El doctor Wallin pronuoció un discur­ Sesión del dia 5 de junio. so acomodado á las circunstancias. Es falso que el tribunal de la corte baya pro­ El coronel Stanlei, después de hab…</t>
  </si>
  <si>
    <t>Wallin, Juan Olof</t>
  </si>
  <si>
    <t>Juan Olof Wallin</t>
  </si>
  <si>
    <t>n de incógnito el 29 del me* próximo pasado á la sesión pública da la academia sueca * qne se había reunido para laacccpcion del Lóndret 10 de junio. doctor Juan Olof Wallin, nombrado p^ra ia plaza CAMARA BAXA. ▼acante por fallecimiento del conde Nicolás de Gillemtolpe. El doctor Wallin pronuoció un discur­ Sesión del dia 5 d…</t>
  </si>
  <si>
    <t>Wallis</t>
  </si>
  <si>
    <t>regularmente á la bahía de Got- Dicese que el conde Ugarte será ayo del Prín­ tenburgo, ce han introducido en Noruega con el cipe heredero, y que el conde Wallis, presidente intento de impedir el alistamiento de marineros que de la cámara de Rentas, le sucederá en el empleo ce está haciendo en la actualidad de orden de nues­ …</t>
  </si>
  <si>
    <t>Gaceta de Madrid n.º 58</t>
  </si>
  <si>
    <t>cho tiempo ha. Ei Emperador se halla hombres de tropas badesas que esperan en aquella mui contento y s«t¡ fecho de la conducía de; mi­ ciudad. nistro conde Wallis , y piusa cor.ftarle uuu de los primeros empleos de ia monarquía. GRAN BRETAÑA. El ministerio de Hacienda , por medio de su$ Londres 16 de enero. acertadas providen…</t>
  </si>
  <si>
    <t>Wallís</t>
  </si>
  <si>
    <t>de nuevo , y se halla actual­ res que se habían concebido en esta parte antes de mente al 866. que principiase la feria. Se asegura hoi qns S. E. e! conde Wallís per­ manecerá al frente del ministerio de Hacicada, y PRUSIA. que no se verificarán las mutaciones ministeriales que se habían anunciado. Berlín 11 de febrero. Los v…</t>
  </si>
  <si>
    <t>tribuir hasta la monarquía aostriaca deberá el restablecimiento la cantidad de 26500 rublos entre los empleados de sus rentas al zelo infatigable del conde Wallis. en las oficinas de la comisión de la pavegacion neu­ Este ministro ha sido nombrado presidente de la tral, en testimonio de lo satisfecho qne está. S. M. junta¡ de…</t>
  </si>
  <si>
    <t>que los principales pro­ nuevas órdenes se dirigen todas á mandar executar pietarios se disponen para auxiliar las intenciones la patente, y S. E. el conde Wallis ha recibido y proyectos del gobierno. de S. M. poderes mui amplios para allanar todos El conde Carlos Bentivoglio, de Ferrara, gen­ los obstáculos que puedan oponer…</t>
  </si>
  <si>
    <t>quiere emplear su ciencia Uno de los papeles públicos de esta mañana en perfeccionar esta destructora substancia. contiene una nota curiosa sobre el doctor Wallis, el qual ha sido llamado á la junta de médicos que IMPERIO FRANCES. asisten á S. M. Dice la nota que quando el Reí se restableció de Ja enfermedad qae tnvo en 1801 …</t>
  </si>
  <si>
    <t>WalmodenLa</t>
  </si>
  <si>
    <t>resentaciones respetuosas que han he­ saiír á su encu ntropata conocerle. cho no se echa de ver el carácter de oposición. Acaban de fallecer e1 Fe Id mariscal WalmodenLa sesión . C'U.nl durará mas titmpo que lo que se Gimborn y el general biron de H mmerstein , el hall ¡a cr«'d' ■ al principio : se asegura que el gobier­ qual…</t>
  </si>
  <si>
    <t>Walterstcfl</t>
  </si>
  <si>
    <t>los sueldos que á continuación se ex­ Haden , presan. Mr. Gerstlacher, consejero y secretario de la Rs. de vil. al mea. legación. Por S. E. el señor general Walterstcfl, minis­ Coronel................................................ 2500 tro plenipotenciario de S. M. el Reí de Dina­ Mayor................................ T....…</t>
  </si>
  <si>
    <t>Walüs</t>
  </si>
  <si>
    <t>ner^ enemigas, i los qoales contuvieron largo rato , obligándoles i exeLos principales banqueros de Viena. se juntan muchas veces en casa de S. E. el conde Walüs p.cutar diferentes maniobras. Una de estas lanchas rz deliberar sobre las providencias que parecen mas ha vuelto, y no se sabe qué suette habrán tenido oportunas par…</t>
  </si>
  <si>
    <t>Ward</t>
  </si>
  <si>
    <t>compañías de cazadores eu­ ropeos que formaban la vanguardia al mando deL teniente coronel Campbei!" def regimiento 33, fcáxo la dirección del mayor general Ward, • -sé:-firmaren- según que el terreno lo permitía, cargaron con ímpetu al enemigo, y - le obligaron á retirarse, abandonando su artillería j pero</t>
  </si>
  <si>
    <t>1165</t>
  </si>
  <si>
    <t>A. rublos, los libertos por 47©, los demas habitantes Foerte Stoddart 4 de julio. por 220©, y los eclesiásticos por 40© rublos. TH\ .schooner Edward, capitán Ward, que ha llegado en ciceo dias de la Nueva-Orlcans, há "Del 2 4. traído las siguiente noticia: El curso del cambio sobre Paris ha estado hoi ,, Siete lanchas cañoner…</t>
  </si>
  <si>
    <t>Warde</t>
  </si>
  <si>
    <t>mara di­ visión , compuesta de la reserva y de la compañía de granaderos del regimiento núm. 30, con dos cañones de á 6 y 2 obuses al mando del mayor general Warde, desembarcó inmediatamente en la bahía de Mapcu sin resistencia alguna, porque el enemigo se retiró del fuerte de MonUstrt, situado i la cabeza de la Gran-Bahía, q…</t>
  </si>
  <si>
    <t>Watters</t>
  </si>
  <si>
    <t>l.rio Agueda. Tengo la honra de remitirá Y. E. el estado de los muertos y he­ ridos que hemos tenido desde 18 de marzo. Siento tener q«e decir que el teniente coronel Watters fué hecho prisionero el dia 3 antes que principiase la acción. Había pasado el Coa coa el fin de reconocer la podeíon enemiga, sin llevar escolta, como …</t>
  </si>
  <si>
    <t>Escriben de las i amediaciones de Almeida con fecha de i $ de este mes que el coronel Watters, que quedó prisionero en un reconocimien to junto al Coa , pudo escaparse de Salamanca venciendo graves difi­ cultades , y que ya se hallaba en territorio portugués. Las noticias que da del</t>
  </si>
  <si>
    <t>Watteville</t>
  </si>
  <si>
    <t>nombrar contador principal de rentas reales de nipotenciario de la confederación suiza , la prefectura de balamancu á D Cayetano Rega­ S. E. el señor general Watteville, antiguo lan- lía , visitador cesante de las mismas cu la proviucia damann de Suiza. de Jaén. Por S. E. el señor duque de Bassano, ministro de Relaciones exte…</t>
  </si>
  <si>
    <t>Watzdorf</t>
  </si>
  <si>
    <t>una noche tranquila , y se Escriben de Varsovfa que la corte de Rusia «halla en el mismo estado que estos últimos días.” ha recibido perfectamente al general Watzdorf, ministro plenipotenciario del Rci de Saxonia , du­ Dd &lt;5 de enero. que de Varsovia, quien lleva una comisión de la ,,El Reí ha descansado algunas horas, y está…</t>
  </si>
  <si>
    <t>Watzdorff</t>
  </si>
  <si>
    <t>e ia SAXONIA. Servia. Se esperan con la mayor impaciencia algu­ nas noticias positivas sobre este grande aconteci­ Dresde 6" de diciembre. miento. El general Watzdorff, nuestro ministro pleni— AUSTRIA. otenciario cerca de la corte de St. Petersbnrgo, a sido raui bien recibido en aquella capital : s» Viena &lt;T de diciembre. ase…</t>
  </si>
  <si>
    <t>Wcllington</t>
  </si>
  <si>
    <t>didad y m-g. iñeencii. Asi , et» lia publicado; pero mañana llegarán sin duda á todos tiempos y en tod-s as naciolies siempre Londres los pliegos del general Wcllington y la han sido el obieto de las mis vivas' investiga­ mala de Lisboa. ciones , y la infatÍ2able industria de los hombre* jamas ha perdonado cui ¡actos, trabajo…</t>
  </si>
  <si>
    <t>Webeking</t>
  </si>
  <si>
    <t>oberto Calder ha criminado el modelo el marres ultimo de órdsn dei almirantazgo; ha que­ Del /y. dado mui satisfecho de su construcción , y ha ma­ El consejero Webeking, tan celebrado por la nifestado que estaba plenamente persuadido de la construcción de mucho puentes y m 'quinas hi- eficacia de este invento en un puerto, y …</t>
  </si>
  <si>
    <t>Weir</t>
  </si>
  <si>
    <t>rancés de 4 cañones y 30 hombres de tripulación. El 14 de junio la lancha del Forwari, capitán Banks, apretó un corsario dinamarqués de 2 cañones. El capitán Weir, comandante de la fragata CnZ/pro , apresó en la costa de Jutlandia un corsario de 10 cañones, y destruyó otro, ambos también dinamarqueses. EL 17 la corbeta Phesea…</t>
  </si>
  <si>
    <t>Welhngton</t>
  </si>
  <si>
    <t>en de Ydves con fi. cha del 23, que el dia 20 á las dos de Ja t'*rde habían teni do la chfaccion de ver ¡legar i aque­ lla plc-z;i al incomparable ’o.d Welhngton ; que este general había es­ tado C; 22 á reconocer la plaza de Badajoz, donde se suponía que habia unos 2000 hombres de guarnición, y que se creía que el 24 se abri…</t>
  </si>
  <si>
    <t>Weliingtou</t>
  </si>
  <si>
    <t>co en este momento ignora enteramente el esta­ Üe asegura que ios ministros han recibido car­ do de la salud de S. M., siendo mui enigmáticos tas del general Weliingtou, en qoe dice que los é ilusorios los partes que se han publicado sobre franceses hacen preparativos para atacar con tiime­ este objeto; por consiguiente cree …</t>
  </si>
  <si>
    <t>Wellesien, Enrique</t>
  </si>
  <si>
    <t>Enrique Wellesien</t>
  </si>
  <si>
    <t>los sentimientos mutuos de amistad cordial y sincera que enlazan felizmente á las dos naciones española y inglesa. ARTICULO DE OFICIO. Papel del Sr. D. Enrique Wellesien/, ministro de S. MB. al Sr, secretario de Estado. # “ Excmo. Sr.: Me apresuro á remitir á Y. E. una copia de la car­ ta del mariscal Beresford que contiene l…</t>
  </si>
  <si>
    <t>Wellesley, Enrique</t>
  </si>
  <si>
    <t>Enrique Wellesley</t>
  </si>
  <si>
    <t>AÑA. Cádiz 5 de junio. Ayer hubo triple salva de artillería é ilumina­ ción general con motivo de ser cumpleaños del rey de la Gran-Bre­ taña. El Sr. D. Enrique Wellesley, ministro de S. M. en esta cor­ te , dio por la noche un bayle á las personas principales del ,gobier» no, de la corte y del pueblo, en que ia suntuosidad y…</t>
  </si>
  <si>
    <t>e acto de desprendimiento, el cual espero sea apreciado debidamente por la Regencia , como lo es por mí. ~— Tengo el hono? Seo.— JVellington.— Al Sr. D. Enrique Wellesley.” Parte del mariscal Beresford d lord Wellingion. “Albuhera 18 de mayo de 1811. — Milord : tengo infinita satisfac­ ción en participar á Y. S. que el exerei…</t>
  </si>
  <si>
    <t>Wellington</t>
  </si>
  <si>
    <t>ngton de fecha de 10 de es­ rublos, y los que han sido exportados á 1J .236,023 te mes , y solamente han publicado un extracto rubí' *. de e)l:&gt;s. El general Wellington sigue con una per­ En 18x0,es decir, desde i.° de enero hasta i.° severancia invariable su sistema defensivo , y el de octubre los géneros importados asciende…</t>
  </si>
  <si>
    <t>ceses, está muy le­ jos de pintarlos en la situación brillante que sé habia dicho. Las notas que en la gaceta del dia 31 se han puesto á un parte del general Wellington, no han bastado para borrar la sensación qué la anterior noticia habia causado en los ánimos. Se empieza á hablar de una nueva contribución que ha de exigir­ …</t>
  </si>
  <si>
    <t>án absolutamente necesaria una revolución. := mente las que se publican en Lisboa y en Gibral- Firmados: Equal Lawi (leyes iguales.) Plaza de tar. El general Wellington sabe mui bien qua- Brunswick.” (The Statesman.) Jessean estas; pero no puede suprimirlas, porque están organizadas y pagadas por grandes perso- REINO DE ÑAPOL…</t>
  </si>
  <si>
    <t>Wenceslao</t>
  </si>
  <si>
    <t>r : pri­ meras tenenci&amp;s de fusil.Tcs al primer teniente agregado D. Abrrto Suelves, marques de Atizona „ y á les seguidos tenientes D. José Brodoni, D. Wenceslao conde de P-raiir-g , y D. Car os González de .Llanos : segunda teatncia de granaderes a* de fusileros D. Juan de Dios Landáburu; y ssgusda tenencia de cazadores á D…</t>
  </si>
  <si>
    <t>Whitte, Juan</t>
  </si>
  <si>
    <t>Juan Whitte</t>
  </si>
  <si>
    <t>1000. D. Martin Irazoqui, 400. D. T. B, 500. D. Pablo Riera, 500. D.» Antonio de Alsazua, 1000. D, Barto­ lomé Santa!6 , 300. D. Ramón Beltran, 160. D. Juan Whitte , 500. D. Miguel Boldíi, 200. D. Juan Imbert, 40. D. Juan Sans de Sto. Domingo, 200. D. Jo­ sé Gordoa, diputado en Cortes por América, 2000. D. José Co!í, 1000. Do…</t>
  </si>
  <si>
    <t>Wiborg</t>
  </si>
  <si>
    <t>es por so construcción y por sus comer con S. M., y hoi ha vuelto á continuar su adornos, y ha hecho de ellas una descripción mui camino. curiosa. El profesor Wiborg y el asesor Kasse impri­ Del go. mieron hace algunos ños un excelente tratado, que fue premiado por la sociedad económica , sobre el En la aduana de esta ciudad …</t>
  </si>
  <si>
    <t>Wieland</t>
  </si>
  <si>
    <t>aron con gran afa­ bilidad á casi todo* los miembros de estas autori­ Weimar 21 de setiembre. dades. La fachada de la casa de la villa estaba her­ El consejero Wieland, que es el Néstor de los mosamente iluminada; y la mayor parte de lo* ha­ escritores alemanes, y que pasa de 80 años, ha te­ bitantes iluminaron voluntariament…</t>
  </si>
  <si>
    <t>Wiflcoghby</t>
  </si>
  <si>
    <t>tuación en que er,calló la Nereida facilitó al enemigo el dirigir todo el fuego de sus buques contra ella ; pero á pesar de combate tan desigual , el capitán Wiflcoghby continuó combatiendo hasta que toda lá tripulación quedó muerta ó herida. — Los buques enemigos dieron en la costa , pero una de las fragatas salió , y reunid…</t>
  </si>
  <si>
    <t>Wihon</t>
  </si>
  <si>
    <t>pares. Mañana pasará á la este que evacuar la plaza y pasar el Vouga, di­ de los comunes, y et viernes próximo podrá po­ rigiéndose hacía Oporto. El coronel Wihon se re­ nérsele el gran sello; de suerte que el Príncipe po­ tiró de Espenhal al acercarse el enemigo , y pasó drá hacer el juramento prescrito en el consejo pri­ al…</t>
  </si>
  <si>
    <t>Wiíliams</t>
  </si>
  <si>
    <t>puesto en movimiento una columna sobre su izquierda, quando la infantería ligera perteneciente á la división del mayor general Picton, mandada por el teniente coronel Wiíliams , y sostenida por la brigada del ma­ yor general Colville, se presentó y rompió su fuego contra el ene­ migo. En este mismo momento la cabera de la col…</t>
  </si>
  <si>
    <t>Wil</t>
  </si>
  <si>
    <t>el consejo pri­ al otro lado del Mondego; pero habiéndose diri­ vado del sábado, y proceder el lúues á la abertu­ gido este hácia Espenhal, volvió el coronel Wil- ra del parlamcoto. con i pasar el Mondego, y el 2 5 y 26 de diciem­ bre fue incomodando la retaguardia del enemigo» ESPAÑA. compuesta de quatro batallones del noven…</t>
  </si>
  <si>
    <t>n rigurosa­ sabios y naturalistas han enriquecido las coleccio­ mente con su contenido. Munich 12 de agosto di nes zoológicas de la universidad, y el profesor Wil- 1811. = Maximiliano Josef.” deoow le ha regalado su preciosa colección de pi­ Toda Alemania espera con impaciencia la obra saros y de quaarúpedos. Este sabio ha vu…</t>
  </si>
  <si>
    <t>Wilib</t>
  </si>
  <si>
    <t>o tanta íu fz • en ei es­ Europa, o que sean ea la actualidad poseídas por píritu de la Reina la memoria de aquella promesa, «lia. que uo se llamó al doctor Wilib. No obstante su „ Esjaprpclama tendrá fuerza de leí hasta nue­ fe consultó, como consta del infirme presentado va orden, = í'irtnado= Manchester.” al consejo de S. …</t>
  </si>
  <si>
    <t>Willia</t>
  </si>
  <si>
    <t>situado á la derecha del arroyo Dos-casas, atacó con mu­ cha fuerza al lugar, de Fuentes de O üoro, el qnai fué defendido coa la mayor bizanía por el teniente coronel Willia -ns, del quinto bata­ llo:* y regimiento mira. 60, que mandaba los bata Iones de infante­ ría ligera pertenecientes á la división del mayor general Picto…</t>
  </si>
  <si>
    <t>Williams</t>
  </si>
  <si>
    <t>is­ tinguieron particularmente , como también los batallones de infuutrí* i¡g; ra, pertenecientes i la división del general Picton, y mandados por el teniente coronel Williams, los cazadores número 4 mandados por el coronel R-go , y la artilles íi vaU ite dirigida por ios capitanes R ;ss y Buli. ~ El resultado de tas operacio…</t>
  </si>
  <si>
    <t>érdida muy considerable, quedando prisionero el coronel dei regimiento r.ínn. 39. Las tropas ligeras de la división del general Picton , al c^rgo aei coronel Williams, y la brigada del general N'.gthingaie fueron ai que principalmente combatieron sóbrela derecha, y el regimiento núm. 95 al frente de la división ligera, cuyas …</t>
  </si>
  <si>
    <t>00 muertos ademas de los muchos prisioneros que le hioimes. Tengo particular satisfacción en recordar en esta ocasión á V. E. la bizarra conducta del teniente coronel Williams, la de los coroneles Cameron , Cadpgan y M. Kinnon ; la del teniente coronel Kelly, del regimiento núm. 24 , y la de los diversos oficiales comandantes…</t>
  </si>
  <si>
    <t>en el mejor orden posible, no atreviéndose el enemigo á cargarlos, y contentándose con seguir sus movimientos y hacerles fuego con su artillería.—El teniente coronel Williams con su infan­ tería ligera, y el teniente coronel Frensh dal regimiento 74 , se re­ tiraron de Pastores atravesando el Agueda, marcharon por Robleda, do…</t>
  </si>
  <si>
    <t>Willis</t>
  </si>
  <si>
    <t>El resultado de este exa . en ha sido conve­ tremamente malo, y los que le asisten, sobre to­ nir los facultativos en que rio ha habido ninguna do el doctor Willis, temen que la violencia de la mejoría notable en el estado de la salud del Rei, enfermedad interrumpa los parasismos, y acabe y que parece evidenie que la enfermed…</t>
  </si>
  <si>
    <t>nuestra , entre Napoleón y el Rei Windsor 1 2 de octubre. mi'iiit), ,,El Rei sigue lo mismo.” Pero para aclarar aun mas esta verdad consi­ Ademas del doctor Willis han llegado hoi otro* déranos loque habria sucedido si nosotros no hu- 2 médicos, be dice que han sido llamados por no bie emos estado en S;ci.ia. Lo que precisame…</t>
  </si>
  <si>
    <t>ha del 30 de setiembre, en que manda que *• caso de recaída. Los medios rigurosos que empleó observen en las provincias Ilíricas las leyes del im­ «l doctor Willis, medios que justificó el buen efec­ perio francés. to que surtieron , exasperaron á S. M. Pero en el Mr. Roville de l’Etang, caballero del imperio, día qne la mayo…</t>
  </si>
  <si>
    <t>quien asisrió á la persona del Rei , en com­ nor y sin talento. ( Statesman.} pañía de su padre, bien que su nombre no sonaso jamas en los partes. El doctor Willis es el único Proclama publicada en la ¿azeta de la Jamaica en quien tenemos puestos los ojos para que dé un del j/ de agosto. remedio electivo, si hai en la tierra …</t>
  </si>
  <si>
    <t>Willis-ha</t>
  </si>
  <si>
    <t>e lo haya sabido el doctor doctor R. Wiuis de Lóndre&amp;es mas joven que el Witiis." .; otro en años y en práctica): es cosa bien s-hida SUIZA. . que el doctor Willis-ha «¡do siempre de un dicráZurich t.° de noviembre. men contrario al de los mé ricos del Rei, y que ha desaprobado enteramente e! método curativo El contirgente qu…</t>
  </si>
  <si>
    <t>Willisporque, John</t>
  </si>
  <si>
    <t>John Willisporque</t>
  </si>
  <si>
    <t>. Es blicado en el Mercurio de Stamford ha Ilega^ cosa bien sabida que el doctor Willis (habimos doá manos de la persona estimable que dirige es­ del doctor John Willisporque su hermano el te periódico sin que lo haya sabido el doctor doctor R. Wiuis de Lóndre&amp;es mas joven que el Witiis." .; otro en años y en práctica): es co…</t>
  </si>
  <si>
    <t>Wills</t>
  </si>
  <si>
    <t>21 de enero. * Mañana satdrá de aqui el célebre vi giro Mr. El Rei está peor qne la semana pasada. El de Humboidt pata ir á Patis, y desde allí etn- doctor Wills cuida á S. M. con el mayor esmero; preuder ei famoso viage del Tibet. pero hasta ahora han sido infructuosos quantqs medios lia empleado para restituirle las tuerzas…</t>
  </si>
  <si>
    <t>Wilson</t>
  </si>
  <si>
    <t>e de Murcella el 24 del mismo mes; pasaron este rio por uno de. sus va­ dos al siguiente dia, y continuaron su marcha para uni-rse al exér­ cito.— El coronel Wilson se había retirado del Espinhal y pasad» el rio Mondego, luego que se vid amenazado vpor jlas referidas tropas, para evitar ser envuelto en. una lucha desigual, ta…</t>
  </si>
  <si>
    <t>l enemigo tiene 10® hom­ na, el qnal, según las iateoci-nes de S. M., debe bres , y los nuestros no I’egan á 9©. estar concluido en todo este año. El coronel Wilson ha pasado al sur de-Espía— hai para inquietar á los franceses. Los coroneles Trant y Silveira van á reunir sus cuerpos, cada uno de tos quales se compone de Conti…</t>
  </si>
  <si>
    <t>o que habla en¿ra~ do en Mace-ira, fue acometido y dispersado por ura partida, menor en número , dd regimiento de-caballería portuguesa número ii. El coronel Wilson, que ocupa d Figueiro, sabiendo que d enemigo con 500 in­ fantes y d regimiento de cáhuilaia Sí) pasaba el Momjego en el vado de Ferraría , cayó sobre él en Figue…</t>
  </si>
  <si>
    <t>Wilson, Sir Roberto</t>
  </si>
  <si>
    <t>Sir Roberto Wilson</t>
  </si>
  <si>
    <t>pitán es­ pañol M. T. Langton. Octavo, D. Hilario Rayas Salmón, vicecónsul de España, D. J. jM; Gandasequi, director de la compañía de Fili .iñas, el coronel Sir Roberto Wilson , y D. Manuel de la Torre, co­ misario de guerra, espa ño1. Noveno, D B. Liziur, ex director de la Compañía de Filipinas. Décimo, D. J. García, D. J. …</t>
  </si>
  <si>
    <t>Wimpffen, Luis</t>
  </si>
  <si>
    <t>Luis Wimpffen</t>
  </si>
  <si>
    <t>349</t>
  </si>
  <si>
    <t>bre suda y se fatiga para arras­ comandante del depósito, y principalmente el getrar el carro donde va sn vencedora. Ella embebe­ fe del estado mayor D. Luis Wimpffen, no sobre cida en su glorioso triunfo, ni aun siquiera te dig­ la certeza de las cantidades libradas, sino sobre el na d« mirar á su esclavo, y él no puede mira…</t>
  </si>
  <si>
    <t>Witingham</t>
  </si>
  <si>
    <t>370 u.ia y ói'fa paité ; sieiidó p6't 1á ítusstrá vivó y aceí'tádo el fuego qdé h^qifin las dos piezas'q'ne lo Sostenían. El general Witingham d«puso qüe.el destacamento ííe ^árabiriéros realéá y tiña compañía de húsares ingleses protegiesen el ílegiéó clcl movimiento,' mientras ,-qtie él mayor Brnck con los demás húsares , é…</t>
  </si>
  <si>
    <t>Wniis</t>
  </si>
  <si>
    <t>términos, que los comercuntts de tan. Qjn do en 1804 padeció el Rei la misma enGer'ei no se atreven á aventurarse como antes. fer nedad que ahora, el doctor Wniis fue el único ¡Qué afrenta para nosotros consentir que tenien­ médico que le asistió, y logró restituir e! juicio á do una marina como ¡a que tenemos , vengan es­ S.…</t>
  </si>
  <si>
    <t>Woinoff</t>
  </si>
  <si>
    <t>y de la malevolencia, por un agió Hace dias que el general Sass está gravemente reprehensible, y por una inacción evidentemente enfermo. El teniente general Woinoff, que ha lle­ combinada. Al dirigir esta amonestación á los ne­ gado poco há de Jassi, tomará el mando de la pri­ gociantes por mayor, á los banqoeros y comer­ mer…</t>
  </si>
  <si>
    <t>viñas y la mejora de la ra*-i de la* ovejas van ha­ qual ha salido un cuerpo de exército mandado por ciendo grandes progresos eu la Crimea» el mayor general Woinoff para ir á colocarse ea Obileoki, cerca de Slobodza entre Bucharest y DINAMARCA. Scalavotsch. También se ha puesto en marcha otro cuerpo de exército mandado por el…</t>
  </si>
  <si>
    <t>Woioof</t>
  </si>
  <si>
    <t>i otro ninguno cargado de gewo hai un cuerpo de cerca de 18® hombres al géneros coloniales ó de mercancías fabricadas. maodo del general Laogeron. El general Woioof sé ha reunido én Karabat con el cuerpo ruso que AUSTRIA. ha venido de las inmediaciones de Varna. Se dice qüe ios' torcos han vuelto á entrar en Rassowa. y Vierta…</t>
  </si>
  <si>
    <t>Worcnzow</t>
  </si>
  <si>
    <t>ses. hielo , y será imposible sacarlas hasta la primavera. PRÜSIA. Del 18. Perlin 28 de diciembre. El 6 de noviembre un destacamento del cuer­ po del general Worcnzow atacó á 500 turcos, El capitán Archenholtz , escritor periódico mui que estaban bien atrincherados entre las montañis conocido en Alemania, ha trasladado su dom…</t>
  </si>
  <si>
    <t>Woronzow</t>
  </si>
  <si>
    <t>heridos, cinco caballos muertos y 33 to en fuga en el desierto el resto de su exérciro. heridos. Melv.med-Ali ha vuelto en seguida al Cairo, don­ El conde Woronzow dexó en Piewna al co­ de ha hecho su entrada triunfante el 3 de setiem­ ronel Brumrner coa un b-tahoo de Jos granaderos bre. En aquella ciudad encontró un correo, …</t>
  </si>
  <si>
    <t>arios han alquilado últimamente sus c-sas tres cañones. Los habitantes de Selva vinieron á en especies sonantes, y se han estipulado otros ofrecer ai conde Woronzow las llaves de la ciu- vario-; negocios en los mismos términos y condi­ dadela, que está situada en medio de la ciudad, y ciones ; pero se espera la publicación de…</t>
  </si>
  <si>
    <t>Wrede</t>
  </si>
  <si>
    <t>, está actualmente ea la punta meridio­ de Brahe. El dia 15 del mes úitírnp salió de aquí nal de aquella parte del mnodo, por no haber podi­ S. E. el conde Wrede para ir á pasar revista á do realizar basta ahora sn proyecto , y qne se ha­ varios cuerpos de tropas que están reunidos en las lla ocupado ea formar algunas colecci…</t>
  </si>
  <si>
    <t>divan , no ceder ni una pulgada larmente satisfecho de la actividad y ze!o que ha­ de terreno, y combatir contra los rusos con to­ bía manifestado el conde Wrede en estas circuns­ das las fuerzas de su imperio. Las brigadas de ge­ tancias. S. M. ha reconocido con noevo placer en ni zaros que se hablan quedado aquí han recibid…</t>
  </si>
  <si>
    <t>Wright</t>
  </si>
  <si>
    <t>de S. M., y de todas las per­ bordo de los navios íngteses? ¿ &gt;fo podremos res­ sonas que obtengan el título de consejero de Estado. catarlos como el gobernador Wright lo ha pro­ 2. a No podrán presentarse ni asistir á las sesio­ puesto? O mas bien» ¿no deberíamos cangearlos nes del consejo de Estado mas que los ministros y p…</t>
  </si>
  <si>
    <t>Wrilíams</t>
  </si>
  <si>
    <t>l enemigo, y lo des alejó de una parte del lugar de que habia conseguido momentáneamente apoderarse : por desg acia fué herido á este mismo tiempo el teniente coronel Wrilíams, mas espero no lo haya sido de pel gro, y per esto Tecayó el mando en el coron: 1 Cameron dal regimiento 79 , y la pe­ lea coníís uó has-a la noche en …</t>
  </si>
  <si>
    <t>Wroa, Joaquín Alonso</t>
  </si>
  <si>
    <t>Joaquín Alonso Wroa</t>
  </si>
  <si>
    <t>dmiración universal. de Tajuña, á D. Máximo Aragón,cura de Horcajuelo de la Sierra. Para el de Fuente el Saz, vacante por ascenso IMPERIO FRANCES. de D. Joaquín Alonso Wroa a! de Perales de Ta­ París 3_9 de enero. juña , al presbítero D. Toribio Manuel Gómez. Para el de Covisa , vacante por ascenso de D m El capitán Dessaix, …</t>
  </si>
  <si>
    <t>Wüitt, Biitoiomé</t>
  </si>
  <si>
    <t>Biitoiomé Wüitt</t>
  </si>
  <si>
    <t>íui xcyi09 D. Ignacio Martínez Caveto y D. Jo3é Mana Arizala; te­ nencias á D. Blas María Sola, D. Jo?é Carrasco, D. Nmroírío Cor­ vino, D. Biitoiomé Wüitt, D. José Wüitt, D. Manuel Vago, Don Simón d&amp; la Greta, D. Ramón Lanctoy, D. José Andalo, D. José García, D. Francisco Gómez, B. Antonio Díaz, D. Juan Sánchez y D. Gregorio…</t>
  </si>
  <si>
    <t>Wüitt, José</t>
  </si>
  <si>
    <t>José Wüitt</t>
  </si>
  <si>
    <t>i09 D. Ignacio Martínez Caveto y D. Jo3é Mana Arizala; te­ nencias á D. Blas María Sola, D. Jo?é Carrasco, D. Nmroírío Cor­ vino, D. Biitoiomé Wüitt, D. José Wüitt, D. Manuel Vago, Don Simón d&amp; la Greta, D. Ramón Lanctoy, D. José Andalo, D. José García, D. Francisco Gómez, B. Antonio Díaz, D. Juan Sánchez y D. Gregorio Vázque…</t>
  </si>
  <si>
    <t>Wunnser</t>
  </si>
  <si>
    <t>ochinilla dos rixdalers y quatco proponer á S. M. las mutaciones jque parecieres»! «neldos, y el azúcar 16 sueldos por libra. útiles y necesarias. El conde Wunnser, antiguo En tod# el año úliitno han entrado en los comisario imperial en Galüuia!, ha sido nombrado puertos de Suecia 23 cargamentos de sal de Portu­ presidente de…</t>
  </si>
  <si>
    <t>X'r, Rafael Gómez</t>
  </si>
  <si>
    <t>Rafael Gómez X'r</t>
  </si>
  <si>
    <t>. D. Agustín Rodrig ; por oí prest de un. soldado en mi mes, 9. El presbítero 1). Manuel Ifouo; - , por &gt;m ¡riburo que cedió en donativo / 93 y 4 rs. D. Rafael Gómez X'r.uoauü , intendente de exército graduado, y director genera! d.e tabacos* j.oí' la par e que le ha correspondido en 5 comisos, y que ha cedido par . las atenc…</t>
  </si>
  <si>
    <t>X, Fíaoc'aco</t>
  </si>
  <si>
    <t>Fíaoc'aco X</t>
  </si>
  <si>
    <t>l$S&amp; Estado mayor del sexto exército. — Cuartel general 14 de nevietn• Iré. E cuni&amp;uíiunte general d«) principado de As tí.» ríes D. Fíaoc'aco X vici Loada, que desda «♦ mum mo en qtifí ios en ni?go# fueron obligados á evacuar ¿ Asturias en juaio próximo pasado, había ¿a» do a* mas enérgicas y oportunas providencias para opon…</t>
  </si>
  <si>
    <t>X, Francisco</t>
  </si>
  <si>
    <t>Francisco X</t>
  </si>
  <si>
    <t>ndo estudiado su veda ; á D. Salvador Rodríguez Barón, de la ciudad genio, sus inclinaciones , y llegado á penetrar sus mo­ de Cuenca y su partido; á D. Francisco X.vier vimientos interiores y el modo que tiene de manifes­ López Duque, de la villa de Cabra , y k D. Ra­ tarlos, sabiendo quales son sus designios, intereses&amp;c« f…</t>
  </si>
  <si>
    <t>erano, en la provincia de C.*stilU la v eje , y encarga .o !el gobierno polític o y mili ar de su? pueblo», bpxo las crines inmediatas dsl Excmo. S . D. Francisco X .viesrtld Cu ( £ms, cr p t n g eneral de los reale* exércit04, y en gefe del quinto y sexo, de quien soy yo el teniente subordinólo en esta provincia, había creid…</t>
  </si>
  <si>
    <t>X, José</t>
  </si>
  <si>
    <t>José X</t>
  </si>
  <si>
    <t>s. D. Joaquín do Herrera, alcalde ordina­ rio, por el prest de 6 soldados en 9 meses, 486. D. Juan Montaivo , por el de 6 sol-:lados en 7 meses, 378. D. José X.enes , por el do. 3 soldados en 8 meses , 162. D. Luis Caballero, por igual oferta y tiempo , 162. Joan Faore, j ara el socorro de las viudas y huérfanos de los que mu…</t>
  </si>
  <si>
    <t>X, Juan</t>
  </si>
  <si>
    <t>Juan X</t>
  </si>
  <si>
    <t>cuer­ po de Ingenieros á sargento mayor de brigada al espitan gra­ duado de teniente coronel D. Felino de Arco Agüero;. á capitanea, á I03 tenientes D. Juan X i menea Donor©, D. Pedro Medina y Don Valentín Ampliáis: á tenientes, á los subtenientes D. Franc s :o Pr-yricr y Moreno , graduado de teniente , D. José Seguido Iz­ qu…</t>
  </si>
  <si>
    <t>Xa, Francisco</t>
  </si>
  <si>
    <t>Francisco Xa</t>
  </si>
  <si>
    <t>cía. — Por copia confor­ D. Antonio Benito PicoTomini, subteniente, í me. = El general de división , gefe del estado ma­ abanderado, en la vacante de D. Francisco Xa­ yar general del exércitoconde G’aian.” vier Beré. art. ir. Nuestro ministro de la Guerra que­ Madrid 10 de agosto. da encargado de la execucion de este decreto.…</t>
  </si>
  <si>
    <t>con esta focha comunica su libertad. — Dios guarde á V. E&lt; muchos años. Ladrada 11 de octubre de 1811.— Ex eme. Sr. —Antonio Temprano. — Exorno. Sr. D. Francisco Xa­ vier Castaños, general en gefe del quinto y sexto exército. — Es copia conforme— Girón.” CADIZ : EN LA IMPRENTA REAL.</t>
  </si>
  <si>
    <t>Xara, Fernando Gómez</t>
  </si>
  <si>
    <t>Fernando Gómez Xara</t>
  </si>
  <si>
    <t>ña y la prefectura de Xerez. de excelente agua, que se saca de hoyos que se hacen en Por otro decreto del expresado dia S. M. ha la arena. nombrado á D. Fernando Gómez Xara, secretaria ,,F.l 28 de junio me hice de nuevo á la vela, na de la legación en Dinamarca, subsecretario de la pensando mas que en venir í Francia. El 15 d…</t>
  </si>
  <si>
    <t>Xara, Francisco Gómez</t>
  </si>
  <si>
    <t>Francisco Gómez Xara</t>
  </si>
  <si>
    <t>0 D. Arnaldo Desmaissieres............................ 154041.. 2 Rs. vn...... 126900 D. Francisco de Biezma.............................. 347 5C..3I D. Francisco Gómez Xara......................... 637 10..30 Que á una suma importan ciento veinte y seis mil D. Francisco Galo ('arrasen........................ 23032..21 noveci…</t>
  </si>
  <si>
    <t>Xav</t>
  </si>
  <si>
    <t>l regi­ miento de milicias de infantería, por el prest de un soldado en 3 meses dudante la guerra , 27. Doña Ménica Ruiz, por sí y por sus tres hijos D. Xav&gt;er, D. José y Doña Dionisia de Palacios, 500. D. José de Orne, contador de exército de la provincia de la Luisiana, 500, D. Pedro OH— ver y compañía , por oferta del come…</t>
  </si>
  <si>
    <t>Xav, Francisco</t>
  </si>
  <si>
    <t>Francisco Xav</t>
  </si>
  <si>
    <t>555</t>
  </si>
  <si>
    <t>desinteresada y moderada conducta. — Dios guarde á Y. E. muchos años. Cuartel general de Villafcrmosa r?3 de mayo de 1811. —- V^ellington. Excm». Sr. D. Francisco Xav ier Castaños. i CADIZ : EN JLÁ ■JJ.líeiLKiNxA JtUüÁIr.</t>
  </si>
  <si>
    <t>Xavier</t>
  </si>
  <si>
    <t>López, ex-gerónimo, residen­ Doña Ma.ia del Carmen Herranz, por sí te en Cienpozuelos, por............................. 2 200. y por .-.us tres hijos D. Xavier , D. Ma­ D. Paulino Palomino, id., residente en nuel y Doña María dei Carmen Carras­ Arganda , po 120438 2200 co.......................................................…</t>
  </si>
  <si>
    <t>Xavier, Francisco</t>
  </si>
  <si>
    <t>Francisco Xavier</t>
  </si>
  <si>
    <t>10 —Partido de Nata. D. Manuel Higinio Borbua , cura vicario , 50. I). Juan González , teniente cura , 25. D„ Vicente Solanilla, sacristán mayor , 4. D Francisco Xavier ttuiz , presbítero ,• 10. 1). Tomas Yangucz , id. , 4. D. José María Pmsonid , 25. D José Amo­ nio Masias , id., 4. Fr. Domingo Sampelayo , prior del convento…</t>
  </si>
  <si>
    <t>rdia real. Burgos. Rodríguez (D. Bonifacio), alcalde mayor de San­ Itnrribarria (D. Francisco), alcalde de nuestra tander. real casa y corte. Romero (D. Francisco Xavier), coronel de caba­ Iwan ( D. Bstéban), granadero de nuestra guar­ llería. dia real. Rousrel (D. Simón), tirador de nuestra guardia Zayas (D. Francisco), subt…</t>
  </si>
  <si>
    <t>squadron ; y Don González Alvares (D. Pedro), fiscal de las junta* Antuuio Fernandez de Córdoba ¿ coronel. de oegocio* contenciosos. Mayordomo Hore ( D. Francisco Xavier de), comandante. (Je artillería. Al señor marques de Atabaca. Jenta ( D. Josef), teniente de la compañía de in­ Limosnero válidos de S. t defonso. Lachelot (…</t>
  </si>
  <si>
    <t>dias conta­ ceremonias. dos desde la fecha de dicho auto, que por último y pe­ rentorio se Ies concede; pasados los quales sin haber Martínez Remon (D. Francisco Xavier), juez de comparecido les parará el perjuicio que haya lugar. las juntas de Negocios contenciosos. Mcinadíer (D. Esteban), corregidor de Puerto Real. TEATROS.…</t>
  </si>
  <si>
    <t>Xerez</t>
  </si>
  <si>
    <t>or madurez y dro Gutiérrez y D, Joaquín Biualet para formar reflexión, y que exige en su misma discusión la el consejo de prefectura de la prefectura d. Xerez mayor franqueza, y una libertad en la qual no de la Frontera: á D. Joaquín de la Escalera , Don pueda influir ninguna consideración ni respeto. No Manuel de Medina y Ca…</t>
  </si>
  <si>
    <t>Xerez, Juan</t>
  </si>
  <si>
    <t>Juan Xerez</t>
  </si>
  <si>
    <t>rcía y Baus. Señores Márquez., Ponce, Infantes, Cacapitán; D. Alonso Felipe Serrano teniente, y prara, Avecilla, Suarez, Casanova, A|vcrá y F-ibiani. D. Juan Xerez subteniente. En el de la Cruz, á las quatro de la tarde, se eje­ art. vn En Ja villa de Santaella se formará cutará la tragedia en tres actos titulada el Triunfo d…</t>
  </si>
  <si>
    <t>Xiinanez, Joaquín</t>
  </si>
  <si>
    <t>Joaquín Xiinanez</t>
  </si>
  <si>
    <t>haves, capitán honorario. D. J osó A ¡íorío Na vaca , alférez. Lio. D. Raraon Garces. II. D. Mamirl Car­ ees. O. ■ Antonio Nieva. D. Gerónimo BaÜeza. D Joaquín Xiinanez. D. Teodoro C3iab;U. D. Francisco Pastor. D. José Mari* Canal. D. Vicente. Fría». D. Pedro Taboada. D. Juan Echáis. D. Sebaptiun Conejo. D. Manuel María Lanza…</t>
  </si>
  <si>
    <t>Ximcníez, Juan</t>
  </si>
  <si>
    <t>Juan Ximcníez</t>
  </si>
  <si>
    <t>distinguido Di J;uan! Bautista Maofíuá , coraotaúibbm'en lehprimér batallón -de "volutitarios"' dte' Valencia i Í03 cadetes ©. Francisco Parramón , y D. Juan Ximcníez, y en el de Gámpcmayor al cadete ©. Mariano Cortírevas, alumnos igualmente de la refeíida ácadeinia.1 . ■ r: ;•« .i ' v &gt;■ i ■, „ t ;. • i' *\ * '1'' mN ’ Con ^…</t>
  </si>
  <si>
    <t>Ximenez, Antonio</t>
  </si>
  <si>
    <t>Antonio Ximenez</t>
  </si>
  <si>
    <t>o, á no ser que un gran nando La-Puente; para teniente á D. Antonio Obrenúmero de franceses prefiriese la vida militar, sus gon, y para subteniente á D. Antonio Ximenez. gloriosas aventuras y peligros honoríficos á un des­ Para capitán de la quarta compañía á D. Fer­ canso , ó á unos trabajos á que no están ya acos­ nando de …</t>
  </si>
  <si>
    <t>Ximenez, Antonio José</t>
  </si>
  <si>
    <t>Antonio José Ximenez</t>
  </si>
  <si>
    <t>ncisco García, escribano, 1 y 4 rs. 13. Francisco Alonso Pelaez, encargado de venta, parala manutención de un soldado, 9. D. Gaspar Cfeapie , id., 2. D. Antonio José Ximenez , id , 2. 3). José García, id., 2. D. Francisco González, id., 1. D. Domingo Sán­ chez , sobrestante del molino , 4. D. Julián de Magallanes , id, segund…</t>
  </si>
  <si>
    <t>Ximenez, Atanaslo</t>
  </si>
  <si>
    <t>Atanaslo Ximenez</t>
  </si>
  <si>
    <t>ar. dan te del reveno escuadrón de Gayada, ge fe de panda, teniente coronel. D. Boiáingo Pavía, del regimiento ce León, infan­ tería de lí.iea, idem. D. Atanaslo Ximenez, caballería de Cacocrv, capitán. D. Juan Ncguen , agregado á guardias W¿lenas , íí.L.ií, D. Jorge S vrtol, tiradores de Cuenca, teniente. D. José Churracr., …</t>
  </si>
  <si>
    <t>Ximenez, Benito</t>
  </si>
  <si>
    <t>Benito Ximenez</t>
  </si>
  <si>
    <t>servido conceder en el regimiento de infantería de Africa/tenencia al subteniente D. Fausto .Lozano, y subtenencia al cadete graduado, de subteniente D. Benito Ximenez : en el de Can' tabria, compañía al ayudante D. Domingo Picha rdo, ayudantía.fd teniente/D. Sebastian de Arcos, y tenencia al subteniente D: Fran­ cisco Granad…</t>
  </si>
  <si>
    <t>Ximenez, Francisco</t>
  </si>
  <si>
    <t>Francisco Ximenez</t>
  </si>
  <si>
    <t>anuel de Avala ; 90. D. Antonio Valdes , 50. José María Carrasquilla, 50. Marcelo de León , 25. Esteban Garibaldo , 25. José del Rosario Moreno , 30, D. Francisco Ximenez , teniente del batallón fixo , y comandante del desta­ camento de Chepo , en alhajas y dinero, 92 y 6 rs. y medio. D. José María Cbari , teniente del batall…</t>
  </si>
  <si>
    <t>ayor del mismo cuerpo: al coronel D. Juan María Gamez, sargento ma­ yor del propio : al teniente coronel D. Juan Lance, sargento mayor ■del mismo : á D. Francisco Ximenez , sargento mayor dei extinguido primer batallón de Antequera : al teniente coronel D. Santiago Mon­ tero , sargento mayor del propio : al teniente coronel D…</t>
  </si>
  <si>
    <t>Francisco Cabrera y Martínez, guatda montarlo , 2, D, Tomas Sánchez , id., 2. D. Sebastian Valdés , id., 3, D. Domingo Menendez de S. Pedro, id. , 2. D. Francisco Ximenez, id. , 2. El maestro carpintero de la factoría , José Rosado, 2.—- Total del dona* tho mensual &gt; 192 pesos y 3 y medio reak?. i i...........................…</t>
  </si>
  <si>
    <t>Ximenez, José</t>
  </si>
  <si>
    <t>José Ximenez</t>
  </si>
  <si>
    <t>re los primeros los dig­ nísimos oficiales de guardias españolas el ca­ pitán de cazadores D. Agustín Estevan , sus su­ balternos el segundo teniente D. José Ximenez y el alférez D. José. Rivera, y entre los segun­ dos se sabe de algunos que han sido heridos y que se han cubierto de gloria : entre los cadá­ veres franceses se…</t>
  </si>
  <si>
    <t>Ximenez, Josef García</t>
  </si>
  <si>
    <t>Josef García Ximenez</t>
  </si>
  <si>
    <t>........ 1800 D. Juan Hourco.............................. 20100 Sor María de la Asuacion Moreno. 1080 D. Antonio de Yarritu................... 20000 D. Josef García Ximenez...... ........ 122 J D. Antonio Chasscrot y Castro.... 80OO D. Tadeq Font............................... , ¿ÓOO D. Juan Murfi............................…</t>
  </si>
  <si>
    <t>Ximentz, Antonio</t>
  </si>
  <si>
    <t>Antonio Ximentz</t>
  </si>
  <si>
    <t>tinguían entre otros,‘ y to­ D. Josef de Aragón á subteniente de la misma maban el mayor interes en este espectáculo tan ex­ compañía en reemplazo de D. Antonio Ximentz. traordinario, el lord Yarmouth, el honorable Ber- D. Luis Molle á subteniente de la quarta com­ kelei Craven, el general Grosvenor, el caballero pañía en la …</t>
  </si>
  <si>
    <t>Ximsnez, Lorenzo</t>
  </si>
  <si>
    <t>Lorenzo Ximsnez</t>
  </si>
  <si>
    <t>ia en esta ciudad no ha podida ira pedir el descalabro de los suyos. .La ¿c-jür.ta lista expresa los nombres de los oficiales prisioneros rescatados.—D. Lorenzo Ximsnez, capitán de guardias Esp? ñolas, co­ ronel. D. Alonso Rivera, comandante de caballería del latente, ídem. D. Juan de Molina, teniente coronel de-Artillería. D…</t>
  </si>
  <si>
    <t>Xiqucs, Miguel</t>
  </si>
  <si>
    <t>Miguel Xiqucs</t>
  </si>
  <si>
    <t>D. Antonio Coma y Fortet, 2000. Sres. Su­ birá y Forncs , 1000. D. Manuel Mícheo, 500. D. Lorenzo Camps, 500. Don. Juan Antonio Cobo y Tanderas, 100. D. Miguel Xiqucs,200. D. Guillermo Power, 500. D. Martin de Ujoeta, 400. D. Francisco Buch y Verges, 400. D. Pedro Mártir Pascual , 200. 1). José TraseiJas, 150. D. José Sopeña …</t>
  </si>
  <si>
    <t>Xiques, Simón</t>
  </si>
  <si>
    <t>Simón Xiques</t>
  </si>
  <si>
    <t>s. Onofres, Mas, Vidal, del comercio de la villa do Puerto Principe , á nombre de, dichos Sres. , 200. El mismo Xiques , como apoderado de D. .luán y D. Simón Xiques , vecinos de dicha yilla Puerto príncipe', á nombro de estos , 50. El oidor honorario D. José-Jlnucheta, te­ niente gobernador de esta plaza, 10Q00. La oficialid…</t>
  </si>
  <si>
    <t>Xiroenez, Mariano</t>
  </si>
  <si>
    <t>Mariano Xiroenez</t>
  </si>
  <si>
    <t>do. D. Nicolás Nava. Don desé María Salqido. D. Antonio Ruiz. D. Antonio Bclan. D. Ignacio Hidalgo. Seculares. D. Ignacio Jo*é Allende, generalísimo. D. Mariano Xiroenez, capitán general. D. Juan de Aldama, teniente general. D; Manuel Smta María, mariscal. D. Mariano Abasólo, mariscal. D. Ignacio Camargo, mariscal. D. Nicolás…</t>
  </si>
  <si>
    <t>XVitinghain</t>
  </si>
  <si>
    <t>a, camino de Medina, después de tirar al­ gunos cañonazos. Fué á reconocerle con el estado mayor el general Lacy, su gefe ; y dispuso qué mientras el general XVitinghain , con la mayor par­ te dé la caballería daba por la derecha la vuelta necesaria para envolverle, uYi escuadren de granaderos á caballo del cargó de), coronel…</t>
  </si>
  <si>
    <t>y Alberola, Estébao Corones</t>
  </si>
  <si>
    <t>Estébao Corones y Alberola</t>
  </si>
  <si>
    <t>. ha nom­ Extracto del Federal-republicano de Baltimore. brado regidores de la municipalidad de Madrid á Relaciones con la Inglaterra. Tenemos muchos D. Estébao Corones y Alberola y á D. Andrés motivos para creer que se ha roto desde el prin­ Caballero. cipio la negociación con Mr. Forster , ó que á lo Por decretos de 24 del …</t>
  </si>
  <si>
    <t>y Alcocer, José Miguel Guridi</t>
  </si>
  <si>
    <t>José Miguel Guridi y Alcocer</t>
  </si>
  <si>
    <t>, cura de Cunduacan. De Querétaro : el Sr. Dr. D. Mariano Mead ¿ola ( por renuncia del R. P. Fr. Lucas Centeno , Agustino ). De Tlaseala : el Sr. Dr. D. José Miguel Guridi y Alcocer, cura ríe la villa de Tacú baya. Del Nuevo Reyno de Eeon: el Sr. D« Juan José de la Garza, canónigo de Moníerey. De Oaxaca : el Sr. Lie. D. Juan …</t>
  </si>
  <si>
    <t>y Alegre, Ramón Bcltran</t>
  </si>
  <si>
    <t>Ramón Bcltran y Alegre</t>
  </si>
  <si>
    <t>en­ do, doffrie reside, por.................................. ......... 2200 te en el mismo, por.............. ................................. 2200 D. Ramón Bcltran y Alegre, idem, por................. 2100 D. Manuel Seco y López, natural de Huele , pro­ D. Nicolás Rodrigucz, natural del Viso del Mar­ vincia de Cuenca, resi…</t>
  </si>
  <si>
    <t>y Aler, Augusta</t>
  </si>
  <si>
    <t>Augusta y Aler</t>
  </si>
  <si>
    <t>673</t>
  </si>
  <si>
    <t>yxft». *?tuart se Irzo i !a vate el 0 .te! o u* tienta coa Ja íVe.g'iia H irado, á e/'vo hurte iba al rey de Su ou.Gute ya Adolfo, y los b-jrgaaíteus Princesa Augusta y Aler­ ta, para ¡teste u':r buques amados que t-nten* ios fauces s cn eí rio Jahrte.— P KieAovmmáz se s^be la vueiia. áe u fragata á Lia, denue el rey stside ü…</t>
  </si>
  <si>
    <t>y Almansa, Pedro Irigoen</t>
  </si>
  <si>
    <t>Pedro Irigoen y Almansa</t>
  </si>
  <si>
    <t>..... Ó3Í..25Í D. Máximo Pardo...... ........ 151~“i4 D. Marcos López Gonzalo..................... 722 Josef Montero de la Concha........... 1123.. 6 D. Pedro Irigoen y Almansa................ 451- 8f D. Manuel de lllcscas............................. 2246. .19 D. Antonio Cbaserot de Castro........ i.. 541..17 D, Miguel Félix…</t>
  </si>
  <si>
    <t>y Amí, Eugenio Llaguno</t>
  </si>
  <si>
    <t>Eugenio Llaguno y Amí</t>
  </si>
  <si>
    <t>y 1500 en metálico; y Atalía, compuesta en francés por Racine , y traducida para su remate se ha señalado oí día 23 del corriente á •1 castellano por D. Eugenio Llaguno y Amí.ola. Ja» 1 2 de la mañana en la audiencia de 5. S.; advirtién­ En el de la Cruz, j las quatro y media de la tan-e, dose al público que dicha casa produc…</t>
  </si>
  <si>
    <t>y Amírola, Eugenio Llagnno</t>
  </si>
  <si>
    <t>Eugenio Llagnno y Amírola</t>
  </si>
  <si>
    <t>a verdad que se exce­ ó Atalía, compuesta en francés por Juan Racine, v tra­ dió á sí mismo en Atalía. Hablándole á Voltaire ducida al castellano por D. Eugenio Llagnno y Amírola, de hacer unos comentarios para Racine semejantes En el de la Cruz, á las cinco de la tarde, se eje­ á los ene compuso para Corneóle , respondió: es…</t>
  </si>
  <si>
    <t>y Amírola, Eugenio Llaguno</t>
  </si>
  <si>
    <t>Eugenio Llaguno y Amírola</t>
  </si>
  <si>
    <t>al trono de David. tante debemos dar la descripción de la qoe nos pa­ ó Atalía, compuesta en francés por Juan Racine, y tra­ ducida al castellano por D. Eugenio Llaguno y Amírola. rece preferible. Se compone de dos cilindros de En el de la Cruz, á las cinco de la tarde, se exeiñadera, dispuestos horizontalmcnte, de unas 16 cu…</t>
  </si>
  <si>
    <t>demasiada superficie y á Ata lía, compuesta en francés por Juan Ráeme, y tra­ poca profundidad, la evaporación se hace dema­ ducida al castellano por D. Eugenio Llaguno y Amírola. siado pronto , los cristales no tienen tiempo de for­ En ei de la Cruz, á las cinco de la tarde, se exemarse: entonces es preciso volver á disolver…</t>
  </si>
  <si>
    <t>caballos y armas ; estas se Atalía , compuesta en francés por Racine , y traducida componen de ia escopetas y un cuchillo, y aque­ al castellano por D. Eugenio Llaguno y Amírola. Ac­ llos de 12. tores. Scñoris María García, Rosario García, Llcdo, Loreto García, Várgas y Cabo. Señores Maiquez, Pon„ Seguidamente en este dia se …</t>
  </si>
  <si>
    <t>y Angulo, Ji'sé Lopes</t>
  </si>
  <si>
    <t>Ji'sé Lopes y Angulo</t>
  </si>
  <si>
    <t>conferir en e! regimiento de infantería primero de Sahoya, compañías á D. Esteban Sayró, y D. Vicente Sancho: ayudantía á D. José García: tenencias á D. Ji'sé Lopes y Angulo , D. Jacobo López, B. Miguel Salazar, D. Temas Moreno, D. Juan Julián da Tomás, D. Isidro Rebollo,. D. Saturnino García, D. Abdon Ruis y Camón, D. Ventur…</t>
  </si>
  <si>
    <t>y Angulo, Ventura de Bustos</t>
  </si>
  <si>
    <t>Ventura de Bustos y Angulo</t>
  </si>
  <si>
    <t>in­ ciosa locura de decir que los médicos usabau dé teresantes á la vida y salud. Tercera edición: su autor éstos 'rém'edios porque les tenían miedo. D. Ventura de Bustos y Angulo, cirujano dentista en esta corre. Se bailará en la librería de Castillo, yen Lo mismo lia . sucedido cón fos alimentos. Si casa del autor, calle de…</t>
  </si>
  <si>
    <t>y Aniñóla, Eugenio Llagpno</t>
  </si>
  <si>
    <t>Eugenio Llagpno y Aniñóla</t>
  </si>
  <si>
    <t>ón señala tres ó Atalía, compuesta en francés por Juan Racine, y tra­ grados en el pesa-licores de Baumé. La mezcla de estos ducida al castellano por D. Eugenio Llagpno y Aniñóla, dos líquidos forma su precipitante. Esta composición, dándola fin. basta para unas 600 ó 700 libras de hojas de pastel. En el de la Cruz, á las cin…</t>
  </si>
  <si>
    <t>y Anu, Eugenio Llaguno</t>
  </si>
  <si>
    <t>Eugenio Llaguno y Anu</t>
  </si>
  <si>
    <t>mi rendimiento, paca ó Atalía, compuesta en francés por Juan Racine, y presentado pór vos, serenísimo señor, adquirirá un traducida al castellano por D. Eugenio Llaguno y Anu­ lóla. nuevo predio y valor, y será sin duda agradable. En el de la Cruz, i las cinco de la tarde, se exe­ ,, Soi con el mas profundo respeto de V. A. I…</t>
  </si>
  <si>
    <t>y Argel, Anson</t>
  </si>
  <si>
    <t>Anson y Argel</t>
  </si>
  <si>
    <t>uc S. M. Amelia y Adriana han "Kan deseu bireado en Pumonth el general Dio entrado en este puerto de vuelta de su «¡age á kes, el coronel Nheadi, el coronel Anson y 500 Argel, adonde habían ido para conducir al cóasul hombres del primer regimiento de guardias, que de Francia. A pesar de los muchos buques de se hallaron en el …</t>
  </si>
  <si>
    <t>y Arnírola, Eugenio Llaguno</t>
  </si>
  <si>
    <t>Eugenio Llaguno y Arnírola</t>
  </si>
  <si>
    <t>o al trono de David, cordel, y echan la simiente, cuidando de cubrir­ ó Atalía, compuesta en francés por Juan Racinc, y tra­ ducida al castellano por D. Eugenio Llaguno y Arnírola. la y sallar después. Cada uno de estos métodos tiene sus venteas ; el primero, aunque mas costo­ En el de la Cruz, i las cinco de la tarde, se exe…</t>
  </si>
  <si>
    <t>y Azara, Eusebia de Bardaxí</t>
  </si>
  <si>
    <t>Eusebia de Bardaxí y Azara</t>
  </si>
  <si>
    <t>riel Ciscar, según Ies términos prevenidos en el reglamento. Nota dirigida por el Sr. jD. Enrique Wellesley, ministro de In­ glaterra , al Excmo. Sr. D. Eusebia de Bardaxí y Azara, primer secretario de Estado. -—— Tsacre rcion. Cádiz 5 de agosto de 1811. “Excmo. Sr.: Me he abstenido hasta ahora de llamar ia atención del gobie…</t>
  </si>
  <si>
    <t>y Azara, Eusebio de Bard-ixi</t>
  </si>
  <si>
    <t>Eusebio de Bard-ixi y Azara</t>
  </si>
  <si>
    <t>nviado de Inglaterra Mr. H.-nri- ESPAÑA. que Welleslei se ha quejado sobre esto fuertemen­ Ramplona 26 Je setiembre. te en una nota que ha remitido á D. Eusebio de Bard-ixi y Azara, encargado de la primer secre­ Manifiesto de la diputación del reino de Navarra á sus taría de Estado. naturales. Ninguno de vosotros ignora ya la…</t>
  </si>
  <si>
    <t>y Azara, Eusebio de Bardaxi</t>
  </si>
  <si>
    <t>Eusebio de Bardaxi y Azara</t>
  </si>
  <si>
    <t>municareis á quien corres­ ponda para su cumplimiento. Cidiz 10 de abril de 1811. — Tedro de Agar , presidente. —Joaquín Blake. -- Gabriel Ciscar. —A D. Eusebio de Bardaxi y Azara. El Consejo de Regencia se ha servido conferir el empleo de bri­ gadier con la antigüedad de 28 de marzo último al coronel D. Joaquín Caamaño, en a…</t>
  </si>
  <si>
    <t>y B, Domingo González</t>
  </si>
  <si>
    <t>Domingo González y B</t>
  </si>
  <si>
    <t>160. Por id. id. de pistf.Ias , 80. Por mandados', 6, —Hasta 5.de setiembre. A D¿ Tomas Lunar, por ¿1- sillas con sus correages, á 370 rs., 19980. A D. Domingo González y B. Fernando Rivero , por 102 id., 37740. A D. J uan González , por 60 á id. 22200 A P- jVItmue] Bebía, apoderado de D. Rafael Gutiérrez, por inver-' Fon que…</t>
  </si>
  <si>
    <t>y Barca, José Gaspar</t>
  </si>
  <si>
    <t>José Gaspar y Barca</t>
  </si>
  <si>
    <t>tonio Pueyo, D. José Gon­ zález Suarez, D. Ignacio Sánchez, D. Francisco Bureyra, D. Ma­ nuel Rodrigne2, D. Manuel x4ngeira , D. Andrés Raposeiras, y D. José Gaspar y Barca ; subtenencia de bandera á D. Rafael de *¡ftj.ova, rt «* En el regimiento de infantería de L?on: ayudantía á D. Santiago fritaron: cías á D. Santiago la R…</t>
  </si>
  <si>
    <t>y Barquez, Buenaventura Oliver</t>
  </si>
  <si>
    <t>Buenaventura Oliver y Barquez</t>
  </si>
  <si>
    <t>ndrés Ibarra, 100. D. -Juan de la Fuente y Valle , 100. D, An­ tonio de Estrada , 100. D. José Buenaventura Batllé , 100. D. Vicente Ta­ layera, 100. D. Buenaventura Oliver y Barquez , 100. D. Manuel Ansel­ mo López Carta, 100. D. Cristóbal Rieart, 100. D. Andrés Sauri , 100. D. Salvio Garbo y compañía, 100. D. José de la Ros…</t>
  </si>
  <si>
    <t>y Barrantes, José Berin</t>
  </si>
  <si>
    <t>José Berin y Barrantes</t>
  </si>
  <si>
    <t>oidor de. da real audiencia de Mallorca , para, comunicar­ les asuntos de alguna importancia; y se suplica al que sepa de alguno de ellos, lo avise á D. José Berin y Barrantes, vecino de la villa de Aiburquerquepartido, de Badajoz, ó á D. Manuel de Qievedo, ve­ cino de Cádiz, calle del Fideo, núm. 28. CAlil? s Eli %A IMPRENTA…</t>
  </si>
  <si>
    <t>y Bastá, D Joaquín de Castillo</t>
  </si>
  <si>
    <t>D Joaquín de Castillo y Bastá</t>
  </si>
  <si>
    <t>er ayudante el teniente coróne! D. Bernardo Villanail, con orden de que formar¿do. otra columna con el segundo batallón de granade­ ros del mando del teniente coronel D* Joaquín de Castillo y Bastá­ bante, lps 2 escuadrones de caballina del cuerpo de Frontera al car­ go de su comandante D. Manuel Díaz de Solorzano, y ios 2 ca…</t>
  </si>
  <si>
    <t>y Beida, Martin Rolda</t>
  </si>
  <si>
    <t>Martin Rolda y Beida</t>
  </si>
  <si>
    <t>inke y compañía, 100. D. Romualdo Pasqual de Tejada , 200. D. Carlos .García Texudor ,-100. Condesa de Torres, 160. D. José Martínez- de Vcngoa» 100. D. Martin Rolda y Beida , Í300. Sres. Dnwel y compañía , 5000. D. MF gnel Lobo , 000. P. José Durana, 80. Sres. Strangc , hermanos y compañía, ‘ 500. D. Ignacio Eleves y Matute,…</t>
  </si>
  <si>
    <t>y Besafee, Joaquín Savaíla</t>
  </si>
  <si>
    <t>Joaquín Savaíla y Besafee</t>
  </si>
  <si>
    <t>o Príor; los de teniente á D. Francisco Suiglesia, D. José.'Vera y PíU:toja, yD'. Joaquín Pardo, D. Miguel Majo y D. Pedro. Mir; les de subteniente á D. Joaquín Savaíla y Besafee, D. Antonio Ca­ sas y D. Miguel Roura. tiuques que han recogido correspondencia en la administración de correos de Cádiz durante la semana finalizad…</t>
  </si>
  <si>
    <t>y Betencourt, Diego de Castillo</t>
  </si>
  <si>
    <t>Diego de Castillo y Betencourt</t>
  </si>
  <si>
    <t>n llenado bu deber, y espero se sirva Y. E. recomendarlos á la superioridad para su satisfacción.” ■s* El Consejo de Regencia se ha servido admitir í D. Diego de Castillo y Betencourt, ©apitan disperso en la Gran Canaria, la cesión que hace del sueldo que disfruta de retiro á ‘favor del real erario; y ha resuelto qus se le de…</t>
  </si>
  <si>
    <t>y Borja, Basilio Casas</t>
  </si>
  <si>
    <t>Basilio Casas y Borja</t>
  </si>
  <si>
    <t>rn Chacón, n.itmal de la ciudad de Huctc, provincia de Burgos, residente en Toledo, por 2200 en Cuerea, residente en la misma, por.............. 2200 D. Basilio Casas y Borja, natural de Valencia, re­ D. Jmn Ji sef Mencjjraba!, njtural de Igca, en sidente en Toledo, por........................................ 2200 Soria, resi…</t>
  </si>
  <si>
    <t>y BoUú, José Marrugat</t>
  </si>
  <si>
    <t>José Marrugat y BoUú</t>
  </si>
  <si>
    <t>: 2 caxon~s con quirr. y un fardo con zapatos, dcnaíiv de D. Lu':. P vi, cirujano de !a real armada: 4 tachos con 1000 pares de z’pi tos, donativo de D. José Marrugat y BoUú , y D. M mutl de Z A - gi, vech os de México : 20 fardos con 5071 pares de zapatos, do' tív í de la provincia de Mérida : un caxon ccn h 1 s, donativo de…</t>
  </si>
  <si>
    <t>y Busíamantc, Joaquín de Castillo</t>
  </si>
  <si>
    <t>Joaquín de Castillo y Busíamantc</t>
  </si>
  <si>
    <t>729 é inteligencia con que cumplió'mis órdenes : al de la misma clase D. Joaquín de Castillo y Busíamantc, que manifestó mucha sereni­ dad y firmeza en los ataques del centro y de la última batería : al c&amp;pitan D. Saturnino Samaniego por la intrepidez y espíritu que ha acreditado en todas las a</t>
  </si>
  <si>
    <t>y Cáceresá, Gonzalo Lorenzo</t>
  </si>
  <si>
    <t>Gonzalo Lorenzo y Cáceresá</t>
  </si>
  <si>
    <t>omev r en el real cuer­ po de ingenieros, i director-subinspector al brigadier -y, corone! del mismo D. Mgueí Rengel t á coronel, al teniente coronal D. Gonzalo Lorenzo y Cáceresá teniente'coronel, al graduado de kfant;ría y sargento mayor de brigada D. Blas Mar ud Teruel: á eeíe empleo al cavilan O. Bsrnardo Landabura; y á c…</t>
  </si>
  <si>
    <t>y Calderón, Juan Rodrigo de Quintaniila</t>
  </si>
  <si>
    <t>Juan Rodrigo de Quintaniila y Calderón</t>
  </si>
  <si>
    <t>aniila. D. Manuel Herrera, subteniente, á teniente en re­ Octavo batallón. emplazo de D. Manuel Obando. D. Vicente Moyano, sargento primero, á subte­ D. Juan Rodrigo de Quintaniila y Calderón á niente de la sexta compañía. subteniente en la vacante de D. Manuel Herrera. D. Víctor Francisco IIleseas , sargento primero , á art …</t>
  </si>
  <si>
    <t>y Camino, D Francisco Ciíieruelo</t>
  </si>
  <si>
    <t>D Francisco Ciíieruelo y Camino</t>
  </si>
  <si>
    <t>comandante de partida franca D. Felipe Ramos Cienfuegos que vo­ luntariamente lo solicitó, por el coronel D. Juan de Dios Bernardo de Quirós , por el capitán D Francisco Ciíieruelo y Camino, y por el misino Castañon , debían entrar por diversos puntos, dirigiéndose á la casa alojamiento del general Bonnet, á ias de varios par…</t>
  </si>
  <si>
    <t>y Camón, Abdon Ruis</t>
  </si>
  <si>
    <t>Abdon Ruis y Camón</t>
  </si>
  <si>
    <t>as á D. Ji'sé Lopes y Angulo , D. Jacobo López, B. Miguel Salazar, D. Temas Moreno, D. Juan Julián da Tomás, D. Isidro Rebollo,. D. Saturnino García, D. Abdon Ruis y Camón, D. Ventura Mol­ ió.; D. Francisco de F ula Lopes, D, Tomas Ríos , D. Andrés Rodrigo y D. Francisco Gor-znlea ; y subtenencia» i D. Alexandro* Psrezj D, Ma…</t>
  </si>
  <si>
    <t>y Cárdenas, Nicolás Peñalver</t>
  </si>
  <si>
    <t>Nicolás Peñalver y Cárdenas</t>
  </si>
  <si>
    <t>tínez , garzón del batallón de Pardos , 18. D. Pedro Acosta , 204. El teniente coronel B. Pedro Val verde , por mi­ tad de su oferta en cada año, 50. D. Nicolás Peñalver y Cárdenas, co­ mo curador del marques de Areos D. Ignacio Peñalver y de Boña Ma­ ría Concepción, su hermana, 1000. El mismo por sí, 500. Boña Cata­ lina Riv…</t>
  </si>
  <si>
    <t>y Carmen, Dolores</t>
  </si>
  <si>
    <t>Dolores y Carmen</t>
  </si>
  <si>
    <t>■■cruz: corbeta Intrépida.— Para Campeche y Vera* cr?¿% : fragata la Marinera. — Para Montevideo : fragata Minerva.—» .Para Ay ame de. \ místicos del rey Dolores y Carmen.-r- Parala Co­ rana : echemarí tv correo-N. Ssra. de la Guia. — Para todo Levante: rm del rey Nú o. 33. — Para Matará : laúd S* Antonio. — Para Algv.eiras :…</t>
  </si>
  <si>
    <t>y Caro, Juan Zapata</t>
  </si>
  <si>
    <t>Juan Zapata y Caro</t>
  </si>
  <si>
    <t>creada. personal, y un garante de la independencia, del Nombramos para comandante de este batallen poderío y de la gloria del imperio; tributo qne, á D. Juan Zapata y Caro; para ayudante á Don asi en tiempo de paz como de guerra , debe satis­ Josef Cremona, y para abanderado á D. Pedro facerse cada año en una proporción mayor…</t>
  </si>
  <si>
    <t>y Carrasco, María Apolinar Frelre</t>
  </si>
  <si>
    <t>María Apolinar Frelre y Carrasco</t>
  </si>
  <si>
    <t>ro Castro, id., por.... 2200 Seseña, por................. 2200 D ña Rmereociana Martin, id., por......... 2200 D. Hilario . Antonio Vera, ex-agustino Doña María Apolinar Frelre y Carrasco, calzado, residente en Casarubios del id., por...................... 2200 Monte, por................................................. 2200 …</t>
  </si>
  <si>
    <t>y Carroz, Juan del Castilla</t>
  </si>
  <si>
    <t>Juan del Castilla y Carroz</t>
  </si>
  <si>
    <t>1162 PORTUGAL. Lisboa 16 de octubre. D. Juan del Castilla y Carroz, nrnistro de España es Lis-aca, ha sido nombrado por el Conseja de R gracia de Es-aña é Indias psrá residir con el mismo carácter ■ ’íuca de S. A. R. el principe regente d Portugal en ia co</t>
  </si>
  <si>
    <t>y Carroz, Juan del Castillo</t>
  </si>
  <si>
    <t>Juan del Castillo y Carroz</t>
  </si>
  <si>
    <t>erial un tratado ..hecho el 29 de setiembre últi­ mo entre el Excino. Sr. D. Miguel Pereyra Forjaz, autorizado por lo*; gobernadores de este reyno, y D. Juan del Castillo y Carroz, au­ torizado asimismo por el Consejo de Regencia de España é Indias; por el quál quedan sujetos los portugueses que se hallen en España al recluta…</t>
  </si>
  <si>
    <t>y Casañas, Manuel Abren</t>
  </si>
  <si>
    <t>Manuel Abren y Casañas</t>
  </si>
  <si>
    <t>ecutor D, José de Genes , por igual oferta, 81. El regidor D. Joaquín de Herrera, por el de 5 id., 135. El cadete D. Francisco de Paula de la Luz, 9. D. Manuel Abren y Casañas, 17. I). Juan Naranjo, sargento retirado, por dos meses de su oferta, á 7 en cada uno , 14. El comisario de guerra y secretario del gobierno y capitaní…</t>
  </si>
  <si>
    <t>y Castro, Antonio Chasscrot</t>
  </si>
  <si>
    <t>Antonio Chasscrot y Castro</t>
  </si>
  <si>
    <t>............. 20100 Sor María de la Asuacion Moreno. 1080 D. Antonio de Yarritu................... 20000 D. Josef García Ximenez...... ........ 122 J D. Antonio Chasscrot y Castro.... 80OO D. Tadeq Font............................... , ¿ÓOO D. Juan Murfi................................ 1ocooo D. Joaquín María de Uria y la El …</t>
  </si>
  <si>
    <t>y Catalan, Mauricio Palla</t>
  </si>
  <si>
    <t>Mauricio Palla y Catalan</t>
  </si>
  <si>
    <t>illas, teniente, ¿ capitán de la pormenores de un medio tan conocido y tan usado. primera compañía. a.° Substituyendo á la cuerda del movimiento pre­ D. Mauricio Palla y Catalan, subteniente, á cedente una cadena sin fin, guarnecida de dientes, que se engranan en una rueda dentad*, que hace parte del teniente de la décima com…</t>
  </si>
  <si>
    <t>y Cereceda, Lucas Pichardo</t>
  </si>
  <si>
    <t>Lucas Pichardo y Cereceda</t>
  </si>
  <si>
    <t>nombre de los .-eclesiásticos de ella, 328. Di José Bernal, alcalde ordinario de dicha villa, á nombre del regidor p, Manuel Francisco Aguirre ,. 59. D. Lucas Pichardo y Cereceda , adminis­ trador de rentas de. la misma , 100. Los empleados en la administración , 105 y 4 rs. D. Tomas Cisneros vecino de la referida villa; 800.…</t>
  </si>
  <si>
    <t>y Chave, Josef María Manso</t>
  </si>
  <si>
    <t>Josef María Manso y Chave</t>
  </si>
  <si>
    <t>rei miserable, á la que puedan gobernar de Superunda, en este titulo, igualmente que á su con el palo, chupar su substancia, matar y deso­ hijo menor D. Josef María Manso y Chave* , y en llar á su arbitrio. El escrito, ¡escandaloso que os ha el de marques de Beriuodo. sido denunciado, no es obra del delirio de on solo art. 11…</t>
  </si>
  <si>
    <t>y Chtiz, Pedro Aparici</t>
  </si>
  <si>
    <t>Pedro Aparici y Chtiz</t>
  </si>
  <si>
    <t>or el rey no de Murcia; para vice pre­ sidente el Sr. marques de Villafranca, diputado propietario p»r ía jun­ ta de Murcia, y para secretario el Sr. D. Pedro Aparici y Chtiz, di­ putado propietario por el rey no de Valencia. Noticioso el Consejo de Regencia de que en los ataques sostenidos so­ bre el puente de S. Payo en les…</t>
  </si>
  <si>
    <t>y Clr, Juan Illa</t>
  </si>
  <si>
    <t>Juan Illa y Clr</t>
  </si>
  <si>
    <t>. Sres. Strangc , hermanos y compañía, ‘ 500. D. Ignacio Eleves y Matute, 100, D. Lorenzo IJast.is , 200. X). Francisco * Rodríguez de Tórices. 1.00. D. Juan Illa y Clr.usell, 200. D. Andrés Morzan, '500. P. Melchor MonconiU , 100. !&gt;., Ildefonso Uuiz ded Rio , 1¿)00. D. ígnatcio Casal , 1000. Sres. Elias y ‘Parlado , 1000, P…</t>
  </si>
  <si>
    <t>y Coll, Antonio Cortes</t>
  </si>
  <si>
    <t>Antonio Cortes y Coll</t>
  </si>
  <si>
    <t>omingo, 200. D. Jo­ sé Gordoa, diputado en Cortes por América, 2000. D. José Co!í, 1000. Don Ignacio Garceran , 200. D. Pascual Moreno de. Mora, 200. D. Antonio Cortes y Coll, 300. D. Félix Pulí, 200. D. Mariano Lobera, 400. D. José Solernou, 200. D. J. L. F., 150. D. José Ignacio Inciartc, 100. D. Luís de Córdoba, 100. Sres.…</t>
  </si>
  <si>
    <t>y Cosío, Manuel Oviedo</t>
  </si>
  <si>
    <t>Manuel Oviedo y Cosío</t>
  </si>
  <si>
    <t>anos, con el enemigo , haciéndose recomendables por su celo los comandantes de escuadrón D Juan Pesquera, D. Martin Collado, D. F^ancicco Or rancia , D. Manuel Oviedo y Cosío, D. Matías A í;u ir­ re, D. Ramón Cardona, D. Francisco Goyenechey D José Gabriel Armijo. El Sr. mayor general de caballería coronel D. Diego Garda Con­…</t>
  </si>
  <si>
    <t>y Costoya, María de la Luz Soto</t>
  </si>
  <si>
    <t>María de la Luz Soto y Costoya</t>
  </si>
  <si>
    <t>08. D. José de Porres, á nombre y cuenta de mayor cantidad que ha ofrecido D.^Juan Francisco Manrique, oficial déla administración de- correos , 200. Doña María de la Luz Soto y Costoya, por el prest de 3 soldados en un año 324. El capitón D. Domingo Bontoux de la Blanche , por la de un soldado en 4 meses, 36. Doña Bárbara de…</t>
  </si>
  <si>
    <t>y Cuesta, Tomas de Yel</t>
  </si>
  <si>
    <t>Tomas de Yel y Cuesta</t>
  </si>
  <si>
    <t>¡d., residente Doña Josefa Espinosa, ex-agustina reco­ en S. Martin de la Vega, por............... 2200 leta del convento de Santa Isabel, por. 2200 D. Tomas de Yel y Cuesta, id., residen­ Doña María de los Dolores Rodríguez, ex­ te en Madrid , por....................................... 22CO franciscana del convento de Santa …</t>
  </si>
  <si>
    <t>y D, Andrés</t>
  </si>
  <si>
    <t>Andrés y D</t>
  </si>
  <si>
    <t>iriano Pinto , 12 D. Antonio Alfaro y José María legarte , 12. D. Isidro Dábalos y D. Domingo León , 12. E&gt;. Ignacio Martínez' y P. Juan 'Otazo , 12. D. Andrés y D. Narciso Lleréna , 12 D. Vicente Antesaná , 12.--Varios-españ oles"-t 170. Entregado por mano del coronel del regimiento , 277 y 3 rs. — Total, 5030 pesos y 3 rs. …</t>
  </si>
  <si>
    <t>y D, Andrés Guerra</t>
  </si>
  <si>
    <t>Andrés Guerra y D</t>
  </si>
  <si>
    <t>or ó mayordomo, trocando asi las funcio­ del Mármol, D. Antonio Angulo , D. Cirios del nes de ambos; pues al fin el uno peleaba mientras el Castillo, D. Andrés Guerra y D. Josef María Ga- otro se hallaba en Cádiz en las delicias de Capua , que mez, subtenientes , á tenientes ; y D. Josef Do­ valían algo mas que los horrores d…</t>
  </si>
  <si>
    <t>y D, Andrés Lema</t>
  </si>
  <si>
    <t>Andrés Lema y D</t>
  </si>
  <si>
    <t>él, al de Ja misrfta clase D. Esreban Rodríguez, al teniente D. Pedro Ma­ ría Fernandez, y a los subtenientes D. Francisco Bouzas, D. Esteban $antos, D. Andrés Lema y D. José Ja Huerta : todos los quales se por­ taron bizarramente, y lo mismo el ayudante interino D. Antonio Rivas, que comunicó las órdenes con actividad y pron…</t>
  </si>
  <si>
    <t>y D, Andrés Rodrigo</t>
  </si>
  <si>
    <t>Andrés Rodrigo y D</t>
  </si>
  <si>
    <t>an Julián da Tomás, D. Isidro Rebollo,. D. Saturnino García, D. Abdon Ruis y Camón, D. Ventura Mol­ ió.; D. Francisco de F ula Lopes, D, Tomas Ríos , D. Andrés Rodrigo y D. Francisco Gor-znlea ; y subtenencia» i D. Alexandro* Psrezj D, Mariano C'uluby, D. Aütaaio Sq2W¿o, D. Vicente Ji re­ velo , D. Dkgo Fénollet , B; J*sé Sae…</t>
  </si>
  <si>
    <t>y D, Anselmo Quíroga</t>
  </si>
  <si>
    <t>Anselmo Quíroga y D</t>
  </si>
  <si>
    <t>uan Duran, D. Luis Antonio Freise, D, Julián Alvarez, D. Dirgo Fragoso, Don Vicente María López, D. Víctor Urquiza, D. José Cameiro., Doa Manuel Cid, D. Anselmo Quíroga y D. José Tefi; subtenencia de bandera á D. Miguel Mana Nuñez. En el batallón-de infantería .ligera primero de Cataluña; los em­ pleos de capitán primero á D.…</t>
  </si>
  <si>
    <t>y D, Antonio</t>
  </si>
  <si>
    <t>Antonio y D</t>
  </si>
  <si>
    <t>ria en defensa déla religión, del rey y de la patria ; y muy particularmente á la. viuda é hijos del con­ de de la Cadena, de los cuales, dos que son D. Antonio y D. Manuel Fíon , sirven en este exército desde el principio de la campaña con mucho honor en la clase de capitanes de milicias , y soa muy acree­ dores por su mérit…</t>
  </si>
  <si>
    <t>steban García é hijo , 2000. D. Francisco del Corral, 2000. I). Jo­ sé de Teran , 2000. D. Pedro de Mier y Teran , 2000, D. Manuel de la Torre, 1500. D. Antonio y D. Manuel Gutiérrez del Corral, 15o0. D. Clemente Vciez, 1500. D, Francisco Mantilla é hijo, 600. D. Manuel Perez González, 600. I). Bernardo Salceda, 600. D. José …</t>
  </si>
  <si>
    <t>y D, Antonio Brtardo</t>
  </si>
  <si>
    <t>Antonio Brtardo y D</t>
  </si>
  <si>
    <t>ta filé atacada- con fuerzas- muy superiores, y Anuíada mandó reforzaría. Al mismo tiempo destacó algunos cab*.lo? é ¿ las oiiitnes ck-ios. alféreces D. Antonio Brtardo y D. Pedro del ..Valle á ocupar la altura, ú que.se dirigían los rebeldes!, los cuides, luego que-</t>
  </si>
  <si>
    <t>y D, Antonio Cano Manuel</t>
  </si>
  <si>
    <t>Antonio Cano Manuel y D</t>
  </si>
  <si>
    <t>culo 18 del expresado decreto de las Cortes. Habiéndose dado copia íntegra de la calificación y de­ claración referida á los interesados , expusieron D. Antonio Cano Manuel y D. Lorenzo Calvo de Rozas cuanto estimaron conducente sobre el particular; pero la junta subalterna no se conformó con lo que pretendieron , y según lo …</t>
  </si>
  <si>
    <t>y D, Antonio Cibat</t>
  </si>
  <si>
    <t>Antonio Cibat y D</t>
  </si>
  <si>
    <t>deradas contra un enemigo común deben uni­ Por decretos de este dia se ba servido el REI formar sns miras y operaciones, para que la alian­ nombrar á D. Antonio Cibat y D. Santiago Conde za no venga á ser nomioal. De ia falta de esto pro­ vocales del consejo de sanidad pública en la sección cede principalmente el poco efecto …</t>
  </si>
  <si>
    <t>y D, Antonio Corbaton</t>
  </si>
  <si>
    <t>Antonio Corbaton y D</t>
  </si>
  <si>
    <t>gra­ naderos provinciales de Guadalaxara al cargo de su capitán D. Manuel del Rio, y las de«caballería de voluntarios europeas al de sos capita­ nes D Antonio Corbaton y D. Juan José de Echarte, olocando fas restantes á espaldas (j.e! pueblo. Eí enemigo, luego que estuvo á tiro, rompió el fueg » con un c iñonazo de metralla; …</t>
  </si>
  <si>
    <t>y D, Antonio Cos</t>
  </si>
  <si>
    <t>Antonio Cos y D</t>
  </si>
  <si>
    <t>capitán D. Félix de las Alas muerto , habiéndo­ se portado con un valor imponderable. Recomienda ademas particu­ larmente los tenientes de granaderos D. Antonio Cos y D. Femando Caruí heridos , de los quales el Gos fué el primero que subió al puente; al capitán D. Rodrigo Qairós que también entró en él, al de Ja misrfta clase…</t>
  </si>
  <si>
    <t>y D, Antonio Faigueras</t>
  </si>
  <si>
    <t>Antonio Faigueras y D</t>
  </si>
  <si>
    <t>ero se distin­ guieron particularmente los capitanes D. Lorenzo Martí y D. Juan Ritnbau; los tenientes D. José Simón y D. Pedro Gou; los subtenientes D. Antonio Faigueras y D. Martin Albert; ios sargentos Gil Clos y Pe­ dro Olivet que quedó gravemente herido, y el cabo Pedro Palmada. Se señalaron igualmente les capitanes D. J…</t>
  </si>
  <si>
    <t>y D, Antonio Galiuzo</t>
  </si>
  <si>
    <t>Antonio Galiuzo y D</t>
  </si>
  <si>
    <t>9 23 ATburqueTque: á D. Antonio Galiuzo y D. Antonio ds la Iglesia y Lnith, subtenientes, el primero del regimiento infantería fizo de Cartagena de Indias y el segundo del de Aragón, como igualmente á D. Juan Canaoho, D. José Aizpuru</t>
  </si>
  <si>
    <t>y D, Antonio Hida'go</t>
  </si>
  <si>
    <t>Antonio Hida'go y D</t>
  </si>
  <si>
    <t>nfantería, primero de Burgos, Ira conferido el Consejo de Regencia compañías á los tenientes D. Francisco do Oña, D. Domingo Ace vedo, D. Juan Recio, D. Antonio Hida'go y D. José Soldes, y al ayudante D. Valentín Alegre; ayudan tí i al teniente D Joaquín Henriquez ; tenencias í los subtenientes D. J *só Fierra , D. José María…</t>
  </si>
  <si>
    <t>y D, Antonio Linares</t>
  </si>
  <si>
    <t>Antonio Linares y D</t>
  </si>
  <si>
    <t>?!« cap'tanes D. Antonio Linares y D. .Ramón Falcó , que s? apodera­ ron de Vatios cabecillas, y pusieron en libertad á a’g unos europeos que estaban presos: y no i,brando justicias y autoridades publicas e i aquella vida y en</t>
  </si>
  <si>
    <t>y D, Antonio María</t>
  </si>
  <si>
    <t>Antonio María y D</t>
  </si>
  <si>
    <t>de Fuentes....... 1263..17 D. Josef Badan, por...................................... 43850 D. Miguel Amonio de Oqucndo................... 12183.-25^ D. Antonio María y D. Vicente María D. Josef Carranza............................. 209380 Boan.................... 7050 D. Josef Pelaez...........................................…</t>
  </si>
  <si>
    <t>y D, Antonio Mena</t>
  </si>
  <si>
    <t>Antonio Mena y D</t>
  </si>
  <si>
    <t>ntes D. Die­ go Estrada, D. Domingo Notario y D. José Rodríguez, y tenencias á los subtenientes D. Antonio Nieto, D. Juan Veaegas, D. Raiuoa Dieguez, D. Antonio Mena y D. Juan Antonio Pardo; y en el del infante D. Carlos, en el segundo exército, subtenencia á D. Esteban Falcon. Igualmente ha concedido S. A. en el batallón de …</t>
  </si>
  <si>
    <t>y D, Antonio Ogesto</t>
  </si>
  <si>
    <t>Antonio Ogesto y D</t>
  </si>
  <si>
    <t>ntander y setiembre 29 de 1811. — Exento. Sr. — Ei comisario general de policía de la pro­ vincia— Pedro D'arripe.— Exes»®. Sr. D: Pablo Arribas.” De D. Antonio Ogesto y D. Lino Borroeta Aldamar al ministro de 16 interior. — Duplicado. —“Excmo. Sr.: Al parte dado á V. E. én 15 del corriente, de qué es duplicado el adjunto, po…</t>
  </si>
  <si>
    <t>y D, Antonio Serrano</t>
  </si>
  <si>
    <t>Antonio Serrano y D</t>
  </si>
  <si>
    <t>rizando el señor vi re y este acto con su presencia , ha con­ tinuado con la del señor intendente corregidor, brxo la dirección de los profesores Dr. D. Antonio Serrano y D. Miguel María Muñ.z, re­ cibiendo el precioso fluido muchas personas de ámbos sexo;, por la ma­ yor parce niños de tierna edad. Esta benéfica operación se…</t>
  </si>
  <si>
    <t>y D, Bartolomé Amor</t>
  </si>
  <si>
    <t>Bartolomé Amor y D</t>
  </si>
  <si>
    <t>, Sr. Excmo.., no puedo mecos de manifestar y recomendar á V. E. para que se digne hacerlo al gobierno supremo , el mérito de los tenientes coroneles D. Bartolomé Amor y D. Juan Antonio Tabuen­ ca , el prime! o comandante de todas las tropas dé la expedición y del cuerpo de caballería, y el segundo del batallón de Rioja, ¡dig…</t>
  </si>
  <si>
    <t>y D, Benito Losada</t>
  </si>
  <si>
    <t>Benito Losada y D</t>
  </si>
  <si>
    <t>ía á aquellos. Viendo el coronel D. Pablo Mier que lo&lt;? enemigos no desamparaban la villa, reunió al teniente co­ rone! Puente con los escuadrones de D. Benito Losada y D. Santos Padilla, y en 3 columnas de anafes armas se presentó á ios enemi­ gos , que al instante formaron la principal fuerza en las eras próximas ai convent…</t>
  </si>
  <si>
    <t>y D, Carlos Arias</t>
  </si>
  <si>
    <t>Carlos Arias y D</t>
  </si>
  <si>
    <t>nto mayor .*&gt;: D. José Díaz Buscones y i). Rodrigo Bernaudez; compañías á í)Friipe Escrio, D. Manuel Cas2.jus,ü. Juan Chaca, D. Cris­ tóbal de B ;ña,-D. Carlos Arias y D. Alexandro Patison; las ayudauitía3 primera y segunda á D. Francisco Trespalacios y Don Joaquín O'lviras; tenencias á D. Francisco Cano, D. Benjamín D woia, …</t>
  </si>
  <si>
    <t>y D, Carlos Buil</t>
  </si>
  <si>
    <t>Carlos Buil y D</t>
  </si>
  <si>
    <t>íno. batallón. D. Josef Mana Conde. Queda nombrado para comandante de este ba­ D. Antonio Pineda. tallón D. Francisco María Lechuga; para ayudan­ tes D. Carlos Buil y D. Francisco A nropio Queve'Tenientes. do, y para abanderado D. Pedro Oxin.tgaD. Bartolomé Arando. Asimismo qiíedan nombrados p-ra capitanes y</t>
  </si>
  <si>
    <t>y D, Carlos O-Donell</t>
  </si>
  <si>
    <t>Carlos O-Donell y D</t>
  </si>
  <si>
    <t>­ contró en el Caya , no lo pudo verificar; pero ahora en el dia de hoy ó mañana que deben llegar nuestras divisiones de inflatería con los generales D. Carlos O-Donell y D. Martin de La carrera á Elbas, ten­ go avisado al mariscal de campo D José Virués para que al dia si­ guiente vengan á esta plaza, con el fin de obligar a…</t>
  </si>
  <si>
    <t>y D, Cesáreo Hsrían</t>
  </si>
  <si>
    <t>Cesáreo Hsrían y D</t>
  </si>
  <si>
    <t>ón, D. Saturnino Viyanco, D. Pedro Chiega y D. Do­ mingo Lobo: y en el tercer batallo a de cazadores dé Valencia, com­ pra ñiss á O. Cirios Rtd&amp;itra, D. Cesáreo Hsrían y D. José Alonso: ayudantías á D. José Mariano Ccsaus y D. Pedro Hernández : empízios de capitanes segundes á D. José Abifezm, D. Manuel Navarro, I), Vicente j…</t>
  </si>
  <si>
    <t>y D, Diego</t>
  </si>
  <si>
    <t>Diego y D</t>
  </si>
  <si>
    <t>l empleó ele coronel á D. José Pirez, teniente coronel clei mismo cuerpo, graduado dé'coronel : y en el segundo de Truxillo subtenencias de bandera a D. Diego y D. Gaspar Calderón. Támínén se há servido conceder en el regimiento de infantería de Africa/tenencia al subteniente D. Fausto .Lozano, y subtenencia al cadete graduad…</t>
  </si>
  <si>
    <t>y D, Diego García Pinto</t>
  </si>
  <si>
    <t>Diego García Pinto y D</t>
  </si>
  <si>
    <t>ro patriota J. C., 782. D. Francisco de Paula Martines Sal­ cedo , 60V'D. Valerio Cortijo, en 4 resguardos de intereses de vales, 1444 jr 2 pistolas. D. Diego García Pinto y D. Felipe de los Meros , 400. 1) Tomas rieming , 200. D. José Fray le Jarro , 12 0. Varios emigrados, 122. Un ma­ drileño , GO. D. Juan Antonio Llórente,…</t>
  </si>
  <si>
    <t>y D, Dionisio Cabañas</t>
  </si>
  <si>
    <t>Dionisio Cabañas y D</t>
  </si>
  <si>
    <t>alles que desembocan en las principales , des Je donde hac^n fuego. Ententes man ó Recacho que les capitanes D Agustín Chafino, Don Felipe Inchausti, D. Dionisio Cabañas y D. Francisco P .checo con la caballería de su mando, saliesen espada en manó á dispersarlos; pero fueron tantos los que cargaron sabré ellos, y tal la obst…</t>
  </si>
  <si>
    <t>y D, Domi Junco</t>
  </si>
  <si>
    <t>Domi Junco y D</t>
  </si>
  <si>
    <t>s Dan noy j c&lt;.mp"ñ.u de fusilaros al primer teniente graduado de coronel D. Bruno Jeté de Prcts j prun ras tenencias de cazadores á los ae fusilaros D. Domi Junco y D. Francisco Xavier de Bocear : pri­ meras tenenci&amp;s de fusil.Tcs al primer teniente agregado D. Abrrto Suelves, marques de Atizona „ y á les seguidos tenientes …</t>
  </si>
  <si>
    <t>y D, Domingo Notario</t>
  </si>
  <si>
    <t>Domingo Notario y D</t>
  </si>
  <si>
    <t>1811. Ei Consejo de Regencia se ha servido conferir en el regimiento de infantería de Navarra, compañías al ayudante y tenientes D. Die­ go Estrada, D. Domingo Notario y D. José Rodríguez, y tenencias á los subtenientes D. Antonio Nieto, D. Juan Veaegas, D. Raiuoa Dieguez, D. Antonio Mena y D. Juan Antonio Pardo; y en el del …</t>
  </si>
  <si>
    <t>y D, Domiugo</t>
  </si>
  <si>
    <t>Domiugo y D</t>
  </si>
  <si>
    <t>............ 2920.. 2 D. Nicolás Blasco de Orozco , por ma­ Doña Manuela de Goiburu..................... 11070 no de D. Vicente González Arnao.. 1083 D. Domiugo y D ¡ña Geróniina Gar­ D oña Antonia Massíp y Stofíl-l.............. 1444 cía, y los herederos de D. Manuel D. josef de Roxas y Hierro.................... 1985..17 Jo…</t>
  </si>
  <si>
    <t>y D, Engodo Moya</t>
  </si>
  <si>
    <t>Engodo Moya y D</t>
  </si>
  <si>
    <t>Madrid; los cuatro alumnos de la academia militar de ia Ida de León, D. Juan Monzoi, sargento primer® del citado batallen,: D. Francisco Gi­ nesta!, D. Engodo Moya y D. Dsmiugo Bdlerino, cadetes de Ies regimientos de Cananas, y segundo de Sjvilla, D. Angel Par­ rilla, subtentente de infantería y cadete da Irlanda, los cuatro …</t>
  </si>
  <si>
    <t>y D, Enrique</t>
  </si>
  <si>
    <t>Enrique y D</t>
  </si>
  <si>
    <t>nez de Pinillos; segundas tenencias de cazadores á los de fusilerosD. Mariano López y D José Sergeant; segundas tenencias de fu ñeros á las agregados D. Enrique y D. Pedro Zuloaga , y á los al­ féreces D Pedro Gómez y las Casas, de granaderos, D. José Gon­ zález de Rivera, de cazadores, D. Juan Snaith-y D. Pedro Magarófa; emp…</t>
  </si>
  <si>
    <t>y D, Esteban José de Ciris</t>
  </si>
  <si>
    <t>Esteban José de Ciris y D</t>
  </si>
  <si>
    <t>e fragata, me ponen en la honrosa obligación de recomendarlos á V. E., así como i lós oficiales de ar­ tillería de transporte D. Juan Pedro de Carpa, D. Esteban José de Ciris y D. Sebastian Riera , que con el capitán de artillería Don JosédeSaá ocuparon tan dignamente sus puestos, como todos ios dcTíU s, inclusos los pilotos …</t>
  </si>
  <si>
    <t>y D, Eugenio Velez</t>
  </si>
  <si>
    <t>Eugenio Velez y D</t>
  </si>
  <si>
    <t>or la prudencia. No tenemos sistemafi­ y para jaeces D. Joaquín Lezaeta, D. Segundo sco , y sin él nos perderemos. (El Revisor políti­ Boada y Alomo, D. Eugenio Velez y D. ladeo co jutm. &lt;S.) Rico. Del 3&lt;T. art. 11. Nuestro ministro de la Justicia que­ Hemos dicho que no tenemos un sistema fisco da encargado de la execucioi; …</t>
  </si>
  <si>
    <t>y D, Eustaquio Noriega</t>
  </si>
  <si>
    <t>Eustaquio Noriega y D</t>
  </si>
  <si>
    <t>ftbsn; en geometría elemen­ tal y trigonometría plana, D Francisco Aldao; en geometría elemen­ tal , D. Vicenta Salgado; y en geografía y navegación, D. Eustaquio Noriega y D. Pedro Martin? z; habiendo merecido la aplicación de todos y sus adelantamientos en las materias sobre que fueron exa­ minados , como asimismo los dibux…</t>
  </si>
  <si>
    <t>y D, Felipe Mazas</t>
  </si>
  <si>
    <t>Felipe Mazas y D</t>
  </si>
  <si>
    <t>del brigadier Porlier se distinguieron, sú caballería, el coronel de está D. Juan José de Riva, el cabo primero Antonio Es­ canciarlo, los capitanes D. Felipe Mazas y D. Francisco Lomba, y el ayudante general de la división. — El conde de Priegue recdrqienda al sargento segundo Domingo Conde, que presentó q prisioneros, al ay…</t>
  </si>
  <si>
    <t>y D, Felipe Moreno</t>
  </si>
  <si>
    <t>Felipe Moreno y D</t>
  </si>
  <si>
    <t>D. -Vicente de Andoaga por boletas. 1x150 1 Doña Margarita Cerdan id..;............ 1500 libranzas ele consolidación contra la casta de descuentos 1 D. Felipe Moreno y D. Tomas Recio. 1500 procedentes del préstamo'de 20 millones, con que sirvió 2 D. Josef Lazameta................ ............ 90240 al Rei el comercia de Madri…</t>
  </si>
  <si>
    <t>y D, Félix Aznar</t>
  </si>
  <si>
    <t>Félix Aznar y D</t>
  </si>
  <si>
    <t>y prisioneros. — Muertos. El segundo ayudante ma­ yor D. Pedro Gómez , segundo teniente del segundo batalloYi de guardias españo­ las : los tenientes D. Félix Aznar y D. José Goiti, del regimiento de voluntarios de la Patria ; y el teniente D. Antonio Mendoza , del batallón de cazadores. Heridos. Él coronel D. Juan Lasaña, ca…</t>
  </si>
  <si>
    <t>y D, Félix Maciaughlin</t>
  </si>
  <si>
    <t>Félix Maciaughlin y D</t>
  </si>
  <si>
    <t>argen­ to mayor de brisada D. Eugenio Ireturgui; á sargento mayor de bri­ gada al capitán D. Tomas Aguirr-s y Castro; y á capitanes á los te­ nientes D. Félix Maciaughlin y D. Ramón Oteo de Tesada— Buques que han recogido correspondencia en la administración de correos de Cádiz durante la semana finalizada en 6 del corriente.…</t>
  </si>
  <si>
    <t>y D, Fernando</t>
  </si>
  <si>
    <t>Fernando y D</t>
  </si>
  <si>
    <t>os moros,'desde su inva­ sa de su infame proyecto. sión hasta el glorioso reinado de los Reyes Católicos Los mismos escopeteros encontraron otro ban­ D. Fernando y D.1 Isabel, que acabaron de lanzarlos de dido de la misma partida; y habiéndolo preso, lo toda la península, experimentaron con frecuencia loa han conducido á la c…</t>
  </si>
  <si>
    <t>y D, Fernando Mesa</t>
  </si>
  <si>
    <t>Fernando Mesa y D</t>
  </si>
  <si>
    <t>ngún sacrificio extraordinario, D. Josef Arenillas y D. Miguel Salcedo y Nuñez, para mantenerse en una actitud respetable , y ma­ y para subtenientes D. Fernando Mesa y D. An­ nifestarse protectora de sus amigos, y amenazar á tonio Josef de Arenillas. fus enemigos. * art. ni. En la ciudad de Arcos de la Fronte­ No siempre es …</t>
  </si>
  <si>
    <t>y D, Feüx Calleja</t>
  </si>
  <si>
    <t>Feüx Calleja y D</t>
  </si>
  <si>
    <t>encia de las superiores prevencio­ nes del Excmo. Sr. virey de este reyno, hechas á los señores genera­ les de los exércitos de operaciones y reserva D. Feüx Calleja y D. Je­ té de la Cruz, y del acuerdo de ámbo$ en Guadalaxara; salió el se­ gundo de aquella ciudad con el exército de su cargo por la dirección de S. Blas el dí…</t>
  </si>
  <si>
    <t>y D, Francisco Azcarate</t>
  </si>
  <si>
    <t>Francisco Azcarate y D</t>
  </si>
  <si>
    <t>po: asi pues, si puede ser, haga vmd. ven­ ralta, D. Andrés Berrueta, D. Juan Ignacio Noain, ga también este gefe , quien le parezca á vmd. ha de te­ D. Francisco Azcarate y D. Antonio Linzoain. ner on destino fixo en esa plaza para el fin que le digo: art. iv. Apruebo desde luego lo que trate ó con­ por mí no habia necesidad…</t>
  </si>
  <si>
    <t>y D, Francisco Bemabeu</t>
  </si>
  <si>
    <t>Francisco Bemabeu y D</t>
  </si>
  <si>
    <t>D. Juan Diego Marín; los capitanes D. Francisco Maíknt, D, Francisco Catarla y D. Diego Roca, les tenientes D. Pas­ cual la Rosa, D. Antonio Garniel, D Francisco Bemabeu y D. Ni­ colás Dodero; el segundo ayudante D. Antonio Torró; el subteniente D. Pedro Perales ; los cadetes D. Antonio Aus?j.&gt; y D. Juan Artaíejr; ti sargento…</t>
  </si>
  <si>
    <t>y D, Francisco Bilarmt</t>
  </si>
  <si>
    <t>Francisco Bilarmt y D</t>
  </si>
  <si>
    <t>cazadores clel R y, como también d* Iss col o can as de gVBr.ade.rcs y cazadores de! expresado exérciío, á D. Felipe Sitavecka , D. Fernan­ do Rubia, D. Francisco Bilarmt y D. Salvador Valencia. lía los cuerpos do voluntarios distinguidos de Cádiz so ha servi­ do el Concejo de Regencia conferir ks empleos sigulc.-nt.s : en el…</t>
  </si>
  <si>
    <t>y D, Francisco Falla</t>
  </si>
  <si>
    <t>Francisco Falla y D</t>
  </si>
  <si>
    <t>mi talbo, el alférez de navio D. Manuel Murga, y los tenientes de la Gorona D. Francisco Falla y D. Antonio Cay re, sostúvolos ataques délas tropas y batió las posiciones enemigas con el acierto y serenidad que siem­ pre la distingue, conservando sü merecida reputación. Debo nombrar camb</t>
  </si>
  <si>
    <t>y D, Francisco Freyre</t>
  </si>
  <si>
    <t>Francisco Freyre y D</t>
  </si>
  <si>
    <t>de de f^eiiíie con la caballería háeia C-iceres. A me­ dia lógüa de este ^pirí blb hizo Tortear dos columnas á las órdenes de !d$ tenientes coroneles D. Francisco Freyre y D. Auíon;o de Roxasyllevando de reserva la división exifem?:ña, mandada por m sar­ gento mayor D. Antonio Castañeda : en vañgüefdte' fn^rchsbim kís tirador…</t>
  </si>
  <si>
    <t>y D, Francisco Lacón</t>
  </si>
  <si>
    <t>Francisco Lacón y D</t>
  </si>
  <si>
    <t>olúntanos de Navarras los de capitán primero i D. Lucas Huerga, D. Francisco Martínez, D. F ancisco Lahoz y D. Buenaventura Macia ; ios de ayudante á D. Francisco Lacón y D. Andrés Linda; los de capitán segundo ¿ D. Rafael OJeriz, D. Tomas Sacz, D. Juan Dañoso, D. Pedro Pascual Casales, D. Romualdo Cortazar y D. José Alguacil…</t>
  </si>
  <si>
    <t>y D, Francisco López</t>
  </si>
  <si>
    <t>Francisco López y D</t>
  </si>
  <si>
    <t>o. El Consejo de Regencia se ha servido conceder los empleos de ayu­ dantes segundos en el estado mayor del exército á los capitanes de in­ genieros! D. Francisco López y D. Juan Cini, y tenencia en el regi­ miento de infantería de África al subteniente D. Sebastian Crell. "* Con arreglo al real decreto de 5 de enero de 1810 …</t>
  </si>
  <si>
    <t>y D, Francisco Martí</t>
  </si>
  <si>
    <t>Francisco Martí y D</t>
  </si>
  <si>
    <t>beneficio del hospital han he­ cho de asistir gratuitamente fe los militares enfermos, durante las pre­ sentes urgencias , loa individuos de medicina D. Francisco Martí y D. Pcdr* Cuenca, y los de cirugía D. Jayine Cebrian y D. Mariano Azorin , y los de farmacia D. M’gnel Silvestre y D. José Ortuño: como también el que D. Ped…</t>
  </si>
  <si>
    <t>y D, Francisco Meleadez</t>
  </si>
  <si>
    <t>Francisco Meleadez y D</t>
  </si>
  <si>
    <t>tenencias á D. José Veaimtrgnia y D. José Celestino Fernandez de Cusía; y subtmercias á D. Podro Gutiérrez, D. Cipriano González, D. Lorenzo Grillo, D. Francisco Meleadez y D. Mariano Franco Rodríguez ; y en el de artilleros, compañías al córale de X i ni era, D. Francisco Xavier González y D. Carlos Malagamba ; ayudantía á D…</t>
  </si>
  <si>
    <t>y D, Francisco Mogollen</t>
  </si>
  <si>
    <t>Francisco Mogollen y D</t>
  </si>
  <si>
    <t>loria de! exército los empleos siguientes: ff-n «l regsrafertáo.dc infantería de voluntarios de Cádiz: rompañi.2R á -D. Jusú-Ufeiña, D. Andrés Perez, D. Francisco Mogollen y D. Pablo Senderos : ayudantía á D Jo -é Otero ; tenencias á D. Joan Rodríguez, D. Alfonso. Tercero, D. Tomas Manzanar-?, D. Jocó Yszquez Rdova, D. Juan A…</t>
  </si>
  <si>
    <t>y D, Francisco Montros</t>
  </si>
  <si>
    <t>Francisco Montros y D</t>
  </si>
  <si>
    <t>ia de bandera á D. Miguel Mana Nuñez. En el batallón-de infantería .ligera primero de Cataluña; los em­ pleos de capitán primero á D. Antonio Ferrer, D. Francisco Montros y D. Vicente Sánchez; el de primer ayudante á D. Francisco Fer­ nandez, y el de segundo á D. J ay rae Carrera; los de capitán segundo á D. J osé Carriezo, D…</t>
  </si>
  <si>
    <t>y D, Francisco Ri-era</t>
  </si>
  <si>
    <t>Francisco Ri-era y D</t>
  </si>
  <si>
    <t>eramientos. A las dos de la madrugada de hoy, lo he ver ficado con 400 somátense , qu*s distribuidos en dos d Visiones , una á cargo de mis ayudantes D. Francisco Ri-era y D. PAúio Soler, y la otra mandada per mí mismo y D. Antonio Ralagt er, han em­ bestido la montaña por la sierra de Oiivér y por S a. C eilm, hada llegar á …</t>
  </si>
  <si>
    <t>y D, Francisco Rovira</t>
  </si>
  <si>
    <t>Francisco Rovira y D</t>
  </si>
  <si>
    <t>695 -La plaza dirigía con bastante acierto sin cesar sus fuegos de mortero, obús y cañón á los puntes enemigos. Los coroneles D. Francisco Rovira y D. Vicente Amat hicieron, el primer© coa las compañías de Llorá y gente armada del país, y el segundo con la sección de su mando, sus movimientos por la parte de Liado y Llorona c…</t>
  </si>
  <si>
    <t>y D, Francisco Torres</t>
  </si>
  <si>
    <t>Francisco Torres y D</t>
  </si>
  <si>
    <t>atallón de infantería ligera segundo de Cataluña; lós de capitán primero á D. José García Orczco, y á D. Francisco Angel Bermudez; los de ayudantes á D. Francisco Torres y D. José Comin ; los de capitán sogundo á D. Fulgencio Sala y D. Toma? Ruiz; los de subteniente á O. Eztquiel Rodríguez Voto y D. Juan March; y el de subten…</t>
  </si>
  <si>
    <t>y D, Francisco Xaramillo</t>
  </si>
  <si>
    <t>Francisco Xaramillo y D</t>
  </si>
  <si>
    <t>io Ruiz ; á este empleo á ios sargentos mayores de brigada D- Manuel Morete y D. Sebastian de S. Jaan.’á sargentos mayores de brigada á los capitanes D. Francisco Xaramillo y D. Mariano Carrillo de Albornoz ; y á este empleo á los tenientes D. Tomas de ILnávidcS y D, Manuel Albo. &gt; SJG.UEN -LOS PAPELES INTERCEPTADOS. Carta de…</t>
  </si>
  <si>
    <t>y D, Francisco Xavier González</t>
  </si>
  <si>
    <t>Francisco Xavier González y D</t>
  </si>
  <si>
    <t>Cipriano González, D. Lorenzo Grillo, D. Francisco Meleadez y D. Mariano Franco Rodríguez ; y en el de artilleros, compañías al córale de X i ni era, D. Francisco Xavier González y D. Carlos Malagamba ; ayudantía á D. Diego Rodrigues; tenencias ú D. Juan Bsojkmcda, D. José García de! jl rdo, L). u*.sé ivieicuor García y D. Lu…</t>
  </si>
  <si>
    <t>y D, Francisco Xavier Mendez</t>
  </si>
  <si>
    <t>Francisco Xavier Mendez y D</t>
  </si>
  <si>
    <t>e coronel á Doa Gines Sánchez, sargento mayor del regimiento de infantería de Ga­ licia ; y en el de Murcia, ayudantía á D Pedro Gragera; tenencia* á D. Francisco Xavier Mendez y D. Francisco Valbuena; y subte­ nencias á D. Juan María Muñoz y D. Joaquín Bascada, teniente, subtenientes, cadete y sargento primero del mismo cuer…</t>
  </si>
  <si>
    <t>y D, Gabriel Larín</t>
  </si>
  <si>
    <t>Gabriel Larín y D</t>
  </si>
  <si>
    <t>rancisco Sierra y D. José Guiña; les de teniente í D. José Biiosa, D. Diego Castro, I). Ignacio Rebo­ llo y D. Francisco Valles; los de subteniente á D. Gabriel Larín y D. Pedro Galan. ' CADIZ : EN LA IMPRENTA REAL.</t>
  </si>
  <si>
    <t>y D, Gaspar Aguado</t>
  </si>
  <si>
    <t>Gaspar Aguado y D</t>
  </si>
  <si>
    <t>sco de Llano y Sangines,'D. Bernardo Pérez, D. Joa­ quín Casalduero, D. Pedro Juan de Zulueía, marques de Villareal de Purullesa, D. Manuel Goicolea, D. Gaspar Aguado y D. Fran­ cisco Noguer; tenencias á D. Mauricio de L -rgacha, D. Jo é Per­ noto , D. José deGaiilenea, D. Esteban S. Miguel, D. José Anto­ nio Romero, D. Ram&amp;n…</t>
  </si>
  <si>
    <t>y D, Gerónimo Merino</t>
  </si>
  <si>
    <t>Gerónimo Merino y D</t>
  </si>
  <si>
    <t>enviado la juventud de la provincia á los éxércitos patriotas, ha establecido fábricas de armas y monturas, y de acuerdo con los célebres partidarios D. Gerónimo Merino y D. Juan Tap ia ha organizado un cuerpo provincial de tropas ligeras, que ha causado, innumerables males al enemigo. Los mismos fran­ ceses vencidos y despoj…</t>
  </si>
  <si>
    <t>y D, Gregorio Eruciiagt</t>
  </si>
  <si>
    <t>Gregorio Eruciiagt y D</t>
  </si>
  <si>
    <t>cias lugre reponer los tres batallones, y casi igual número de escuadrones de caballería: ya no era otro mi objeto, y el de mis segundes comandantes, D. Gregorio Eruciiagt y D. Lucas Gorriz7, que el de ponerlos en el pie de bachee con orden . á fij de evi­ tar una dispersión igual á aquella. Por algu os dias me permitió el en…</t>
  </si>
  <si>
    <t>y D, Gregorio Saenz de Sicilia</t>
  </si>
  <si>
    <t>Gregorio Saenz de Sicilia y D</t>
  </si>
  <si>
    <t>D. Juan Diaz González , 3000, F&lt;1 mar­ ques de 8. Juan de Pavas, 1000. D. Sebastian do lleras, por sí , su esposa ^'hijós,'4000. D. Roqae Abdlcntc , D. Gregorio Saenz de Sicilia y D. Ra­ món Santos Valiente, 3000. El capitán D, Manuel Urquiaga, 1000. D. José</t>
  </si>
  <si>
    <t>y D, Horm'jnegiido Mancebo</t>
  </si>
  <si>
    <t>Horm'jnegiido Mancebo y D</t>
  </si>
  <si>
    <t>alfeito y D. José Muñiz; subtenencia de bandera á D. Francisco Zívihí-ano.- En el regimiento ds iafa*vAria da Zamora ; compañías é D. Vicante Casado, D. Horm'jnegiido- Mancebo y D, Antonio Marga­ do; ayudantía á D D o Asió de Arce ; tenencias á D. José Viiiaroel, D. José de los Jtav'js, D. Francisco Puebla, D. Antonio Nieto, …</t>
  </si>
  <si>
    <t>y D, Ignacio Allende</t>
  </si>
  <si>
    <t>Ignacio Allende y D</t>
  </si>
  <si>
    <t>vantamiento tramado por D. Miguel Hidalgo de la Costilla, cura de la población de Dolores , y por los capitanes del regimiento provincial de la Reyna D. Ignacio Allende y D. Juan Aldama. Algunas prisiones que se hicieron con este motivo en aquella ciudad, no alcanzaron a estorbar la explosión; y el cura Hidalgo, sublevando á …</t>
  </si>
  <si>
    <t>y D, Ignacio María Lufcuriaga</t>
  </si>
  <si>
    <t>Ignacio María Lufcuriaga y D</t>
  </si>
  <si>
    <t>la Después dé .haber oíd» el informe Je ¡a ccaii-. taenltad de «niedicina D. Juan Bautista Parroisse, sion especial.de siete miembros nombrados en la D. Ignacio María Lufcuriaga y D. Tomas García misma sesión,: i • r- . ...... Sueltoi ■■ ■ ■ Ha acordado hacer á S. M. la representación ' Alt. 11. Quedan nombrados para las plaz…</t>
  </si>
  <si>
    <t>y D, Ignacio Martínez Caveto</t>
  </si>
  <si>
    <t>Ignacio Martínez Caveto y D</t>
  </si>
  <si>
    <t>íui xcyi09 D. Ignacio Martínez Caveto y D. Jo3é Mana Arizala; te­ nencias á D. Blas María Sola, D. Jo?é Carrasco, D. Nmroírío Cor­ vino, D. Biitoiomé Wüitt, D. José Wüitt, D. Manuel Vago, Don Simón d&amp; la Greta, D. Ramón Lanctoy, D.</t>
  </si>
  <si>
    <t>y D, Ignacio Piñena</t>
  </si>
  <si>
    <t>Ignacio Piñena y D</t>
  </si>
  <si>
    <t>­ nandez, y el de segundo á D. J ay rae Carrera; los de capitán segundo á D. J osé Carriezo, D. Juan Piñeiro, D. Publo Ibero, D. Pascual de la Calle, D. Ignacio Piñena y D. Angel García Salcedo; los de uniente á£&gt;. José Ramón Rodil*, D. Pascual Casal Aideo, D. An­</t>
  </si>
  <si>
    <t>y D, Isidro Dábalos</t>
  </si>
  <si>
    <t>Isidro Dábalos y D</t>
  </si>
  <si>
    <t>. Lorenzo Miranda , 12. D José de la Quintana, 12. D. Gregorio de la Quintana , 13. D Miriano Pinto , 12 D. Antonio Alfaro y José María legarte , 12. D. Isidro Dábalos y D. Domingo León , 12. E&gt;. Ignacio Martínez' y P. Juan 'Otazo , 12. D. Andrés y D. Narciso Lleréna , 12 D. Vicente Antesaná , 12.--Varios-españ oles"-t 170. E…</t>
  </si>
  <si>
    <t>y D, Jaime</t>
  </si>
  <si>
    <t>Jaime y D</t>
  </si>
  <si>
    <t>hoi hasta el 3 c conde de Urgel, al Reí D. Jaime 1, y de la discordia del corriente á los comandantes militares del exér­ que hubo entre los infantes D. Jaime y D. Pedro, hi­ cito imperial en las ciudades y villas mas cercanas jos de este-Monarca, toda aquella tierra se infestó ds á los puntos en que se hallen. gente armada q…</t>
  </si>
  <si>
    <t>y D, Jayine Cebrian</t>
  </si>
  <si>
    <t>Jayine Cebrian y D</t>
  </si>
  <si>
    <t>ente fe los militares enfermos, durante las pre­ sentes urgencias , loa individuos de medicina D. Francisco Martí y D. Pcdr* Cuenca, y los de cirugía D. Jayine Cebrian y D. Mariano Azorin , y los de farmacia D. M’gnel Silvestre y D. José Ortuño: como también el que D. Pedro B; Iboa , vecino de la villa de Ilelirn, á ocien te …</t>
  </si>
  <si>
    <t>y D, Jnaa Pablo Part</t>
  </si>
  <si>
    <t>Jnaa Pablo Part y D</t>
  </si>
  <si>
    <t>riano Villas pesa, los capitanes D. Cayetano Ma­ ta, D. Pedro Simó, D. Pablo Víbct, D. Antonio Figiieroíay D Juan Graell; los teníanles D. Juan Fort, D. Jnaa Pablo Part y D. Juan Moneas!; I03 subtenientes D. Simón Vda3CO y D. Manuel.......... los sargentos Antonio Arnuocio. Juan B troles y José Pascual; el o;- bo José O libé …</t>
  </si>
  <si>
    <t>y D, Jo e Boldrini</t>
  </si>
  <si>
    <t>Jo e Boldrini y D</t>
  </si>
  <si>
    <t>teniente D. Juan Pover, á ios subtenientes D. José de la Fuente , D. Francis­ co Zapico,D. Fernanda S. Martin¿ D; Ricardo Canal, D. Francisca Riesgo, D. Jo é Boldrini y D. Alonso Pabon$ ai citado Fonsbdía, comandante de la caballería, ai sargento ele ia misma D. José Sanjul, y á los de Siero y número i.° Carrera y Zaina le a …</t>
  </si>
  <si>
    <t>y D, Joaquín</t>
  </si>
  <si>
    <t>Joaquín y D</t>
  </si>
  <si>
    <t>ín Ciotet, 200. D. Jacinto Alvarez de Pazos , 1000. D. Domin­ go José Cierto , 1000. D. Ramón de barreta, 200. Sres. Gordon Shaw y com­ pañía , 10Ó0. D. Joaquín y D. Juan Casaldaero, 400. D. Pedro Boullcsa y Mii anda, 100. Doña Ana María González , 400. D. Manuel Paul, 200. D. Joa­ quín de la Vega , 400. D. Domingo de Heras, …</t>
  </si>
  <si>
    <t>y D, Joaquín Verdugo</t>
  </si>
  <si>
    <t>Joaquín Verdugo y D</t>
  </si>
  <si>
    <t>ado viré-presidente, D. José López Juana Pitilla, intendente de la pro'vinera., D José E adio Garces, D. Lucas García Gutiérrez, D. Da­ mián A cocer, D. Joaquín Verdugo y D. Matías Sauca, nombrado secretario interino. Extracto del parle comunicado por el teniente coronel D. Vicente Sardina sobre la acción de Riofrio de 30 del…</t>
  </si>
  <si>
    <t>y D, Joaquín Villafea</t>
  </si>
  <si>
    <t>Joaquín Villafea y D</t>
  </si>
  <si>
    <t>319 guel Antonio Olave, idem , D. Joaquín Villafea y D. Antonio Seque­ ra: á tenientes á los subtenientes ... . Joaquín Goñi, D Juan Vial, Don Celestino Gastón , D. Tomas Murrieta y D. José Foxa. Igualmente se ha servido ‘promover á subinspecto</t>
  </si>
  <si>
    <t>y D, José A-abez</t>
  </si>
  <si>
    <t>José A-abez y D</t>
  </si>
  <si>
    <t>n de infantería ligara primero de B ircelcna; los do capitán primero i D. Bernardo Fiballer, D. Pablo Tarrago y Don Juan QuiY&amp;nte; los de ayudantes á D José A-abez y D. Jo é Fue­ llo ; los de capitán segundo á D. Francisco Sierra y D. José Guiña; les de teniente í D. José Biiosa, D. Diego Castro, I). Ignacio Rebo­ llo y D. Fr…</t>
  </si>
  <si>
    <t>y D, José Aizpurua</t>
  </si>
  <si>
    <t>José Aizpurua y D</t>
  </si>
  <si>
    <t>Lnith, subtenientes, el primero del regimiento infantería fizo de Cartagena de Indias y el segundo del de Aragón, como igualmente á D. Juan Canaoho, D. José Aizpurua y D. Cirios Montenegro, cadetes del segundo regimiento de Sevilla , Africa y Corona. Aviso á los navegantes. Habiéndose recopilado en el depósito hi Jrcgráfieo ¿…</t>
  </si>
  <si>
    <t>y D, José Angulo</t>
  </si>
  <si>
    <t>José Angulo y D</t>
  </si>
  <si>
    <t>ndro Salazar , 10. Marcelo Porras , 10. Don Juan Landeta, 12. I). Antonio Bastida y D. Xavier Benitez , 11. D. Narciso Picos y D. Ramón Barraza , 12. D. José Angulo y D. José Chaves , 12. Va­ rios individuos , 145 y 2 rs. — Nota. Ademas de las anteriores donaciones se han hecho las ofertas siguientes. El teniente D. Fernando …</t>
  </si>
  <si>
    <t>y D, José Argandóña</t>
  </si>
  <si>
    <t>José Argandóña y D</t>
  </si>
  <si>
    <t>o los in­ dividuos de esta división , imitando á los comandantes D. Manuel de Clemente y D. José María Rubion, tenientes de fragata, y á sus segundos D. José Argandóña y D. Toribio Pasalagua, alférez de ídem ; y á los de los faluchos D. José Aldana, alfeíez de navio, y D. Joaqun Tosquella, ídem de fragata, me ponen en la honr…</t>
  </si>
  <si>
    <t>y D, José Arjó</t>
  </si>
  <si>
    <t>José Arjó y D</t>
  </si>
  <si>
    <t>15 radores de la sección D. José Casas y D. José Guiu, á los tenientes D. José Arjó y D. Francisco Damont, y al subteniente D. Salvador Hovera , al capitán de la misma sección D. Jayme Plenafeta, al sar­ gento primero Espasa, y á los soldados Gines Amat de la primera del segun</t>
  </si>
  <si>
    <t>y D, José Broaini</t>
  </si>
  <si>
    <t>José Broaini y D</t>
  </si>
  <si>
    <t>l Barco, D. Isidro Montero, de granaderos, y D. Angel de Noguer, segundo ayudante mayor : segunda tenencia de granaderos á los agregados de fusileros D. José Broaini y D. Wenceslao conde de Petting: segundas tenencias de fusileros á los alféreces D. Juan de Dios Landáburu , de granaderos, D. Carlos Gon­ zález de Llanos, D. Ju…</t>
  </si>
  <si>
    <t>y D, José Casas</t>
  </si>
  <si>
    <t>José Casas y D</t>
  </si>
  <si>
    <t>15 radores de la sección D. José Casas y D. José Guiu, á los tenientes D. José Arjó y D. Francisco Damont, y al subteniente D. Salvador Hovera , al capitán de la misma sección D. Jayme Plenafeta, al sar­ gento primero Espasa, y á lo</t>
  </si>
  <si>
    <t>y D, José Clemente de Buerens</t>
  </si>
  <si>
    <t>José Clemente de Buerens y D</t>
  </si>
  <si>
    <t>adores á D. Justo Salafranca, te­ niente de fragata de la real armada, idem de fusilaros á D. Joaquín Morales, D. Benito Llinas, D. Eduardo de Silva, D. José Clemente de Buerens y D. Antonio de Fort, alféreces del mismo cuerpo , á Don Manuel Cortabarria, capitán del regimiento de voluntarios de Palma y á D. Vicente García Nav…</t>
  </si>
  <si>
    <t>y D, José de Osaeta</t>
  </si>
  <si>
    <t>José de Osaeta y D</t>
  </si>
  <si>
    <t>1’ | El Consejo de Regencia se ha servido conferir los regimieatoir de infantería de Talen ni a y voluntarios' de Castilla , » ks tenientes coroneles D. José de Osaeta y D. (SospaT Franco; ía ccm&amp;ndancia del batallen de infantería, ligera tercero de caz?; ¿ores de Valen ern al teniente coronel D. Cáilos Libtráli: la dsl segun…</t>
  </si>
  <si>
    <t>y D, José Duran</t>
  </si>
  <si>
    <t>José Duran y D</t>
  </si>
  <si>
    <t>ares para guarnecer aquel reyao; y que á con­ secuencia trataba de marchar sobre Zaragoza, auxiliando de este modo las ©potaciones de ios brigadieres D. José Duran y D. Juan Martin el Empecinado, quo sitiaban ¿ la sazón á Catetryud. £1 ge­ neral CLopiski que se habla adelanlado'hasta Sos con 3000 hombrea, para envolver uu bat…</t>
  </si>
  <si>
    <t>y D, José Ezeta</t>
  </si>
  <si>
    <t>José Ezeta y D</t>
  </si>
  <si>
    <t>onel, y Marques de Villacampo; y los de ayudantes segundos á los capitanes D. Angel Saavedra, D. Diego Guillen Buzaran, graduado de teniente coronel, D. José Ezeta y D. Manuel Muñoz. m ----------—---------- L± — ----------------- ---- ------------------- - - ' - -| -ii - ------------ ~ r------------------- 1 irwi ii ni i i. C…</t>
  </si>
  <si>
    <t>y D, José Ezpeleta</t>
  </si>
  <si>
    <t>José Ezpeleta y D</t>
  </si>
  <si>
    <t>Solís,. y á los tenientes coroneles D. Ramón de Losada, D. Joaquín Montemayor, D.; Francisco Xavier Cabanes, D. Andrés Bassccourt, D. Felipe Montes, D. José Ezpeleta y D.'Gaspar Di­ ntel: los de ayudantes primeros al teniente coronel D. Juan Bl¿íke, al sargento mayor D. José Castellar, al de la misma clase gradúa lo de tenien…</t>
  </si>
  <si>
    <t>y D, José Florez Galan</t>
  </si>
  <si>
    <t>José Florez Galan y D</t>
  </si>
  <si>
    <t>tínez, D. José Ortiz, D. Juan B-AIido, y D. Calixto de Rozas. En el batallón de infantería ligera de voluntarios de Mérida; los empleos de ayudante á D. José Florez Galan y D. Juan Sánchez del Pezo; los de capitán segundo á D. Juan Vivas, D. Calixto Gar­ cía Buj.anda, D. Liocente^Argüello, y D. Juan Antonio Tostado; los deten…</t>
  </si>
  <si>
    <t>y D, José García</t>
  </si>
  <si>
    <t>José García y D</t>
  </si>
  <si>
    <t>ón de V. S. Tengo el honor de recomendar á V. S. los soldados de una y otra arma que se han batido con el mayor vigor , a los capitanes de caballería D. José García y D. Francisco Cillero , y al teniente de infantería D. Manuel Sevillano, que se han portado con Su acostum­ brado valor.-- Dios guarde á V.,S. muchos años. — Seq…</t>
  </si>
  <si>
    <t>y D, Jóse García</t>
  </si>
  <si>
    <t>Jóse García y D</t>
  </si>
  <si>
    <t>o y D. Juan March; y el de subteniente de bandera á D. Joaquín Ferrer. En el regimiento de infantería de la Ua on; compañías á Don José María Freyre, D. Jóse García y D. Juan Astorga; ayudantía á D. Estanislao Gautier; tenencias á D. Manuel A!arcon, D Pablo la Cuesta, D. José Mariño, D. Juan Aguado, D. Manuel Diz &gt; Don Benito…</t>
  </si>
  <si>
    <t>y D, José Gil Malfeito</t>
  </si>
  <si>
    <t>José Gil Malfeito y D</t>
  </si>
  <si>
    <t>Valderas, Don Juan Extrémela , D. José Romas»nta , D. Diego Malfeito, D. Alon­ so Perez, D. Pedro Santiso, D. Manuel Morgade, D. José Moreno García, D. José Gil Malfeito y D. José Muñiz; subtenencia de bandera á D. Francisco Zívihí-ano.- En el regimiento ds iafa*vAria da Zamora ; compañías é D. Vicante Casado, D. Horm'jnegiid…</t>
  </si>
  <si>
    <t>y D, José González</t>
  </si>
  <si>
    <t>José González y D</t>
  </si>
  <si>
    <t>a al mando del briga* dier I). Juan Díaz Portier, y se han entregado á su depositado D. Lrañasco de Idustamante y Guerrade este comercio. L'i Cádiz.— D. José González y D. José Diaz Martínez , como apodera­ dos , y á nombre del gremio de montañeses , 49.693 rs. y 17 mrs. D. Patricio Gutiérrez de Teran, como capataz mayor por …</t>
  </si>
  <si>
    <t>y D, José Imaz</t>
  </si>
  <si>
    <t>José Imaz y D</t>
  </si>
  <si>
    <t>ue se anuncia al público de orden de S. A., para que todo individuo ds cualquiera clase, que tuviese que deponer contra la ooud'KCta de los referidos D. José Imaz y D. Rafael de Hore en la rendición de aqu «lia plaza , lo haga en dicho cuartel general y aloja­ miento del citado coronel D. Pedro Coaesa, calle de S. Francisco d…</t>
  </si>
  <si>
    <t>y D, José JZaldivar</t>
  </si>
  <si>
    <t>José JZaldivar y D</t>
  </si>
  <si>
    <t>o, el brigadier D. Francisco Cabrera, ge le de la tercera di­ visión del mismo exército, y los coroneles dé las; columnas de gra­ naderos y cazadores D. José JZaldivar y D. José- de Pone ?; se ha servido el Consejo de Regencia promover ¿ Cabrera á mariscal de campo, y á brigadieres á los dos citados coroneles. Igualmente ha p…</t>
  </si>
  <si>
    <t>y D, José Manuel Gómez</t>
  </si>
  <si>
    <t>José Manuel Gómez y D</t>
  </si>
  <si>
    <t>lamos con la porción de reos que se han apresado (entre ellos 13. José Mercado , padre del eclesiástico difunto, D. José Antonio Perez, los coroneles D. José Manuel Gómez y D. Pablo Covarrubias, el guardia de corps D. Pedro del Castillo, y otros eclesiásticos de los mismos honores ) sin cárcel competente, con lo que se duplic…</t>
  </si>
  <si>
    <t>y D, José María Escovar</t>
  </si>
  <si>
    <t>José María Escovar y D</t>
  </si>
  <si>
    <t>segundo de Ja misma, por el de un soldado en un mes, 9. D. Esteban Cambreleng, agregado á la misma secretaría, por oferta mensual, 6. Los re­ gidores D. José María Escovar y D. Francisco Loynaz / por donativo de los barrios extramuros..de esta ciudad que JicRos señores lian colectado, 103?- y 3 y medio rs. Doña Rosalía Penal …</t>
  </si>
  <si>
    <t>uz, á cuenta de 115 ps. que traxo de menos el donativo remitido de Mérida, y cantidad librada á su favor por los ministros de aquella provincia, 100. D. José María Escovar y D. Francisco Loynas, regidores de esta ciudad , por donativo de los vecinos del partido de Jesús del Monte, 102. D. Diego José de Aguiar , meritorio con …</t>
  </si>
  <si>
    <t>y D, José Mariano Ccsaus</t>
  </si>
  <si>
    <t>José Mariano Ccsaus y D</t>
  </si>
  <si>
    <t>­ mingo Lobo: y en el tercer batallo a de cazadores dé Valencia, com­ pra ñiss á O. Cirios Rtd&amp;itra, D. Cesáreo Hsrían y D. José Alonso: ayudantías á D. José Mariano Ccsaus y D. Pedro Hernández : empízios de capitanes segundes á D. José Abifezm, D. Manuel Navarro, I), Vicente jdferde? j I?. Rodrigo Flores Picón: (esencias á D…</t>
  </si>
  <si>
    <t>y D, José Márquez</t>
  </si>
  <si>
    <t>José Márquez y D</t>
  </si>
  <si>
    <t>y al ayudante D. Valentín Alegre; ayudan tí i al teniente D Joaquín Henriquez ; tenencias í los subtenientes D. J *só Fierra , D. José María Cejaibo, D. José Márquez y D. P dro Bi­ en; y subtenencias á los sargentos primeros D. Jo é M up y Doa Jorge García, y á los cadetes D. Manuel Aranda, D. Pedro Lillo y D. Felipe Gordon. …</t>
  </si>
  <si>
    <t>y D, José Mora</t>
  </si>
  <si>
    <t>José Mora y D</t>
  </si>
  <si>
    <t>or medio de los ayudantes : en cuya clase se distinguieron, por el acierto y prontitud couque las llevaron, los ayudantes mayores D. Juan de Urquidi, D. José Mora y D. Ignacio Urratia, y el alférez D. José Ignacio Iberri; y no emito hacer mención de los capellanes y cirujanos del exército que han llenado cumplidamente sus obl…</t>
  </si>
  <si>
    <t>y D, José Polo</t>
  </si>
  <si>
    <t>José Polo y D</t>
  </si>
  <si>
    <t>g03 coa un corto número de hombres , y haciendo grande carnicería en. ellos : al capitán de gastadores D. José Ignacio Vizcaya, y sus dos subalterno* D. José Polo y D. M-guel Guillen por la heroica acción que sostuvieron sobre la loma de la izquierda ; y al voluntario distinguido que sirve en la misma com­ pañía de gastadores…</t>
  </si>
  <si>
    <t>y D, José Prieto y Raidos</t>
  </si>
  <si>
    <t>José Prieto y Raidos y D</t>
  </si>
  <si>
    <t>or Napoleón. El contador oficial real D. Salvador Bernabeu de Reguar, por el sueldo de 4 meses que ha ce­ dido para las urgencias de la guerra , 500. D. José Prieto y Raidos ^ y D. Pedro de Olasagarre, 2000. D. Manuel Diaz Col unge , 250. (Se conliriuará.) CADIZ: EN LA IMPRENTA REAL.</t>
  </si>
  <si>
    <t>y D, José Rodríguez</t>
  </si>
  <si>
    <t>José Rodríguez y D</t>
  </si>
  <si>
    <t>JosédeSaá ocuparon tan dignamente sus puestos, como todos ios dcTíU s, inclusos los pilotos D. Mariano Hernández y D. José Ro­ mero, y ios cirujanos D. José Rodríguez y D. Diego Moreno, que han desempeñado sm encargos á mi satisfacción. — Y lo traslado s V. S. en cumplimiento de mi obligación , incluyéndole Copia del ofi­ cio…</t>
  </si>
  <si>
    <t>y D, José Simón</t>
  </si>
  <si>
    <t>José Simón y D</t>
  </si>
  <si>
    <t>tropa se portaron con su acostumbrado valor; pero se distin­ guieron particularmente los capitanes D. Lorenzo Martí y D. Juan Ritnbau; los tenientes D. José Simón y D. Pedro Gou; los subtenientes D. Antonio Faigueras y D. Martin Albert; ios sargentos Gil Clos y Pe­ dro Olivet que quedó gravemente herido, y el cabo Pedro Palma…</t>
  </si>
  <si>
    <t>y D, José Tabeada</t>
  </si>
  <si>
    <t>José Tabeada y D</t>
  </si>
  <si>
    <t>l ayu­ dante D. Joaquín Loaiza ; á I03 tenientes D. Francisco A cal, D. Jo­ sé de Tejada, D. Luis Aguirre y D. Joaquín Suarez, ytá los subte­ nientes D. José Tabeada y D. Manuel Capetillo: al teniente del real jueroo de artillería D. José Palao, al sargento mayor de dragones .de TLzteuaro í&gt;. Rafael Ortega, que habiéndoseme p…</t>
  </si>
  <si>
    <t>y D, José Veaimtrgnia</t>
  </si>
  <si>
    <t>José Veaimtrgnia y D</t>
  </si>
  <si>
    <t>0. José de Alorará: en el de míVmteda ligera primero de cazadores, compañías á D. Francisco A ib:: zuza y D. Francisco de Paula Ardízone; tenencias á D. José Veaimtrgnia y D. José Celestino Fernandez de Cusía; y subtmercias á D. Podro Gutiérrez, D. Cipriano González, D. Lorenzo Grillo, D. Francisco Meleadez y D. Mariano Franc…</t>
  </si>
  <si>
    <t>y D, Josef Arenillas</t>
  </si>
  <si>
    <t>Josef Arenillas y D</t>
  </si>
  <si>
    <t>Don La Francia, señores, no necesita hacer ningún Diego Naveda y D. Diego Muñoz; para tenientes nuevo esfuerzo, ni ningún sacrificio extraordinario, D. Josef Arenillas y D. Miguel Salcedo y Nuñez, para mantenerse en una actitud respetable , y ma­ y para subtenientes D. Fernando Mesa y D. An­ nifestarse protectora de sus amigo…</t>
  </si>
  <si>
    <t>y D, Josef de Espinosa</t>
  </si>
  <si>
    <t>Josef de Espinosa y D</t>
  </si>
  <si>
    <t>. el mariscal duque de cas que hicieron en aquellos parages en 1794 ios oficia* Conegliano, el duque de Treviso, el gran maris­ les de la real armada D. Josef de Espinosa y D. Felipe cal, ei camarero mayor, el caballerizo mayor, el Bauza: su precio 25 rs. Publícala con las dos obras an­ vice-almirants Gantheaame, el genera! C…</t>
  </si>
  <si>
    <t>y D, Josef Forles</t>
  </si>
  <si>
    <t>Josef Forles y D</t>
  </si>
  <si>
    <t>Juan Antonio Leiguarda, sub­ Milán 18 de abril f* teniente de infantería , uniente de la misma arma; Esta mañana ha salido para Paris la diputación á D. Josef Forles y D. Esteban Matizone , subte­ de nuestra ciudad para felicitar á SS. MM. II. por nientes del regimiento de cazadores á caballo nú­ el nacimiento del Reí de Roma…</t>
  </si>
  <si>
    <t>y D, Josef María de Lariumbíde</t>
  </si>
  <si>
    <t>Josef María de Lariumbíde y D</t>
  </si>
  <si>
    <t>gué, das las autoridades expresadas, y otras personas D. Diego Arrióla , D. Josef María Soroa-Soroa, que pasaron á cumplimentar.e. Por la1 noche hubo D. Josef María de Lariumbíde y D. Manuel de iluminación general, fuegos de artificio y músicas Abarrategui. repetidas en la plazuela del palacio. En esta ciudad ha habido ¡lamin…</t>
  </si>
  <si>
    <t>y D, Josef Vázquez</t>
  </si>
  <si>
    <t>Josef Vázquez y D</t>
  </si>
  <si>
    <t>ez. Paula Valdivia; para comandantes de batallona D. Pedro de Vaca. D.J uan de Molina y D. Lope Fernandez de Cór­ Subtenientes. doba ; para ayudantes D. Josef Vázquez y D. Ra­ fael Fernandez , y para abanderados á D. Vicente D. Mariano Pineda. Fernande z y D. Manuel Aragón. D. Josef Ladrón. Admismo quedan nombrados para capit…</t>
  </si>
  <si>
    <t>y D, Juan Antonio de Toro y Heredia</t>
  </si>
  <si>
    <t>Juan Antonio de Toro y Heredia y D</t>
  </si>
  <si>
    <t>la villa de Cañete se formarán asistieron las primeras autoridades y el cuerpo di­ dos compañías. plomático. Quedan nombrados para capitanes de ellas D. Juan Antonio de Toro y Heredia y D. Fer­ nando Franco de Béjar ; para tenientes D. Miguel teatros. Fernandez de Molina y D. Josef de Ruedas, y pa­ Ata'ía, tragedia en cinco a…</t>
  </si>
  <si>
    <t>y D, Juan de la Chaussá</t>
  </si>
  <si>
    <t>Juan de la Chaussá y D</t>
  </si>
  <si>
    <t>ayudante mayor del cuarto batallón de id. : los capitanes Don Ignacio Medina / segundo teniente, y D. Agustín Salvador, alférez de id.: los capitanes D. Juan de la Chaussá y D. Francisco de Paula Arco , alféreces del pri­ mer batallón de guardias walonas : D. Francisco OI i ver , capitán de voluntarios de la Patria : D. Ramón…</t>
  </si>
  <si>
    <t>y D, Juan de Lustra</t>
  </si>
  <si>
    <t>Juan de Lustra y D</t>
  </si>
  <si>
    <t>uciones y empréstitos forzados que D. Joan Larrieta , D. Martin de lrignyen , D. Jose han exigido de .los comerciantes de esta plaza sef del Diestro, D. Juan de Lustra y D. Andrés desde que principió nuestra revolución , y las gran­ Marzan. Los arbitrios propnestos y aprobados ya des pérdidas qne muchos de ellos han sufrido d…</t>
  </si>
  <si>
    <t>y D, Juan Gómez</t>
  </si>
  <si>
    <t>Juan Gómez y D</t>
  </si>
  <si>
    <t>y de los profesores, capitán D. Francbco Ce­ nantes , tenientes D. Lidero González, D. Julián Tomíba y D. Luis Hita, subteniente D. Luís Mr-rgelina, D. Juan Gómez y D. Anteríio la Torre, catedrático del seminario de S. FnlgsEcio. Cádiz 5 de agosto. El Si del pasado ss hizo a la vela desde este puerto el señor duque del Infant…</t>
  </si>
  <si>
    <t>y D, Juan María Muñoz</t>
  </si>
  <si>
    <t>Juan María Muñoz y D</t>
  </si>
  <si>
    <t>ría de Ga­ licia ; y en el de Murcia, ayudantía á D Pedro Gragera; tenencia* á D. Francisco Xavier Mendez y D. Francisco Valbuena; y subte­ nencias á D. Juan María Muñoz y D. Joaquín Bascada, teniente, subtenientes, cadete y sargento primero del mismo cuerpo. Asimismo se ha servido S. A. promover á teniente coronel del real c…</t>
  </si>
  <si>
    <t>y D, Juan Márquez</t>
  </si>
  <si>
    <t>Juan Márquez y D</t>
  </si>
  <si>
    <t>D. Juan Bsojkmcda, D. José García de! jl rdo, L). u*.sé ivieicuor García y D. Luis Escasi; y subtenencias á D. Rafael R osead e 5 Don Manuel Vazpiez, D. Juan Márquez y D. Marcos B¿v¿.</t>
  </si>
  <si>
    <t>y D, Juan Miguel</t>
  </si>
  <si>
    <t>Juan Miguel y D</t>
  </si>
  <si>
    <t>rgento mayo? de la segunda sección ligera. AsiiiusJsy» se lia servicio el Consfjo de Regencia promover ¿ súbtenlornes Acl real cuerpo de ingenieros á D. Juan Miguel y D. An­ tonio Arrambide, tenientes del batallón de infantería de Valencia y</t>
  </si>
  <si>
    <t>y D, Juan Rosales</t>
  </si>
  <si>
    <t>Juan Rosales y D</t>
  </si>
  <si>
    <t>nte á D. Ignacio Perez, D. Vicente Descalz,D. Juan Hi­ dalgo Chacón, D. José Carrasco, D. . Ra r on González y D. Ra­ món Novoa; los de subteniente á D. Juan Rosales y D. Ramón González; y el de subteniente de bandera á D. Venceslao López. . En consideración al distinguido mérito que contra xs ron en las ac­ ciones del sexto …</t>
  </si>
  <si>
    <t>y D, Juan Sánchez</t>
  </si>
  <si>
    <t>Juan Sánchez y D</t>
  </si>
  <si>
    <t>é Wüitt, D. José Wüitt, D. Manuel Vago, Don Simón d&amp; la Greta, D. Ramón Lanctoy, D. José Andalo, D. José García, D. Francisco Gómez, B. Antonio Díaz, D. Juan Sánchez y D. Gregorio Vázquez; y subtenencias á D. Francisco Rafael, D. Manuel Taquinet©, D. íhdegria Msliana , D. Podro Pascual del Castillo, D„ Antonio Elers, D. Melch…</t>
  </si>
  <si>
    <t>y D, Julián Tomíba</t>
  </si>
  <si>
    <t>Julián Tomíba y D</t>
  </si>
  <si>
    <t>Salido, que también ha tenido á su cargo parte de la enseñanza , y de los profesores, capitán D. Francbco Ce­ nantes , tenientes D. Lidero González, D. Julián Tomíba y D. Luis Hita, subteniente D. Luís Mr-rgelina, D. Juan Gómez y D. Anteríio la Torre, catedrático del seminario de S. FnlgsEcio. Cádiz 5 de agosto. El Si del pas…</t>
  </si>
  <si>
    <t>y D, Lázaro Barnuevo</t>
  </si>
  <si>
    <t>Lázaro Barnuevo y D</t>
  </si>
  <si>
    <t>; para tenientes D. Miguel teatros. Fernandez de Molina y D. Josef de Ruedas, y pa­ Ata'ía, tragedia en cinco actos, de Racime , tra­ ra subtenientes D. Lázaro Barnuevo y D.‘Francis­ ducida al castellano por D. Eugenio de Llaco Torralbo Duque. guno y Amirola, y representada en el coliseo art. iv. En las nuevas poblaciones del…</t>
  </si>
  <si>
    <t>y D, Lorenzo Martí</t>
  </si>
  <si>
    <t>Lorenzo Martí y D</t>
  </si>
  <si>
    <t>rtos y 16 heridos con 3 prisioneros. Ofi­ ciales y tropa se portaron con su acostumbrado valor; pero se distin­ guieron particularmente los capitanes D. Lorenzo Martí y D. Juan Ritnbau; los tenientes D. José Simón y D. Pedro Gou; los subtenientes D. Antonio Faigueras y D. Martin Albert; ios sargentos Gil Clos y Pe­ dro Olivet…</t>
  </si>
  <si>
    <t>y D, Luis Aguirre</t>
  </si>
  <si>
    <t>Luis Aguirre y D</t>
  </si>
  <si>
    <t>tanes ele Toluca D. Angel Casa val y D. Joaquín Mondragon; al ayu­ dante D. Joaquín Loaiza ; á I03 tenientes D. Francisco A cal, D. Jo­ sé de Tejada, D. Luis Aguirre y D. Joaquín Suarez, ytá los subte­ nientes D. José Tabeada y D. Manuel Capetillo: al teniente del real jueroo de artillería D. José Palao, al sargento mayor de …</t>
  </si>
  <si>
    <t>y D, Luis Rute</t>
  </si>
  <si>
    <t>Luis Rute y D</t>
  </si>
  <si>
    <t>Toledo : D. Francisco Oliver y T&gt; %T■ i), ene as Salazar , capitanes del batallón de cazadores : capitán D. Carlos Ciery , se undo teniente de ídem : D. Luis Rute y D. Francisco Ceruti, tenientes de id. : D. Manuel Riaño , teniente de id.; y I). Francisco Sierra , subteniente de id. Noto. No se expresan los extraviados, por i…</t>
  </si>
  <si>
    <t>y D, Mairtíel Higuera</t>
  </si>
  <si>
    <t>Mairtíel Higuera y D</t>
  </si>
  <si>
    <t>al distingjavdo D llaíiion Cit$anova ; y. en eldo Ciudad Rodrigo al gargantOifjiaMsra, graduado de, subtdEiéBte'y.fD.i Disg^ Morales,, á Ion cadetes D. Mairtíel^ Higuera y D. Joaquín-¿Ptaaoryo$ •. y &gt;ál distinguido Di J;uan! Bautista Maofíuá , coraotaúibbm'en lehprimér batallón -de "volutitarios"' dte' Valencia i Í03 cadetes …</t>
  </si>
  <si>
    <t>y D, Manuel Caparros</t>
  </si>
  <si>
    <t>Manuel Caparros y D</t>
  </si>
  <si>
    <t>Cádiz en las delicias de Capua , que mez, subtenientes , á tenientes ; y D. Josef Do­ valían algo mas que los horrores de Marte. El embaxa­ mínguez , D. Manuel Caparros y D. Francisco de dor de Cádiz podía'recorrer Jas gazetas inglesas de este Aguilar, sargentos primeros , á subtenientes. En el año, y verá allí estos hechos. …</t>
  </si>
  <si>
    <t>y D, Manuel de Clemente</t>
  </si>
  <si>
    <t>Manuel de Clemente y D</t>
  </si>
  <si>
    <t>axas qué nos los censuran, Xa bizarría, valor y subordinación con que se han conducido los in­ dividuos de esta división , imitando á los comandantes D. Manuel de Clemente y D. José María Rubion, tenientes de fragata, y á sus segundos D. José Argandóña y D. Toribio Pasalagua, alférez de ídem ; y á los de los faluchos D. José …</t>
  </si>
  <si>
    <t>y D, Manuel Diz Don Benito Yarela</t>
  </si>
  <si>
    <t>Manuel Diz Don Benito Yarela y D</t>
  </si>
  <si>
    <t>. Jóse García y D. Juan Astorga; ayudantía á D. Estanislao Gautier; tenencias á D. Manuel A!arcon, D Pablo la Cuesta, D. José Mariño, D. Juan Aguado, D. Manuel Diz &gt; Don Benito Yarela y D. Pablo del B J ; subtenencias á D. F ¿ruando Yara, D. Antonio Barbeira, D. Lorenzo Lema, D. Juan Duran, D. Luis Antonio Freise, D, Julián A…</t>
  </si>
  <si>
    <t>y D, Manuel Melgares</t>
  </si>
  <si>
    <t>Manuel Melgares y D</t>
  </si>
  <si>
    <t>ióla y D. Joaquín Rodríguez; el de primer ayudante á D. Miguel Me­ ra; los de capitán segundo á D. Mariano Ó diana, D. Juan Csvallos, D. Juan Vergas, D. Manuel Melgares y D. José Morera; les de teniente i D. Antonio García , D-' Mateo Peñaranda, D. Pedro Vizcaíno. D. Tomas Rodríguez, D Pedro García, D. Frutos Bo­ ros, D. Manu…</t>
  </si>
  <si>
    <t>y D, Manuel Monzonzillo</t>
  </si>
  <si>
    <t>Manuel Monzonzillo y D</t>
  </si>
  <si>
    <t>igos volviesen grupa, poniéndose en,una tal dispersión, persiguiéndolos y acuchillándolos los nuestros dirigidos por los alféreces del Bey y Numancia D. Manuel Monzonzillo y D. Pedro TJrrea sin que aquellos les hiciesen frente hasta que reforzados por 50 hombres de la misma arma, lo verifica­ ron, no logrando mas ventaja que …</t>
  </si>
  <si>
    <t>y D, Manuel Pazas</t>
  </si>
  <si>
    <t>Manuel Pazas y D</t>
  </si>
  <si>
    <t>as Cértes generales del reyno en su decreto sobre la libertad de la prensa. Se com­ pone del regente de la real audiencia, D José Ignacio L’orens, de D. Manuel Pazas y D. José Zaragozano , car óoigos de esta santa iglesia, y •de D. José Monrabi, abogado de esta misma ciudad. Del 16 de abril. El general en g:fe interino ha rec…</t>
  </si>
  <si>
    <t>y D, Manuel Sergeant</t>
  </si>
  <si>
    <t>Manuel Sergeant y D</t>
  </si>
  <si>
    <t>y é Montero; primeras tenencias de fusileros á los segundes tenientes D. Indalecio de ia Torre, D. José R faei Solis, gra­ duado de teniente coronel, D. Manuel Sergeant y D. Antonio Agiier^i, e te de czadores; empleos de segundos ayudantas mayores á los segundos tenientes D. Pedro de Alcántara Muso Perez Valiente y Don Miguel…</t>
  </si>
  <si>
    <t>y D, Manuel Tornero</t>
  </si>
  <si>
    <t>Manuel Tornero y D</t>
  </si>
  <si>
    <t>José Antonio de la forre , 120. D. Antonio García Tcraa, 120. D. Pedro de Teran, 120. D. Bernardo García de los Ríos, 120. I). Tomas del Corral, 130. D. Manuel Tornero y D. Antonio Hidalgo, 140. I). Juan Antonio Díaz de Celis, 100. D. José Santiago Palacios , 109. I). Pe­ dro de Cabiedes , 100. D. Diego de los Ríos , 100. D. …</t>
  </si>
  <si>
    <t>y D, Mariano</t>
  </si>
  <si>
    <t>Mariano y D</t>
  </si>
  <si>
    <t>1330 María Echave , D. Mariano y D. Antonio Icaza, 3000. El licenciado Don Pedro García y García, 200. D. Francisco Perez Muñoz, 100. El coronel D. Ramón Cevallos, 1500. El conde de la Cortina por sí y por sus tres hijos D.</t>
  </si>
  <si>
    <t>y D, Mariano Aguilar</t>
  </si>
  <si>
    <t>Mariano Aguilar y D</t>
  </si>
  <si>
    <t>as , y puso en precipitada fuga á loa demas que fueron perseguidos hasta las mismas puertas de la ciudad. Distingo cronse en esta ocasión los cadetes D. Mariano Aguilar y D. Manuel Soto.</t>
  </si>
  <si>
    <t>y D, Mariano Bolarin</t>
  </si>
  <si>
    <t>Mariano Bolarin y D</t>
  </si>
  <si>
    <t>iudad do Valencia. En el regimiento de infantería primero de Burgos ha conferido el Consejo de R -ganda compañía á D. Francisco Gugger; tenen­ cias á D. Mariano Bolarin y D. José Paez ; y subtenencia á D. Ma­ nuel Bordalonga. Asi mismo se ha servido conferir en el regimiento de infantería ds Navarra el empleo de capitán al te…</t>
  </si>
  <si>
    <t>y D, Mariano Duran</t>
  </si>
  <si>
    <t>Mariano Duran y D</t>
  </si>
  <si>
    <t>ios sargentos Gil Clos y Pe­ dro Olivet que quedó gravemente herido, y el cabo Pedro Palmada. Se señalaron igualmente les capitanes D. Juan Obrador, D. Mariano Duran y D. Pedro Plandiura; los tenientes D. Salvador Frígola y D. Pedro Costa, y él subteniente D. Francisco Planafarrana. Cuenca y febrero 28 de i&amp;j1. (Carta farticu…</t>
  </si>
  <si>
    <t>y D, Mariano Hernández</t>
  </si>
  <si>
    <t>Mariano Hernández y D</t>
  </si>
  <si>
    <t>D. Sebastian Riera , que con el capitán de artillería Don JosédeSaá ocuparon tan dignamente sus puestos, como todos ios dcTíU s, inclusos los pilotos D. Mariano Hernández y D. José Ro­ mero, y ios cirujanos D. José Rodríguez y D. Diego Moreno, que han desempeñado sm encargos á mi satisfacción. — Y lo traslado s V. S. en cumpl…</t>
  </si>
  <si>
    <t>y D, Mariano Villa</t>
  </si>
  <si>
    <t>Mariano Villa y D</t>
  </si>
  <si>
    <t>36 A D. Pablo Portifo: y los de ayudantes segundos á D. Agustín Cusa, D. Francisco Mo tenegra, D. Mariano Villa y D. Vicente Ugarce. En, el regimiento de reales guardias españolas ha conferido el Con­ sejo de Rjge cía compañía al primer teniente cón grado de coronel D. Juan L Siñt' ; primara Tenencia de</t>
  </si>
  <si>
    <t>y D, Martin del Rio</t>
  </si>
  <si>
    <t>Martin del Rio y D</t>
  </si>
  <si>
    <t>s pobres de toda la jurisdicción , 186 y 5 rs. D. Francisco Pereyra, 50. D. José Lobo y su yerno, 40. D. Román Letona, 25. D. Teodo­ ro Carrillo, 50. D. Martin del Rio y D. Pedro de la Fuente , J.3, JD. Pedro Velez Cosío, 80» (Se continuará.) CADIZ : EN LA IMPRENTA REAL.</t>
  </si>
  <si>
    <t>y D, Martin García</t>
  </si>
  <si>
    <t>Martin García y D</t>
  </si>
  <si>
    <t>782 México 11 de mayo. D. Martin García y D. José Ignacio Á muir­ le vengan , de este vecindario, por sí y por 13na sociedad de hombres honrados, dirigieron al Sr. virey con lecha de IB del priado una represcntaci&amp;u en qae decían , q</t>
  </si>
  <si>
    <t>y D, Mateo Cerezo</t>
  </si>
  <si>
    <t>Mateo Cerezo y D</t>
  </si>
  <si>
    <t>D. J.**n M ateo, tenientes del mismo «gcnarlton; 'y empleos de a&amp;rez á ios du la propia dase y cuerpo D. Jcaqmn Girar, D'.Jtafael Marín Cés­ pedes , D. Mateo Cerezo y D. Lina G tu ierras; y en los escuadrones de húsares provinciales da A? agen , ia comandancia del srguud.o á D. 'Francisco Armijo, espitan tíel de dragones del …</t>
  </si>
  <si>
    <t>y D, Meliton Fernandez y Arvina</t>
  </si>
  <si>
    <t>Meliton Fernandez y Arvina y D</t>
  </si>
  <si>
    <t>ola; á tenientes, á D. Sebastian Díaz, D. Do­ mingo Zavala y D.-Santiago Novoa, subtenientes de España, Or­ denes militar?» v voluntarios de Navarra; D. Meliton Fernandez y Arvina y D, Cipriano Gobernado, subtenientes de infantería y «argentos primeros dd expresado batallón de zapadores: á subte­ nientes ¿ al graduado D. Gabr…</t>
  </si>
  <si>
    <t>y D, Migirtfi Dial</t>
  </si>
  <si>
    <t>Migirtfi Dial y D</t>
  </si>
  <si>
    <t>$54 ios comandan tes D. Migirtfi Dial y D. Claudio Escalera con sus dos escuadrones- de patriotas,, que cpn noticia de la. pérdida de Turtosa h ia acudido desde ia Mjncha á la defensa de este re y no. T rato las uucoriHades como el</t>
  </si>
  <si>
    <t>y D, Miguel Azrtar</t>
  </si>
  <si>
    <t>Miguel Azrtar y D</t>
  </si>
  <si>
    <t>f Joaquín de nussi, canónigo. Santa Marta oidores de la audiencia de Sevilla ; y V, Venecia 12 de febrero de 1S11.” á D. Fabiao Sánchez de la Fuente, D. Miguel ^ Azrtar y D. Francisco X .vier Ctrestaño alcalde* Representación del cabildo de Macérala á S. A. T. del crimen del misino tribunal. Con la n-isnu fe­ el príncipe vire…</t>
  </si>
  <si>
    <t>y D, Miguel de Sádsva</t>
  </si>
  <si>
    <t>Miguel de Sádsva y D</t>
  </si>
  <si>
    <t>de los comandantes del tercero y .cuarto batallón 13. José Goriiz y D. Ra­ món Uizur un y. Eraso, no menos que de los ayudantes del primero y tareero D. Miguel de Sádsva y D. Simón Laquidain. T d&lt;e-s los oficiales y soldados han llenado ei colmo de sus debere*. Los 12 mosquetes, asegurados en 4 tarugos , han hecha una buena p…</t>
  </si>
  <si>
    <t>y D, Miguel de Trillo</t>
  </si>
  <si>
    <t>Miguel de Trillo y D</t>
  </si>
  <si>
    <t>de Es­ Nombramos para «.omandante de este batallón tado. á D. Antonio de Aguilar Jurado; para ayudantes En nuestro palacio de Madrid á 26 de marzo á D. Miguel de Trillo y D. Diego Repiso y Toro, de iSr 1. y para abanderado á D. Francisco Solano Tablada D on Josef Napoleón por la gracia de Dios y y Madrid. por la can■ titucior…</t>
  </si>
  <si>
    <t>y D, Miguel Majo</t>
  </si>
  <si>
    <t>Miguel Majo y D</t>
  </si>
  <si>
    <t>les de cappan segundo á Di José. Asas y D."Fran­ cisco Príor; los de teniente á D. Francisco Suiglesia, D. José.'Vera y PíU:toja, yD'. Joaquín Pardo, D. Miguel Majo y D. Pedro. Mir; les de subteniente á D. Joaquín Savaíla y Besafee, D. Antonio Ca­ sas y D. Miguel Roura. tiuques que han recogido correspondencia en la administr…</t>
  </si>
  <si>
    <t>y D, Miguel Malo</t>
  </si>
  <si>
    <t>Miguel Malo y D</t>
  </si>
  <si>
    <t>. José Mantilla; al teniente de Querétaro D. Manuel Prñañ &gt;ri: al tenien­ te de Puebla D. Pedro de la Rosa, y los alféreces de Méx¡co y Qvic­ ié taro D. Miguel Malo y D. Joaquín Ormaechea: á D. Jo é de Can* ]:Ioo de teniente de dragones de Paztcuaro; al teniente coronel co­ mandante del regimiento de TpIuca JD. Ignacio García…</t>
  </si>
  <si>
    <t>y D, Modesto de la Torre</t>
  </si>
  <si>
    <t>Modesto de la Torre y D</t>
  </si>
  <si>
    <t>Paula Adames, B. Rafael del Rio y D. Pedro Aguila? A vala; y subtenencias i. D. José Mateo, D. Ramón Hernández, D. Mariano Chuliz, D. Matías Farras, D. Modesto de la Torre y D. Antonio Loma. Muques que ¡ion recogido correspondencia en la administración de correos de Cádiz, durante la semana finalizada en SO del pasado. Para G…</t>
  </si>
  <si>
    <t>y D, Narciso Picos</t>
  </si>
  <si>
    <t>Narciso Picos y D</t>
  </si>
  <si>
    <t>Barreda, 12. D. Ramón Imperial, 10. D. Leandro Salazar , 10. Marcelo Porras , 10. Don Juan Landeta, 12. I). Antonio Bastida y D. Xavier Benitez , 11. D. Narciso Picos y D. Ramón Barraza , 12. D. José Angulo y D. José Chaves , 12. Va­ rios individuos , 145 y 2 rs. — Nota. Ademas de las anteriores donaciones se han hecho las of…</t>
  </si>
  <si>
    <t>y D, Nícoiafí Franco</t>
  </si>
  <si>
    <t>Nícoiafí Franco y D</t>
  </si>
  <si>
    <t>y D. José Quin­ tana : ayudantía á D. Jmé Aguado: tenencias á D. R araos Nave-, Ha, D. Vicente Jasen, D. Fernando María, D. Ramón Laraz, D;*n Fatiga, D. Nícoiafí Franco y D. Joaquín Fuentes: en @1 de "Ba­ dajoz, compañías £' D. Manuel .Brayo, D. Raílolomé Berris, Don Manuel Gata y D, José Mesia y Monxoy; ayudantía á D. Maria­…</t>
  </si>
  <si>
    <t>y D, Nicolás Fernandez</t>
  </si>
  <si>
    <t>Nicolás Fernandez y D</t>
  </si>
  <si>
    <t>. Francisco Otero, I). Juan Teron y D. Francisco Remero ; en aiisméticá y álgebra, 1). Feiíx Labrada ; en geometría elemental y. trigonometría plana, D. Nicolás Fernandez y D. Francisco Prftbsn; en geometría elemen­ tal y trigonometría plana, D Francisco Aldao; en geometría elemen­ tal , D. Vicenta Salgado; y en geografía y n…</t>
  </si>
  <si>
    <t>y D, Nicolás Santiago</t>
  </si>
  <si>
    <t>Nicolás Santiago y D</t>
  </si>
  <si>
    <t>ioneros, al ayu­ dante general de ía división D. Carlos Emilio ; á D Francisco Válvery D. Ignacio Ventura, y á los oficiales D Ramón Llana, herido, y D. Nicolás Santiago y D. Manuel Reguenga , prisioneros. Confirma fel general Losada que la pérdida del enemigo en la expresada" acción ide Grado' 6*4 de 45^ á 500 hombres, y "¿q…</t>
  </si>
  <si>
    <t>y D, O-Donnell</t>
  </si>
  <si>
    <t>O-Donnell y D</t>
  </si>
  <si>
    <t>verifi có , disponiendo 4 columnas , dos da o aeración i les órde­ nes de ios coroneles D. J osé Pirez y D. Joeé Montero , y 2 de re­ serva á las del general O-Donnell y D. José Sauz : ios atacamos j or sorpresa, se nuatarou algunos , se lea tomaina caibsllw', capas, morsienes, tercerolas,-ssbles■, y pasamos, que erario qué n…</t>
  </si>
  <si>
    <t>y D, Ojmingo de Torres</t>
  </si>
  <si>
    <t>Ojmingo de Torres y D</t>
  </si>
  <si>
    <t>Bernardo Cohniro, D J mn La*o Policarpo, D. Juan Corvera, D. Manuel T-boada, D. Nicolás Pardo, D. Juan Mosquera. D. Manuel Varo, D. Francisco García, D. Ojmingo de Torres y D. Andrés Lapido; el de subteniente de bandera á O. Santiago Esteban. En el batallón de isnfantería ligera de volúntanos de Navarras los de capitán primer…</t>
  </si>
  <si>
    <t>y D, Pantaleoa</t>
  </si>
  <si>
    <t>Pantaleoa y D</t>
  </si>
  <si>
    <t>onio Tagle , 300. D. José del Rivero, 200. D. Ma3uu-[ Salceda, 200. D. José Candido Sánchez , 300. D. Juan García , 200. Don Dionisio de Hoyos, ‘’OO. D. Pantaleoa y D. Severo Merino , 240. D. Antonio Diez riel Olmo, 200. D. Antonio Diaz Tagle, 160. D. Antonio González de Columbres, 160. D. José Antonio de la forre , 120. D. A…</t>
  </si>
  <si>
    <t>y D, Pascual Zamora</t>
  </si>
  <si>
    <t>Pascual Zamora y D</t>
  </si>
  <si>
    <t>storeca, D. Lorenzo de la Torre, tanas se añadirá 10 céntimas para gastos de recau­ D. Fernaudo Sabugo, D. Pedro Larralde, D. To­ dación. mas Martin, D. Pascual Zamora y D. Agustín Las patentes se expedirán en les mismos tér­ Toribio González. minos que en Francia. Por decreto de 12 del mismo D. Josef Ramón Los derechos de re…</t>
  </si>
  <si>
    <t>y D, Pasqnal Manpoey</t>
  </si>
  <si>
    <t>Pasqnal Manpoey y D</t>
  </si>
  <si>
    <t>613</t>
  </si>
  <si>
    <t>acer para conseguir tan completa derrota, y de manifestar á V. E. cuanto han contribuido á ella los coroneles, ayudantes pri ñeros de esta­ do mayor, D. Pasqnal Manpoey y D. Luis Michilena, cuyo celo, actividad y bizanía nunca puede elogiarse bien, habiendo recibido el primero tres heridas de consideración, y el otro una muy …</t>
  </si>
  <si>
    <t>y D, Pedro</t>
  </si>
  <si>
    <t>Pedro y D</t>
  </si>
  <si>
    <t>ndo Busí amante , 34. D. Joaquin Zorrilla, 10 Don Francisco Cagigas, 20. Y D. Isidoro Saenz de Cabia, 17 ; todos naturales del obispado de Santander. D. Pedro y D. Santiago de la Cuesta Manzanal , .natu­ rales del reyno de León , 1000. D. José María de Allende , 4. D. Juan de la Cruz Ríos, 4. D. Rafael Cueto, 0, y D. Francisc…</t>
  </si>
  <si>
    <t>y D, Pedro Chiega</t>
  </si>
  <si>
    <t>Pedro Chiega y D</t>
  </si>
  <si>
    <t>, D. Pedro de la Riva, 0. Pedro da Torres, D. A to ni©. Castellanos ,' D. Frustiso Pansa, B. Jasé María Ptrvz, 1). José Carrón, D. Saturnino Viyanco, D. Pedro Chiega y D. Do­ mingo Lobo: y en el tercer batallo a de cazadores dé Valencia, com­ pra ñiss á O. Cirios Rtd&amp;itra, D. Cesáreo Hsrían y D. José Alonso: ayudantías á D. J…</t>
  </si>
  <si>
    <t>y D, Pedro Colmenares</t>
  </si>
  <si>
    <t>Pedro Colmenares y D</t>
  </si>
  <si>
    <t>e del regimiento de infantería de Murcia ; á D. José Segundo Izquierdo, cadete del regimiento de caballería provisional, ántes segundo de Santiago; á D. Pedro Colmenares y D. Pedro de la Cantolla, cadetes del batallón de granaderos riel general; á D. José Nicolás de Ciiimeoni, cadete de tiradores de Murcia, ántes batallón de …</t>
  </si>
  <si>
    <t>y D, Pedro Iitíaz</t>
  </si>
  <si>
    <t>Pedro Iitíaz y D</t>
  </si>
  <si>
    <t>Barfieri ..y „D- Ignacio Iberri; los de dragones de Qjeré car o , Puebla, S Luis y ¡Sfc C^rips, tenientes D. Viceace Concha, D. Vicente B asta manee, D. Pedro Iitíaz y D. José Mora , los alféreces deL cuerpo de</t>
  </si>
  <si>
    <t>y D, Pedro Lillo</t>
  </si>
  <si>
    <t>Pedro Lillo y D</t>
  </si>
  <si>
    <t>ejaibo, D. José Márquez y D. P dro Bi­ en; y subtenencias á los sargentos primeros D. Jo é M up y Doa Jorge García, y á los cadetes D. Manuel Aranda, D. Pedro Lillo y D. Felipe Gordon. igualmente ha conferido S. A. la sargentía mayor del regimiento ds infantería de Guadakxara al teniente coronel O. Francisco Oloiaa, capiíaa d…</t>
  </si>
  <si>
    <t>y D, Pedro Martínez Aguilar</t>
  </si>
  <si>
    <t>Pedro Martínez Aguilar y D</t>
  </si>
  <si>
    <t>sala del trono por un maestro y un ayu­ Baena y D. Francisco de Yuste Osuna, y para dante de ceremonias, introducidos por S. E. el gran subtenientes D. Pedro Martínez Aguilar y D. Jo­ maestro de las mismas, y presentados por S. A. S. el sef López Baena. príncíoe archicanciller del imperio. art. iv. Nuestros ministros de lo In…</t>
  </si>
  <si>
    <t>y D, Pedro Ramón de Echeverría</t>
  </si>
  <si>
    <t>Pedro Ramón de Echeverría y D</t>
  </si>
  <si>
    <t>aciones del tesoro público, lentísimos señores consejeros de Estado D. Sebastian Piñuela, ¡{aportantes 20.324612 reales y 10 maravedís y un noveno de D. Pedro Ramón de Echeverría y D. José!'Ignacio Joven de Savellón, extraídas del arca de. tres llaves á presencia de los exce­ las para su cancelación ; y son , á saber ; Núms. …</t>
  </si>
  <si>
    <t>y D, Pedro Sagarra</t>
  </si>
  <si>
    <t>Pedro Sagarra y D</t>
  </si>
  <si>
    <t>yor parte del suceso; y por consecuencia son muy dignos de la consideración de V. fí. el te­ niente coronel D. Juan Diez, los tenientes ¿e artillería D. Pedro Sagarra y D. Francisco Montalvo, y los agregados á ella teniente de fragata D. Bonifacio Tosta, teniente del regimiento de la Corona Don Francisco Faila, alférez de nav…</t>
  </si>
  <si>
    <t>y D, Prancisco Hiitart</t>
  </si>
  <si>
    <t>Prancisco Hiitart y D</t>
  </si>
  <si>
    <t>r en el estado ma­ yor de ios exérci’os, empleos' de ayudantes generales ti los prima­ reis ayudantes D. Joaquín Anneñdarsz, O. Francisco Piasen cía, D. Prancisco Hiitart y D. Rafael Goicoe^hea, éste gradando de coro­ nel ; y empleos de ayudantes primeros á ios segundos ,D. F.: ante seo Mcnñwil ./D. Antonio Q-droga,, graduado…</t>
  </si>
  <si>
    <t>y D, Raimundo</t>
  </si>
  <si>
    <t>Raimundo y D</t>
  </si>
  <si>
    <t>e , id., por........................ 2200 D. Josef López de Arcos................................ 8942..!, D. Juan Flores, ex agusritfo recoleto, re­ D. Raimundo y D., Gregorio Necoechea» sidente en el Molar, por.......................... 2200 por mano de D. Juan Bautista Iribarren. 45615..11 D. Antonio Diaz, ex-capuchino, re…</t>
  </si>
  <si>
    <t>y D, Ramón Incendias</t>
  </si>
  <si>
    <t>Ramón Incendias y D</t>
  </si>
  <si>
    <t>.fofz ,da desdo el Veladero con genti y un cañan; peor reforzaba igualmente la partida de las tropas del R y con 80 hombres a! mando de los tenL ntes D. Ramón Incendias y D. Antonio de la P ntüla, fueron inme; 1 latamente desalojados lo.i'r. be Idos de la ventajea posi­ ción que ocupaban , y habi-r m sido entera mentí derrota…</t>
  </si>
  <si>
    <t>y D, Ramón Lodares</t>
  </si>
  <si>
    <t>Ramón Lodares y D</t>
  </si>
  <si>
    <t>Campo*; ayor; y en el de Guadalaxara, compañías á D. Ventura Ssgura, D. Vicente Santist-'ban, D. Santiago Moreda, D. Jasé Capilla, D. Joaquín Covisa, D. Ramón Lodares y D. Salvador d® Les; ayudantía á D. Francis­ co de la Torre; tenencias á D. Manuel Medina, D. Francisco de Paula Adames, B. Rafael del Rio y D. Pedro Aguila? A…</t>
  </si>
  <si>
    <t>y D, Rimon Vázquez</t>
  </si>
  <si>
    <t>Rimon Vázquez y D</t>
  </si>
  <si>
    <t>; tesei?cias á D. Juan.Amores, D. José Rico, D. Mateo Novoa, D. Juan MonterrosoD. Manuel Hernández, I). Dionisio Sií?c,h:s, D. Fe lio. Mariis Carnea, D. Rimon Vázquez y D. Ber­ nabé Fae-zsubtenencias i D. Juan-Castellanos, D. Casimiro Fue­ llo , D. Miguel -DuranD. José Morales, D. Luis Valderas, Don Juan Extrémela , D. José R…</t>
  </si>
  <si>
    <t>y D, Rodrigo Neyra</t>
  </si>
  <si>
    <t>Rodrigo Neyra y D</t>
  </si>
  <si>
    <t>e esta marcha se destacaron la compañía de gastadoíes al cargo de su esforzado capitán D. José Ignacio Vizcaya , las des de Méxco al de los capitanes D. Rodrigo Neyra y D. Cristóbal Veasco^ y las de Puebla ai de ía misma c ase D. José Nuñez , y los subalternas DóMiguel Guillen y D Bernardo Maroco, á tomar otras dos alturas Ío…</t>
  </si>
  <si>
    <t>y D, Romualdo Cortazar</t>
  </si>
  <si>
    <t>Romualdo Cortazar y D</t>
  </si>
  <si>
    <t>ayudante á D. Francisco Lacón y D. Andrés Linda; los de capitán segundo ¿ D. Rafael OJeriz, D. Tomas Sacz, D. Juan Dañoso, D. Pedro Pascual Casales, D. Romualdo Cortazar y D. José Alguacil Car­ rasco; los de teniente á D. Ramón Herveila, D. José de las Hera?, D. AN’xandro Rab’ej, D. Celestino' Cuella , D. Andre» Abollo, Don J…</t>
  </si>
  <si>
    <t>y D, Roque Tesantes</t>
  </si>
  <si>
    <t>Roque Tesantes y D</t>
  </si>
  <si>
    <t>ranula, comandancia de escuadren i D. Gívro Meceses, comandar.te de! extimraido escuadrón de cazadores de? Hur­ gas ; tenencias « D. Manuel do Haces, D. Roque Tesantes y D. J.**n M ateo, tenientes del mismo «gcnarlton; 'y empleos de a&amp;rez á ios du la propia dase y cuerpo D. Jcaqmn Girar, D'.Jtafael Marín Cés­ pedes , D. Mateo…</t>
  </si>
  <si>
    <t>y D, Salvador Frígola</t>
  </si>
  <si>
    <t>Salvador Frígola y D</t>
  </si>
  <si>
    <t>avemente herido, y el cabo Pedro Palmada. Se señalaron igualmente les capitanes D. Juan Obrador, D. Mariano Duran y D. Pedro Plandiura; los tenientes D. Salvador Frígola y D. Pedro Costa, y él subteniente D. Francisco Planafarrana. Cuenca y febrero 28 de i&amp;j1. (Carta farticular del Empecinado.') «t Muy señor mío y amigo: en e…</t>
  </si>
  <si>
    <t>y D, Simón Vda CO</t>
  </si>
  <si>
    <t>Simón Vda CO y D</t>
  </si>
  <si>
    <t>Pedro Simó, D. Pablo Víbct, D. Antonio Figiieroíay D Juan Graell; los teníanles D. Juan Fort, D. Jnaa Pablo Part y D. Juan Moneas!; I03 subtenientes D. Simón Vda3CO y D. Manuel.......... los sargentos Antonio Arnuocio. Juan B troles y José Pascual; el o;- bo José O libé , y los saldados Juan Scndra, Pablo Gallart, J yme Monta…</t>
  </si>
  <si>
    <t>y D, Tomas de Castro</t>
  </si>
  <si>
    <t>Tomas de Castro y D</t>
  </si>
  <si>
    <t>nio Pravía : subtenencias á D. Tomas Sal­ cedo, D. Ignacio Pinedo, D. Ignacio Chamuia, D, José Rahamonde,' D. Mariano Cadles, D. José María' Montero, D. Tomas de Castro y D. Baltasar Peusan; subtenencias de bandera á D. Diego del Corral, En el regimiento de infantería de Truxillo; ayudantía á Don Cristóbal Montero; tenencias …</t>
  </si>
  <si>
    <t>y D, Tomas de ILnávidcS</t>
  </si>
  <si>
    <t>Tomas de ILnávidcS y D</t>
  </si>
  <si>
    <t>de S. Jaan.’á sargentos mayores de brigada á los capitanes D. Francisco Xaramillo y D. Mariano Carrillo de Albornoz ; y á este empleo á los tenientes D. Tomas de ILnávidcS y D, Manuel Albo. &gt; SJG.UEN -LOS PAPELES INTERCEPTADOS. Carta del gobernador de Burgos Dorsenne á Bessieres. Burgos 9 de julio de 1811. — A S. E. el marisc…</t>
  </si>
  <si>
    <t>y D, Tomas Murrieta</t>
  </si>
  <si>
    <t>Tomas Murrieta y D</t>
  </si>
  <si>
    <t>onio Olave, idem , D. Joaquín Villafea y D. Antonio Seque­ ra: á tenientes á los subtenientes ... . Joaquín Goñi, D Juan Vial, Don Celestino Gastón , D. Tomas Murrieta y D. José Foxa. Igualmente se ha servido ‘promover á subinspector del real Cuerpo de artillería en el depart menro de Cataluña al mariscal 'de campo y gete de …</t>
  </si>
  <si>
    <t>y D, Valerio Gome</t>
  </si>
  <si>
    <t>Valerio Gome y D</t>
  </si>
  <si>
    <t>la patria y merecedores de mustra eterna memo? i i : estos so a-, el co­ mandante D. Pedro Brito , el capitán D. Francisco Cantón $ los .tenien­ tes D. Valerio Gome* y D. Juan Palacios $ el ayudante mayor D. Cos­ me Martínez j los alféreces JD. Lucas Molbaedo, D. Ju n Caníbn, Don José Rodríguez , y D. Juan Alvarez, los porta-…</t>
  </si>
  <si>
    <t>y D, Vicente Rodríguez</t>
  </si>
  <si>
    <t>Vicente Rodríguez y D</t>
  </si>
  <si>
    <t>rest de 3 soldados en un mes, 18. El regidor i). Luis Ignacio Caballero, á cuenta de 50 pesos que ha ofrecido el presbítero D. José María Mateos, 10. D. Vicente Rodríguez y D. AntonioJosé .Iiivero /alcaldes ordinarios de la villa de Guanaha.coa, por donativo de Jos regidores y vecinos de dicha villa, 1394 y 5 y medio rs. I). …</t>
  </si>
  <si>
    <t>y D, Victoriano García</t>
  </si>
  <si>
    <t>Victoriano García y D</t>
  </si>
  <si>
    <t>128 aunque en mucho menor número conocidamente que los enemigos. Recomiendo á V. E. á los ayudantes generales D. Victoriano García y D. Salvador Valencia , al ayudante facultativo D. Pedro Juan de Eguía, y á mis ayudantes de campo D. Antonio Arríe­ te y D. Tomas O -Col gañí , á mi asesor D. Pedro Ruado Sánchez, y al comand</t>
  </si>
  <si>
    <t>y Don, Domingo</t>
  </si>
  <si>
    <t>Domingo y Don</t>
  </si>
  <si>
    <t>ntes de 1808, con rótulo al Excmó. mero 1, introducido con guia de Victoria de Sr. D.Miguel Cayetano Soler, sin guia; y ha­ 2o de abril de 1808, para D. Domingo y Don biéndose abierto, contienen libros; y las rapas Justo Torrijos de Sevilla* conteniendo tirantes. de los caxones dicen Ministerio de Hacienda. Núm. 31. Un caxon …</t>
  </si>
  <si>
    <t>y Don, Pedro de Alcántara Muso Perez Valiente</t>
  </si>
  <si>
    <t>Pedro de Alcántara Muso Perez Valiente y Don</t>
  </si>
  <si>
    <t>duado de teniente coronel, D. Manuel Sergeant y D. Antonio Agiier^i, e te de czadores; empleos de segundos ayudantas mayores á los segundos tenientes D. Pedro de Alcántara Muso Perez Valiente y Don Miguel Lacy; segunda tenencia de granaderos al de fusileros D. Do­ mingo Martínez de Pinillos; segundas tenencias de cazadores á …</t>
  </si>
  <si>
    <t>y Doña, Justa</t>
  </si>
  <si>
    <t>Justa y Doña</t>
  </si>
  <si>
    <t>mo marido de foriano de la Torre , y á nombre del Doña Bernarda Soldevilla................... 7560 hospital dé la Resurrección de Va- Doña Francisca, Doña Justa y Doña lladolid..................................................... 90.. Si Josefa de Urrutia, herederas de Do­ D- Santiago Gutiérrez de Ariutero........ 180.. 17 ña…</t>
  </si>
  <si>
    <t>y Elguetaba, Juan Franc'sco Alvo</t>
  </si>
  <si>
    <t>Juan Franc'sco Alvo y Elguetaba</t>
  </si>
  <si>
    <t>o habia que temer Antonio Di ir N..riega; ¡os qu.des se pasaron en el año ni grandes trios ni calores excesivos, con esto solo es­ de «799 á poder de D. Juan Franc'sco Alvo y Elguetaba seguro ó de hallar un nuevo mundo, ó de volver ro, comisiónalo por aquellos establecimientos pata á la parte oriental del antiguo continente d…</t>
  </si>
  <si>
    <t>y Entero, Tomas Sacristán</t>
  </si>
  <si>
    <t>Tomas Sacristán y Entero</t>
  </si>
  <si>
    <t>duos siguientes: r....... — iS 8 Capitanes, Eftctos públicos. D. Francisco Darán de la Rocha. Valei reales.................. ..................... 95 D. Tomas Sacristán y Entero. Cédul is hipotecarias................................ tJ6 D. PeJro de la Cuesta. Certificaciones del tesoro público.. 8 2-| D. Luis Tomó de la Infan…</t>
  </si>
  <si>
    <t>y Eraso, Ramón Ulzurrun</t>
  </si>
  <si>
    <t>Ramón Ulzurrun y Eraso</t>
  </si>
  <si>
    <t>ería muerto, 5 soldados heridos y un contuso. Espoz recomien­ da sobremanera el ardor y bizarría de toda su tropa , 1) ocien do espe­ cial mención de D. Ramón Ulzurrun y Eraso, y D. Miguel María Iribarren que mandaban la infantería.,En el Carrascal el 16 del mismo noviembre logró Espoz con 70 infantes y 90 caballos apoderarse…</t>
  </si>
  <si>
    <t>y Escardó, José Puig</t>
  </si>
  <si>
    <t>José Puig y Escardó</t>
  </si>
  <si>
    <t>nativos de la ciudad de Campeche, prescinda de Yucatán. I). José González Abreu , 25 pesos fuertes. D. Cárlos Aubrv , 25. Do^ José María Fiores , 25. D. José Puig y Escardó , 25. D. Sebastian Ferrer, 25. D. Francisco Maristani , 25. D. Miguel Roig , 25. D. Joaquín Sánchez, 25. D. Miguel Vargas , 25. D. Juan Huise, 25. D. Manu…</t>
  </si>
  <si>
    <t>y Espinosa, Esteban Cambreleng</t>
  </si>
  <si>
    <t>Esteban Cambreleng y Espinosa</t>
  </si>
  <si>
    <t>añez, comisario de guerra honorario, y secretario del gobierno y capitanía general por el prest de 4 soldados en dos meses , durante la guer­ ra, 72. D. Esteban Cambreleng y Espinosa, por dos meses de su oferta men­ sual , 12. D. José Miguel Soler, oficial segundo de la secretaria del gobierno y capitanía general, ppr,el pres…</t>
  </si>
  <si>
    <t>y F, Juan García</t>
  </si>
  <si>
    <t>Juan García y F</t>
  </si>
  <si>
    <t>Francesco Doñas; subtenencias á Do» Miguel Villar, D. Sautiaíro Nryra, D. Ignacio Barros, D. José 1^ í~lo T-oloiTW^ - Antonio Sonto, D. Juan Garmon , D. Juan García y F ~ o*uk***£ v/wj Xiraenez ; subtenencia de bandera á D. Anselmo Tuna. CADIZ : EN LA IMPRENTA REAL</t>
  </si>
  <si>
    <t>y F-xa, Joset Clavijo</t>
  </si>
  <si>
    <t>Joset Clavijo y F-xa</t>
  </si>
  <si>
    <t>eni a, teatro qne citaremos haciendo en los sitios reales, y qne fue dirigido siempre con orgullo, y que hará honor eterno á la con tanto acierto por D. Joset Clavijo y F-xa#- nación española. Los comediantes , atendiendo á do, cuya memoria y escritos serán siempre ve­ todas las tazones expuestas, deberían representar nerados…</t>
  </si>
  <si>
    <t>y Faxardo, Josef CUvijo</t>
  </si>
  <si>
    <t>Josef CUvijo y Faxardo</t>
  </si>
  <si>
    <t>qnando su autor la compuso. Efectos públicos. En los antiguos teatros de los sitios, dirigidos Vales reales...................................... por D. Josef CUvijo y Faxardo , se representó es­ Cédulas hipotecarias.......................... 9S ta tragedia con extraordinaria pompa y magnifi­ Certificaciones del tesoro públic…</t>
  </si>
  <si>
    <t>y Federica, Eduardo</t>
  </si>
  <si>
    <t>Eduardo y Federica</t>
  </si>
  <si>
    <t>, á las quatrode la tarde, se execía ni en Extremadura. cutará la comedia nueva original en tre» actos titulada „ Granada 26 de agosto de 181 r. = El general Eduardo y Federica, y se finalizará con el pequeño en ge fe = Firmado— Mariscal duque de Daltnacia.ss baile, compuesto por el señor Sandalio Luengo, titu­ JPor copia con…</t>
  </si>
  <si>
    <t>y Fíores, José Montes</t>
  </si>
  <si>
    <t>José Montes y Fíores</t>
  </si>
  <si>
    <t>Sánchez, D. Joaqui« d i la G qz , D Raf el dél-Barrio , D. Miguel S.mtillana y D. Ignacio O ovas: á capitanes á los tenientes D Juan Manuel Carmen/, D José Montes y Fíores, D. Pedro Bringas , D. José A*uirfe, ’D José Segoyia j D Bartolomé'A nat VD. Mariano A bo , Den Frahc rco Lope# , *£); 'Miguel AUier y D Francisco Re nirez…</t>
  </si>
  <si>
    <t>y Flores, José de Oliva</t>
  </si>
  <si>
    <t>José de Oliva y Flores</t>
  </si>
  <si>
    <t>vliéV, 520. D. Antonio José \Vides, por entrega de varios niños que i; s; ruye , 148. Doña -.Lntgarda Sal azar , 17 y 6 rs. 1). Nicolás Tabeada, 221. D. José de Oliva y Flores, l(/2. Don Juan Bautista Jaurogui, por el prest' de dos soldados en 3 meses 3.arante la- guerra, 54. El regidor D. José Agre iin de Peralta , por el pr…</t>
  </si>
  <si>
    <t>y Fortet, Antonio Coma</t>
  </si>
  <si>
    <t>Antonio Coma y Fortet</t>
  </si>
  <si>
    <t>, 3000. Sres. Hoig yoFerrer, 2000. D. Fran*. cisco Puíg, 320. D. Francisco Fustegueras, 100. D. Juan Pedro Irigoyen, 500. D. Tomas de la Cuesta ,500. D. Antonio Coma y Fortet, 2000. Sres. Su­ birá y Forncs , 1000. D. Manuel Mícheo, 500. D. Lorenzo Camps, 500. Don. Juan Antonio Cobo y Tanderas, 100. D. Miguel Xiqucs,200. D. Gu…</t>
  </si>
  <si>
    <t>y G, Alexandro</t>
  </si>
  <si>
    <t>Alexandro y G</t>
  </si>
  <si>
    <t>Valdepeñas; la mayor parte de la d:d señor teniente coronel Laso, al mando del señor sargento mayor D Miguel Bailo, en el oamino del Moral, y los de D. Alexandro y G antee en o ti as vzma avenidas, todos con orden de acudir al punto que viesa» era mayar la necesidad, en caso que el enemigo ofreciese batail*. Los enemigos desd…</t>
  </si>
  <si>
    <t>y G-arceran, Juan Soler</t>
  </si>
  <si>
    <t>Juan Soler y G-arceran</t>
  </si>
  <si>
    <t>orbon , 3000. D. Agustín de Sorondo , 500. Don E. B. 300. D. Victor Soret, 500. D. Francisco de Berrio, 500. D. Luis Fran­ cisco de Gardea/abal, 200. D. Juan Soler y G-arceran, 400. D. Alexandro Firpo , 300. D. Pablo Roura, 400. D, Gaspar Remisa, 1000. D. Francisco Díaz, 500. D. Agustín Ciotet, 200. D. Jacinto Alvarez de Pazo…</t>
  </si>
  <si>
    <t>y Gallego, Antonio Chacón</t>
  </si>
  <si>
    <t>Antonio Chacón y Gallego</t>
  </si>
  <si>
    <t>, natural de la villa el mismo pueblo, por.......................................... 2 200 de Torrijos, residente en Toledo , por............... 2200 D. Antonio Chacón y Gallego, natural de Palma D. Jul ian Gil, natural de Fuensalida, provincia de del Rio, provincia de Córdoba, residente en Toledo, residente en su pueblo, por…</t>
  </si>
  <si>
    <t>y Gamboa, Estiban Abad</t>
  </si>
  <si>
    <t>Estiban Abad y Gamboa</t>
  </si>
  <si>
    <t>afirmaba en cierta ocasión que na cia k D. Ramón Ignacio de Cáceres, de Sanlucar se pueden expresar, bien los pensamientos de otro. de Barrameda ; á D. Estiban Abad y Gamboa , de A pesar del exquisito gusto y sano juicio de quien pro­ la villa de Navalcarnero; á D.Rafael Garrido, de fesa esta Opinión, me pare..e que se puede …</t>
  </si>
  <si>
    <t>y García, Don Pedro García</t>
  </si>
  <si>
    <t>Don Pedro García y García</t>
  </si>
  <si>
    <t>1330 María Echave , D. Mariano y D. Antonio Icaza, 3000. El licenciado Don Pedro García y García, 200. D. Francisco Perez Muñoz, 100. El coronel D. Ramón Cevallos, 1500. El conde de la Cortina por sí y por sus tres hijos D. José , D. Mariano y D. Joaquín , 12000. D. Tomas Domingo de Ad</t>
  </si>
  <si>
    <t>y Garoz, Manuel Blas Barba</t>
  </si>
  <si>
    <t>Manuel Blas Barba y Garoz</t>
  </si>
  <si>
    <t>oledo, por.............. 2200 sidente en Toledo, por............................................ 2200 D- Sebastian Sánchez Bonilla, natural de Roble- D. Manuel Blas Barba y Garoz , natural de Yévedilln err Badajoz , residente en Toledo , por..... 2200 nes , donde reside, por............................................. 220» I…</t>
  </si>
  <si>
    <t>y Garro, Josef Mena</t>
  </si>
  <si>
    <t>Josef Mena y Garro</t>
  </si>
  <si>
    <t>DiSi Vte sucesivamente los diversos me­ En virtud de facultad real concedida al Excmo. sedios que Jos lio.-ibres benéficos é ilustrados han dis­ fior D. Josef Mena y Garro, duque de Tamames, para cu nido para mejorar la suerte de la ínfima clare de la venta de varias fincas, cuyo producto ha de servir 1:&lt; sociedad. Eximina pr…</t>
  </si>
  <si>
    <t>y Gil, Francisco Taboada</t>
  </si>
  <si>
    <t>Francisco Taboada y Gil</t>
  </si>
  <si>
    <t>les y tropa de esta vanguardia que tengo el honor dé mandar &amp;c. Cuartel general de Ponferrada- 19 de diciembre de 1810..— Juan Bautista Aguiar. — Sr. D. Francisco Taboada y Gil.” 4*Y en ei dia de hoy. me avisa, han sido los muertos por nuestra parte 4 de Marina y 3 de Compostela,.y.heridos 7 del primero y uno del segundo ; y …</t>
  </si>
  <si>
    <t>y Gomes, Toief Gordon</t>
  </si>
  <si>
    <t>Toief Gordon y Gomes</t>
  </si>
  <si>
    <t>ohíbe. Qualquier hombre racional co­ sejo en la prefectura de Madrid; y á D. Juan Conoce qne los católicos podían seguir su pretensión tnin y Quilti, D. Toief Gordon y Gomes y Dos sin necesidad de reunirse en asambleas de 6co á Dionisio Juan Caballero para formar el referido yo o personas. La conducta opuesta que han adop­ co…</t>
  </si>
  <si>
    <t>y Gómez, Andrés Esteban</t>
  </si>
  <si>
    <t>Andrés Esteban y Gómez</t>
  </si>
  <si>
    <t>está de vuelta en P¿ñíscola. Í«_ i______í- we%' eirá- 1í_ A 1 ,1 «i ei*/ii ká g^ueia iiuíii. /¿s, vng. uiz,) uu.ti ,ciuutic bc uaiuu «r-r * *" “ bot D. Andrés Esteban y Gómez 5 diputado propietario por ia junta de Gutidalaxara, debió’ decirsejporúz provincia de Guadalaxara</t>
  </si>
  <si>
    <t>y González, Francisco Peiron</t>
  </si>
  <si>
    <t>Francisco Peiron y González</t>
  </si>
  <si>
    <t>Francia mui distantes de la capital: ha pre­ á subteniente de la tercera compañía en la vacante sentado los caractéres mineralógicos que les dis­ de D. Francisco Peiron y González. tinguen entre sí, y los caractéres zoológicos de las conchas que encierran : ha hecho ver que on grao Décimo batallón. número de estas conchas, au…</t>
  </si>
  <si>
    <t>y Grosin, Francisco Santos</t>
  </si>
  <si>
    <t>Francisco Santos y Grosin</t>
  </si>
  <si>
    <t>, estos cuerpos eclesiásticos no pueden el P, Mtro, Fr. Francisco L irraga, reformido despUL-i exer er capitula'mente su jnrisdiccion , sino que por D. Francisco Santos y Grosin.__Como el Pron­ tuario dr- teología del Mtro. Lirraga e, una de.las obras deben en el término de ocho dias después del fa- que mas andan en muros de …</t>
  </si>
  <si>
    <t>y Guerra, Francisco Bustamante</t>
  </si>
  <si>
    <t>Francisco Bustamante y Guerra</t>
  </si>
  <si>
    <t>dirigido en el navio Miño, 1200 pesos fuertes para la división del briga­ dier Porlier, cuya cantidad, como las anterio; g;, ha entrado en poder"de. D. Francisco Bustamante y Guerra, del comercio de Cádiz. Concluyen los donativos de la isla de Cuba. . El coronel D. Mauricio de Zúñiga , por el de 2 soldados en 4 meses, 72, I).…</t>
  </si>
  <si>
    <t>y Guerrade, Lrañasco de Idustamante</t>
  </si>
  <si>
    <t>Lrañasco de Idustamante y Guerrade</t>
  </si>
  <si>
    <t>é Isla de Lean, para auxiliar á las tropas de la división cántabra al mando del briga* dier I). Juan Díaz Portier, y se han entregado á su depositado D. Lrañasco de Idustamante y Guerrade este comercio. L'i Cádiz.— D. José González y D. José Diaz Martínez , como apodera­ dos , y á nombre del gremio de montañeses , 49.693 rs. …</t>
  </si>
  <si>
    <t>y Herrera, Juan del Castillo</t>
  </si>
  <si>
    <t>Juan del Castillo y Herrera</t>
  </si>
  <si>
    <t>a de la villa de Es­ ,,Concluyóse aquel dia con regocijos al uso del tepa queda igualmente promovido país, es decir, con banquetes que dora roo hasta D. Juan del Castillo y Herrera á abanderado por la mañana. Los vencedores celebraron su trian-r en la vacante de D. Agustín Manzano. Ib con largas tragos, y los vencidos procura…</t>
  </si>
  <si>
    <t>y Hur, Antonio Salcedo Patino</t>
  </si>
  <si>
    <t>Antonio Salcedo Patino y Hur</t>
  </si>
  <si>
    <t>1430 cion ea su* oficiales, y se cortaría de raíz la hor­ D. Antonio Salcedo Patino y Hur­ rorosa.■ dilapidación d=I ramo de hacienda , y no tado....................*........ ,............. 11340 carecería el soldado de alimento, vestido £cc.” {Id. D. Miguel Calvo de U Puerta....... 319</t>
  </si>
  <si>
    <t>y I, Eustaquio de la Cuesta</t>
  </si>
  <si>
    <t>Eustaquio de la Cuesta y I</t>
  </si>
  <si>
    <t>edro Ace verlo , 300. El mariscal de Castilla , 4000. .1). -Antonio Pi­ nero, D. Antonio García y IX José Sagarraga, 25000. El conde de Iícgla, 4000. D. Eustaquio de la Cuesta y I). Angel su hermano , (1)0. El oidor JX Manuel do Campo y Iiivas , 400, II. Francisco de Chavan-! por si , su es­ pesa é hijo , 2 dependientes y '8 …</t>
  </si>
  <si>
    <t>y I, José María Xiaieuez</t>
  </si>
  <si>
    <t>José María Xiaieuez y I</t>
  </si>
  <si>
    <t>lemos al alférez D. José María Urmga, teniente D. An­ tonio Griteo, al de la ursina clase D Jo?.é Moría González, á !os alíe cees D. Nicolás E’izodo, D. José María Xiaieuez y I). D o­ go Montem&amp;yor, y por gtfes de Ies paisanos á D. Tomas Flores, adn inisírador ce rentns u^ides de esta provincia , y al justicia de San Buenaven…</t>
  </si>
  <si>
    <t>y ÍVIiaa, Francisco E-pz</t>
  </si>
  <si>
    <t>Francisco E-pz y ÍVIiaa</t>
  </si>
  <si>
    <t>o de Moya ) 29 de entro. La junta superior de Aragón na recibirlo en este pueblo , adonde hi irasiadado su residen­ cia, los dos partes siguientes de D. Francisco E-pz y ÍVIiaa. i.° “Excmo. Sr. Después del grande extravio de mis batallones en el rejno de Castilla , y dispersión que el 12 de noviemb’e ultimo padecie­ ron en la…</t>
  </si>
  <si>
    <t>y J, Gabriel Aroiijo</t>
  </si>
  <si>
    <t>Gabriel Aroiijo y J</t>
  </si>
  <si>
    <t>parte dé la caballería de reserva que componían cuatro encoadróles de lanceros , mandados por sus co-. mandantes D&lt; Juan Pesquera, D¿ Martin Collado, D. Gabriel Aroiijo y J&gt;i Francisco Orraníia, todos á las órde&amp;es ael* capitán d? dra­ gones D. Pedro Meneso. Ei espíritu, serenidad y entusiasmo con que los granaderos y par. tr…</t>
  </si>
  <si>
    <t>y Jéraivez, Juan Aguilar</t>
  </si>
  <si>
    <t>Juan Aguilar y Jéraivez</t>
  </si>
  <si>
    <t>ó, y le daba las artes y ias ipyes que Sania María Magdalena de Sevilla, vacante por deben hacerle florecer; pero lioi se presenta á nues­ ascenso de D. Juan Aguilar y Jéraivez , á D. Jo­ tra vista un espectáculo nuevo, que es el ver que sef Alonso y Saenz, cura beneficiado de ia prioral desaparecen las barreras antiguas y fu…</t>
  </si>
  <si>
    <t>y L, María Aatonia de Arrieta</t>
  </si>
  <si>
    <t>María Aatonia de Arrieta y L</t>
  </si>
  <si>
    <t>orto.......... D. Joaquín de Cordero y Vargas. 1354 22 90 D. Ambrosio María Cerdan........... 1 80 24 P. Antonio de Castilla.....f............ 280 17 Doña María Aatonia de Arrieta y L&gt;. Francisco Sevane....................... 2 &gt;66 Mas............................................. 3560 D. Jalian Brethous.......................…</t>
  </si>
  <si>
    <t>y Landa, Joaquín Uñarte</t>
  </si>
  <si>
    <t>Joaquín Uñarte y Landa</t>
  </si>
  <si>
    <t>tos á D. Ramón de Tovar, cultades y laberintos. ex-intendente de Avila , de la prefectura de Cáce,,Por lo qne hace á .las declaraciones de los res; á D. Joaquín Uñarte y Landa , de la da médicos, advierto que varían sus opiniones en Mérida; á D. Ramón de Salas, r.ctual prefecto de quanto.aí tiempo en que el Rei badexado de es…</t>
  </si>
  <si>
    <t>y Lasaña, Manuel Abreu</t>
  </si>
  <si>
    <t>Manuel Abreu y Lasaña</t>
  </si>
  <si>
    <t>b•miso y que ha: cedido plír&amp;las atciílMóhés tdé la presénte ñguérra , 433 y 2 rs. JJ. José Inocencio , por el prest ¿lé 5 saldados en 3 frieses, 90. D. Manuel Abreu y Lasaña', 17. !&gt;. Juan Luis Marqueti, mayordomo de propios de es­ ta ciudad, por ei prest'de iüQ;-soldados en 3 meses; que el'ilustre ayuntainie.mó.ba ofrecido …</t>
  </si>
  <si>
    <t>y León, Matías de Rueda</t>
  </si>
  <si>
    <t>Matías de Rueda y León</t>
  </si>
  <si>
    <t>el!., 6o personas de la nobleza rellana , que publicó en ¡a gazeta de 1 ¡ de di­ principal , sacerdotes , jueces , comerciantes , ami­ ciembre último D. Matías de Rueda y León. gos ó enemigos antiguos de Jos fr. nceses , casi to­ •« dos ágenos ó indiferentes á las facciones políticas. ............... nec beneficio nec injuria…</t>
  </si>
  <si>
    <t>y Leop, Juan</t>
  </si>
  <si>
    <t>Juan y Leop</t>
  </si>
  <si>
    <t>el comandante de la caba­ llería de la legión, el teniente coronel D Cayetano de la Puente, observar con partidas los puntes de Mansilla, Valencia de D. Juan y Leop, ocupados por fuerzas enemigas, ocultando el resto de la caballería en los bosques contiguos á Sah.:gun, y colocando el pri­ mer batallen de la legión y una compa…</t>
  </si>
  <si>
    <t>y Llano, Antonio Viliaverde</t>
  </si>
  <si>
    <t>Antonio Viliaverde y Llano</t>
  </si>
  <si>
    <t>batallón del Puerto de Sunta niendo siempre con constancia y energía sus prero­ María queda promovido gativas, y ios derechos umversalmente reconoci­ D. Antonio Viliaverde y Llano, ayudante, dos como propios del centro de la unidad católica, á capitán en la vacante de D. Antonio Izquierdo. procuró conservar en todos tiempos l…</t>
  </si>
  <si>
    <t>y Lomas, Pedro de Mora</t>
  </si>
  <si>
    <t>Pedro de Mora y Lomas</t>
  </si>
  <si>
    <t>ublicado las deliberaciones dé las 8 D. Aicxandro Coupigni...................... 4512 17 asambleas. 18 D. Vicente González Arnao.............. 8303 4 D. Pedro de Mora y Lomas............. 992 Al; ESPAÑA. 2 D. Tomas Rcmeodero...................... . 1895 Madrid 18 de diciembre. i D. Joaquín de Tudela...........................…</t>
  </si>
  <si>
    <t>entos lié réditos de vitalicio al por xoo. Total... 2.730940 7{1 Libramientos'. " ' " , . Que 5 una suma importan des millones setecientos rreirt-l i D. Pedro de Mora y Lomas,. 4500 ta mil novecientos quarenta y seis reales y siete maravedisl 3 Doña María .felipa Macdonell 324° y medio de vellón. Doña Masíi JosefV-Muro y S.da…</t>
  </si>
  <si>
    <t>y López, Juan de la Torre</t>
  </si>
  <si>
    <t>Juan de la Torre y López</t>
  </si>
  <si>
    <t>convocar á los señores presiden­ niente de la primera compañía del primer batallón tes de las secciones del consejo de Estado marones en reemplazo de D. Juan de la Torre y López. Caballero, conde de S. Anastasio y D. Manuel Mu­ art. iii. En el pr}mer batallón de la ciudad iría de Cambronero; al señor director general de de To…</t>
  </si>
  <si>
    <t>y López, Luis Gabaldon</t>
  </si>
  <si>
    <t>Luis Gabaldon y López</t>
  </si>
  <si>
    <t>n Pontero............. tado á 69 5 23 D. F rancisco Amorós.................... . 12003 28 Rs. de vn. D. Gaspar García........................... 3500 D. Luis Gabaldon y López por 270 a5f D. Domingo Antonio García........ 400 D. Felipe Alvarez.......................... 541 17 D. Pablo de Pinedo........... ............ 27254 26…</t>
  </si>
  <si>
    <t>y López, Manuel Seco</t>
  </si>
  <si>
    <t>Manuel Seco y López</t>
  </si>
  <si>
    <t>.. ......... 2200 te en el mismo, por.............. ................................. 2200 D. Ramón Bcltran y Alegre, idem, por................. 2100 D. Manuel Seco y López, natural de Huele , pro­ D. Nicolás Rodrigucz, natural del Viso del Mar­ vincia de Cuenca, residente cu la misma, por... 2200 ques, provincia de la Mancha…</t>
  </si>
  <si>
    <t>y Lora, Cristóbal Hornillo</t>
  </si>
  <si>
    <t>Cristóbal Hornillo y Lora</t>
  </si>
  <si>
    <t>ificaciones del tesoro público... 7'\ á 72 n. Para el tercero de la misma, vacante por falle­ Oro español contra plata................... cimiento de D. Cristóbal Hornillo y Lora, al pres­ bítero D. Antonio Delgado. Para la vicaría perpetua de primera provisión VEA TROS. del Puerto de Sta. María al presbítero D. Pedro En el d…</t>
  </si>
  <si>
    <t>y Lostoya, María de la Luz de Soto</t>
  </si>
  <si>
    <t>María de la Luz de Soto y Lostoya</t>
  </si>
  <si>
    <t>partido de Al quizar, 125. D. José Suarez Masías , 17. El capitán de dragones D. Andrés de Alvear , 30. La com­ pañía urbana del rea! consulado, 501. Doña María de la Luz de Soto y Lostoya , por el prest de 3 soldados en 4 meses durante la guerra , 108. IX Vicente Rivero , regidor de la ciudad de Sta. María del Rosario , por …</t>
  </si>
  <si>
    <t>y Lubian, Santiago Huarte</t>
  </si>
  <si>
    <t>Santiago Huarte y Lubian</t>
  </si>
  <si>
    <t>idades que respectivamente se les designan. articulo 1. ,,Se reconocen acreedores al tesoro pú­ blico los ex-regulares que se expresan á continuación D. Santiago Huarte y Lubian , ex-vicario Rea es v*:lion por las cantidades que respectivamente se les designan. general de carmelitas calzados , residen­ te en Echarni de Navarr…</t>
  </si>
  <si>
    <t>y M, Nicolás Vilar</t>
  </si>
  <si>
    <t>Nicolás Vilar y M</t>
  </si>
  <si>
    <t>dro Simó, y el capitán ds tiradera D. Salvador López; y han sido heri­ dos 17 soldados de varios cu ipos, y entre ©líes el subteniente d© ca­ zadores D. Nicolás Vilar y M«s, que lo fué de arma blanca, en lo que ha consistido toda nuestra pérdida.— Lo que eomunico k V. E. para su inteligencia. Dios guarde 4 V. JE. machos años.…</t>
  </si>
  <si>
    <t>y M, Nicolás Vitar</t>
  </si>
  <si>
    <t>Nicolás Vitar y M</t>
  </si>
  <si>
    <t>o de teniente coronel D. Francisco Eút?an, ei cspititn de ia segunda de granaderos de Ausona D. Pedro Diza, el. subte atente de tiradores de Cataluña D. Nicolás Vitar y M.¿s. — Merecen una recompensa particular, el tirador de húsares de Cataluña Francisco Marios, que por si solo mató i 2 húsares franceses, é hizo huir ¿ 5 mas…</t>
  </si>
  <si>
    <t>y Martínez, Francisco Cabrera</t>
  </si>
  <si>
    <t>Francisco Cabrera y Martínez</t>
  </si>
  <si>
    <t>de cigarros de la Beneficencia, 2. D. Juan Manuel Diaz, id. seguxdo , 1 y 4 rs, Juana Diaz , maestra do las torcedoras de la Beneficencia, 1 y 4 rs. D. Francisco Cabrera y Martínez, guatda montarlo , 2, D, Tomas Sánchez , id., 2. D. Sebastian Valdés , id., 3, D. Domingo Menendez de S. Pedro, id. , 2. D. Francisco Ximenez, id.…</t>
  </si>
  <si>
    <t>y Matute, Ignacio Eleves</t>
  </si>
  <si>
    <t>Ignacio Eleves y Matute</t>
  </si>
  <si>
    <t>D. Martin Rolda y Beida , Í300. Sres. Dnwel y compañía , 5000. D. MF gnel Lobo , 000. P. José Durana, 80. Sres. Strangc , hermanos y compañía, ‘ 500. D. Ignacio Eleves y Matute, 100, D. Lorenzo IJast.is , 200. X). Francisco * Rodríguez de Tórices. 1.00. D. Juan Illa y Clr.usell, 200. D. Andrés Morzan, '500. P. Melchor Monconi…</t>
  </si>
  <si>
    <t>y Matute, Juan Fernando Vi Sepúlveda</t>
  </si>
  <si>
    <t>Juan Fernando Vi Sepúlveda y Matute</t>
  </si>
  <si>
    <t>Cubo de la Sierra, vacante por Para el de Almarza,'vacante por muerte de muerte de D. Gregorio Náxera , sin los anexos de D. Josef Perez Acereda ,. á D. Juan Fernando Vi­ Sepúlveda y Matute, al ex carmelita descalzo Don cente, cura de Gallinero. Francisco Iñiguez. Para el de Dcrroñadas y el Royo su anexo, Para el de Porteirub…</t>
  </si>
  <si>
    <t>y Mena, Antonio Ramírez</t>
  </si>
  <si>
    <t>Antonio Ramírez y Mena</t>
  </si>
  <si>
    <t>os de mú­ D. Manael Iturriaga. sica, y la elegancia de los trages de mas de 30a D. Tomas Locano. señoras que' asistieron, hicieron de este espectácu­ D. Antonio Ramírez y Mena. lo uno de los mas brillantes qae pueden verse. Para la compañía de caballería. Durante el baile se sirvió un espléndido ambi­ gú, y en todos los concu…</t>
  </si>
  <si>
    <t>y Mezquita, Don Josef Chueca</t>
  </si>
  <si>
    <t>Don Josef Chueca y Mezquita</t>
  </si>
  <si>
    <t>ez nos refieren con prolixidad misa traducidas, y algunas reflexiones sobre el evange­ la vida y los escritos de algunos autores descono­ lio: por el doctor Don Josef Chueca y Mezquita. Ün cidos , ó de poco nombre, que aunque han seguido tomíto en’H.0 en pasta á ó rs. Se hallará en la librería el impulso literario de su siglo…</t>
  </si>
  <si>
    <t>y Mi, Espcz</t>
  </si>
  <si>
    <t>Espcz y Mi</t>
  </si>
  <si>
    <t>1245 voy de polvera para la división navarra del coronel Espcz y Mi­ na, y se prepara otiro de armas, medicinas y municiones , que sal­ drá tmiy en b?eve. El castillo do Oropssa se rindió á los franceses el 10 del cor­ riente después de una defensa vigorosa. En</t>
  </si>
  <si>
    <t>y Mi, Espoz</t>
  </si>
  <si>
    <t>Espoz y Mi</t>
  </si>
  <si>
    <t>, D. Juan Abril, Marlgucla, Morales , S dechero, Or­ tega, Fuente, Campillo, el Mé lico, el Cocinero &amp;c. Si á esto se agregan la división navarra del coronel Espoz y Mi a , y la? oartidas de Longa, Cuebillas, Fernandez y otras que guerrean eu Rioja y las Provincias, podrá hacerse algún juicio de cuan precaria es la dominación…</t>
  </si>
  <si>
    <t>y Mii, Pedro Boullcsa</t>
  </si>
  <si>
    <t>Pedro Boullcsa y Mii</t>
  </si>
  <si>
    <t>Pazos , 1000. D. Domin­ go José Cierto , 1000. D. Ramón de barreta, 200. Sres. Gordon Shaw y com­ pañía , 10Ó0. D. Joaquín y D. Juan Casaldaero, 400. D. Pedro Boullcsa y Mii anda, 100. Doña Ana María González , 400. D. Manuel Paul, 200. D. Joa­ quín de la Vega , 400. D. Domingo de Heras, 1000. D. Martin Irazoqui, 400. D. T. B…</t>
  </si>
  <si>
    <t>y Mina, Din TYaíiCíyco Es'poz</t>
  </si>
  <si>
    <t>Din TYaíiCíyco Es'poz y Mina</t>
  </si>
  <si>
    <t>a arm^s de fuego, y tiene© varios cañones de montaña, de que los ha pi-ovit-to la junta superior. Se ha recibido en esta plaza el siguiente parte de! coronel Din TYaíiCíyco Es'poz y Mina, relativo á los movi ¡lientos y sucesos del cuerpo df su man o desde el 14 ai 24 del mes próxí no pasado: „.E 10 id contante (junio) llegó C…</t>
  </si>
  <si>
    <t>y Mina, Eepez</t>
  </si>
  <si>
    <t>Eepez y Mina</t>
  </si>
  <si>
    <t>vecinos presenten , pena de la vida, las escaleras que tengan, temefoso de que puedan facilitarlas á los nuestros. Las noticias que tenemos del coronel Eepez y Mina alcanzan al 25 dsl pasado. Permanecía en Esíella, donó® se le habían reunido muchos infantes y caballos de lós dé Cataluña. Les franceses pre­ paraban en -Pamplon…</t>
  </si>
  <si>
    <t>y Mina, Espos</t>
  </si>
  <si>
    <t>Espos y Mina</t>
  </si>
  <si>
    <t>ridos en Santo Domingo , y otros 3 en la avanzada. El 10 del mismo mes entró en Náxera una división de 1500 hom­ bres de las tropas que; capitanea el coronel Espos y Mina; y el 12 derrotó en Belóradok los enemigos mandados por Mr. FLoquet. Gorriz teniente dé Fspoz, mandaba á los nuestros. El 22, la partida de 25. Pedro Alcald…</t>
  </si>
  <si>
    <t>y Mina, Espoz</t>
  </si>
  <si>
    <t>Espoz y Mina</t>
  </si>
  <si>
    <t>Con este motivo tengo el honor íce. Cimpo de honor de Navar­ ra 22 de msrzo de 18x1. — Espoz y Mina” De varias noticias comunicadas por ei expresado coronel Espoz y Mina con diferentes fechas, resulta qus pasaban á Francia 4000 hom­ bres de aquella nadan de los que guarnecían á Navarra, donde se aseguraba que eran 22 los regi…</t>
  </si>
  <si>
    <t>„Exeme. Sr.: con esta fecha dirijo al Excino. Sr. general en gafa del segundo exército el parte siguiente.—A resultas del oficio que pie comunicó ei coronel Espoz y Mina, insertado en la gaceta de esta provincia de 12 aei corriente, de que remití á V. E copia, de» terminé hacer mi expedición sobre el Ebro, combinándola con aq…</t>
  </si>
  <si>
    <t>30 de'agosto Tres fragatas inglesas que arrivaren á Motrico, coíiiiuciad Í2D00 pares de zapatos, y algunos anillares de fu­ elles para la división dd coronel Espoz y Mina, y para las partí-</t>
  </si>
  <si>
    <t>y Mina, Francisco Espcz</t>
  </si>
  <si>
    <t>Francisco Espcz y Mina</t>
  </si>
  <si>
    <t>alencia 11 de octubre. El gobernador francés de Pamplona Ral­ lí© , 'tie&amp;esp-íraí-zido ya, de desfrute cea ía fuerza si híteos de Navarra el coros ei D. Francisco Espcz y Mina, publicó cov facha ds 24 ce rgosto un bando en que, echando man-? do las armar, da Ies cobar­ des , ofrecía 6000 duros'par la cabeza, da Es pez, 4000 p…</t>
  </si>
  <si>
    <t>y Mina, Francisco Espoz</t>
  </si>
  <si>
    <t>Francisco Espoz y Mina</t>
  </si>
  <si>
    <t>uarnición polaca de Tarazona hizo luego á los parlamentarios, que se presentaron de parte de los patriotas. Según los partes dirigidos á Valencia por D. Francisco Espoz y Mina, este comandante hubo de apartarse de Eraso después de la acción de Tarazona , y dirigirse de nuevo á Navarra.— Hallándose allí, dio el dia 24 orden de…</t>
  </si>
  <si>
    <t>es de V. cuy- vida guard-• Dios muchos anos. Salinas de Oro 17 de enero de 181 e. — Ramón de Uizurrun y Eraso. — - Sr. Coronel y comandan­ te peñera! D. Francisco Espoz y Mina.” Rd ornitidio y omitiré en adelante el remitir á V. E. los d-’talles de algunos pequeños encuentros que diariamente ocurren, especialmen­ te en las de…</t>
  </si>
  <si>
    <t>nte llegaron á Cuentar, distante dos leguas y media de Grana­ da, donde permanecen. Valencia 25 de junio. La junta provincial ha recibido del coronal D. Francisco Espoz y Mina el parte que dirigió i este su segundo D. Gregorio Erachaga, y es como se sigue: „A luego del oficio de V. S., fecha 15 de! corriente, yen cumpli­ mien…</t>
  </si>
  <si>
    <t>n loque yo haga; pero quiere para su vivo deseo de restablecer la tranqui'idad pública, Hamo seguridad, y también la nuestra, medie en los tratados á D. Francisco Espoz y Mina y á todos los que le sigan, un gefe militar y de alguna consideración, que yo pue­ para que esten baxo la protección del gobierno, y doi da conocer; en…</t>
  </si>
  <si>
    <t>edido el empleo de alférez en el regimiento da reales guardias españolas á I). Joaquín Martínez de Medintila, cadete del mismo cuerpo.' Al coso?»?! • D. Francisco Espoz y Mina, comandante general de la división' de infant&amp;riá y caballería dél rey«o de Navarra, y á su segundo el teniente coronel D. Francisco C/uchaga , se ha s…</t>
  </si>
  <si>
    <t>y Mingúela, Estéban Goczakz</t>
  </si>
  <si>
    <t>Estéban Goczakz y Mingúela</t>
  </si>
  <si>
    <t>nizarse al lado de la francesa. Llegado el medio Para el de Pero-Rubio , vacante por promoción dia se celebró el gran convite,que costeó la muni­ de D. Estéban Goczakz y Mingúela al de San cipalidad en casa del señor prefecto,á que asistie­ Miguel de Iscar , á D. Saturio Requejo, cura de ron rndas las autoridades, clero, nobl…</t>
  </si>
  <si>
    <t>y Molano, Diego Merino</t>
  </si>
  <si>
    <t>Diego Merino y Molano</t>
  </si>
  <si>
    <t>Emperador. S. M. descansó en palacio media Avila, diócesis de Avila, vacante por fallecimien­ hora, y luego fue á Broyeres, situado entre esta to de D. Diego Merino y Molano, al ex-benrdicciudad y la de Amersfett, para pasar revista á las tino D. Bernardo Loca, al ex-agustino D. Juaa</t>
  </si>
  <si>
    <t>y Molins, Tomas SoW</t>
  </si>
  <si>
    <t>Tomas SoW y Molins</t>
  </si>
  <si>
    <t>ÍL D. Santiago José de Tenar ,'500. D. Juan Vaidés 400. D. Fiaticúsco Jert.'s , 200. I). Miguel Mateu, 2000 D. José Balboa, 40. D. José Puyade , 100. D. Tomas SoW y Molins , 100. D. Santiago Castañete», 500. D. Pedro Raynaud , 400. D. Esteban Gas'taca y sobrino Vadillo , 300. I). Jorge Montañés. 500. D. Antonio Suris, 200. í&gt;…</t>
  </si>
  <si>
    <t>y Montredoa, José Calles</t>
  </si>
  <si>
    <t>José Calles y Montredoa</t>
  </si>
  <si>
    <t>ta al ca­ dete D. Ambrosio López Lisperguer. ¿ Igualmente ha conferí ¿ó S. A. el empleo de alférez en el regi­ miento de reales guardias w alo ñas, á D José Calles y Montredoa, 'teniente del de infantería segundo de Málaga. En el batallón de voluntarios de Campomayor se ha servido S. A. promover á primer ayudante al capitán s…</t>
  </si>
  <si>
    <t>y Morales, Antonio Brihuega</t>
  </si>
  <si>
    <t>Antonio Brihuega y Morales</t>
  </si>
  <si>
    <t>orme que den los médicos al consejo privado del siguientes: estado de la enfermedad del Rei. Capitanes. Ljs notirias particulares de Wiudsor aseguran D. Antonio Brihuega y Morales. que la recaída que ha tenido S. M. á mediados de D. Gerónimo Diego. la semana última, ha sido originada de un paseo de­ D Cristóbal Peña. masiado …</t>
  </si>
  <si>
    <t>y Moreno, Francisco Preysler</t>
  </si>
  <si>
    <t>Francisco Preysler y Moreno</t>
  </si>
  <si>
    <t>cios y méritos , y al que contraxo en el segundo sitio de Za­ ragoza.— Asimismo se ha servido promover á subtenientes del real cuerpo de ingenieros á D. Francisco Preysler y Moreno, teniente del regimiento de infantería de Murcia ; á D. José Segundo Izquierdo, cadete del regimiento de caballería provisional, ántes segundo de …</t>
  </si>
  <si>
    <t>y Motezuma, Ma Holgado</t>
  </si>
  <si>
    <t>Ma Holgado y Motezuma</t>
  </si>
  <si>
    <t>, caballero que pondientes documentos de justificación que lo acredi­ fue de la orden de Cárlos m. ten ante S. S. , por la sscribania de provincia de D. Ma­ Holgado y Motezuma (D. Alonso), maestre de nuel López de Ribas, en el término de 30 dias conta­ ceremonias. dos desde la fecha de dicho auto, que por último y pe­ rentori…</t>
  </si>
  <si>
    <t>y Mourni, Rodrigo de Zorrilla</t>
  </si>
  <si>
    <t>Rodrigo de Zorrilla y Mourni</t>
  </si>
  <si>
    <t>.............. 4786 D. Antonio de Yarritu................... 5^550 t&gt;. Ramón Fernandez üe Qniroga. 5104 * D. J osef Antonio de Uriarre......... 50115 D. Rodrigo de Zorrilla y Mourni. 44150 21 D. Jos.-f de Carranza...................... 27387 I? D. Josef Badan...... ................ 26178 22 D- Josef Gonzalo y D, Miguel D. Sim…</t>
  </si>
  <si>
    <t>y Mr, Cockbucn</t>
  </si>
  <si>
    <t>Cockbucn y Mr</t>
  </si>
  <si>
    <t>i el espacio de 24 horas se pueden con cuta anuncia que Mr. Stuart, nuestro ministro en Lis­ máquina elevar xoo cimers de agua a ¡a altura de boa, el capitán Cockbucn y Mr. Morier, nuestro 40 (Íes, y sacar 24 shuri de harina , sin gastar mas último erra.rgado de negocios en América, han si­ que 75 librts de carbón de piedra d…</t>
  </si>
  <si>
    <t>y Noriega, Sebastian de Rives</t>
  </si>
  <si>
    <t>Sebastian de Rives y Noriega</t>
  </si>
  <si>
    <t>D. Rafael Rensoli, id, tercero , 1. D. Marcos Fernandez Castañe­ da, id. cuarto y fiel de peso, J y 4 rs. D. Gabriel de Lamas Pardo, agrega­ do, 1 • D. Sebastian de Rives y Noriega , capellán de la factoría, 8 y 2 y me­ dio rs. D. Vicente Cremata, sobrestante «el embotado, 2. D. José Rodrí­ guez Amate, agente, 3. D. Juan Fran…</t>
  </si>
  <si>
    <t>y O, Pablo Chrtafal</t>
  </si>
  <si>
    <t>Pablo Chrtafal y O</t>
  </si>
  <si>
    <t>cantan á D. A dorno K sinirkí; ten me as á D: Fernando PoynaJo, D F a:-.cisco Rodríguez, D. Juan Antonio Cabello y D José de' Soto: y subtenencias á D. Pablo Chrtafal y O. Pedro Sánchez : en el Je Hiberaia, agregación de capitán á D. Cirios Francisco Ciinch ; subte­ nencia con agregación de profesor al colegio militar de este…</t>
  </si>
  <si>
    <t>y P, Ambrosio María Salazar</t>
  </si>
  <si>
    <t>Ambrosio María Salazar y P</t>
  </si>
  <si>
    <t>n sueldo de tal, y á los cadetes del mismo regi­ miento de guardias Españolas D. Manuel Barry, D. Manuel de San Llórente , D. Joaquin María Escribá , D. Ambrosio María Salazar y P, Francisco López Pinto. El Consejo de Regencia se ha servido conceder los empleos de ayu­ dantes segundos en el estado mayor del exército á los cap…</t>
  </si>
  <si>
    <t>y Paatiguso, Híller</t>
  </si>
  <si>
    <t>Híller y Paatiguso</t>
  </si>
  <si>
    <t>i alo que debía incorporarse con la del &gt;conde de Penae. A las tres de la carie se descubrieron i$o cabillos enemigos de la guarnición de Azuagá. El capitán Híller y Paatiguso, con 13 caballos, entraron en la Granja, p»ro pasado al­ gún tiempo ¿sin tener noticias de la columna movible ni de ios tira­ dores «Be Soto, pireció a…</t>
  </si>
  <si>
    <t>y Paez, Pedro de Alamo</t>
  </si>
  <si>
    <t>Pedro de Alamo y Paez</t>
  </si>
  <si>
    <t>ñola la comedia en cin­ co actos titulada los dos Yernos , y el sainete el Casti­ una compañía. go de la miseria. Actores en la comedia. Señoras Mará D. Pedro de Alamo y Paez queda nombrado García y Baus. Señores Márquez., Ponce, Infantes, Cacapitán; D. Alonso Felipe Serrano teniente, y prara, Avecilla, Suarez, Casanova, A|vc…</t>
  </si>
  <si>
    <t>y Paredes, Manuel Pereira</t>
  </si>
  <si>
    <t>Manuel Pereira y Paredes</t>
  </si>
  <si>
    <t>había corrido de la muerte de su compañero de viage, que decían haberse ahogado, y se Noveno batallón. Le ve acompañando siempre á Ladorini, cuyo mé­ D. Manuel Pereira y Paredes, sargento i.°, á rito se ha querido deprimir con esta aserción. Lo subteniente de la quarta compañía. cierto es qn* todas las personas instruidas y d…</t>
  </si>
  <si>
    <t>y Parreño, María de Espiia</t>
  </si>
  <si>
    <t>María de Espiia y Parreño</t>
  </si>
  <si>
    <t>. , lego, sidente en Santa Cruz de Múdela, por 2209 residente en Getafe , por.............................. IIOO D. Josef Franco Marín , residente en Doña María de Espiia y Parreño, ex-fran­ Almagro, por................................................ 2200 ciscana , residente en Madrid , por...... 2200 D. Francisco Fernandez …</t>
  </si>
  <si>
    <t>y Peña, Josef Candan</t>
  </si>
  <si>
    <t>Josef Candan y Peña</t>
  </si>
  <si>
    <t>añía. « dad y la gloria de la Francia. Nuestros hijos se sacri- Queda nombrado para capitán de esta compa­ • ficarán por au dicha y su gloria. ;, ñía D. Josef Candan y Peña; para teniente D. Ma­ „ Os do i gracias por los sentimientos que me erpresáis." nuel Taboada, y para subteniente D. Fidel Corchon. Después de estas audien…</t>
  </si>
  <si>
    <t>y Ponce, Josef Vargas</t>
  </si>
  <si>
    <t>Josef Vargas y Ponce</t>
  </si>
  <si>
    <t>nas D. Juan Alelendez V^ldás. empipadas en las artes , en las manufacturas, y ea D. Juan de Pcñalvcr. todas las necesidades de la sociedad presentaba D. Josef Vargas y Ponce. grandes dificultades, y su estudio no era mas que</t>
  </si>
  <si>
    <t>y Portillo, Francisco Berruezo</t>
  </si>
  <si>
    <t>Francisco Berruezo y Portillo</t>
  </si>
  <si>
    <t>alalb^ , canónigo; Domingo Meríó, ca­ Por decreto Je 29 del pasado S. M. se ha ser­ nónigo ; Pablo Chiaranda, canónigo ; Pedro Bernar­ vido nomb ar a D. Francisco Berruezo y Portillo, da , canónigo; Angel Sesler , canónigo; Angel BoD. Francisco Oiavarrieta y D. Josef Joaquín de nussi, canónigo. Santa Marta oidores de la audie…</t>
  </si>
  <si>
    <t>y Posada, Manuel Ñarganes</t>
  </si>
  <si>
    <t>Manuel Ñarganes y Posada</t>
  </si>
  <si>
    <t>pted¡Q9r: D. Juan Andoj^r. adoptando el quede-parezca mas conveniente en las D. Francisco Marina. actuales circunstancias. No obstante* en quanto ai D. Manuel Ñarganes y Posada. bilí le parece que es;el.camino mas largo; que ne­ D. Martin Fernandez Navarrete. cesariamente dcdier ocasionar dilaciones, y que lo. D. Josef Antoni…</t>
  </si>
  <si>
    <t>y Priego, Rafael Ravé</t>
  </si>
  <si>
    <t>Rafael Ravé y Priego</t>
  </si>
  <si>
    <t>en pie después de tantos siglos. D. Migue! C^b.'zas. París 6 de marzo. D. Jo^et Roldan. D. Amador Jover. El señor Labouchere, comerciante de Amster- D. Rafael Ravé y Priego. datn, hi obtenido nn pasaporte de la policía para ir á Londres por asuntos de so comercio. Esto há­ Subtenientes. bil dado motivo á que se esparciese la …</t>
  </si>
  <si>
    <t>y Principe, Merino</t>
  </si>
  <si>
    <t>Merino y Principe</t>
  </si>
  <si>
    <t>o 3.1 se cante Te Deum y misa. De aquí van á salir para Vitoria, según dicen, algunas tropas holandesas, porque allí'cunden mucho los bergantes. &gt; El cura Merino y Principe esperaban cerca de A randa con sus par­ tidas al convoy grande que salió de Madrid hácia ei 22 ¿el corriente. La fu rza de ámbas partidas reunidas pasa de…</t>
  </si>
  <si>
    <t>y Rei, Emperador</t>
  </si>
  <si>
    <t>Emperador y Rei</t>
  </si>
  <si>
    <t>Gaceta de Madrid n.º 81</t>
  </si>
  <si>
    <t>teban viniese á París á exponer un descubrimiento medalla, que tiene por un lado el retrato de S. M. á que tanto habia contribuido con sus talentos é d Emperador y Rei, y por el otro una inscripción inteligencia. q le expresa el nembre del profesor y el objeto de Estéban vino pues á dar cuenta á la academia sus experimenten. …</t>
  </si>
  <si>
    <t>y S, Antonio</t>
  </si>
  <si>
    <t>Antonio y S</t>
  </si>
  <si>
    <t>ei, fue atacado , y toda sn división dispersada. Los de Ja Reina y de ia princesa Augusta. turcos se contentaron con enviar á Timok nume­ S. A. R. el príncipe Antonio y S. A. I. la ar­ rosos destacamentos, que se retiraron después para chiduquesa Teresa han salido también hoi para juntarse con el baxá de Serés, qne meditaba e…</t>
  </si>
  <si>
    <t>y S, Borghese</t>
  </si>
  <si>
    <t>Borghese y S</t>
  </si>
  <si>
    <t>preparado en me­ España, S. M. la Reina Hortensia, S. A. I. la prince­ dio de la nave un sillón debaxo de un dosel con un re­ sa Paulina, S. A. I. el príncipe Borghese y S. A. I. el clinatorio. El Ret de Roma, precedido de sus oficia­ príncipe vire) de Italia. les, fue conducido por la aya, y el señor mariscal du­ Inmediatame…</t>
  </si>
  <si>
    <t>y S, Masíi JosefV-Muro</t>
  </si>
  <si>
    <t>Masíi JosefV-Muro y S</t>
  </si>
  <si>
    <t>i D. Pedro de Mora y Lomas,. 4500 ta mil novecientos quarenta y seis reales y siete maravedisl 3 Doña María .felipa Macdonell 324° y medio de vellón. Doña Masíi JosefV-Muro y S.dazar, art. n. Se entregarán á estos interesados las, cédulas ti* sú apoderando XX Casimiro de An« potecarias equivalentes á-lo que á'cada uno corresp…</t>
  </si>
  <si>
    <t>y S, Ramón del Rio</t>
  </si>
  <si>
    <t>Ramón del Rio y S</t>
  </si>
  <si>
    <t>ández. al Emperador por S. A. S. el príncipe vice-coc- Para el de Aaauznn , vacante por ascenso de destabie. y ha entregado á S. M. la bandera que el D. Ramón del Rio y S,.inz al de Romacones, al Rei de Inglaterra regaló á la ciudad deTcrtosa, y presbítero D. Modesto Martin.' que el conde Sucher ganó en esta plaza. Y para el …</t>
  </si>
  <si>
    <t>y S, Yillacarapa</t>
  </si>
  <si>
    <t>Yillacarapa y S</t>
  </si>
  <si>
    <t>plaza *¡&amp;n sus tropas, retiñiendo el mando de Iss que teaia el mariscal de c&amp;c&amp;.po D. C O • D-ifrfUÓ ii, Vid® e¿ , das divi­ sional do los generales Obispo Yillacarapa y S¿?n Juan , habiéndose incorporado ei pAc-iCío íyer. cuerpo que &amp;&amp;ggjád¿rá á «¿rea de 9000 hovs.br?é , evtá sitiado ©¿a Miüísss y Coarte: las desass divisio­…</t>
  </si>
  <si>
    <t>y Sánchez, Joaquín Martínez</t>
  </si>
  <si>
    <t>Joaquín Martínez y Sánchez</t>
  </si>
  <si>
    <t>¿4 El concurso de D. Fabo María Dan- *439 - cinot y componía, por mano dé $n • 4 D. Joaquín Martínez y Sánchez, co­ síndico D. Pedro Amonio Seniosain. 267x4 mo heredero de ©oña Manuela Ribero............................................ . 2685 23 r? D. Francisco Boulígni........................... 20</t>
  </si>
  <si>
    <t>y Sans, Manuel Ferrer</t>
  </si>
  <si>
    <t>Manuel Ferrer y Sans</t>
  </si>
  <si>
    <t>Ujoeta, 400. D. Francisco Buch y Verges, 400. D. Pedro Mártir Pascual , 200. 1). José TraseiJas, 150. D. José Sopeña , 3,20. IX José Alvareda , 3000. D. Manuel Ferrer y Sans, 1000. D. José Closa, 4-00. D. Antonio Guirií'au , 4üü. D Simón de Agreda , 200. IX José Cubero , 200. i). Cristóbal Vidal, 120 D. Ricardo Mea.de , 1000.…</t>
  </si>
  <si>
    <t>y Santeli, Felipe de Bies</t>
  </si>
  <si>
    <t>Felipe de Bies y Santeli</t>
  </si>
  <si>
    <t>oido D. Francisco del Barrio........ *200 nuestro consejo de Estado, hemos decretado D. Santiago Gavirare........... gaoo y decretamos lo siguiente: D. Felipe de Bies y Santeli- articulo x. „Se declaran acreedores del ........................................... looo Estado- al D. Baltasar de Contreras pot Concurso de acreedor…</t>
  </si>
  <si>
    <t>y Sarmiento, Josefa de la Fuente</t>
  </si>
  <si>
    <t>Josefa de la Fuente y Sarmiento</t>
  </si>
  <si>
    <t>fa Marcin , 50. Doña Gertrudis Gorostiota , 200. Doña Micaela Francisca Montes de Oca, 10. Doña Juana ■ Mareutes, 150. Doña Gvegoria Calzadilla, 100. Doña Josefa de la Fuente y Sarmiento, 800. Do­ ña Rita Machado , 25. — Plateros. Hugo de la Pier , 12. Jo é Tadeo AguiJ.yz , G. Benito Aguilar, 2. Manuel Perez , 1. José Marcelo…</t>
  </si>
  <si>
    <t>y Scdazo, Antonio Cirilo</t>
  </si>
  <si>
    <t>Antonio Cirilo y Scdazo</t>
  </si>
  <si>
    <t>, natural de Ludia, en Guada- Toledo, residente en sil pueblo, por.................. 2300 laxar.1 , residente en la misma villa, por........... 2200 D. Antonio Cirilo y Scdazo, natural de Salmerón, D. Prdrn Chacón, n.itmal de la ciudad de Huctc, provincia de Burgos, residente en Toledo, por 2200 en Cuerea, residente en la mis…</t>
  </si>
  <si>
    <t>y Soledad, Almirante</t>
  </si>
  <si>
    <t>Almirante y Soledad</t>
  </si>
  <si>
    <t>-el Dalce-Norabre. — Para Lima : corbeta Peruana y fragata Carlota. — Para Tenerife: bergantín el Gran-poder-de• Dios, — Para Ayamonte : místicos de! rey Almirante y Soledad, -fPara la Coruña : oaehenaarm-correo C ármen. — Para Gijon : goleta ■ S Ripíente ¿——Para Algeciras i escauipavia S. Francisco Xavier. — Para Mallorca: x…</t>
  </si>
  <si>
    <t>y Soria, Joan Manuel Soriand</t>
  </si>
  <si>
    <t>Joan Manuel Soriand y Soria</t>
  </si>
  <si>
    <t>............ 395030 13 icert.D. Joan Loque...................... 11503 28 47_____ 174576 21 1 id. D. Sebastian Loche..... ........... 23C.07 22 I id. D. Joan Manuel Soriand y Soria...... 45615 11 Certificaciones de boletas tntregadas en tesorería: limosnas• 1 D. Manuel de Sarabia........................ 23007 22 concedidas en…</t>
  </si>
  <si>
    <t>y T, Pascual Gulez</t>
  </si>
  <si>
    <t>Pascual Gulez y T</t>
  </si>
  <si>
    <t>. R G. S., 32.». El administrador y oficiales de esta administración general de correos , 300. Don José Sentestillana , 00, D. Bernardo Martin , U)b. D. Pascual Gulez y T i n, 820. D. Ciríaco Carvajal, 1000. D. José María de Roxas, 120 D Gerón mo Diego Sánchez , 20. D. Julián Sandalio Aguado , 20 D. Baltasar Martin?., de Ari/…</t>
  </si>
  <si>
    <t>y Teran, Pedro de Mier</t>
  </si>
  <si>
    <t>Pedro de Mier y Teran</t>
  </si>
  <si>
    <t>Domingo del Rio, 2500. D. Manuel García Rodríguez, 2000. D. Esteban García é hijo , 2000. D. Francisco del Corral, 2000. I). Jo­ sé de Teran , 2000. D. Pedro de Mier y Teran , 2000, D. Manuel de la Torre, 1500. D. Antonio y D. Manuel Gutiérrez del Corral, 15o0. D. Clemente Vciez, 1500. D, Francisco Mantilla é hijo, 600. D. Ma…</t>
  </si>
  <si>
    <t>y Toledo, Justo Mesdoza</t>
  </si>
  <si>
    <t>Justo Mesdoza y Toledo</t>
  </si>
  <si>
    <t>y 5. D. José Her rera, defensor déla caxa, 50. D. Francisco Elias, escribano del juzgado, 83 y 2 y medio. D. José da Echa* arria, oficial de id., 95. D. Justo Mesdoza y Toledo , cobrador , 33 y 2 y medio. D. Alejandro Poquis , intérprete , $ y 2 y medio. Pablo García , procurador del número, 33 y 2 y medio. Vi-' cente Ninahii…</t>
  </si>
  <si>
    <t>y Toledo, Luisa de Roxas</t>
  </si>
  <si>
    <t>Luisa de Roxas y Toledo</t>
  </si>
  <si>
    <t>8 Certificaciones procedentes, de acciones y réditos iD. Estéban Corones.................................. 77o1 a4 del empréstito de «40 millones, 39 Doña Luisa de Roxas y Toledo , con­ fortificaciones. ■ desa de Mora, su apoderado Don ■ Heorique Antonio Agilitar.......... 1403x5 14 4 lib. Dona María Petra Pastor.............…</t>
  </si>
  <si>
    <t>y Tormosá, Juan Rovira</t>
  </si>
  <si>
    <t>Juan Rovira y Tormosá</t>
  </si>
  <si>
    <t>ones , de la Operación de recoger las sus­ cripciones á que se ha excitado aí público en socorro de! excrcko dfc Cataluña, ha confiado este encargo á D Juan Rovira y Tormosá, dsl "comercio de esta ciudad , que ya ha intervenido en otras suscripciones patrióticas, y vive calle de Comedias, núm. zz, frente del coliseo. CADIZ ••…</t>
  </si>
  <si>
    <t>y Torre, Miria Lucía de Rivas y Maqueda</t>
  </si>
  <si>
    <t>Miria Lucía de Rivas y Maqueda y Torre</t>
  </si>
  <si>
    <t>actos titulado el Duque, y el sainete la Fineza en los D. Joan Lop-z Guzman................. 240 ausentes. Actores en el drama. Señoras María García, Doña Miria Lucía de Rivas y Maqueda y Torre». Señores Maiquez, Poncc , Caprara, Beruz................. ......................... 750 Avecilla, Suarez y Fabiani. D. Miguel López.…</t>
  </si>
  <si>
    <t>y Ulloa, Manuel Várela</t>
  </si>
  <si>
    <t>Manuel Várela y Ulloa</t>
  </si>
  <si>
    <t>arüleáa á ks capitanes D. Felipe Luengo, graduado de teniente coro­ nel, D. José Saravía, ídem, y D. J-faquín ce Góngora: á capitanes á los tenientes D. Manuel Várela y Ulloa., graduado de capitán, D. Mi-</t>
  </si>
  <si>
    <t>y Van-Dergoten, Livino Stuick</t>
  </si>
  <si>
    <t>Livino Stuick y Van-Dergoten</t>
  </si>
  <si>
    <t>1Q4f D. Andrés de Abrisquieta por sí, y á Doña María Tournier.................................... 872 nombre de otros interesados.............. 77181 D. Livino Stuick y Van-Dergoten...... 98896.. 4 La marquesa de la Soiang, por mano D, Francisco Viana...................................... 33^53**8 de D. Pascual Salinas.......…</t>
  </si>
  <si>
    <t>y Vandergoten, Livinio Stuyek</t>
  </si>
  <si>
    <t>Livinio Stuyek y Vandergoten</t>
  </si>
  <si>
    <t>270 a5f D. Domingo Antonio García........ 400 D. Felipe Alvarez.......................... 541 17 D. Pablo de Pinedo........... ............ 27254 26 D. Livinio Stuyek y Vandergoten. 1173 8f D. Andrés de Abrisqneta.............. D. Raimundo Ruiz de Alegría..... D. Pascual Trotíaga...................... . 33°45 iS 4188 238 [j D…</t>
  </si>
  <si>
    <t>.. 5086 22 D. Tomas Rodríguez Boten......... 34465 a D. Josef de Ibarrola........... -.......... 158000 En la extracción de la real lotería execntsda D. Livinio Stuyek y Vandergoten. 20000 en la tarde del 11 del corriente han salido sortea­ D. Gaspar Quadrillero,.................. 1500 dos los números siguientes: 61,78 , 75,6…</t>
  </si>
  <si>
    <t>y Vandergoten, Livirno Stuick</t>
  </si>
  <si>
    <t>Livirno Stuick y Vandergoten</t>
  </si>
  <si>
    <t>r la Italia y por el territorio fra ices; D Josef del Corral......................... 11503 2® su residencia enParis; la consagración y coronación de D. Livirno Stuick y Vandergoten. 46015 S. M. I.; las funciones piadosas del santo padre, y sus D. Felipe-Alvarez................ ........... 12003 28 conferencias con el clero; …</t>
  </si>
  <si>
    <t>y Vara, José María RjcsfaLI</t>
  </si>
  <si>
    <t>José María RjcsfaLI y Vara</t>
  </si>
  <si>
    <t>o Larrazabai Arriviliaga, diputado propietario por la ciudad de Santiago de ío« C • foaílero3 en el r^yao de G cate mala; para vice-presidente el Sr. D José María RjcsfaLI y Vara, diputa* do propietario por ei reyno de Murcia; y para secretario el señor D Joié Antonio Sómbrela, diputado propietario por el ieyno de Valencia. P…</t>
  </si>
  <si>
    <t>y Vargas, Joaquín de Cordero</t>
  </si>
  <si>
    <t>Joaquín de Cordero y Vargas</t>
  </si>
  <si>
    <t>. Pascual Trotíaga...................... . 33°45 iS 4188 238 [j D. Martin de Vergara.................... 13076 8f D. Francisco Xavier Porto.......... D. Joaquín de Cordero y Vargas. 1354 22 90 D. Ambrosio María Cerdan........... 1 80 24 P. Antonio de Castilla.....f............ 280 17 Doña María Aatonia de Arrieta y L&gt;. Franci…</t>
  </si>
  <si>
    <t>y Vea, José Rrmon</t>
  </si>
  <si>
    <t>José Rrmon y Vea</t>
  </si>
  <si>
    <t>scubridor, 1693. Por el coste de 415 pares de botas de montar, 18825. Por el cesto de 576 morrio­ nes con su escudo y plumero, que se han encargado á D José Rrmon y Vea, de Tarragona, á 43 rs. cada ufio, 21768. Por cí eos­ te de 231 varas de paño con destino á v-sMn.irios á 32,7392. P r 803 varas de lienzo para forro, a 4 rs.…</t>
  </si>
  <si>
    <t>y Velados, Manuel Brea</t>
  </si>
  <si>
    <t>Manuel Brea y Velados</t>
  </si>
  <si>
    <t>­ dolfi, id., por............................................. 2200 te en Torrejon de Velasco , por......... 2200 Doña María Ramona Alvarez, ex-fran­ D. Manuel Brea y Velados ,¡d., residente ciscana del mismo convento, por........... 2200 en Parla , por................................................. 2200 D.JosefPrieto,id. ,…</t>
  </si>
  <si>
    <t>y Verdugo, Juan Arias de Saavedra</t>
  </si>
  <si>
    <t>Juan Arias de Saavedra y Verdugo</t>
  </si>
  <si>
    <t>, y proporcionándoles auxilios para pasar á la ciudad de Valencia. El 2% de enero último falleció en la villa de. Bastares de 74 años de edad el Sr. D. Juan Arias de Saavedra y Verdugo, cd» diero de la orden de Santiago, del supremo consejo de hacienda , y vocal de esta junta superior. Hizo sus estudios et» la universidad de …</t>
  </si>
  <si>
    <t>y Verges, Francisco Buch</t>
  </si>
  <si>
    <t>Francisco Buch y Verges</t>
  </si>
  <si>
    <t>Mícheo, 500. D. Lorenzo Camps, 500. Don. Juan Antonio Cobo y Tanderas, 100. D. Miguel Xiqucs,200. D. Guillermo Power, 500. D. Martin de Ujoeta, 400. D. Francisco Buch y Verges, 400. D. Pedro Mártir Pascual , 200. 1). José TraseiJas, 150. D. José Sopeña , 3,20. IX José Alvareda , 3000. D. Manuel Ferrer y Sans, 1000. D. José Cl…</t>
  </si>
  <si>
    <t>y Villalba, Josef Aragón</t>
  </si>
  <si>
    <t>Josef Aragón y Villalba</t>
  </si>
  <si>
    <t>rjona. (1) Arbmtus, caule arbóreo, foliis glabris serratis, D. francisco Josef de la Cruz. hacéis poljepcrmis. Tourn, Tenientes. D. Francisco Medina. D. Josef Aragón y Villalba. Subtenientes. THATXOS. D. Antonio Moyano. En el del Príncipe, á las quatro de la tarde, s* D. Luis Ortiz. * representará por la compañía española la …</t>
  </si>
  <si>
    <t>y Vivas, Jaime Turró</t>
  </si>
  <si>
    <t>Jaime Turró y Vivas</t>
  </si>
  <si>
    <t>4 rs Francisco Fransechi, 50. José María del Carmen , 52 y 1. D. Gabriel C-.diar , alguacil mayor de la villa de Coamo , 160. D. José Grao , 140 y 2. D. Jaime Turró y Vivas* 117 y 4. D. Magia Torres, 242. D. Fernando Fernandez, i90. (Se continuará.) CADIZ : EN LA IMPRENTA REAL.</t>
  </si>
  <si>
    <t>y Zarate, Domingo Ortiz</t>
  </si>
  <si>
    <t>Domingo Ortiz y Zarate</t>
  </si>
  <si>
    <t>........... 433 a D. Antonio Juan de Vildoslada, por D. Francisco Hernández París.............. 4512..17 mano de L). Fermín Ripando............ 25631 D. Domingo Ortiz y Zarate................... 7039.. 17 Doña María Antonia del Río................ 38519 D. Juan Aivarez de Faria..................... 7761.-17 D. Josef Antonio d…</t>
  </si>
  <si>
    <t>y Zirco, Josef Calero</t>
  </si>
  <si>
    <t>Josef Calero y Zirco</t>
  </si>
  <si>
    <t>el señor general Lorge , gobernador de la Man­ por fallecimiento de D. Antonio Vázquez Cisne- cha, en busca del gefe de partida el médico Mo­ ros, á D. Josef Calero y Zirco, presbitció , vica­ rillo , que habia avanzado hasta Atcaráz con 600 rio de Cañete la Real. hombres; y el 18 logró alcanzarle en el desfilade­ Para el seg…</t>
  </si>
  <si>
    <t>Yanez, Antonio</t>
  </si>
  <si>
    <t>Antonio Yanez</t>
  </si>
  <si>
    <t>s comprehendidos en e! anterior ar­ sidente en ArdVaca , por............................ 2200 tículo la pensión que le va señalada , mientras no goce D. Antonio Yanez , id., lego , residente otra renta ó sueldo equivalente. en Getafe, por.............................................. uoo art. ni. Nuestros ministros de Negocio…</t>
  </si>
  <si>
    <t>Yañez, Juan Josef Estéoan</t>
  </si>
  <si>
    <t>Juan Josef Estéoan Yañez</t>
  </si>
  <si>
    <t>gón.- D. Cárlos García, sargento primero, á subte­ Para el de Recas, vacante por mueite de Don niente de ia tercera compañía. Jo?ef Toribio CalUja, á D. Juan Josef Estéoan Yañez. Octavo batallón. Para el de S. Juan Bautista de Ocaña, vacan­ D. Rnfino Ballesteri, subteniente, á teniente te por muerte de D. Diego González V al …</t>
  </si>
  <si>
    <t>Yanguas</t>
  </si>
  <si>
    <t>esta tercera división han llenado sus deberes. Los franceses traían 3 día» de pan y ollas para los ranchos, de las que tomó algunas la guerrilla del capitán Yanguas., y creerían echamos hasta L orea.—-Conside­ ro dignos de premio al capitán de cazadores de Burgos D. Francis­ co de Oáa y ai soldad© de caballería Antonio Vidal,…</t>
  </si>
  <si>
    <t>Yáñvz, José</t>
  </si>
  <si>
    <t>José Yáñvz</t>
  </si>
  <si>
    <t>n el de vo­ luntar ¿os de i a C jroiv,a, sgrcgicion de sargento mayor ú D. Domin­ go Brand-s : ®a el de v&amp;:usiiaries de Lton, la tenor.cía corose'a a D. José Yáñvz: en el de, Casi illa, igual empleo á D. Rafael Bmc!?o: ea el de Lobera, el mismo á ÍJ. José Salgado: en el primero de As­ turias , el de coronel á D. Pódro Daj:vi …</t>
  </si>
  <si>
    <t>Yebra, Eugenio María</t>
  </si>
  <si>
    <t>Eugenio María Yebra</t>
  </si>
  <si>
    <t>la victoria se decidió por el yalor d.e estos dos cuerpos, mandados por sus bizarros gefes , el coronel D. Ambrosio Foraster y el teniente co­ ronel D. Eugenio María Yebra. No son menos recomendables los cuerpos de infantería que formaban la columna de ataque : han cum­ plido á mi satisfacción, igualmente que el batallón lige…</t>
  </si>
  <si>
    <t>Yegros, Don Fulgencio</t>
  </si>
  <si>
    <t>Don Fulgencio Yegros</t>
  </si>
  <si>
    <t>ad de las marchas de los in­ surgentes apenas dió lugar á que se les presentase á la vista nuestra vanguardia, que iba en su seguimiento al mando del capitán Don Fulgencio Yegros, quien hallándose en la banda del norte del rio 'ILvicuari, sía haberles podido impedir el paso á la banda del sur, determinó esperar en aquel punto…</t>
  </si>
  <si>
    <t>Yelardc, Fernando</t>
  </si>
  <si>
    <t>Fernando Yelardc</t>
  </si>
  <si>
    <t>franceses huyeron cobardes á Guadalaxara, en donde perma­ necen encerrados * sin haberse atrevido á pasar el grueso de Yunqueríl- — Cu el intermedio D. Fernando Yelardc con 30 caballos que puse á su-disposición, se acercó de*órdca mia al monasterio de Sopetran, y extraxo lie él100 arrobas de virio, poco mas ó menos , del</t>
  </si>
  <si>
    <t>Yelascr, Eugenio</t>
  </si>
  <si>
    <t>Eugenio Yelascr</t>
  </si>
  <si>
    <t>e julio. El redactor del correo de Valencia, periódi­ co qu.-j se publica en esta ciudad, ha recibido ía siguiente carta del comandante us .guerrilla D. Eugenio Yelascr* s 2J&gt;esc&lt;i-s 29 dijimio de 1811. u D.tsáe que leí en el apreciable pe* rroLívco de Vd. (que por una casualidad llegó á ixrs manos) la gro­ sera cnt turrara- …</t>
  </si>
  <si>
    <t>Yergues</t>
  </si>
  <si>
    <t>te al hombres que se distinguen en esta carrera el se­ baudido el Excusado, que desolaba sus campos. ñor Roberto Ful ton , mui conocido en Francia £1 capitán Yergues , del 14.® de dragones, guia­ por haber permanecido algún tiempo en Faris los do por Larro, mariscal de logis de la compañía de años pasados, y mucho mas por su …</t>
  </si>
  <si>
    <t>Yerobi, Juan Bautista</t>
  </si>
  <si>
    <t>Juan Bautista Yerobi</t>
  </si>
  <si>
    <t>0. D. José Sirarola, 50. Don Joaquín Casares, 50. D. Juan Vicente Alfonso , 50. D. Pedro Delgado, 50. D. D iego Ríos Carta, 50. D. Martin Yerobi, 50. D. Juan Bautista Yerobi, 50. D. Francisco Batllé , 50. D. Cristóbal Sansón , 50. D. Miguel Lanz, 40. D. Rafael Bailester, 25. D. Gaspar Machín , 25. D. Isidro Arecha,25. D. Nico…</t>
  </si>
  <si>
    <t>Yerobi, Martin</t>
  </si>
  <si>
    <t>Martin Yerobi</t>
  </si>
  <si>
    <t>. D. Juan González , 50. D. José Sirarola, 50. Don Joaquín Casares, 50. D. Juan Vicente Alfonso , 50. D. Pedro Delgado, 50. D. D iego Ríos Carta, 50. D. Martin Yerobi, 50. D. Juan Bautista Yerobi, 50. D. Francisco Batllé , 50. D. Cristóbal Sansón , 50. D. Miguel Lanz, 40. D. Rafael Bailester, 25. D. Gaspar Machín , 25. D. Isi…</t>
  </si>
  <si>
    <t>Yictoií</t>
  </si>
  <si>
    <t>la, que rodeó con 4 trozos de su geste á las órdenes de loa tenientes D. Francisco B rcena y D.Pediodo la Siena, del alférez 1&gt;. Romualdo Gante y dsl sargento Yictoií ano Montes . Dppuerta* así i las cosas, entró el mismo Torre á la cabeza de SO hombres en el pueblo. Los insurgentes, que esta­ ban muy descuidados, dieron á hu…</t>
  </si>
  <si>
    <t>Yigo, Santiago</t>
  </si>
  <si>
    <t>Santiago Yigo</t>
  </si>
  <si>
    <t>o Marcenchini. Ijíí columna de reserva, compuesta de ios regimientos de lafiesto, Pravia, Castropol y Cangas de Ttneo, coa su comandante y coroneles, D. Santiago Yigo, capitán graduado de teniente coionei, el</t>
  </si>
  <si>
    <t>Yongitud, Esteban</t>
  </si>
  <si>
    <t>Esteban Yongitud</t>
  </si>
  <si>
    <t>ó muerto á poco de resultas de sus heridas , siguió peleando en compañía de R.bera, matando cada uno después á 4 enemigos. Miyorga libertó también al soldado Esteban Yongitud, á quien un insurgente llera* ba preso en su caballo.— Él porta D. Macario Guerrero, acometida de 7 enemigos , respondió ¿ la intimación que u o de este…</t>
  </si>
  <si>
    <t>Z, Jóhé</t>
  </si>
  <si>
    <t>Jóhé Z</t>
  </si>
  <si>
    <t>e Numantinos D. R+c nn Antentas, de mis dos ayudantes de campo D. 'Hilario Arnedo y D Rodrigo Castañon; y fioalmente del comisario de guerra interino D. Jóhé 'Z aválela y del; interventor. de la: real hacienda D. Anselmo FareZ de Galvez^ que siguieron:muy de cerca al enemigo. Dios guarde José' Duran.v : - \lí ■v " Delación de…</t>
  </si>
  <si>
    <t>Z, Manuel de Ramos</t>
  </si>
  <si>
    <t>Manuel de Ramos Z</t>
  </si>
  <si>
    <t>s Gab-aldon y la constitución del estado, REI de las Espadas y de López.......................................................... 8032-8f las Indias. D. Manuel de Ramos Z*fra................... 35 739 Vistas las dos consultas de la comisión de liquida­ D. Juan Seitre, por mano de D. Ma­ ción de la deuda del estado, lo expuest…</t>
  </si>
  <si>
    <t>Z, Reidor</t>
  </si>
  <si>
    <t>Reidor Z</t>
  </si>
  <si>
    <t>s. La batería de la costa h\zo fuego con mucho Para el de L Coeva de Roa , vacante por muer­ acierto contra la corbeta y el bote enemigo, y uno te de D. Reidor Z (patero, a D. Andrés P..scual y otro buque fuero» bastante maltratado*. S*nz , cura de Vi laciervillos. Para el de Torra&gt;ba y so anexo Valde^billo, Rochela 30 de oct…</t>
  </si>
  <si>
    <t>Zalamea, Domingo</t>
  </si>
  <si>
    <t>Domingo Zalamea</t>
  </si>
  <si>
    <t>me atreva á re­ comendar á uno sin efensa del compañero en to Jas cases; pero no puedo menos de h .cerlo particularmente dei sargento d i rumero i.Q D. Domingo Zalamea , de! teniente y comandante de la cjIu nna volan­ te del mis iíO reginremo D M gu IDiaz ViUabriUe , y de los ofic ales del mismo, capitán D Fe n n o Miranda , …</t>
  </si>
  <si>
    <t>Zaldivar, Joan</t>
  </si>
  <si>
    <t>Joan Zaldivar</t>
  </si>
  <si>
    <t>Don Joaquín O'lviras; tenencias á D. Francisco Cano, D. Benjamín D woia, D. Ensebio F reyre, D. Gasnar Escapa, D. Benjamín Barríe, D. Pedro Sánchez, D. Joan Zaldivar, D. Manuel Zeldivar, í). Mdro Caballero, D. Bernabé Santibañ***,- D. Manuel de Vargas y ü. Joan Dow.de Brizo; y subtenencias á D. Diego Pacheco, Don Ramón Sancho…</t>
  </si>
  <si>
    <t>Zaldivar, Pedro</t>
  </si>
  <si>
    <t>Pedro Zaldivar</t>
  </si>
  <si>
    <t>io de Laque. La del capitán I). Antonio Caballero. La de Rodríguez, La de JJ. José Ruiz Falcon, alias Juan Soldado. La del cura de CasaBermeja. La de D. Pedro Zaldivar, alias el Cabrero. La de Don Juan Trigo. La de Bartolo en el término de Osuna. La del Bolsero en el de Lacena. La de Tambarían en Posadas. La de los Moyas en l…</t>
  </si>
  <si>
    <t>Zaluski</t>
  </si>
  <si>
    <t>ado de nuestra salud nos permi­ esta colección. Lo principal de ella consiste en la ta volver á «xercer las funciones reales, la admi­ biblioteca del conde Zaluski ; que se rraxo de nistración del reino de Soecia, y de todos los paí­ Vanovia el año de 1795. Se habia extendido por ses qoe dependen de ella, en nuestro nombre y …</t>
  </si>
  <si>
    <t>Zamácob, Juan Antonio</t>
  </si>
  <si>
    <t>Juan Antonio Zamácob</t>
  </si>
  <si>
    <t>llos te­ quisiere hacer postura á qual quiera de ellas acudirá á la ner nuestras exquisitas producciones. ¿Queréis que las escribanía de provincia de D. Juan Antonio Zamácob, Cultivemos, y se lleven todo el fruto de la tierra, re­ que está al cargo del escribano real D. Antonio Mari» gado por nuestro sudor, para que le paguen…</t>
  </si>
  <si>
    <t>Zamácola, Juan Antonio</t>
  </si>
  <si>
    <t>Juan Antonio Zamácola</t>
  </si>
  <si>
    <t>6 por la excesiva quiera hacer postura á la expresada casa acuda á ta es­ presión qoe sufren los exes de los tornos y de los cribanía de provincia de D. Juan Antonio Zamácola, «arros, y la que sufrirían los barcos mismos , qua que se admitirá siendo arreglada. pronto los pondría en estado de ao poder servir. Por consiguiente …</t>
  </si>
  <si>
    <t>ñol que los mandaba no pudo cia, su fecha 24 del corriente , y por la escribanía de teunir mas qne 20 de ellos en Castellón de la Plana. provincia de D. Juan Antonio Zamácola, que despa­ Un esquadron de dragones vino el dia 12 á ata­ cha su habilitado D. Antonio María Perez , se ha seña­ car -las avanzadas qne tenia el genera…</t>
  </si>
  <si>
    <t>Zambeccari</t>
  </si>
  <si>
    <t>- Sicilias salió de aquí otra dirección diferente de ia del viento. él miércoles último pata Volver á so» estados; En todo este mes sé espera aquí al conde Zambeccari j el qoal piensa renovar sus ensayos con el ESPAÑA. mismo globo de que se sirvió el año de 1809. Los sabios , que conocen el talento y el arrojo del con­ Madrid…</t>
  </si>
  <si>
    <t>Zambrano, José María</t>
  </si>
  <si>
    <t>José María Zambrano</t>
  </si>
  <si>
    <t>polinar de Marrnela, 40. D. Be nito Antón, ,20, D. Francisco Perez, 10. I). Antonio Vaca, 50. D. José Antonio Saucedo, 20. D. José Angel Navarro, 10. D. José María Zambrano, 10. D. Pedro L'ongueville, 30. D. Félix Estrada, 10. D. Fran­ cisco Col jantes , 40. D. Rafael Cortes , 10. D. Juan José Zambrano, 10. El barón de Bastro…</t>
  </si>
  <si>
    <t>Zambrano, Juan José</t>
  </si>
  <si>
    <t>Juan José Zambrano</t>
  </si>
  <si>
    <t>ngel Navarro, 10. D. José María Zambrano, 10. D. Pedro L'ongueville, 30. D. Félix Estrada, 10. D. Fran­ cisco Col jantes , 40. D. Rafael Cortes , 10. D. Juan José Zambrano, 10. El barón de Bastrop, 100. D. Pedro Giral, 50. D. Manuel Delgado, 10. D. Luis Galan, 10. D. Félix Mencliaca, 50. D. Manuel Nunez, 10. Varios individuos…</t>
  </si>
  <si>
    <t>Zambrano, Juan Manuel</t>
  </si>
  <si>
    <t>Juan Manuel Zambrano</t>
  </si>
  <si>
    <t>50. D. Manuel Nunez, 10. Varios individuos 144 y 6 rs. Los vecinos de la misión de la Espada, 24. El cura D. José Clemente Ároclia , 50. Sulxliacono D. Juan Manuel Zambrano, 50. El notario y sacristán, 8. Los veci­ nos de la villa de S. Marcos , 8 y 4 rs.— Villa de la Trinidad. D. Ge­ rónimo Hernández, 6. D. Bernardo Despalie…</t>
  </si>
  <si>
    <t>Zamora, Antonio Josef</t>
  </si>
  <si>
    <t>Antonio Josef Zamora</t>
  </si>
  <si>
    <t>illa de Be'.mez se formsrá quedan nombrados los individuos siguientes: media compañía. D. Josef Barona Caballero queda nombrada Capitanes. capitán, y D. Antonio Josef Zamora subteniente. D. Joan Manuel Barranco. art. ix. Nuestros ministros de lo Interior y D. Juan tía Lechuga. de la Guerra quedan encargados de la execucion de…</t>
  </si>
  <si>
    <t>Zamora, Pedro Antonio</t>
  </si>
  <si>
    <t>Pedro Antonio Zamora</t>
  </si>
  <si>
    <t>l D. Pedro Valverde, 50. El P. FY. Francisco Callejas , regente de estudios de la escuela fran­ ciscana , por sí, lectores y discípulos , 1Ú9 y 3 ly. D. Pedro Antonio Zamora, capitán de la segunda compañía de voluntarios del i*eyno de Galicia , á nom­ bre de los individuos de dicha compañía, 2136. D. Rafael Laso, teniente ayu…</t>
  </si>
  <si>
    <t>Zapata, Nicolás</t>
  </si>
  <si>
    <t>Nicolás Zapata</t>
  </si>
  <si>
    <t>ez, capitán general. D. Juan de Aldama, teniente general. D; Manuel Smta María, mariscal. D. Mariano Abasólo, mariscal. D. Ignacio Camargo, mariscal. D. Nicolás Zapata, mariscal. Don Francisco I^nragorta, mariscal. D. Vicente Valencia, director de ingenieros.- B Manad Ignacio Solia, intendente de exército, con 22 de servicio.…</t>
  </si>
  <si>
    <t>Zapatero, Sabino</t>
  </si>
  <si>
    <t>Sabino Zapatero</t>
  </si>
  <si>
    <t>................................ 22co racuellos, por................................................ 2200 Doña Manuela Saez Martínez, id., por.. 2200 D. Sabino Zapatero, id., por..................... . 2200 Doña María Ignacia García Beltran , id., D. Antonio González Cañada, id., resi­ por.. ..................................…</t>
  </si>
  <si>
    <t>Zapiain, Josef</t>
  </si>
  <si>
    <t>Josef Zapiain</t>
  </si>
  <si>
    <t>quatro señores ILrnewal!, por haber presidido 24 D. Manuel Martínez de Novales...... 13898 17 las asambleas de ¡os católicos , y ademas a dos dia­ 9 D. Josef Zapiain.......... ....................... 11010 17 ristas por haber publicado las deliberaciones dé las 8 D. Aicxandro Coupigni...................... 4512 17 asambleas. …</t>
  </si>
  <si>
    <t>Zaragoza</t>
  </si>
  <si>
    <t>da con finias irreparable pérdida tan terrible. No importa , dixe- sus decoraciones nuevas: se bailará el bolero; y se dar;, ron , qne se haya tomado d Zaragoza: no se tar­ fin con el sainete el Hambriento de noche buena. Se dará á recuperarla. En efecto, antes de los qua- cobrará ds subida. EN LA IMPRENTA REAL.</t>
  </si>
  <si>
    <t>Zaroácola, Juan Antpijio</t>
  </si>
  <si>
    <t>Juan Antpijio Zaroácola</t>
  </si>
  <si>
    <t>n baxudo al fondo de su crá­ vincia habilitado D, Antonio María Perez para el des­ tera para recoger el aire, el, qual contení» mas de pacho de la de D. Juan Antpijio Zaroácola, se, ha man­ 0,0$ de ácido carbónico.- dado sacar á pública subasta por término de 15 dias, r Uno de los fenómenos mas constantes que tie­ contados de…</t>
  </si>
  <si>
    <t>Zarra, Joan Ramos</t>
  </si>
  <si>
    <t>Joan Ramos Zarra</t>
  </si>
  <si>
    <t>capéllañía de rnjrnero de la catedral de moción de D. Fernando Caya á ración de ia ca­ Osma, al ex-agustino D. Norberto Sebastian. tedral de Osma , á D. Joan Ramos Zarra, ex-car- Nuestro ministro de Negocios eclesiásticos melita descalzo. queda encargado del cumplimiento de este decre­ Para el deSanta María de Palacios, vacan…</t>
  </si>
  <si>
    <t>Zavaía, José Mariano</t>
  </si>
  <si>
    <t>José Mariano Zavaía</t>
  </si>
  <si>
    <t>rano de dragones de Puebla , D. José Mora : el al­ férez del propio cuerpo D. José Ignacio de la Cuesta : el subteniente de la columna de granaderos, D. José Mariano Zavaía 5 y el alférez de dragones de México, D. José Ignacio Iberri : quienes reunidos á mi lado y ai de mi segundo el Sr. conde de la Cadena , para comunicar mi…</t>
  </si>
  <si>
    <t>Zavaleta, Juan Luengas y Dan Juan</t>
  </si>
  <si>
    <t>Juan Luengas y Dan Juan Zavaleta</t>
  </si>
  <si>
    <t>1179 Busíamante y D. José de Torres, ¿ los capitanea de voluntarlos y üko dí? Veracruz D. Juan Luengas y Dan Juan Zavaleta, al sar­ gento mayor D. Jasé Villa iba, y á los ayudantes D. Francisco Mar­ tines y D. Ignacio Iben-i: co no asimismo á los capellanes D. Ma­ nuel de Neira , y los RR, PP. Fr. José Jáuregui</t>
  </si>
  <si>
    <t>Zayas</t>
  </si>
  <si>
    <t>. Se cree que su pér­ Cádiz it de junto de 181 r. dida en este ataque ha pasado de 300 hombres; el ,,E! almirante Keats se ha hecho á la vela de este general Zayas ha sido peligrosamente herido; pof puerto con la esquadra que está á sus órdenes para per­ nuestra parte no hemos perdido ni un solo hombre. seguir una esquadra fr…</t>
  </si>
  <si>
    <t>Zayas, Joaquín-de</t>
  </si>
  <si>
    <t>Joaquín-de Zayas</t>
  </si>
  <si>
    <t>onsecuencia dispuso su retirada. Cádiz 11 de enero. El 4 del corriente fondeó en este puerto la ¿ro­ leta Empecinada al mando del teniente de fragata D. Joaquín-de Zayas, procedente de la Habana en 34 dias con correspondencia, 250000 pesos fuertes para el rey , y 50118 para particulares. El 6 la fragata Iris de Veraeruz en 50…</t>
  </si>
  <si>
    <t>Zeldivar, Manuel</t>
  </si>
  <si>
    <t>Manuel Zeldivar</t>
  </si>
  <si>
    <t>ras; tenencias á D. Francisco Cano, D. Benjamín D woia, D. Ensebio F reyre, D. Gasnar Escapa, D. Benjamín Barríe, D. Pedro Sánchez, D. Joan Zaldivar, D. Manuel Zeldivar, í). Mdro Caballero, D. Bernabé Santibañ***,- D. Manuel de Vargas y ü. Joan Dow.de Brizo; y subtenencias á D. Diego Pacheco, Don Ramón Sancho, D. Juan Estraus…</t>
  </si>
  <si>
    <t>Zenáida</t>
  </si>
  <si>
    <t>reíavegn. Parece que ia gente que sacan en esta provincia la remiten á Ga­ licia , p&amp;ia evitar por este medio la deseicio v . (1) Por una carta de la princesa Zenáida, hija de José, que se interceptó en Castilla por el mes dé julio. y existe original en la prijmera secretaría de.Estado ■, como estas otras y todas las que se p…</t>
  </si>
  <si>
    <t>Zeschau</t>
  </si>
  <si>
    <t>permanecer;,n sabido la retirada del exército ruso á la orilla iz­ hasta nueva órden. quierda del Danubio. La Servia está abandonada, La división del general Zeschau, que se habia al parecer, á su suerte , puesto que los rusos no se reunido en los contornos de'esta capital, ha empe­ hallan en disposición de enviar alli socorr…</t>
  </si>
  <si>
    <t>Zirnmermann</t>
  </si>
  <si>
    <t>M.; pero que está resuelta á pasar el rea­ de la guarnición de esta plaza , dió orden al mismo to de sus dias en un absoluto retiro. destacamento del coronel Zirnmermann de obligar á los enemigos á entrar otra'vez en la plaza. El co­ DINAMARCA. ronel fue á situarse al amanecer del día siguiente en urí parage mui ventajoso eo …</t>
  </si>
  <si>
    <t>Zívihí-ano, Francisco</t>
  </si>
  <si>
    <t>Francisco Zívihí-ano</t>
  </si>
  <si>
    <t>lfeito, D. Alon­ so Perez, D. Pedro Santiso, D. Manuel Morgade, D. José Moreno García, D. José Gil Malfeito y D. José Muñiz; subtenencia de bandera á D. Francisco Zívihí-ano.- En el regimiento ds iafa*vAria da Zamora ; compañías é D. Vicante Casado, D. Horm'jnegiido- Mancebo y D, Antonio Marga­ do; ayudantía á D D o Asió de A…</t>
  </si>
  <si>
    <t>Zjyas</t>
  </si>
  <si>
    <t>oder juzgar exactamente l.i destreza de multiplicarse , intentando hacer creer sobre los designios del enemigo; pero sé que salió de que eran 22®. El general Zjyas intimó una rendi­ Salamanca con 1 89 hombres de infantería y mas de g5) ción ridicula al comandante de Nkóla , al que solo caballos y con 34 caftanes, y que todas …</t>
  </si>
  <si>
    <t>Znmácola, Juan Antonio</t>
  </si>
  <si>
    <t>Juan Antonio Znmácola</t>
  </si>
  <si>
    <t>eal D. Antonio María propiedades químicas y físicas del café propia­ Perez, habilitado para el despacho de la escribanía de mente dicho. provincia de D. Juan Antonio Znmácola, se ha man­ „Los fenómenos que presenta so torrefacción dado suspender el remate señalado para el 4 de dicho mes de la obra titulada Calenturas remitent…</t>
  </si>
  <si>
    <t>Zorrilla, Joaquin</t>
  </si>
  <si>
    <t>Joaquin Zorrilla</t>
  </si>
  <si>
    <t>ricio José Gómez , 17. D. Vicente Samper, 20. D. Pedro Macho del Barrio yvsu hermano , 17. D. Juan Barangot, 10 y 4 rs. D. Fernando Busí amante , 34. D. Joaquin Zorrilla, 10 Don Francisco Cagigas, 20. Y D. Isidoro Saenz de Cabia, 17 ; todos naturales del obispado de Santander. D. Pedro y D. Santiago de la Cuesta Manzanal , .n…</t>
  </si>
  <si>
    <t>Zorrilla, Rodrigo</t>
  </si>
  <si>
    <t>Rodrigo Zorrilla</t>
  </si>
  <si>
    <t>7 10..30 Que á una suma importan ciento veinte y seis mil D. Francisco Galo ('arrasen........................ 23032..21 novecientos reates de vellón. D. Rodrigo Zorrilla...................................... 53714.. 9 art. íi. Se entregarán las correspondientes cédulas D. Tomas Conde...........................................…</t>
  </si>
  <si>
    <t>Zsvala, Pedro</t>
  </si>
  <si>
    <t>Pedro Zsvala</t>
  </si>
  <si>
    <t>r. Miguel Vazquez , cura del partido, D. José María Escalena, encargado de justicia, D. José Francisco Subori, D. José Santander, D. Francisco Solis, D. Pedro Zsvala, D. Juan Romero, D. Ignacio Hsrrera, D. Miguel EscarníHa, D. José Francisco López , D. José Francisco Hernández , Don Manuel Güemes, y el indio Juan Lázaro , que…</t>
  </si>
  <si>
    <t>Zuazo, José María</t>
  </si>
  <si>
    <t>José María Zuazo</t>
  </si>
  <si>
    <t>ados en 3 meses , 162. D. Juan Fabre , garzón de la plana mayor de Blancos , agregada al batallón de More­ nos , por 6 meses de su oferta, 36. El Dr. D. José María Zuazo, por el prest de 2 soldados en 4 meses, 72. D. Andrés López Armesto , comisario de guerra honorario , por 6 meses de su oferta en cada uno , 36. D. José Mi­ …</t>
  </si>
  <si>
    <t>Zumalacarregui, Miguel Anconio</t>
  </si>
  <si>
    <t>Miguel Anconio Zumalacarregui</t>
  </si>
  <si>
    <t>-aqia ce Extremadura: para vicepresidente el Sr. D. An­ drés de Jáarcgai, diputado propietario por la ciudad de la -Habana; y¡ pava sec erario e1 Sr. D. Miguel Anconio Zumalacarregui, diputado su­ plente por la provincia de Guipúzcoa. El brigadier I). Antonio Begiaes de los Ríos, en oficio de 16 Jel corriente al general, en g…</t>
  </si>
  <si>
    <t>Zúñiga, Antonio</t>
  </si>
  <si>
    <t>Antonio Zúñiga</t>
  </si>
  <si>
    <t>inutas de la secretaría de Estado. Campo, por.................................................... 2200 En nuestro palacio de Madrid á xó de setiembre D. Antonio Zúñiga, ex-dominico, resi­ de 1811. dente en Madrid, por...*........................... 2200</t>
  </si>
  <si>
    <t>Zúñiga, Nicolás</t>
  </si>
  <si>
    <t>Nicolás Zúñiga</t>
  </si>
  <si>
    <t>ncisco Ordoñez y Don Antonio Martin , tenientes de imperiales de Toledo : capitán D. Carlos Ciery , se­ gundo teniente del batalfofi de cazadores ; y D. Nicolás Zúñiga , subteniente de id. Prisioneros. E! coronel D. Juan Lasaña, capitán del segundo de guardias es­ pañolas : capitán D. Agustín Salvador, alférez del cuarto id.:…</t>
  </si>
  <si>
    <t>Zunmermann</t>
  </si>
  <si>
    <t>bre salió á forragear un cuerpo bas- inísima el viage que pensaba hacer el Reí á Mí­ lante numeroso de caballería, y se encontró en Florentiaa Con el coronel Zunmermann , que man­ fan. La presente estación es mui rigúrosa. y se ha temido que perjudicarían á la salud de S. M. las fa­ daba dos regimientos de huíanos y de húsare…</t>
  </si>
  <si>
    <t>Zzlíe</t>
  </si>
  <si>
    <t>n el objeto de exi­ gir de aquellos infelices pueblos las contribuciones asoladoras que ha impuesto Suchet. Este mismo dia otra división al mando del general Zzlíe exigía de Cantavieja , villa del partido de Alcañiz , 10000 racio­ nes al propio tiempo que 3 $0 hombres de su mando caminaban á Mordía. El 13 pasaron hácia Peñarr…</t>
  </si>
  <si>
    <t>Fuentes oficiales y criterio de elaboración · 1811</t>
  </si>
  <si>
    <t>555 archivos · 2894 páginas · enlaces al facsímil oficial</t>
  </si>
  <si>
    <t>Archivo</t>
  </si>
  <si>
    <t>Páginas PDF</t>
  </si>
  <si>
    <t>Registros del índice</t>
  </si>
  <si>
    <t>Facsímil completo</t>
  </si>
  <si>
    <t>GMD-1811-1.pdf</t>
  </si>
  <si>
    <t>GEI-1811-1.pdf</t>
  </si>
  <si>
    <t>GMD-1811-2.pdf</t>
  </si>
  <si>
    <t>GMD-1811-3.pdf</t>
  </si>
  <si>
    <t>GEI-1811-2.pdf</t>
  </si>
  <si>
    <t>GMD-1811-4.pdf</t>
  </si>
  <si>
    <t>GMD-1811-5.pdf</t>
  </si>
  <si>
    <t>GEI-1811-3.pdf</t>
  </si>
  <si>
    <t>GMD-1811-6.pdf</t>
  </si>
  <si>
    <t>GMD-1811-7.pdf</t>
  </si>
  <si>
    <t>GMD-1811-8.pdf</t>
  </si>
  <si>
    <t>GEI-1811-4.pdf</t>
  </si>
  <si>
    <t>Gaceta de Madrid n.º 9</t>
  </si>
  <si>
    <t>GMD-1811-9.pdf</t>
  </si>
  <si>
    <t>GMD-1811-10.pdf</t>
  </si>
  <si>
    <t>GEI-1811-5.pdf</t>
  </si>
  <si>
    <t>GMD-1811-11.pdf</t>
  </si>
  <si>
    <t>GMD-1811-12.pdf</t>
  </si>
  <si>
    <t>GEI-1811-6.pdf</t>
  </si>
  <si>
    <t>GMD-1811-13.pdf</t>
  </si>
  <si>
    <t>GMD-1811-14.pdf</t>
  </si>
  <si>
    <t>GMD-1811-15.pdf</t>
  </si>
  <si>
    <t>GEI-1811-7.pdf</t>
  </si>
  <si>
    <t>GMD-1811-16.pdf</t>
  </si>
  <si>
    <t>GMD-1811-17.pdf</t>
  </si>
  <si>
    <t>GEI-1811-8.pdf</t>
  </si>
  <si>
    <t>GMD-1811-18.pdf</t>
  </si>
  <si>
    <t>GMD-1811-19.pdf</t>
  </si>
  <si>
    <t>GEI-1811-9.pdf</t>
  </si>
  <si>
    <t>GMD-1811-20.pdf</t>
  </si>
  <si>
    <t>GMD-1811-21.pdf</t>
  </si>
  <si>
    <t>GMD-1811-22.pdf</t>
  </si>
  <si>
    <t>GEI-1811-10.pdf</t>
  </si>
  <si>
    <t>GMD-1811-23.pdf</t>
  </si>
  <si>
    <t>GMD-1811-24.pdf</t>
  </si>
  <si>
    <t>GEI-1811-11.pdf</t>
  </si>
  <si>
    <t>GMD-1811-25.pdf</t>
  </si>
  <si>
    <t>GMD-1811-26.pdf</t>
  </si>
  <si>
    <t>GEI-1811-12.pdf</t>
  </si>
  <si>
    <t>GMD-1811-27.pdf</t>
  </si>
  <si>
    <t>GMD-1811-28.pdf</t>
  </si>
  <si>
    <t>GMD-1811-29.pdf</t>
  </si>
  <si>
    <t>GEI-1811-13.pdf</t>
  </si>
  <si>
    <t>GMD-1811-30.pdf</t>
  </si>
  <si>
    <t>GMD-1811-31.pdf</t>
  </si>
  <si>
    <t>GEI-1811-14.pdf</t>
  </si>
  <si>
    <t>GMD-1811-32.pdf</t>
  </si>
  <si>
    <t>GMD-1811-33.pdf</t>
  </si>
  <si>
    <t>GEI-1811-15.pdf</t>
  </si>
  <si>
    <t>GMD-1811-34.pdf</t>
  </si>
  <si>
    <t>GMD-1811-35.pdf</t>
  </si>
  <si>
    <t>GMD-1811-36.pdf</t>
  </si>
  <si>
    <t>GEI-1811-16.pdf</t>
  </si>
  <si>
    <t>GMD-1811-37.pdf</t>
  </si>
  <si>
    <t>GMD-1811-38.pdf</t>
  </si>
  <si>
    <t>GEI-1811-17.pdf</t>
  </si>
  <si>
    <t>GMD-1811-39.pdf</t>
  </si>
  <si>
    <t>Gaceta de Madrid n.º 40</t>
  </si>
  <si>
    <t>GMD-1811-40.pdf</t>
  </si>
  <si>
    <t>GEI-1811-18.pdf</t>
  </si>
  <si>
    <t>GMD-1811-41.pdf</t>
  </si>
  <si>
    <t>GMD-1811-42.pdf</t>
  </si>
  <si>
    <t>GMD-1811-43.pdf</t>
  </si>
  <si>
    <t>GEI-1811-19.pdf</t>
  </si>
  <si>
    <t>GMD-1811-44.pdf</t>
  </si>
  <si>
    <t>GMD-1811-45.pdf</t>
  </si>
  <si>
    <t>GEI-1811-20.pdf</t>
  </si>
  <si>
    <t>GMD-1811-46.pdf</t>
  </si>
  <si>
    <t>GMD-1811-47.pdf</t>
  </si>
  <si>
    <t>GEI-1811-21.pdf</t>
  </si>
  <si>
    <t>GMD-1811-48.pdf</t>
  </si>
  <si>
    <t>GMD-1811-49.pdf</t>
  </si>
  <si>
    <t>GMD-1811-50.pdf</t>
  </si>
  <si>
    <t>GEI-1811-22.pdf</t>
  </si>
  <si>
    <t>GMD-1811-51.pdf</t>
  </si>
  <si>
    <t>GMD-1811-52.pdf</t>
  </si>
  <si>
    <t>GEI-1811-23.pdf</t>
  </si>
  <si>
    <t>GMD-1811-53.pdf</t>
  </si>
  <si>
    <t>GMD-1811-54.pdf</t>
  </si>
  <si>
    <t>GEI-1811-24.pdf</t>
  </si>
  <si>
    <t>GMD-1811-55.pdf</t>
  </si>
  <si>
    <t>GMD-1811-56.pdf</t>
  </si>
  <si>
    <t>GMD-1811-57.pdf</t>
  </si>
  <si>
    <t>GEI-1811-25.pdf</t>
  </si>
  <si>
    <t>GMD-1811-58.pdf</t>
  </si>
  <si>
    <t>GMD-1811-59.pdf</t>
  </si>
  <si>
    <t>GEI-1811-26.pdf</t>
  </si>
  <si>
    <t>GMD-1811-60.pdf</t>
  </si>
  <si>
    <t>GMD-1811-61.pdf</t>
  </si>
  <si>
    <t>GEI-1811-27.pdf</t>
  </si>
  <si>
    <t>GMD-1811-62.pdf</t>
  </si>
  <si>
    <t>GMD-1811-63.pdf</t>
  </si>
  <si>
    <t>GEI-1811-28E.pdf</t>
  </si>
  <si>
    <t>GMD-1811-64.pdf</t>
  </si>
  <si>
    <t>GEI-1811-29.pdf</t>
  </si>
  <si>
    <t>GEI-1811-30E.pdf</t>
  </si>
  <si>
    <t>Gazeta de la Regencia de España e Indias n.º 31 (extraordinaria)</t>
  </si>
  <si>
    <t>GEI-1811-31E.pdf</t>
  </si>
  <si>
    <t>GMD-1811-65.pdf</t>
  </si>
  <si>
    <t>GMD-1811-66.pdf</t>
  </si>
  <si>
    <t>GEI-1811-32.pdf</t>
  </si>
  <si>
    <t>GMD-1811-67.pdf</t>
  </si>
  <si>
    <t>GMD-1811-68.pdf</t>
  </si>
  <si>
    <t>GEI-1811-33.pdf</t>
  </si>
  <si>
    <t>GEI-1811-34E.pdf</t>
  </si>
  <si>
    <t>GMD-1811-69.pdf</t>
  </si>
  <si>
    <t>GMD-1811-70.pdf</t>
  </si>
  <si>
    <t>GMD-1811-71.pdf</t>
  </si>
  <si>
    <t>GEI-1811-35.pdf</t>
  </si>
  <si>
    <t>GEI-1811-36E.pdf</t>
  </si>
  <si>
    <t>GMD-1811-72.pdf</t>
  </si>
  <si>
    <t>GMD-1811-73.pdf</t>
  </si>
  <si>
    <t>GEI-1811-37.pdf</t>
  </si>
  <si>
    <t>GMD-1811-74.pdf</t>
  </si>
  <si>
    <t>GMD-1811-75.pdf</t>
  </si>
  <si>
    <t>GEI-1811-38.pdf</t>
  </si>
  <si>
    <t>GMD-1811-76.pdf</t>
  </si>
  <si>
    <t>GMD-1811-77.pdf</t>
  </si>
  <si>
    <t>GMD-1811-78.pdf</t>
  </si>
  <si>
    <t>GEI-1811-39.pdf</t>
  </si>
  <si>
    <t>GMD-1811-79.pdf</t>
  </si>
  <si>
    <t>GMD-1811-80.pdf</t>
  </si>
  <si>
    <t>GEI-1811-40.pdf</t>
  </si>
  <si>
    <t>GMD-1811-81.pdf</t>
  </si>
  <si>
    <t>GMD-1811-82.pdf</t>
  </si>
  <si>
    <t>GEI-1811-41.pdf</t>
  </si>
  <si>
    <t>GMD-1811-83.pdf</t>
  </si>
  <si>
    <t>GMD-1811-84.pdf</t>
  </si>
  <si>
    <t>GMD-1811-85.pdf</t>
  </si>
  <si>
    <t>GEI-1811-42.pdf</t>
  </si>
  <si>
    <t>GMD-1811-86.pdf</t>
  </si>
  <si>
    <t>GMD-1811-87.pdf</t>
  </si>
  <si>
    <t>GEI-1811-43.pdf</t>
  </si>
  <si>
    <t>GMD-1811-88.pdf</t>
  </si>
  <si>
    <t>GMD-1811-89.pdf</t>
  </si>
  <si>
    <t>GEI-1811-44.pdf</t>
  </si>
  <si>
    <t>GMD-1811-90.pdf</t>
  </si>
  <si>
    <t>GMD-1811-91.pdf</t>
  </si>
  <si>
    <t>GMD-1811-92.pdf</t>
  </si>
  <si>
    <t>GEI-1811-45.pdf</t>
  </si>
  <si>
    <t>GMD-1811-93.pdf</t>
  </si>
  <si>
    <t>GMD-1811-94.pdf</t>
  </si>
  <si>
    <t>GEI-1811-46.pdf</t>
  </si>
  <si>
    <t>GMD-1811-95.pdf</t>
  </si>
  <si>
    <t>GMD-1811-96.pdf</t>
  </si>
  <si>
    <t>GEI-1811-47.pdf</t>
  </si>
  <si>
    <t>GMD-1811-97.pdf</t>
  </si>
  <si>
    <t>GMD-1811-98.pdf</t>
  </si>
  <si>
    <t>GMD-1811-99.pdf</t>
  </si>
  <si>
    <t>GEI-1811-48.pdf</t>
  </si>
  <si>
    <t>GMD-1811-100.pdf</t>
  </si>
  <si>
    <t>GMD-1811-101.pdf</t>
  </si>
  <si>
    <t>GEI-1811-49.pdf</t>
  </si>
  <si>
    <t>GMD-1811-102.pdf</t>
  </si>
  <si>
    <t>GMD-1811-103.pdf</t>
  </si>
  <si>
    <t>GEI-1811-50.pdf</t>
  </si>
  <si>
    <t>GMD-1811-104.pdf</t>
  </si>
  <si>
    <t>GMD-1811-105.pdf</t>
  </si>
  <si>
    <t>GMD-1811-106.pdf</t>
  </si>
  <si>
    <t>GEI-1811-51.pdf</t>
  </si>
  <si>
    <t>GMD-1811-107.pdf</t>
  </si>
  <si>
    <t>GMD-1811-108.pdf</t>
  </si>
  <si>
    <t>GEI-1811-52.pdf</t>
  </si>
  <si>
    <t>GMD-1811-109.pdf</t>
  </si>
  <si>
    <t>GMD-1811-110.pdf</t>
  </si>
  <si>
    <t>GEI-1811-53.pdf</t>
  </si>
  <si>
    <t>GEI-D-1811-53.pdf</t>
  </si>
  <si>
    <t>GMD-1811-111.pdf</t>
  </si>
  <si>
    <t>GMD-1811-112.pdf</t>
  </si>
  <si>
    <t>GMD-1811-113.pdf</t>
  </si>
  <si>
    <t>GEI-1811-54.pdf</t>
  </si>
  <si>
    <t>GMD-1811-114.pdf</t>
  </si>
  <si>
    <t>GMD-1811-115.pdf</t>
  </si>
  <si>
    <t>GEI-1811-55.pdf</t>
  </si>
  <si>
    <t>GMD-1811-116.pdf</t>
  </si>
  <si>
    <t>GMD-1811-117.pdf</t>
  </si>
  <si>
    <t>GEI-1811-56.pdf</t>
  </si>
  <si>
    <t>GEI-D-1811-56.pdf</t>
  </si>
  <si>
    <t>GMD-1811-118.pdf</t>
  </si>
  <si>
    <t>GMD-1811-119.pdf</t>
  </si>
  <si>
    <t>GMD-1811-120.pdf</t>
  </si>
  <si>
    <t>GEI-1811-57.pdf</t>
  </si>
  <si>
    <t>GMD-1811-121.pdf</t>
  </si>
  <si>
    <t>Gaceta de Madrid n.º 122</t>
  </si>
  <si>
    <t>GMD-1811-122.pdf</t>
  </si>
  <si>
    <t>GEI-1811-58.pdf</t>
  </si>
  <si>
    <t>GEI-D-1811-58.pdf</t>
  </si>
  <si>
    <t>GMD-1811-123.pdf</t>
  </si>
  <si>
    <t>GMD-1811-124.pdf</t>
  </si>
  <si>
    <t>GEI-1811-59.pdf</t>
  </si>
  <si>
    <t>GMD-1811-125.pdf</t>
  </si>
  <si>
    <t>GMD-1811-126.pdf</t>
  </si>
  <si>
    <t>GMD-1811-127.pdf</t>
  </si>
  <si>
    <t>GEI-1811-60.pdf</t>
  </si>
  <si>
    <t>Gazeta de la Regencia de España e Indias n.º 60 (suplemento)</t>
  </si>
  <si>
    <t>GEI-D-1811-60.pdf</t>
  </si>
  <si>
    <t>GMD-1811-128.pdf</t>
  </si>
  <si>
    <t>GMD-1811-129.pdf</t>
  </si>
  <si>
    <t>GEI-1811-61.pdf</t>
  </si>
  <si>
    <t>GMD-1811-130.pdf</t>
  </si>
  <si>
    <t>GMD-1811-131.pdf</t>
  </si>
  <si>
    <t>GEI-1811-62.pdf</t>
  </si>
  <si>
    <t>GMD-1811-132.pdf</t>
  </si>
  <si>
    <t>GMD-1811-133.pdf</t>
  </si>
  <si>
    <t>GMD-1811-134.pdf</t>
  </si>
  <si>
    <t>GEI-1811-63.pdf</t>
  </si>
  <si>
    <t>GMD-1811-135.pdf</t>
  </si>
  <si>
    <t>GMD-1811-136.pdf</t>
  </si>
  <si>
    <t>GEI-1811-64.pdf</t>
  </si>
  <si>
    <t>GMD-1811-137.pdf</t>
  </si>
  <si>
    <t>GMD-1811-138.pdf</t>
  </si>
  <si>
    <t>GEI-1811-65.pdf</t>
  </si>
  <si>
    <t>GMD-1811-139.pdf</t>
  </si>
  <si>
    <t>GMD-1811-140.pdf</t>
  </si>
  <si>
    <t>GEI-1811-66E.pdf</t>
  </si>
  <si>
    <t>GMD-1811-141.pdf</t>
  </si>
  <si>
    <t>GEI-1811-67.pdf</t>
  </si>
  <si>
    <t>GEI-D-1811-67.pdf</t>
  </si>
  <si>
    <t>GMD-1811-142.pdf</t>
  </si>
  <si>
    <t>GMD-1811-143.pdf</t>
  </si>
  <si>
    <t>GEI-1811-68.pdf</t>
  </si>
  <si>
    <t>GEI-1811-69E.pdf</t>
  </si>
  <si>
    <t>GMD-1811-144.pdf</t>
  </si>
  <si>
    <t>GEI-1811-70E.pdf</t>
  </si>
  <si>
    <t>GMD-1811-145.pdf</t>
  </si>
  <si>
    <t>GEI-1811-71.pdf</t>
  </si>
  <si>
    <t>GMD-1811-146.pdf</t>
  </si>
  <si>
    <t>GMD-1811-147.pdf</t>
  </si>
  <si>
    <t>GMD-1811-148.pdf</t>
  </si>
  <si>
    <t>GEI-1811-72.pdf</t>
  </si>
  <si>
    <t>GMD-1811-149.pdf</t>
  </si>
  <si>
    <t>GMD-1811-150.pdf</t>
  </si>
  <si>
    <t>GEI-1811-73.pdf</t>
  </si>
  <si>
    <t>GMD-1811-151.pdf</t>
  </si>
  <si>
    <t>GMD-C-1811-151.pdf</t>
  </si>
  <si>
    <t>GMD-1811-152.pdf</t>
  </si>
  <si>
    <t>GEI-1811-74.pdf</t>
  </si>
  <si>
    <t>GMD-1811-153.pdf</t>
  </si>
  <si>
    <t>GMD-1811-154.pdf</t>
  </si>
  <si>
    <t>GMD-1811-155.pdf</t>
  </si>
  <si>
    <t>GEI-1811-75.pdf</t>
  </si>
  <si>
    <t>GMD-1811-156.pdf</t>
  </si>
  <si>
    <t>GMD-1811-157.pdf</t>
  </si>
  <si>
    <t>GEI-1811-76.pdf</t>
  </si>
  <si>
    <t>GMD-1811-158.pdf</t>
  </si>
  <si>
    <t>GMD-1811-159.pdf</t>
  </si>
  <si>
    <t>GEI-1811-77.pdf</t>
  </si>
  <si>
    <t>GMD-1811-160.pdf</t>
  </si>
  <si>
    <t>GMD-1811-161.pdf</t>
  </si>
  <si>
    <t>GMD-1811-162.pdf</t>
  </si>
  <si>
    <t>GEI-1811-78.pdf</t>
  </si>
  <si>
    <t>GEI-D-1811-78.pdf</t>
  </si>
  <si>
    <t>GMD-1811-163.pdf</t>
  </si>
  <si>
    <t>GMD-1811-164.pdf</t>
  </si>
  <si>
    <t>GEI-1811-79.pdf</t>
  </si>
  <si>
    <t>Gaceta de Madrid n.º 165</t>
  </si>
  <si>
    <t>GMD-1811-165.pdf</t>
  </si>
  <si>
    <t>GMD-1811-166.pdf</t>
  </si>
  <si>
    <t>GEI-1811-80.pdf</t>
  </si>
  <si>
    <t>GMD-1811-167.pdf</t>
  </si>
  <si>
    <t>GMD-1811-168.pdf</t>
  </si>
  <si>
    <t>GMD-1811-169.pdf</t>
  </si>
  <si>
    <t>GEI-1811-81.pdf</t>
  </si>
  <si>
    <t>GMD-1811-170.pdf</t>
  </si>
  <si>
    <t>GMD-1811-171.pdf</t>
  </si>
  <si>
    <t>GEI-1811-82.pdf</t>
  </si>
  <si>
    <t>GMD-1811-172.pdf</t>
  </si>
  <si>
    <t>GMD-1811-173.pdf</t>
  </si>
  <si>
    <t>GEI-1811-83.pdf</t>
  </si>
  <si>
    <t>GMD-1811-174.pdf</t>
  </si>
  <si>
    <t>GMD-1811-175.pdf</t>
  </si>
  <si>
    <t>GMD-1811-176.pdf</t>
  </si>
  <si>
    <t>GEI-1811-84.pdf</t>
  </si>
  <si>
    <t>GEI-D-1811-84.pdf</t>
  </si>
  <si>
    <t>GMD-1811-177.pdf</t>
  </si>
  <si>
    <t>GMD-1811-178.pdf</t>
  </si>
  <si>
    <t>GEI-1811-85.pdf</t>
  </si>
  <si>
    <t>GMD-1811-179.pdf</t>
  </si>
  <si>
    <t>GMD-1811-180.pdf</t>
  </si>
  <si>
    <t>GEI-1811-86.pdf</t>
  </si>
  <si>
    <t>GMD-1811-181.pdf</t>
  </si>
  <si>
    <t>GMD-1811-182.pdf</t>
  </si>
  <si>
    <t>GMD-1811-183.pdf</t>
  </si>
  <si>
    <t>GEI-1811-87.pdf</t>
  </si>
  <si>
    <t>GMD-1811-184.pdf</t>
  </si>
  <si>
    <t>GMD-1811-185.pdf</t>
  </si>
  <si>
    <t>GEI-1811-88.pdf</t>
  </si>
  <si>
    <t>GMD-1811-186.pdf</t>
  </si>
  <si>
    <t>GMD-1811-187.pdf</t>
  </si>
  <si>
    <t>GEI-1811-89.pdf</t>
  </si>
  <si>
    <t>GEI-D-1811-89.pdf</t>
  </si>
  <si>
    <t>GMD-1811-188.pdf</t>
  </si>
  <si>
    <t>GMD-1811-189.pdf</t>
  </si>
  <si>
    <t>GMD-1811-190.pdf</t>
  </si>
  <si>
    <t>GEI-1811-90.pdf</t>
  </si>
  <si>
    <t>GMD-1811-191.pdf</t>
  </si>
  <si>
    <t>GMD-1811-192.pdf</t>
  </si>
  <si>
    <t>GMD-C-1811-192.pdf</t>
  </si>
  <si>
    <t>GEI-1811-91.pdf</t>
  </si>
  <si>
    <t>GMD-1811-193.pdf</t>
  </si>
  <si>
    <t>GMD-1811-194.pdf</t>
  </si>
  <si>
    <t>GEI-1811-92.pdf</t>
  </si>
  <si>
    <t>GMD-1811-195.pdf</t>
  </si>
  <si>
    <t>GMD-1811-196.pdf</t>
  </si>
  <si>
    <t>GMD-1811-197.pdf</t>
  </si>
  <si>
    <t>GEI-1811-93.pdf</t>
  </si>
  <si>
    <t>GMD-1811-198.pdf</t>
  </si>
  <si>
    <t>GMD-1811-199.pdf</t>
  </si>
  <si>
    <t>GEI-1811-94.pdf</t>
  </si>
  <si>
    <t>GMD-1811-200.pdf</t>
  </si>
  <si>
    <t>GMD-1811-201.pdf</t>
  </si>
  <si>
    <t>GEI-1811-95.pdf</t>
  </si>
  <si>
    <t>GMD-1811-202.pdf</t>
  </si>
  <si>
    <t>GMD-1811-203.pdf</t>
  </si>
  <si>
    <t>GMD-1811-204.pdf</t>
  </si>
  <si>
    <t>GEI-1811-96.pdf</t>
  </si>
  <si>
    <t>GMD-1811-205.pdf</t>
  </si>
  <si>
    <t>GMD-1811-206.pdf</t>
  </si>
  <si>
    <t>GEI-1811-97.pdf</t>
  </si>
  <si>
    <t>GMD-1811-207.pdf</t>
  </si>
  <si>
    <t>GMD-1811-208.pdf</t>
  </si>
  <si>
    <t>GEI-1811-98.pdf</t>
  </si>
  <si>
    <t>GMD-1811-209.pdf</t>
  </si>
  <si>
    <t>GMD-1811-210.pdf</t>
  </si>
  <si>
    <t>GMD-1811-211.pdf</t>
  </si>
  <si>
    <t>GEI-1811-99.pdf</t>
  </si>
  <si>
    <t>GMD-1811-212.pdf</t>
  </si>
  <si>
    <t>GMD-1811-213.pdf</t>
  </si>
  <si>
    <t>GEI-1811-100.pdf</t>
  </si>
  <si>
    <t>GMD-1811-214.pdf</t>
  </si>
  <si>
    <t>GMD-1811-215.pdf</t>
  </si>
  <si>
    <t>GEI-1811-101.pdf</t>
  </si>
  <si>
    <t>GMD-1811-216.pdf</t>
  </si>
  <si>
    <t>GMD-1811-217.pdf</t>
  </si>
  <si>
    <t>GMD-1811-218.pdf</t>
  </si>
  <si>
    <t>GEI-1811-102.pdf</t>
  </si>
  <si>
    <t>GMD-1811-219.pdf</t>
  </si>
  <si>
    <t>GMD-1811-220.pdf</t>
  </si>
  <si>
    <t>GEI-1811-103.pdf</t>
  </si>
  <si>
    <t>GMD-1811-221.pdf</t>
  </si>
  <si>
    <t>GMD-1811-222.pdf</t>
  </si>
  <si>
    <t>GEI-1811-104.pdf</t>
  </si>
  <si>
    <t>GMD-1811-223.pdf</t>
  </si>
  <si>
    <t>GMD-1811-224.pdf</t>
  </si>
  <si>
    <t>GMD-1811-225.pdf</t>
  </si>
  <si>
    <t>GEI-1811-105.pdf</t>
  </si>
  <si>
    <t>GMD-1811-226.pdf</t>
  </si>
  <si>
    <t>GMD-C-1811-226.pdf</t>
  </si>
  <si>
    <t>GMD-1811-227.pdf</t>
  </si>
  <si>
    <t>GEI-1811-106.pdf</t>
  </si>
  <si>
    <t>GMD-1811-228.pdf</t>
  </si>
  <si>
    <t>GMD-1811-229.pdf</t>
  </si>
  <si>
    <t>GEI-1811-107.pdf</t>
  </si>
  <si>
    <t>GMD-1811-230.pdf</t>
  </si>
  <si>
    <t>GMD-1811-231.pdf</t>
  </si>
  <si>
    <t>GMD-1811-232.pdf</t>
  </si>
  <si>
    <t>GEI-1811-108.pdf</t>
  </si>
  <si>
    <t>GMD-1811-233.pdf</t>
  </si>
  <si>
    <t>GMD-1811-234.pdf</t>
  </si>
  <si>
    <t>GMD-C-1811-234.pdf</t>
  </si>
  <si>
    <t>GEI-1811-109.pdf</t>
  </si>
  <si>
    <t>GMD-1811-235.pdf</t>
  </si>
  <si>
    <t>GMD-1811-236.pdf</t>
  </si>
  <si>
    <t>GEI-1811-110.pdf</t>
  </si>
  <si>
    <t>GMD-1811-237.pdf</t>
  </si>
  <si>
    <t>GMD-1811-238.pdf</t>
  </si>
  <si>
    <t>GMD-1811-239.pdf</t>
  </si>
  <si>
    <t>GEI-1811-111.pdf</t>
  </si>
  <si>
    <t>GMD-1811-240.pdf</t>
  </si>
  <si>
    <t>GMD-1811-241.pdf</t>
  </si>
  <si>
    <t>GEI-1811-112.pdf</t>
  </si>
  <si>
    <t>GMD-1811-242.pdf</t>
  </si>
  <si>
    <t>GMD-1811-243.pdf</t>
  </si>
  <si>
    <t>GEI-1811-113.pdf</t>
  </si>
  <si>
    <t>GMD-1811-244.pdf</t>
  </si>
  <si>
    <t>GMD-1811-245.pdf</t>
  </si>
  <si>
    <t>GMD-1811-246.pdf</t>
  </si>
  <si>
    <t>GEI-1811-114.pdf</t>
  </si>
  <si>
    <t>GMD-1811-247.pdf</t>
  </si>
  <si>
    <t>GMD-1811-248.pdf</t>
  </si>
  <si>
    <t>GEI-1811-115.pdf</t>
  </si>
  <si>
    <t>GMD-1811-249.pdf</t>
  </si>
  <si>
    <t>GMD-1811-250.pdf</t>
  </si>
  <si>
    <t>GEI-1811-116.pdf</t>
  </si>
  <si>
    <t>GMD-1811-251.pdf</t>
  </si>
  <si>
    <t>GMD-1811-252.pdf</t>
  </si>
  <si>
    <t>GMD-1811-253.pdf</t>
  </si>
  <si>
    <t>GEI-1811-117.pdf</t>
  </si>
  <si>
    <t>GMD-1811-254.pdf</t>
  </si>
  <si>
    <t>GMD-1811-255.pdf</t>
  </si>
  <si>
    <t>GEI-1811-118.pdf</t>
  </si>
  <si>
    <t>GMD-1811-256.pdf</t>
  </si>
  <si>
    <t>GMD-C-1811-256.pdf</t>
  </si>
  <si>
    <t>GMD-1811-257.pdf</t>
  </si>
  <si>
    <t>GMD-C-1811-257.pdf</t>
  </si>
  <si>
    <t>GEI-1811-119.pdf</t>
  </si>
  <si>
    <t>GEI-D-1811-119.pdf</t>
  </si>
  <si>
    <t>GMD-1811-258.pdf</t>
  </si>
  <si>
    <t>GMD-1811-259.pdf</t>
  </si>
  <si>
    <t>GMD-1811-260.pdf</t>
  </si>
  <si>
    <t>GEI-1811-120.pdf</t>
  </si>
  <si>
    <t>GMD-1811-261.pdf</t>
  </si>
  <si>
    <t>GMD-1811-262.pdf</t>
  </si>
  <si>
    <t>GEI-1811-121.pdf</t>
  </si>
  <si>
    <t>GMD-1811-263.pdf</t>
  </si>
  <si>
    <t>GMD-1811-264.pdf</t>
  </si>
  <si>
    <t>GEI-1811-122.pdf</t>
  </si>
  <si>
    <t>GMD-1811-265.pdf</t>
  </si>
  <si>
    <t>GMD-1811-266.pdf</t>
  </si>
  <si>
    <t>GMD-1811-267.pdf</t>
  </si>
  <si>
    <t>GEI-1811-123.pdf</t>
  </si>
  <si>
    <t>GMD-1811-268.pdf</t>
  </si>
  <si>
    <t>GMD-C-1811-268.pdf</t>
  </si>
  <si>
    <t>GMD-1811-269.pdf</t>
  </si>
  <si>
    <t>GEI-1811-124.pdf</t>
  </si>
  <si>
    <t>GMD-1811-270.pdf</t>
  </si>
  <si>
    <t>GMD-1811-271.pdf</t>
  </si>
  <si>
    <t>GEI-1811-125.pdf</t>
  </si>
  <si>
    <t>GMD-1811-272.pdf</t>
  </si>
  <si>
    <t>GMD-1811-273.pdf</t>
  </si>
  <si>
    <t>GMD-1811-274.pdf</t>
  </si>
  <si>
    <t>GEI-1811-126.pdf</t>
  </si>
  <si>
    <t>GMD-1811-275.pdf</t>
  </si>
  <si>
    <t>GMD-1811-276.pdf</t>
  </si>
  <si>
    <t>GEI-1811-127.pdf</t>
  </si>
  <si>
    <t>GMD-1811-277.pdf</t>
  </si>
  <si>
    <t>GMD-1811-278.pdf</t>
  </si>
  <si>
    <t>GEI-1811-128.pdf</t>
  </si>
  <si>
    <t>GMD-1811-279.pdf</t>
  </si>
  <si>
    <t>GMD-1811-280.pdf</t>
  </si>
  <si>
    <t>GMD-1811-281.pdf</t>
  </si>
  <si>
    <t>GEI-1811-129.pdf</t>
  </si>
  <si>
    <t>GMD-1811-282.pdf</t>
  </si>
  <si>
    <t>GMD-1811-283.pdf</t>
  </si>
  <si>
    <t>GEI-1811-130.pdf</t>
  </si>
  <si>
    <t>GMD-1811-284.pdf</t>
  </si>
  <si>
    <t>GMD-1811-285.pdf</t>
  </si>
  <si>
    <t>GEI-1811-131.pdf</t>
  </si>
  <si>
    <t>GMD-1811-286.pdf</t>
  </si>
  <si>
    <t>GMD-1811-287.pdf</t>
  </si>
  <si>
    <t>GEI-1811-132E.pdf</t>
  </si>
  <si>
    <t>GMD-1811-288.pdf</t>
  </si>
  <si>
    <t>GEI-1811-133.pdf</t>
  </si>
  <si>
    <t>GMD-1811-289.pdf</t>
  </si>
  <si>
    <t>GMD-1811-290.pdf</t>
  </si>
  <si>
    <t>GEI-1811-134.pdf</t>
  </si>
  <si>
    <t>GMD-1811-291.pdf</t>
  </si>
  <si>
    <t>GMD-1811-292.pdf</t>
  </si>
  <si>
    <t>GEI-1811-135.pdf</t>
  </si>
  <si>
    <t>GMD-1811-293.pdf</t>
  </si>
  <si>
    <t>GMD-1811-294.pdf</t>
  </si>
  <si>
    <t>GMD-1811-295.pdf</t>
  </si>
  <si>
    <t>GEI-1811-136.pdf</t>
  </si>
  <si>
    <t>GEI-D-1811-136.pdf</t>
  </si>
  <si>
    <t>GMD-1811-296.pdf</t>
  </si>
  <si>
    <t>GMD-1811-297.pdf</t>
  </si>
  <si>
    <t>GEI-1811-137.pdf</t>
  </si>
  <si>
    <t>GEI-D-1811-137.pdf</t>
  </si>
  <si>
    <t>GMD-1811-298.pdf</t>
  </si>
  <si>
    <t>GMD-1811-299.pdf</t>
  </si>
  <si>
    <t>GEI-1811-138.pdf</t>
  </si>
  <si>
    <t>GMD-1811-300.pdf</t>
  </si>
  <si>
    <t>GMD-1811-301.pdf</t>
  </si>
  <si>
    <t>GMD-1811-302.pdf</t>
  </si>
  <si>
    <t>GEI-1811-139.pdf</t>
  </si>
  <si>
    <t>GMD-1811-303.pdf</t>
  </si>
  <si>
    <t>GMD-1811-304.pdf</t>
  </si>
  <si>
    <t>GEI-1811-140.pdf</t>
  </si>
  <si>
    <t>GMD-1811-305.pdf</t>
  </si>
  <si>
    <t>GMD-1811-306.pdf</t>
  </si>
  <si>
    <t>GEI-1811-141.pdf</t>
  </si>
  <si>
    <t>Gaceta de Madrid n.º 307</t>
  </si>
  <si>
    <t>GMD-1811-307.pdf</t>
  </si>
  <si>
    <t>GMD-1811-308.pdf</t>
  </si>
  <si>
    <t>GEI-1811-142E.pdf</t>
  </si>
  <si>
    <t>GMD-1811-309.pdf</t>
  </si>
  <si>
    <t>GEI-1811-143.pdf</t>
  </si>
  <si>
    <t>GMD-1811-310.pdf</t>
  </si>
  <si>
    <t>GMD-1811-311.pdf</t>
  </si>
  <si>
    <t>GEI-1811-144.pdf</t>
  </si>
  <si>
    <t>GMD-1811-312.pdf</t>
  </si>
  <si>
    <t>GMD-1811-313.pdf</t>
  </si>
  <si>
    <t>GEI-1811-145.pdf</t>
  </si>
  <si>
    <t>GMD-1811-314.pdf</t>
  </si>
  <si>
    <t>GEI-1811-146E.pdf</t>
  </si>
  <si>
    <t>GMD-1811-315.pdf</t>
  </si>
  <si>
    <t>GEI-1811-147E.pdf</t>
  </si>
  <si>
    <t>GMD-1811-316.pdf</t>
  </si>
  <si>
    <t>GEI-1811-148.pdf</t>
  </si>
  <si>
    <t>GMD-1811-317.pdf</t>
  </si>
  <si>
    <t>GMD-1811-318.pdf</t>
  </si>
  <si>
    <t>GEI-1811-149.pdf</t>
  </si>
  <si>
    <t>GEI-D-1811-149.pdf</t>
  </si>
  <si>
    <t>GMD-1811-319.pdf</t>
  </si>
  <si>
    <t>Gaceta de Madrid n.º 320</t>
  </si>
  <si>
    <t>GMD-1811-320.pdf</t>
  </si>
  <si>
    <t>GEI-1811-150.pdf</t>
  </si>
  <si>
    <t>GMD-1811-321.pdf</t>
  </si>
  <si>
    <t>GMD-1811-322.pdf</t>
  </si>
  <si>
    <t>GMD-1811-323.pdf</t>
  </si>
  <si>
    <t>GEI-1811-151.pdf</t>
  </si>
  <si>
    <t>GMD-1811-324.pdf</t>
  </si>
  <si>
    <t>GMD-1811-325.pdf</t>
  </si>
  <si>
    <t>GEI-1811-152.pdf</t>
  </si>
  <si>
    <t>GMD-1811-326.pdf</t>
  </si>
  <si>
    <t>GMD-1811-327.pdf</t>
  </si>
  <si>
    <t>GEI-1811-153.pdf</t>
  </si>
  <si>
    <t>GEI-D-1811-153.pdf</t>
  </si>
  <si>
    <t>GMD-1811-328.pdf</t>
  </si>
  <si>
    <t>GMD-1811-329.pdf</t>
  </si>
  <si>
    <t>GMD-1811-330.pdf</t>
  </si>
  <si>
    <t>GEI-1811-154.pdf</t>
  </si>
  <si>
    <t>GMD-1811-331.pdf</t>
  </si>
  <si>
    <t>GMD-1811-332.pdf</t>
  </si>
  <si>
    <t>GEI-1811-155.pdf</t>
  </si>
  <si>
    <t>GMD-1811-333.pdf</t>
  </si>
  <si>
    <t>GMD-1811-334.pdf</t>
  </si>
  <si>
    <t>GEI-1811-156.pdf</t>
  </si>
  <si>
    <t>GMD-1811-335.pdf</t>
  </si>
  <si>
    <t>GMD-1811-336.pdf</t>
  </si>
  <si>
    <t>GMD-1811-337.pdf</t>
  </si>
  <si>
    <t>GEI-1811-157.pdf</t>
  </si>
  <si>
    <t>GMD-1811-338.pdf</t>
  </si>
  <si>
    <t>GMD-1811-339.pdf</t>
  </si>
  <si>
    <t>GEI-1811-158.pdf</t>
  </si>
  <si>
    <t>GEI-D-1811-158.pdf</t>
  </si>
  <si>
    <t>GMD-1811-340.pdf</t>
  </si>
  <si>
    <t>GMD-1811-341.pdf</t>
  </si>
  <si>
    <t>GEI-1811-159.pdf</t>
  </si>
  <si>
    <t>GMD-1811-342.pdf</t>
  </si>
  <si>
    <t>GMD-1811-343.pdf</t>
  </si>
  <si>
    <t>GMD-1811-344.pdf</t>
  </si>
  <si>
    <t>GEI-1811-160.pdf</t>
  </si>
  <si>
    <t>GMD-1811-345.pdf</t>
  </si>
  <si>
    <t>GMD-1811-346.pdf</t>
  </si>
  <si>
    <t>GEI-1811-161.pdf</t>
  </si>
  <si>
    <t>GMD-1811-347.pdf</t>
  </si>
  <si>
    <t>GMD-1811-348.pdf</t>
  </si>
  <si>
    <t>GEI-1811-162.pdf</t>
  </si>
  <si>
    <t>GMD-1811-349.pdf</t>
  </si>
  <si>
    <t>GMD-1811-350.pdf</t>
  </si>
  <si>
    <t>GMD-1811-351.pdf</t>
  </si>
  <si>
    <t>GEI-1811-163.pdf</t>
  </si>
  <si>
    <t>GMD-1811-352.pdf</t>
  </si>
  <si>
    <t>GMD-1811-353.pdf</t>
  </si>
  <si>
    <t>GEI-1811-164.pdf</t>
  </si>
  <si>
    <t>GMD-1811-354.pdf</t>
  </si>
  <si>
    <t>GMD-1811-355.pdf</t>
  </si>
  <si>
    <t>GEI-1811-165.pdf</t>
  </si>
  <si>
    <t>GMD-1811-356.pdf</t>
  </si>
  <si>
    <t>GMD-1811-357.pdf</t>
  </si>
  <si>
    <t>GMD-1811-358.pdf</t>
  </si>
  <si>
    <t>GEI-1811-166.pdf</t>
  </si>
  <si>
    <t>GMD-1811-359.pdf</t>
  </si>
  <si>
    <t>GMD-1811-360.pdf</t>
  </si>
  <si>
    <t>GEI-1811-167.pdf</t>
  </si>
  <si>
    <t>GMD-1811-361.pdf</t>
  </si>
  <si>
    <t>GMD-1811-362.pdf</t>
  </si>
  <si>
    <t>GEI-1811-168.pdf</t>
  </si>
  <si>
    <t>GMD-1811-363.pdf</t>
  </si>
  <si>
    <t>GMD-1811-364.pdf</t>
  </si>
  <si>
    <t>GMD-1811-365.pdf</t>
  </si>
  <si>
    <t>GEI-1811-169.pdf</t>
  </si>
  <si>
    <t>Criterios, alcance y limitaciones</t>
  </si>
  <si>
    <t>Cobertura</t>
  </si>
  <si>
    <t>Todos los archivos localizados en la hemeroteca oficial para las fechas comprendidas entre el 1 de enero y el 31 de diciembre de 1811, incluidos suplementos y ediciones extraordinarias.</t>
  </si>
  <si>
    <t>Cabeceras</t>
  </si>
  <si>
    <t>Gaceta de Madrid (372 archivos); Gazeta de la Regencia de España e Indias (183 archivos).</t>
  </si>
  <si>
    <t>Numeración</t>
  </si>
  <si>
    <t>Los reinicios de numeración y los suplementos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</si>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</sst>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2"/>
      <color rgb="FFFFFFFF"/>
      <name val="Calibri"/>
    </font>
    <font>
      <b/>
      <sz val="10"/>
      <color rgb="FF1F4E78"/>
      <name val="Calibri"/>
    </font>
    <font>
      <sz val="10"/>
      <name val="Calibri"/>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s>
  <borders count="2">
    <border>
      <left/>
      <right/>
      <top/>
      <bottom/>
      <diagonal/>
    </border>
    <border>
      <left style="thin">
        <color rgb="FFB4C6E7"/>
      </left>
      <right style="thin">
        <color rgb="FFB4C6E7"/>
      </right>
      <top style="thin">
        <color rgb="FFB4C6E7"/>
      </top>
      <bottom style="thin">
        <color rgb="FFB4C6E7"/>
      </bottom>
      <diagonal/>
    </border>
  </borders>
  <cellStyleXfs count="1">
    <xf numFmtId="0" fontId="0" fillId="0" borderId="0"/>
  </cellStyleXfs>
  <cellXfs count="14">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horizontal="center" vertical="top" wrapText="1"/>
    </xf>
    <xf numFmtId="164" fontId="6" fillId="0" borderId="0" xfId="0" applyNumberFormat="1" applyFont="1" applyAlignment="1">
      <alignment vertical="top" wrapText="1"/>
    </xf>
    <xf numFmtId="0" fontId="9" fillId="3" borderId="1" xfId="0"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0" fontId="8" fillId="6" borderId="0" xfId="0" applyFont="1" applyFill="1" applyAlignment="1">
      <alignment vertical="center"/>
    </xf>
    <xf numFmtId="0" fontId="10" fillId="0" borderId="1" xfId="0" applyFont="1" applyBorder="1" applyAlignment="1">
      <alignment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11" displayName="IndiceOnomasticoAnual1811" ref="A6:K9155" totalsRowShown="0">
  <autoFilter ref="A6:K9155"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11" displayName="FuentesGacetaAnual1811" ref="A4:F559" totalsRowShown="0">
  <autoFilter ref="A4:F559"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9155"/>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7" t="s">
        <v>0</v>
      </c>
      <c r="B1" s="7"/>
      <c r="C1" s="7"/>
      <c r="D1" s="7"/>
      <c r="E1" s="7"/>
      <c r="F1" s="7"/>
      <c r="G1" s="7"/>
      <c r="H1" s="7"/>
      <c r="I1" s="7"/>
      <c r="J1" s="7"/>
      <c r="K1" s="7"/>
    </row>
    <row r="2" spans="1:11" ht="22.05" customHeight="1">
      <c r="A2" s="8" t="s">
        <v>1</v>
      </c>
      <c r="B2" s="8"/>
      <c r="C2" s="8"/>
      <c r="D2" s="8"/>
      <c r="E2" s="8"/>
      <c r="F2" s="8"/>
      <c r="G2" s="8"/>
      <c r="H2" s="8"/>
      <c r="I2" s="8"/>
      <c r="J2" s="8"/>
      <c r="K2" s="8"/>
    </row>
    <row r="3" spans="1:11" ht="34.049999999999997" customHeight="1">
      <c r="A3" s="9" t="s">
        <v>2</v>
      </c>
      <c r="B3" s="9"/>
      <c r="C3" s="9"/>
      <c r="D3" s="9"/>
      <c r="E3" s="9"/>
      <c r="F3" s="9"/>
      <c r="G3" s="9"/>
      <c r="H3" s="9"/>
      <c r="I3" s="9"/>
      <c r="J3" s="9"/>
      <c r="K3" s="9"/>
    </row>
    <row r="4" spans="1:11" ht="22.05" customHeight="1">
      <c r="A4" s="10" t="s">
        <v>3</v>
      </c>
      <c r="B4" s="10"/>
      <c r="C4" s="10"/>
      <c r="D4" s="10"/>
      <c r="E4" s="10"/>
      <c r="F4" s="10"/>
      <c r="G4" s="10"/>
      <c r="H4" s="10"/>
      <c r="I4" s="10"/>
      <c r="J4" s="10"/>
      <c r="K4" s="10"/>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4">
        <v>-32246</v>
      </c>
      <c r="F7" s="3" t="s">
        <v>19</v>
      </c>
      <c r="G7" s="3" t="s">
        <v>20</v>
      </c>
      <c r="H7" s="2" t="s">
        <v>21</v>
      </c>
      <c r="I7" s="2" t="s">
        <v>22</v>
      </c>
      <c r="J7" s="3" t="str">
        <f>HYPERLINK("https://www.boe.es/gazeta/dias/1811/09/17/pdfs/GEI-1811-120.pdf#page=24","Abrir facsímil")</f>
        <v>Abrir facsímil</v>
      </c>
      <c r="K7" s="3" t="s">
        <v>23</v>
      </c>
    </row>
    <row r="8" spans="1:11" ht="42" customHeight="1">
      <c r="A8" s="2" t="s">
        <v>24</v>
      </c>
      <c r="B8" s="2" t="s">
        <v>25</v>
      </c>
      <c r="C8" s="2" t="s">
        <v>26</v>
      </c>
      <c r="D8" s="2" t="s">
        <v>18</v>
      </c>
      <c r="E8" s="4">
        <v>-32260</v>
      </c>
      <c r="F8" s="3" t="s">
        <v>27</v>
      </c>
      <c r="G8" s="3" t="s">
        <v>28</v>
      </c>
      <c r="H8" s="2" t="s">
        <v>21</v>
      </c>
      <c r="I8" s="2" t="s">
        <v>29</v>
      </c>
      <c r="J8" s="3" t="str">
        <f>HYPERLINK("https://www.boe.es/gazeta/dias/1811/09/03/pdfs/GEI-1811-114.pdf#page=3","Abrir facsímil")</f>
        <v>Abrir facsímil</v>
      </c>
      <c r="K8" s="3" t="s">
        <v>23</v>
      </c>
    </row>
    <row r="9" spans="1:11" ht="42" customHeight="1">
      <c r="A9" s="2" t="s">
        <v>30</v>
      </c>
      <c r="B9" s="2" t="s">
        <v>31</v>
      </c>
      <c r="C9" s="2" t="s">
        <v>26</v>
      </c>
      <c r="D9" s="2" t="s">
        <v>18</v>
      </c>
      <c r="E9" s="4">
        <v>-32393</v>
      </c>
      <c r="F9" s="3" t="s">
        <v>32</v>
      </c>
      <c r="G9" s="3" t="s">
        <v>33</v>
      </c>
      <c r="H9" s="2" t="s">
        <v>21</v>
      </c>
      <c r="I9" s="2" t="s">
        <v>34</v>
      </c>
      <c r="J9" s="3" t="str">
        <f>HYPERLINK("https://www.boe.es/gazeta/dias/1811/04/23/pdfs/GEI-1811-54.pdf#page=8","Abrir facsímil")</f>
        <v>Abrir facsímil</v>
      </c>
      <c r="K9" s="3" t="s">
        <v>23</v>
      </c>
    </row>
    <row r="10" spans="1:11" ht="42" customHeight="1">
      <c r="A10" s="2" t="s">
        <v>35</v>
      </c>
      <c r="B10" s="2" t="s">
        <v>36</v>
      </c>
      <c r="C10" s="2" t="s">
        <v>37</v>
      </c>
      <c r="D10" s="2" t="s">
        <v>18</v>
      </c>
      <c r="E10" s="4">
        <v>-32407</v>
      </c>
      <c r="F10" s="3" t="s">
        <v>38</v>
      </c>
      <c r="G10" s="3" t="s">
        <v>39</v>
      </c>
      <c r="H10" s="2" t="s">
        <v>21</v>
      </c>
      <c r="I10" s="2" t="s">
        <v>40</v>
      </c>
      <c r="J10" s="3" t="str">
        <f>HYPERLINK("https://www.boe.es/gazeta/dias/1811/04/09/pdfs/GEI-1811-48.pdf#page=3","Abrir facsímil")</f>
        <v>Abrir facsímil</v>
      </c>
      <c r="K10" s="3" t="s">
        <v>23</v>
      </c>
    </row>
    <row r="11" spans="1:11" ht="42" customHeight="1">
      <c r="A11" s="2" t="s">
        <v>41</v>
      </c>
      <c r="B11" s="2" t="s">
        <v>42</v>
      </c>
      <c r="C11" s="2" t="s">
        <v>26</v>
      </c>
      <c r="D11" s="2" t="s">
        <v>18</v>
      </c>
      <c r="E11" s="4">
        <v>-32326</v>
      </c>
      <c r="F11" s="3" t="s">
        <v>43</v>
      </c>
      <c r="G11" s="3" t="s">
        <v>44</v>
      </c>
      <c r="H11" s="2" t="s">
        <v>21</v>
      </c>
      <c r="I11" s="2" t="s">
        <v>45</v>
      </c>
      <c r="J11" s="3" t="str">
        <f>HYPERLINK("https://www.boe.es/gazeta/dias/1811/06/29/pdfs/GEI-1811-86.pdf#page=6","Abrir facsímil")</f>
        <v>Abrir facsímil</v>
      </c>
      <c r="K11" s="3" t="s">
        <v>23</v>
      </c>
    </row>
    <row r="12" spans="1:11" ht="42" customHeight="1">
      <c r="A12" s="2" t="s">
        <v>41</v>
      </c>
      <c r="B12" s="2" t="s">
        <v>42</v>
      </c>
      <c r="C12" s="2" t="s">
        <v>26</v>
      </c>
      <c r="D12" s="2" t="s">
        <v>18</v>
      </c>
      <c r="E12" s="4">
        <v>-32158</v>
      </c>
      <c r="F12" s="3" t="s">
        <v>46</v>
      </c>
      <c r="G12" s="3" t="s">
        <v>47</v>
      </c>
      <c r="H12" s="2" t="s">
        <v>21</v>
      </c>
      <c r="I12" s="2" t="s">
        <v>48</v>
      </c>
      <c r="J12" s="3" t="str">
        <f>HYPERLINK("https://www.boe.es/gazeta/dias/1811/12/14/pdfs/GEI-1811-162.pdf#page=7","Abrir facsímil")</f>
        <v>Abrir facsímil</v>
      </c>
      <c r="K12" s="3" t="s">
        <v>23</v>
      </c>
    </row>
    <row r="13" spans="1:11" ht="42" customHeight="1">
      <c r="A13" s="2" t="s">
        <v>49</v>
      </c>
      <c r="B13" s="2" t="s">
        <v>50</v>
      </c>
      <c r="C13" s="2" t="s">
        <v>17</v>
      </c>
      <c r="D13" s="2" t="s">
        <v>18</v>
      </c>
      <c r="E13" s="4">
        <v>-32243</v>
      </c>
      <c r="F13" s="3" t="s">
        <v>51</v>
      </c>
      <c r="G13" s="3" t="s">
        <v>52</v>
      </c>
      <c r="H13" s="2" t="s">
        <v>21</v>
      </c>
      <c r="I13" s="2" t="s">
        <v>53</v>
      </c>
      <c r="J13" s="3" t="str">
        <f>HYPERLINK("https://www.boe.es/gazeta/dias/1811/09/20/pdfs/GMD-1811-263.pdf#page=4","Abrir facsímil")</f>
        <v>Abrir facsímil</v>
      </c>
      <c r="K13" s="3" t="s">
        <v>23</v>
      </c>
    </row>
    <row r="14" spans="1:11" ht="42" customHeight="1">
      <c r="A14" s="2" t="s">
        <v>54</v>
      </c>
      <c r="B14" s="2" t="s">
        <v>55</v>
      </c>
      <c r="C14" s="2" t="s">
        <v>17</v>
      </c>
      <c r="D14" s="2" t="s">
        <v>18</v>
      </c>
      <c r="E14" s="4">
        <v>-32269</v>
      </c>
      <c r="F14" s="3" t="s">
        <v>56</v>
      </c>
      <c r="G14" s="3" t="s">
        <v>57</v>
      </c>
      <c r="H14" s="2" t="s">
        <v>21</v>
      </c>
      <c r="I14" s="2" t="s">
        <v>58</v>
      </c>
      <c r="J14" s="3" t="str">
        <f>HYPERLINK("https://www.boe.es/gazeta/dias/1811/08/25/pdfs/GMD-1811-237.pdf#page=2","Abrir facsímil")</f>
        <v>Abrir facsímil</v>
      </c>
      <c r="K14" s="3" t="s">
        <v>23</v>
      </c>
    </row>
    <row r="15" spans="1:11" ht="42" customHeight="1">
      <c r="A15" s="2" t="s">
        <v>59</v>
      </c>
      <c r="B15" s="2" t="s">
        <v>60</v>
      </c>
      <c r="C15" s="2" t="s">
        <v>17</v>
      </c>
      <c r="D15" s="2" t="s">
        <v>18</v>
      </c>
      <c r="E15" s="4">
        <v>-32300</v>
      </c>
      <c r="F15" s="3" t="s">
        <v>61</v>
      </c>
      <c r="G15" s="3" t="s">
        <v>62</v>
      </c>
      <c r="H15" s="2" t="s">
        <v>21</v>
      </c>
      <c r="I15" s="2" t="s">
        <v>63</v>
      </c>
      <c r="J15" s="3" t="str">
        <f>HYPERLINK("https://www.boe.es/gazeta/dias/1811/07/25/pdfs/GEI-1811-97.pdf#page=5","Abrir facsímil")</f>
        <v>Abrir facsímil</v>
      </c>
      <c r="K15" s="3" t="s">
        <v>23</v>
      </c>
    </row>
    <row r="16" spans="1:11" ht="42" customHeight="1">
      <c r="A16" s="2" t="s">
        <v>64</v>
      </c>
      <c r="B16" s="2" t="s">
        <v>65</v>
      </c>
      <c r="C16" s="2" t="s">
        <v>66</v>
      </c>
      <c r="D16" s="2" t="s">
        <v>18</v>
      </c>
      <c r="E16" s="4">
        <v>-32158</v>
      </c>
      <c r="F16" s="3" t="s">
        <v>46</v>
      </c>
      <c r="G16" s="3" t="s">
        <v>67</v>
      </c>
      <c r="H16" s="2" t="s">
        <v>21</v>
      </c>
      <c r="I16" s="2" t="s">
        <v>68</v>
      </c>
      <c r="J16" s="3" t="str">
        <f>HYPERLINK("https://www.boe.es/gazeta/dias/1811/12/14/pdfs/GEI-1811-162.pdf#page=8","Abrir facsímil")</f>
        <v>Abrir facsímil</v>
      </c>
      <c r="K16" s="3" t="s">
        <v>23</v>
      </c>
    </row>
    <row r="17" spans="1:11" ht="42" customHeight="1">
      <c r="A17" s="2" t="s">
        <v>69</v>
      </c>
      <c r="B17" s="2" t="s">
        <v>70</v>
      </c>
      <c r="C17" s="2" t="s">
        <v>17</v>
      </c>
      <c r="D17" s="2" t="s">
        <v>18</v>
      </c>
      <c r="E17" s="4">
        <v>-32158</v>
      </c>
      <c r="F17" s="3" t="s">
        <v>46</v>
      </c>
      <c r="G17" s="3" t="s">
        <v>67</v>
      </c>
      <c r="H17" s="2" t="s">
        <v>21</v>
      </c>
      <c r="I17" s="2" t="s">
        <v>71</v>
      </c>
      <c r="J17" s="3" t="str">
        <f>HYPERLINK("https://www.boe.es/gazeta/dias/1811/12/14/pdfs/GEI-1811-162.pdf#page=8","Abrir facsímil")</f>
        <v>Abrir facsímil</v>
      </c>
      <c r="K17" s="3" t="s">
        <v>23</v>
      </c>
    </row>
    <row r="18" spans="1:11" ht="42" customHeight="1">
      <c r="A18" s="2" t="s">
        <v>72</v>
      </c>
      <c r="B18" s="2" t="s">
        <v>73</v>
      </c>
      <c r="C18" s="2" t="s">
        <v>26</v>
      </c>
      <c r="D18" s="2" t="s">
        <v>18</v>
      </c>
      <c r="E18" s="4">
        <v>-32188</v>
      </c>
      <c r="F18" s="3" t="s">
        <v>74</v>
      </c>
      <c r="G18" s="3" t="s">
        <v>75</v>
      </c>
      <c r="H18" s="2" t="s">
        <v>21</v>
      </c>
      <c r="I18" s="2" t="s">
        <v>76</v>
      </c>
      <c r="J18" s="3" t="str">
        <f>HYPERLINK("https://www.boe.es/gazeta/dias/1811/11/14/pdfs/GEI-1811-149.pdf#page=8","Abrir facsímil")</f>
        <v>Abrir facsímil</v>
      </c>
      <c r="K18" s="3" t="s">
        <v>23</v>
      </c>
    </row>
    <row r="19" spans="1:11" ht="42" customHeight="1">
      <c r="A19" s="2" t="s">
        <v>77</v>
      </c>
      <c r="B19" s="2" t="s">
        <v>78</v>
      </c>
      <c r="C19" s="2" t="s">
        <v>17</v>
      </c>
      <c r="D19" s="2" t="s">
        <v>18</v>
      </c>
      <c r="E19" s="4">
        <v>-32421</v>
      </c>
      <c r="F19" s="3" t="s">
        <v>79</v>
      </c>
      <c r="G19" s="3" t="s">
        <v>80</v>
      </c>
      <c r="H19" s="2" t="s">
        <v>21</v>
      </c>
      <c r="I19" s="2" t="s">
        <v>81</v>
      </c>
      <c r="J19" s="3" t="str">
        <f>HYPERLINK("https://www.boe.es/gazeta/dias/1811/03/26/pdfs/GEI-1811-42.pdf#page=7","Abrir facsímil")</f>
        <v>Abrir facsímil</v>
      </c>
      <c r="K19" s="3" t="s">
        <v>23</v>
      </c>
    </row>
    <row r="20" spans="1:11" ht="42" customHeight="1">
      <c r="A20" s="2" t="s">
        <v>82</v>
      </c>
      <c r="B20" s="2" t="s">
        <v>83</v>
      </c>
      <c r="C20" s="2" t="s">
        <v>84</v>
      </c>
      <c r="D20" s="2" t="s">
        <v>18</v>
      </c>
      <c r="E20" s="4">
        <v>-32190</v>
      </c>
      <c r="F20" s="3" t="s">
        <v>85</v>
      </c>
      <c r="G20" s="3" t="s">
        <v>86</v>
      </c>
      <c r="H20" s="2" t="s">
        <v>21</v>
      </c>
      <c r="I20" s="2" t="s">
        <v>87</v>
      </c>
      <c r="J20" s="3" t="str">
        <f>HYPERLINK("https://www.boe.es/gazeta/dias/1811/11/12/pdfs/GEI-1811-148.pdf#page=8","Abrir facsímil")</f>
        <v>Abrir facsímil</v>
      </c>
      <c r="K20" s="3" t="s">
        <v>23</v>
      </c>
    </row>
    <row r="21" spans="1:11" ht="42" customHeight="1">
      <c r="A21" s="2" t="s">
        <v>88</v>
      </c>
      <c r="B21" s="2" t="s">
        <v>89</v>
      </c>
      <c r="C21" s="2" t="s">
        <v>26</v>
      </c>
      <c r="D21" s="2" t="s">
        <v>18</v>
      </c>
      <c r="E21" s="4">
        <v>-32283</v>
      </c>
      <c r="F21" s="3" t="s">
        <v>90</v>
      </c>
      <c r="G21" s="3" t="s">
        <v>91</v>
      </c>
      <c r="H21" s="2" t="s">
        <v>21</v>
      </c>
      <c r="I21" s="2" t="s">
        <v>92</v>
      </c>
      <c r="J21" s="3" t="str">
        <f>HYPERLINK("https://www.boe.es/gazeta/dias/1811/08/11/pdfs/GMD-1811-223.pdf#page=4","Abrir facsímil")</f>
        <v>Abrir facsímil</v>
      </c>
      <c r="K21" s="3" t="s">
        <v>23</v>
      </c>
    </row>
    <row r="22" spans="1:11" ht="42" customHeight="1">
      <c r="A22" s="2" t="s">
        <v>93</v>
      </c>
      <c r="B22" s="2" t="s">
        <v>94</v>
      </c>
      <c r="C22" s="2" t="s">
        <v>26</v>
      </c>
      <c r="D22" s="2" t="s">
        <v>18</v>
      </c>
      <c r="E22" s="4">
        <v>-32288</v>
      </c>
      <c r="F22" s="3" t="s">
        <v>95</v>
      </c>
      <c r="G22" s="3" t="s">
        <v>47</v>
      </c>
      <c r="H22" s="2" t="s">
        <v>21</v>
      </c>
      <c r="I22" s="2" t="s">
        <v>96</v>
      </c>
      <c r="J22" s="3" t="str">
        <f>HYPERLINK("https://www.boe.es/gazeta/dias/1811/08/06/pdfs/GEI-1811-102.pdf#page=8","Abrir facsímil")</f>
        <v>Abrir facsímil</v>
      </c>
      <c r="K22" s="3" t="s">
        <v>23</v>
      </c>
    </row>
    <row r="23" spans="1:11" ht="42" customHeight="1">
      <c r="A23" s="2" t="s">
        <v>97</v>
      </c>
      <c r="B23" s="2" t="s">
        <v>98</v>
      </c>
      <c r="C23" s="2" t="s">
        <v>26</v>
      </c>
      <c r="D23" s="2" t="s">
        <v>18</v>
      </c>
      <c r="E23" s="4">
        <v>-32155</v>
      </c>
      <c r="F23" s="3" t="s">
        <v>99</v>
      </c>
      <c r="G23" s="3" t="s">
        <v>100</v>
      </c>
      <c r="H23" s="2" t="s">
        <v>21</v>
      </c>
      <c r="I23" s="2" t="s">
        <v>101</v>
      </c>
      <c r="J23" s="3" t="str">
        <f>HYPERLINK("https://www.boe.es/gazeta/dias/1811/12/17/pdfs/GMD-1811-351.pdf#page=4","Abrir facsímil")</f>
        <v>Abrir facsímil</v>
      </c>
      <c r="K23" s="3" t="s">
        <v>23</v>
      </c>
    </row>
    <row r="24" spans="1:11" ht="42" customHeight="1">
      <c r="A24" s="2" t="s">
        <v>102</v>
      </c>
      <c r="B24" s="2" t="s">
        <v>103</v>
      </c>
      <c r="C24" s="2" t="s">
        <v>104</v>
      </c>
      <c r="D24" s="2" t="s">
        <v>105</v>
      </c>
      <c r="E24" s="4">
        <v>-32452</v>
      </c>
      <c r="F24" s="3" t="s">
        <v>106</v>
      </c>
      <c r="G24" s="3" t="s">
        <v>107</v>
      </c>
      <c r="H24" s="2" t="s">
        <v>21</v>
      </c>
      <c r="I24" s="2" t="s">
        <v>108</v>
      </c>
      <c r="J24" s="3" t="str">
        <f>HYPERLINK("https://www.boe.es/gazeta/dias/1811/02/23/pdfs/GEI-1811-24.pdf#page=6","Abrir facsímil")</f>
        <v>Abrir facsímil</v>
      </c>
      <c r="K24" s="3" t="s">
        <v>23</v>
      </c>
    </row>
    <row r="25" spans="1:11" ht="42" customHeight="1">
      <c r="A25" s="2" t="s">
        <v>102</v>
      </c>
      <c r="B25" s="2" t="s">
        <v>103</v>
      </c>
      <c r="C25" s="2" t="s">
        <v>104</v>
      </c>
      <c r="D25" s="2" t="s">
        <v>18</v>
      </c>
      <c r="E25" s="4">
        <v>-32200</v>
      </c>
      <c r="F25" s="3" t="s">
        <v>109</v>
      </c>
      <c r="G25" s="3" t="s">
        <v>110</v>
      </c>
      <c r="H25" s="2" t="s">
        <v>21</v>
      </c>
      <c r="I25" s="2" t="s">
        <v>111</v>
      </c>
      <c r="J25" s="3" t="str">
        <f>HYPERLINK("https://www.boe.es/gazeta/dias/1811/11/02/pdfs/GEI-1811-141.pdf#page=6","Abrir facsímil")</f>
        <v>Abrir facsímil</v>
      </c>
      <c r="K25" s="3" t="s">
        <v>23</v>
      </c>
    </row>
    <row r="26" spans="1:11" ht="42" customHeight="1">
      <c r="A26" s="2" t="s">
        <v>112</v>
      </c>
      <c r="B26" s="2" t="s">
        <v>113</v>
      </c>
      <c r="C26" s="2" t="s">
        <v>17</v>
      </c>
      <c r="D26" s="2" t="s">
        <v>18</v>
      </c>
      <c r="E26" s="4">
        <v>-32438</v>
      </c>
      <c r="F26" s="3" t="s">
        <v>114</v>
      </c>
      <c r="G26" s="3" t="s">
        <v>115</v>
      </c>
      <c r="H26" s="2" t="s">
        <v>21</v>
      </c>
      <c r="I26" s="2" t="s">
        <v>116</v>
      </c>
      <c r="J26" s="3" t="str">
        <f>HYPERLINK("https://www.boe.es/gazeta/dias/1811/03/09/pdfs/GEI-1811-33.pdf#page=3","Abrir facsímil")</f>
        <v>Abrir facsímil</v>
      </c>
      <c r="K26" s="3" t="s">
        <v>23</v>
      </c>
    </row>
    <row r="27" spans="1:11" ht="42" customHeight="1">
      <c r="A27" s="2" t="s">
        <v>117</v>
      </c>
      <c r="B27" s="2" t="s">
        <v>118</v>
      </c>
      <c r="C27" s="2" t="s">
        <v>17</v>
      </c>
      <c r="D27" s="2" t="s">
        <v>18</v>
      </c>
      <c r="E27" s="4">
        <v>-32365</v>
      </c>
      <c r="F27" s="3" t="s">
        <v>119</v>
      </c>
      <c r="G27" s="3" t="s">
        <v>120</v>
      </c>
      <c r="H27" s="2" t="s">
        <v>21</v>
      </c>
      <c r="I27" s="2" t="s">
        <v>121</v>
      </c>
      <c r="J27" s="3" t="str">
        <f>HYPERLINK("https://www.boe.es/gazeta/dias/1811/05/21/pdfs/GEI-1811-67.pdf#page=7","Abrir facsímil")</f>
        <v>Abrir facsímil</v>
      </c>
      <c r="K27" s="3" t="s">
        <v>23</v>
      </c>
    </row>
    <row r="28" spans="1:11" ht="42" customHeight="1">
      <c r="A28" s="2" t="s">
        <v>117</v>
      </c>
      <c r="B28" s="2" t="s">
        <v>118</v>
      </c>
      <c r="C28" s="2" t="s">
        <v>122</v>
      </c>
      <c r="D28" s="2" t="s">
        <v>18</v>
      </c>
      <c r="E28" s="4">
        <v>-32153</v>
      </c>
      <c r="F28" s="3" t="s">
        <v>123</v>
      </c>
      <c r="G28" s="3" t="s">
        <v>124</v>
      </c>
      <c r="H28" s="2" t="s">
        <v>21</v>
      </c>
      <c r="I28" s="2" t="s">
        <v>125</v>
      </c>
      <c r="J28" s="3" t="str">
        <f>HYPERLINK("https://www.boe.es/gazeta/dias/1811/12/19/pdfs/GMD-1811-353.pdf#page=6","Abrir facsímil")</f>
        <v>Abrir facsímil</v>
      </c>
      <c r="K28" s="3" t="s">
        <v>23</v>
      </c>
    </row>
    <row r="29" spans="1:11" ht="42" customHeight="1">
      <c r="A29" s="2" t="s">
        <v>126</v>
      </c>
      <c r="B29" s="2" t="s">
        <v>127</v>
      </c>
      <c r="C29" s="2" t="s">
        <v>37</v>
      </c>
      <c r="D29" s="2" t="s">
        <v>18</v>
      </c>
      <c r="E29" s="4">
        <v>-32263</v>
      </c>
      <c r="F29" s="3" t="s">
        <v>128</v>
      </c>
      <c r="G29" s="3" t="s">
        <v>129</v>
      </c>
      <c r="H29" s="2" t="s">
        <v>21</v>
      </c>
      <c r="I29" s="2" t="s">
        <v>130</v>
      </c>
      <c r="J29" s="3" t="str">
        <f>HYPERLINK("https://www.boe.es/gazeta/dias/1811/08/31/pdfs/GEI-1811-113.pdf#page=5","Abrir facsímil")</f>
        <v>Abrir facsímil</v>
      </c>
      <c r="K29" s="3" t="s">
        <v>23</v>
      </c>
    </row>
    <row r="30" spans="1:11" ht="42" customHeight="1">
      <c r="A30" s="2" t="s">
        <v>131</v>
      </c>
      <c r="B30" s="2" t="s">
        <v>132</v>
      </c>
      <c r="C30" s="2" t="s">
        <v>26</v>
      </c>
      <c r="D30" s="2" t="s">
        <v>105</v>
      </c>
      <c r="E30" s="4">
        <v>-32298</v>
      </c>
      <c r="F30" s="3" t="s">
        <v>133</v>
      </c>
      <c r="G30" s="3" t="s">
        <v>134</v>
      </c>
      <c r="H30" s="2" t="s">
        <v>21</v>
      </c>
      <c r="I30" s="2" t="s">
        <v>135</v>
      </c>
      <c r="J30" s="3" t="str">
        <f>HYPERLINK("https://www.boe.es/gazeta/dias/1811/07/27/pdfs/GEI-1811-98.pdf#page=7","Abrir facsímil")</f>
        <v>Abrir facsímil</v>
      </c>
      <c r="K30" s="3" t="s">
        <v>23</v>
      </c>
    </row>
    <row r="31" spans="1:11" ht="42" customHeight="1">
      <c r="A31" s="2" t="s">
        <v>131</v>
      </c>
      <c r="B31" s="2" t="s">
        <v>132</v>
      </c>
      <c r="C31" s="2" t="s">
        <v>37</v>
      </c>
      <c r="D31" s="2" t="s">
        <v>18</v>
      </c>
      <c r="E31" s="4">
        <v>-32237</v>
      </c>
      <c r="F31" s="3" t="s">
        <v>136</v>
      </c>
      <c r="G31" s="3" t="s">
        <v>137</v>
      </c>
      <c r="H31" s="2" t="s">
        <v>21</v>
      </c>
      <c r="I31" s="2" t="s">
        <v>138</v>
      </c>
      <c r="J31" s="3" t="str">
        <f>HYPERLINK("https://www.boe.es/gazeta/dias/1811/09/26/pdfs/GMD-1811-269.pdf#page=3","Abrir facsímil")</f>
        <v>Abrir facsímil</v>
      </c>
      <c r="K31" s="3" t="s">
        <v>23</v>
      </c>
    </row>
    <row r="32" spans="1:11" ht="42" customHeight="1">
      <c r="A32" s="2" t="s">
        <v>139</v>
      </c>
      <c r="B32" s="2" t="s">
        <v>140</v>
      </c>
      <c r="C32" s="2" t="s">
        <v>26</v>
      </c>
      <c r="D32" s="2" t="s">
        <v>141</v>
      </c>
      <c r="E32" s="4">
        <v>-32280</v>
      </c>
      <c r="F32" s="3" t="s">
        <v>142</v>
      </c>
      <c r="G32" s="3" t="s">
        <v>47</v>
      </c>
      <c r="H32" s="2" t="s">
        <v>21</v>
      </c>
      <c r="I32" s="2" t="s">
        <v>143</v>
      </c>
      <c r="J32" s="3" t="str">
        <f>HYPERLINK("https://www.boe.es/gazeta/dias/1811/08/14/pdfs/GMD-C-1811-226.pdf#page=1","Abrir facsímil")</f>
        <v>Abrir facsímil</v>
      </c>
      <c r="K32" s="3" t="s">
        <v>23</v>
      </c>
    </row>
    <row r="33" spans="1:11" ht="42" customHeight="1">
      <c r="A33" s="2" t="s">
        <v>144</v>
      </c>
      <c r="B33" s="2" t="s">
        <v>145</v>
      </c>
      <c r="C33" s="2" t="s">
        <v>26</v>
      </c>
      <c r="D33" s="2" t="s">
        <v>18</v>
      </c>
      <c r="E33" s="4">
        <v>-32370</v>
      </c>
      <c r="F33" s="3" t="s">
        <v>146</v>
      </c>
      <c r="G33" s="3" t="s">
        <v>147</v>
      </c>
      <c r="H33" s="2" t="s">
        <v>148</v>
      </c>
      <c r="I33" s="2" t="s">
        <v>149</v>
      </c>
      <c r="J33" s="3" t="str">
        <f>HYPERLINK("https://www.boe.es/gazeta/dias/1811/05/16/pdfs/GEI-1811-64.pdf#page=2","Abrir facsímil")</f>
        <v>Abrir facsímil</v>
      </c>
      <c r="K33" s="3" t="s">
        <v>150</v>
      </c>
    </row>
    <row r="34" spans="1:11" ht="42" customHeight="1">
      <c r="A34" s="2" t="s">
        <v>151</v>
      </c>
      <c r="B34" s="2" t="s">
        <v>151</v>
      </c>
      <c r="C34" s="2" t="s">
        <v>17</v>
      </c>
      <c r="D34" s="2" t="s">
        <v>18</v>
      </c>
      <c r="E34" s="4">
        <v>-32207</v>
      </c>
      <c r="F34" s="3" t="s">
        <v>152</v>
      </c>
      <c r="G34" s="3" t="s">
        <v>153</v>
      </c>
      <c r="H34" s="2" t="s">
        <v>148</v>
      </c>
      <c r="I34" s="2" t="s">
        <v>154</v>
      </c>
      <c r="J34" s="3" t="str">
        <f>HYPERLINK("https://www.boe.es/gazeta/dias/1811/10/26/pdfs/GEI-1811-138.pdf#page=2","Abrir facsímil")</f>
        <v>Abrir facsímil</v>
      </c>
      <c r="K34" s="3" t="s">
        <v>150</v>
      </c>
    </row>
    <row r="35" spans="1:11" ht="42" customHeight="1">
      <c r="A35" s="2" t="s">
        <v>155</v>
      </c>
      <c r="B35" s="2" t="s">
        <v>155</v>
      </c>
      <c r="C35" s="2" t="s">
        <v>17</v>
      </c>
      <c r="D35" s="2" t="s">
        <v>156</v>
      </c>
      <c r="E35" s="4">
        <v>-32171</v>
      </c>
      <c r="F35" s="3" t="s">
        <v>157</v>
      </c>
      <c r="G35" s="3" t="s">
        <v>44</v>
      </c>
      <c r="H35" s="2" t="s">
        <v>148</v>
      </c>
      <c r="I35" s="2" t="s">
        <v>158</v>
      </c>
      <c r="J35" s="3" t="str">
        <f>HYPERLINK("https://www.boe.es/gazeta/dias/1811/12/01/pdfs/GMD-1811-335.pdf#page=4","Abrir facsímil")</f>
        <v>Abrir facsímil</v>
      </c>
      <c r="K35" s="3" t="s">
        <v>150</v>
      </c>
    </row>
    <row r="36" spans="1:11" ht="42" customHeight="1">
      <c r="A36" s="2" t="s">
        <v>159</v>
      </c>
      <c r="B36" s="2" t="s">
        <v>160</v>
      </c>
      <c r="C36" s="2" t="s">
        <v>17</v>
      </c>
      <c r="D36" s="2" t="s">
        <v>18</v>
      </c>
      <c r="E36" s="4">
        <v>-32256</v>
      </c>
      <c r="F36" s="3" t="s">
        <v>161</v>
      </c>
      <c r="G36" s="3" t="s">
        <v>162</v>
      </c>
      <c r="H36" s="2" t="s">
        <v>148</v>
      </c>
      <c r="I36" s="2" t="s">
        <v>163</v>
      </c>
      <c r="J36" s="3" t="str">
        <f>HYPERLINK("https://www.boe.es/gazeta/dias/1811/09/07/pdfs/GEI-1811-116.pdf#page=6","Abrir facsímil")</f>
        <v>Abrir facsímil</v>
      </c>
      <c r="K36" s="3" t="s">
        <v>150</v>
      </c>
    </row>
    <row r="37" spans="1:11" ht="42" customHeight="1">
      <c r="A37" s="2" t="s">
        <v>164</v>
      </c>
      <c r="B37" s="2" t="s">
        <v>165</v>
      </c>
      <c r="C37" s="2" t="s">
        <v>26</v>
      </c>
      <c r="D37" s="2" t="s">
        <v>141</v>
      </c>
      <c r="E37" s="4">
        <v>-32238</v>
      </c>
      <c r="F37" s="3" t="s">
        <v>166</v>
      </c>
      <c r="G37" s="3" t="s">
        <v>39</v>
      </c>
      <c r="H37" s="2" t="s">
        <v>148</v>
      </c>
      <c r="I37" s="2" t="s">
        <v>167</v>
      </c>
      <c r="J37" s="3" t="str">
        <f>HYPERLINK("https://www.boe.es/gazeta/dias/1811/09/25/pdfs/GMD-C-1811-268.pdf#page=2","Abrir facsímil")</f>
        <v>Abrir facsímil</v>
      </c>
      <c r="K37" s="3" t="s">
        <v>150</v>
      </c>
    </row>
    <row r="38" spans="1:11" ht="42" customHeight="1">
      <c r="A38" s="2" t="s">
        <v>168</v>
      </c>
      <c r="B38" s="2" t="s">
        <v>169</v>
      </c>
      <c r="C38" s="2" t="s">
        <v>26</v>
      </c>
      <c r="D38" s="2" t="s">
        <v>18</v>
      </c>
      <c r="E38" s="4">
        <v>-32284</v>
      </c>
      <c r="F38" s="3" t="s">
        <v>170</v>
      </c>
      <c r="G38" s="3" t="s">
        <v>162</v>
      </c>
      <c r="H38" s="2" t="s">
        <v>148</v>
      </c>
      <c r="I38" s="2" t="s">
        <v>171</v>
      </c>
      <c r="J38" s="3" t="str">
        <f>HYPERLINK("https://www.boe.es/gazeta/dias/1811/08/10/pdfs/GEI-1811-104.pdf#page=1","Abrir facsímil")</f>
        <v>Abrir facsímil</v>
      </c>
      <c r="K38" s="3" t="s">
        <v>150</v>
      </c>
    </row>
    <row r="39" spans="1:11" ht="42" customHeight="1">
      <c r="A39" s="2" t="s">
        <v>168</v>
      </c>
      <c r="B39" s="2" t="s">
        <v>169</v>
      </c>
      <c r="C39" s="2" t="s">
        <v>26</v>
      </c>
      <c r="D39" s="2" t="s">
        <v>105</v>
      </c>
      <c r="E39" s="4">
        <v>-32174</v>
      </c>
      <c r="F39" s="3" t="s">
        <v>172</v>
      </c>
      <c r="G39" s="3" t="s">
        <v>173</v>
      </c>
      <c r="H39" s="2" t="s">
        <v>148</v>
      </c>
      <c r="I39" s="2" t="s">
        <v>174</v>
      </c>
      <c r="J39" s="3" t="str">
        <f>HYPERLINK("https://www.boe.es/gazeta/dias/1811/11/28/pdfs/GEI-1811-155.pdf#page=5","Abrir facsímil")</f>
        <v>Abrir facsímil</v>
      </c>
      <c r="K39" s="3" t="s">
        <v>150</v>
      </c>
    </row>
    <row r="40" spans="1:11" ht="42" customHeight="1">
      <c r="A40" s="2" t="s">
        <v>175</v>
      </c>
      <c r="B40" s="2" t="s">
        <v>176</v>
      </c>
      <c r="C40" s="2" t="s">
        <v>84</v>
      </c>
      <c r="D40" s="2" t="s">
        <v>18</v>
      </c>
      <c r="E40" s="4">
        <v>-32204</v>
      </c>
      <c r="F40" s="3" t="s">
        <v>177</v>
      </c>
      <c r="G40" s="3" t="s">
        <v>178</v>
      </c>
      <c r="H40" s="2" t="s">
        <v>148</v>
      </c>
      <c r="I40" s="2" t="s">
        <v>179</v>
      </c>
      <c r="J40" s="3" t="str">
        <f>HYPERLINK("https://www.boe.es/gazeta/dias/1811/10/29/pdfs/GMD-1811-302.pdf#page=4","Abrir facsímil")</f>
        <v>Abrir facsímil</v>
      </c>
      <c r="K40" s="3" t="s">
        <v>150</v>
      </c>
    </row>
    <row r="41" spans="1:11" ht="42" customHeight="1">
      <c r="A41" s="2" t="s">
        <v>180</v>
      </c>
      <c r="B41" s="2" t="s">
        <v>181</v>
      </c>
      <c r="C41" s="2" t="s">
        <v>26</v>
      </c>
      <c r="D41" s="2" t="s">
        <v>18</v>
      </c>
      <c r="E41" s="4">
        <v>-32249</v>
      </c>
      <c r="F41" s="3" t="s">
        <v>182</v>
      </c>
      <c r="G41" s="3" t="s">
        <v>183</v>
      </c>
      <c r="H41" s="2" t="s">
        <v>148</v>
      </c>
      <c r="I41" s="2" t="s">
        <v>184</v>
      </c>
      <c r="J41" s="3" t="str">
        <f>HYPERLINK("https://www.boe.es/gazeta/dias/1811/09/14/pdfs/GMD-1811-257.pdf#page=4","Abrir facsímil")</f>
        <v>Abrir facsímil</v>
      </c>
      <c r="K41" s="3" t="s">
        <v>150</v>
      </c>
    </row>
    <row r="42" spans="1:11" ht="42" customHeight="1">
      <c r="A42" s="2" t="s">
        <v>180</v>
      </c>
      <c r="B42" s="2" t="s">
        <v>181</v>
      </c>
      <c r="C42" s="2" t="s">
        <v>26</v>
      </c>
      <c r="D42" s="2" t="s">
        <v>18</v>
      </c>
      <c r="E42" s="4">
        <v>-32204</v>
      </c>
      <c r="F42" s="3" t="s">
        <v>177</v>
      </c>
      <c r="G42" s="3" t="s">
        <v>178</v>
      </c>
      <c r="H42" s="2" t="s">
        <v>148</v>
      </c>
      <c r="I42" s="2" t="s">
        <v>185</v>
      </c>
      <c r="J42" s="3" t="str">
        <f>HYPERLINK("https://www.boe.es/gazeta/dias/1811/10/29/pdfs/GMD-1811-302.pdf#page=4","Abrir facsímil")</f>
        <v>Abrir facsímil</v>
      </c>
      <c r="K42" s="3" t="s">
        <v>150</v>
      </c>
    </row>
    <row r="43" spans="1:11" ht="42" customHeight="1">
      <c r="A43" s="2" t="s">
        <v>186</v>
      </c>
      <c r="B43" s="2" t="s">
        <v>186</v>
      </c>
      <c r="C43" s="2" t="s">
        <v>17</v>
      </c>
      <c r="D43" s="2" t="s">
        <v>156</v>
      </c>
      <c r="E43" s="4">
        <v>-32255</v>
      </c>
      <c r="F43" s="3" t="s">
        <v>187</v>
      </c>
      <c r="G43" s="3" t="s">
        <v>188</v>
      </c>
      <c r="H43" s="2" t="s">
        <v>148</v>
      </c>
      <c r="I43" s="2" t="s">
        <v>189</v>
      </c>
      <c r="J43" s="3" t="str">
        <f>HYPERLINK("https://www.boe.es/gazeta/dias/1811/09/08/pdfs/GMD-1811-251.pdf#page=2","Abrir facsímil")</f>
        <v>Abrir facsímil</v>
      </c>
      <c r="K43" s="3" t="s">
        <v>150</v>
      </c>
    </row>
    <row r="44" spans="1:11" ht="42" customHeight="1">
      <c r="A44" s="2" t="s">
        <v>186</v>
      </c>
      <c r="B44" s="2" t="s">
        <v>186</v>
      </c>
      <c r="C44" s="2" t="s">
        <v>17</v>
      </c>
      <c r="D44" s="2" t="s">
        <v>156</v>
      </c>
      <c r="E44" s="4">
        <v>-32235</v>
      </c>
      <c r="F44" s="3" t="s">
        <v>190</v>
      </c>
      <c r="G44" s="3" t="s">
        <v>191</v>
      </c>
      <c r="H44" s="2" t="s">
        <v>148</v>
      </c>
      <c r="I44" s="2" t="s">
        <v>192</v>
      </c>
      <c r="J44" s="3" t="str">
        <f>HYPERLINK("https://www.boe.es/gazeta/dias/1811/09/28/pdfs/GEI-1811-125.pdf#page=3","Abrir facsímil")</f>
        <v>Abrir facsímil</v>
      </c>
      <c r="K44" s="3" t="s">
        <v>150</v>
      </c>
    </row>
    <row r="45" spans="1:11" ht="42" customHeight="1">
      <c r="A45" s="2" t="s">
        <v>186</v>
      </c>
      <c r="B45" s="2" t="s">
        <v>186</v>
      </c>
      <c r="C45" s="2" t="s">
        <v>17</v>
      </c>
      <c r="D45" s="2" t="s">
        <v>156</v>
      </c>
      <c r="E45" s="4">
        <v>-32207</v>
      </c>
      <c r="F45" s="3" t="s">
        <v>152</v>
      </c>
      <c r="G45" s="3" t="s">
        <v>193</v>
      </c>
      <c r="H45" s="2" t="s">
        <v>148</v>
      </c>
      <c r="I45" s="2" t="s">
        <v>194</v>
      </c>
      <c r="J45" s="3" t="str">
        <f>HYPERLINK("https://www.boe.es/gazeta/dias/1811/10/26/pdfs/GEI-1811-138.pdf#page=7","Abrir facsímil")</f>
        <v>Abrir facsímil</v>
      </c>
      <c r="K45" s="3" t="s">
        <v>150</v>
      </c>
    </row>
    <row r="46" spans="1:11" ht="42" customHeight="1">
      <c r="A46" s="2" t="s">
        <v>186</v>
      </c>
      <c r="B46" s="2" t="s">
        <v>186</v>
      </c>
      <c r="C46" s="2" t="s">
        <v>17</v>
      </c>
      <c r="D46" s="2" t="s">
        <v>18</v>
      </c>
      <c r="E46" s="4">
        <v>-32167</v>
      </c>
      <c r="F46" s="3" t="s">
        <v>195</v>
      </c>
      <c r="G46" s="3" t="s">
        <v>196</v>
      </c>
      <c r="H46" s="2" t="s">
        <v>148</v>
      </c>
      <c r="I46" s="2" t="s">
        <v>197</v>
      </c>
      <c r="J46" s="3" t="str">
        <f>HYPERLINK("https://www.boe.es/gazeta/dias/1811/12/05/pdfs/GEI-1811-158.pdf#page=1","Abrir facsímil")</f>
        <v>Abrir facsímil</v>
      </c>
      <c r="K46" s="3" t="s">
        <v>150</v>
      </c>
    </row>
    <row r="47" spans="1:11" ht="42" customHeight="1">
      <c r="A47" s="2" t="s">
        <v>186</v>
      </c>
      <c r="B47" s="2" t="s">
        <v>186</v>
      </c>
      <c r="C47" s="2" t="s">
        <v>17</v>
      </c>
      <c r="D47" s="2" t="s">
        <v>18</v>
      </c>
      <c r="E47" s="4">
        <v>-32167</v>
      </c>
      <c r="F47" s="3" t="s">
        <v>195</v>
      </c>
      <c r="G47" s="3" t="s">
        <v>198</v>
      </c>
      <c r="H47" s="2" t="s">
        <v>148</v>
      </c>
      <c r="I47" s="2" t="s">
        <v>199</v>
      </c>
      <c r="J47" s="3" t="str">
        <f>HYPERLINK("https://www.boe.es/gazeta/dias/1811/12/05/pdfs/GEI-1811-158.pdf#page=2","Abrir facsímil")</f>
        <v>Abrir facsímil</v>
      </c>
      <c r="K47" s="3" t="s">
        <v>150</v>
      </c>
    </row>
    <row r="48" spans="1:11" ht="42" customHeight="1">
      <c r="A48" s="2" t="s">
        <v>186</v>
      </c>
      <c r="B48" s="2" t="s">
        <v>186</v>
      </c>
      <c r="C48" s="2" t="s">
        <v>17</v>
      </c>
      <c r="D48" s="2" t="s">
        <v>18</v>
      </c>
      <c r="E48" s="4">
        <v>-32157</v>
      </c>
      <c r="F48" s="3" t="s">
        <v>200</v>
      </c>
      <c r="G48" s="3" t="s">
        <v>39</v>
      </c>
      <c r="H48" s="2" t="s">
        <v>148</v>
      </c>
      <c r="I48" s="2" t="s">
        <v>201</v>
      </c>
      <c r="J48" s="3" t="str">
        <f>HYPERLINK("https://www.boe.es/gazeta/dias/1811/12/15/pdfs/GMD-1811-349.pdf#page=1","Abrir facsímil")</f>
        <v>Abrir facsímil</v>
      </c>
      <c r="K48" s="3" t="s">
        <v>150</v>
      </c>
    </row>
    <row r="49" spans="1:11" ht="42" customHeight="1">
      <c r="A49" s="2" t="s">
        <v>202</v>
      </c>
      <c r="B49" s="2" t="s">
        <v>203</v>
      </c>
      <c r="C49" s="2" t="s">
        <v>122</v>
      </c>
      <c r="D49" s="2" t="s">
        <v>204</v>
      </c>
      <c r="E49" s="4">
        <v>-32160</v>
      </c>
      <c r="F49" s="3" t="s">
        <v>205</v>
      </c>
      <c r="G49" s="3" t="s">
        <v>115</v>
      </c>
      <c r="H49" s="2" t="s">
        <v>148</v>
      </c>
      <c r="I49" s="2" t="s">
        <v>206</v>
      </c>
      <c r="J49" s="3" t="str">
        <f>HYPERLINK("https://www.boe.es/gazeta/dias/1811/12/12/pdfs/GMD-1811-346.pdf#page=3","Abrir facsímil")</f>
        <v>Abrir facsímil</v>
      </c>
      <c r="K49" s="3" t="s">
        <v>150</v>
      </c>
    </row>
    <row r="50" spans="1:11" ht="42" customHeight="1">
      <c r="A50" s="2" t="s">
        <v>207</v>
      </c>
      <c r="B50" s="2" t="s">
        <v>208</v>
      </c>
      <c r="C50" s="2" t="s">
        <v>26</v>
      </c>
      <c r="D50" s="2" t="s">
        <v>18</v>
      </c>
      <c r="E50" s="4">
        <v>-32433</v>
      </c>
      <c r="F50" s="3" t="s">
        <v>209</v>
      </c>
      <c r="G50" s="3" t="s">
        <v>115</v>
      </c>
      <c r="H50" s="2" t="s">
        <v>148</v>
      </c>
      <c r="I50" s="2" t="s">
        <v>210</v>
      </c>
      <c r="J50" s="3" t="str">
        <f>HYPERLINK("https://www.boe.es/gazeta/dias/1811/03/14/pdfs/GMD-1811-73.pdf#page=3","Abrir facsímil")</f>
        <v>Abrir facsímil</v>
      </c>
      <c r="K50" s="3" t="s">
        <v>150</v>
      </c>
    </row>
    <row r="51" spans="1:11" ht="42" customHeight="1">
      <c r="A51" s="2" t="s">
        <v>211</v>
      </c>
      <c r="B51" s="2" t="s">
        <v>212</v>
      </c>
      <c r="C51" s="2" t="s">
        <v>26</v>
      </c>
      <c r="D51" s="2" t="s">
        <v>18</v>
      </c>
      <c r="E51" s="4">
        <v>-32414</v>
      </c>
      <c r="F51" s="3" t="s">
        <v>213</v>
      </c>
      <c r="G51" s="3" t="s">
        <v>214</v>
      </c>
      <c r="H51" s="2" t="s">
        <v>148</v>
      </c>
      <c r="I51" s="2" t="s">
        <v>215</v>
      </c>
      <c r="J51" s="3" t="str">
        <f>HYPERLINK("https://www.boe.es/gazeta/dias/1811/04/02/pdfs/GEI-1811-45.pdf#page=6","Abrir facsímil")</f>
        <v>Abrir facsímil</v>
      </c>
      <c r="K51" s="3" t="s">
        <v>150</v>
      </c>
    </row>
    <row r="52" spans="1:11" ht="42" customHeight="1">
      <c r="A52" s="2" t="s">
        <v>216</v>
      </c>
      <c r="B52" s="2" t="s">
        <v>217</v>
      </c>
      <c r="C52" s="2" t="s">
        <v>26</v>
      </c>
      <c r="D52" s="2" t="s">
        <v>18</v>
      </c>
      <c r="E52" s="4">
        <v>-32300</v>
      </c>
      <c r="F52" s="3" t="s">
        <v>61</v>
      </c>
      <c r="G52" s="3" t="s">
        <v>62</v>
      </c>
      <c r="H52" s="2" t="s">
        <v>148</v>
      </c>
      <c r="I52" s="2" t="s">
        <v>218</v>
      </c>
      <c r="J52" s="3" t="str">
        <f>HYPERLINK("https://www.boe.es/gazeta/dias/1811/07/25/pdfs/GEI-1811-97.pdf#page=5","Abrir facsímil")</f>
        <v>Abrir facsímil</v>
      </c>
      <c r="K52" s="3" t="s">
        <v>150</v>
      </c>
    </row>
    <row r="53" spans="1:11" ht="42" customHeight="1">
      <c r="A53" s="2" t="s">
        <v>219</v>
      </c>
      <c r="B53" s="2" t="s">
        <v>220</v>
      </c>
      <c r="C53" s="2" t="s">
        <v>17</v>
      </c>
      <c r="D53" s="2" t="s">
        <v>18</v>
      </c>
      <c r="E53" s="4">
        <v>-32300</v>
      </c>
      <c r="F53" s="3" t="s">
        <v>61</v>
      </c>
      <c r="G53" s="3" t="s">
        <v>221</v>
      </c>
      <c r="H53" s="2" t="s">
        <v>148</v>
      </c>
      <c r="I53" s="2" t="s">
        <v>222</v>
      </c>
      <c r="J53" s="3" t="str">
        <f>HYPERLINK("https://www.boe.es/gazeta/dias/1811/07/25/pdfs/GEI-1811-97.pdf#page=4","Abrir facsímil")</f>
        <v>Abrir facsímil</v>
      </c>
      <c r="K53" s="3" t="s">
        <v>150</v>
      </c>
    </row>
    <row r="54" spans="1:11" ht="42" customHeight="1">
      <c r="A54" s="2" t="s">
        <v>223</v>
      </c>
      <c r="B54" s="2" t="s">
        <v>223</v>
      </c>
      <c r="C54" s="2" t="s">
        <v>17</v>
      </c>
      <c r="D54" s="2" t="s">
        <v>18</v>
      </c>
      <c r="E54" s="4">
        <v>-32435</v>
      </c>
      <c r="F54" s="3" t="s">
        <v>224</v>
      </c>
      <c r="G54" s="3" t="s">
        <v>129</v>
      </c>
      <c r="H54" s="2" t="s">
        <v>148</v>
      </c>
      <c r="I54" s="2" t="s">
        <v>225</v>
      </c>
      <c r="J54" s="3" t="str">
        <f>HYPERLINK("https://www.boe.es/gazeta/dias/1811/03/12/pdfs/GEI-1811-35.pdf#page=2","Abrir facsímil")</f>
        <v>Abrir facsímil</v>
      </c>
      <c r="K54" s="3" t="s">
        <v>150</v>
      </c>
    </row>
    <row r="55" spans="1:11" ht="42" customHeight="1">
      <c r="A55" s="2" t="s">
        <v>226</v>
      </c>
      <c r="B55" s="2" t="s">
        <v>226</v>
      </c>
      <c r="C55" s="2" t="s">
        <v>17</v>
      </c>
      <c r="D55" s="2" t="s">
        <v>18</v>
      </c>
      <c r="E55" s="4">
        <v>-32459</v>
      </c>
      <c r="F55" s="3" t="s">
        <v>227</v>
      </c>
      <c r="G55" s="3" t="s">
        <v>228</v>
      </c>
      <c r="H55" s="2" t="s">
        <v>148</v>
      </c>
      <c r="I55" s="2" t="s">
        <v>229</v>
      </c>
      <c r="J55" s="3" t="str">
        <f>HYPERLINK("https://www.boe.es/gazeta/dias/1811/02/16/pdfs/GMD-1811-47.pdf#page=3","Abrir facsímil")</f>
        <v>Abrir facsímil</v>
      </c>
      <c r="K55" s="3" t="s">
        <v>150</v>
      </c>
    </row>
    <row r="56" spans="1:11" ht="42" customHeight="1">
      <c r="A56" s="2" t="s">
        <v>226</v>
      </c>
      <c r="B56" s="2" t="s">
        <v>226</v>
      </c>
      <c r="C56" s="2" t="s">
        <v>17</v>
      </c>
      <c r="D56" s="2" t="s">
        <v>105</v>
      </c>
      <c r="E56" s="4">
        <v>-32277</v>
      </c>
      <c r="F56" s="3" t="s">
        <v>230</v>
      </c>
      <c r="G56" s="3" t="s">
        <v>231</v>
      </c>
      <c r="H56" s="2" t="s">
        <v>148</v>
      </c>
      <c r="I56" s="2" t="s">
        <v>232</v>
      </c>
      <c r="J56" s="3" t="str">
        <f>HYPERLINK("https://www.boe.es/gazeta/dias/1811/08/17/pdfs/GMD-1811-229.pdf#page=4","Abrir facsímil")</f>
        <v>Abrir facsímil</v>
      </c>
      <c r="K56" s="3" t="s">
        <v>150</v>
      </c>
    </row>
    <row r="57" spans="1:11" ht="42" customHeight="1">
      <c r="A57" s="2" t="s">
        <v>233</v>
      </c>
      <c r="B57" s="2" t="s">
        <v>234</v>
      </c>
      <c r="C57" s="2" t="s">
        <v>17</v>
      </c>
      <c r="D57" s="2" t="s">
        <v>18</v>
      </c>
      <c r="E57" s="4">
        <v>-32153</v>
      </c>
      <c r="F57" s="3" t="s">
        <v>235</v>
      </c>
      <c r="G57" s="3" t="s">
        <v>236</v>
      </c>
      <c r="H57" s="2" t="s">
        <v>148</v>
      </c>
      <c r="I57" s="2" t="s">
        <v>237</v>
      </c>
      <c r="J57" s="3" t="str">
        <f>HYPERLINK("https://www.boe.es/gazeta/dias/1811/12/19/pdfs/GEI-1811-164.pdf#page=7","Abrir facsímil")</f>
        <v>Abrir facsímil</v>
      </c>
      <c r="K57" s="3" t="s">
        <v>150</v>
      </c>
    </row>
    <row r="58" spans="1:11" ht="42" customHeight="1">
      <c r="A58" s="2" t="s">
        <v>238</v>
      </c>
      <c r="B58" s="2" t="s">
        <v>238</v>
      </c>
      <c r="C58" s="2" t="s">
        <v>17</v>
      </c>
      <c r="D58" s="2" t="s">
        <v>156</v>
      </c>
      <c r="E58" s="4">
        <v>-32349</v>
      </c>
      <c r="F58" s="3" t="s">
        <v>239</v>
      </c>
      <c r="G58" s="3" t="s">
        <v>240</v>
      </c>
      <c r="H58" s="2" t="s">
        <v>148</v>
      </c>
      <c r="I58" s="2" t="s">
        <v>241</v>
      </c>
      <c r="J58" s="3" t="str">
        <f>HYPERLINK("https://www.boe.es/gazeta/dias/1811/06/06/pdfs/GEI-1811-76.pdf#page=6","Abrir facsímil")</f>
        <v>Abrir facsímil</v>
      </c>
      <c r="K58" s="3" t="s">
        <v>150</v>
      </c>
    </row>
    <row r="59" spans="1:11" ht="42" customHeight="1">
      <c r="A59" s="2" t="s">
        <v>242</v>
      </c>
      <c r="B59" s="2" t="s">
        <v>243</v>
      </c>
      <c r="C59" s="2" t="s">
        <v>17</v>
      </c>
      <c r="D59" s="2" t="s">
        <v>204</v>
      </c>
      <c r="E59" s="4">
        <v>-32426</v>
      </c>
      <c r="F59" s="3" t="s">
        <v>244</v>
      </c>
      <c r="G59" s="3" t="s">
        <v>245</v>
      </c>
      <c r="H59" s="2" t="s">
        <v>148</v>
      </c>
      <c r="I59" s="2" t="s">
        <v>246</v>
      </c>
      <c r="J59" s="3" t="str">
        <f>HYPERLINK("https://www.boe.es/gazeta/dias/1811/03/21/pdfs/GMD-1811-80.pdf#page=2","Abrir facsímil")</f>
        <v>Abrir facsímil</v>
      </c>
      <c r="K59" s="3" t="s">
        <v>150</v>
      </c>
    </row>
    <row r="60" spans="1:11" ht="42" customHeight="1">
      <c r="A60" s="2" t="s">
        <v>247</v>
      </c>
      <c r="B60" s="2" t="s">
        <v>247</v>
      </c>
      <c r="C60" s="2" t="s">
        <v>17</v>
      </c>
      <c r="D60" s="2" t="s">
        <v>156</v>
      </c>
      <c r="E60" s="4">
        <v>-32426</v>
      </c>
      <c r="F60" s="3" t="s">
        <v>244</v>
      </c>
      <c r="G60" s="3" t="s">
        <v>248</v>
      </c>
      <c r="H60" s="2" t="s">
        <v>148</v>
      </c>
      <c r="I60" s="2" t="s">
        <v>249</v>
      </c>
      <c r="J60" s="3" t="str">
        <f>HYPERLINK("https://www.boe.es/gazeta/dias/1811/03/21/pdfs/GMD-1811-80.pdf#page=1","Abrir facsímil")</f>
        <v>Abrir facsímil</v>
      </c>
      <c r="K60" s="3" t="s">
        <v>150</v>
      </c>
    </row>
    <row r="61" spans="1:11" ht="42" customHeight="1">
      <c r="A61" s="2" t="s">
        <v>247</v>
      </c>
      <c r="B61" s="2" t="s">
        <v>247</v>
      </c>
      <c r="C61" s="2" t="s">
        <v>17</v>
      </c>
      <c r="D61" s="2" t="s">
        <v>18</v>
      </c>
      <c r="E61" s="4">
        <v>-32426</v>
      </c>
      <c r="F61" s="3" t="s">
        <v>244</v>
      </c>
      <c r="G61" s="3" t="s">
        <v>245</v>
      </c>
      <c r="H61" s="2" t="s">
        <v>148</v>
      </c>
      <c r="I61" s="2" t="s">
        <v>250</v>
      </c>
      <c r="J61" s="3" t="str">
        <f>HYPERLINK("https://www.boe.es/gazeta/dias/1811/03/21/pdfs/GMD-1811-80.pdf#page=2","Abrir facsímil")</f>
        <v>Abrir facsímil</v>
      </c>
      <c r="K61" s="3" t="s">
        <v>150</v>
      </c>
    </row>
    <row r="62" spans="1:11" ht="42" customHeight="1">
      <c r="A62" s="2" t="s">
        <v>251</v>
      </c>
      <c r="B62" s="2" t="s">
        <v>251</v>
      </c>
      <c r="C62" s="2" t="s">
        <v>17</v>
      </c>
      <c r="D62" s="2" t="s">
        <v>204</v>
      </c>
      <c r="E62" s="4">
        <v>-32391</v>
      </c>
      <c r="F62" s="3" t="s">
        <v>252</v>
      </c>
      <c r="G62" s="3" t="s">
        <v>253</v>
      </c>
      <c r="H62" s="2" t="s">
        <v>148</v>
      </c>
      <c r="I62" s="2" t="s">
        <v>254</v>
      </c>
      <c r="J62" s="3" t="str">
        <f>HYPERLINK("https://www.boe.es/gazeta/dias/1811/04/25/pdfs/GEI-1811-55.pdf#page=3","Abrir facsímil")</f>
        <v>Abrir facsímil</v>
      </c>
      <c r="K62" s="3" t="s">
        <v>150</v>
      </c>
    </row>
    <row r="63" spans="1:11" ht="42" customHeight="1">
      <c r="A63" s="2" t="s">
        <v>255</v>
      </c>
      <c r="B63" s="2" t="s">
        <v>255</v>
      </c>
      <c r="C63" s="2" t="s">
        <v>17</v>
      </c>
      <c r="D63" s="2" t="s">
        <v>204</v>
      </c>
      <c r="E63" s="4">
        <v>-32391</v>
      </c>
      <c r="F63" s="3" t="s">
        <v>252</v>
      </c>
      <c r="G63" s="3" t="s">
        <v>256</v>
      </c>
      <c r="H63" s="2" t="s">
        <v>148</v>
      </c>
      <c r="I63" s="2" t="s">
        <v>257</v>
      </c>
      <c r="J63" s="3" t="str">
        <f>HYPERLINK("https://www.boe.es/gazeta/dias/1811/04/25/pdfs/GEI-1811-55.pdf#page=1","Abrir facsímil")</f>
        <v>Abrir facsímil</v>
      </c>
      <c r="K63" s="3" t="s">
        <v>150</v>
      </c>
    </row>
    <row r="64" spans="1:11" ht="42" customHeight="1">
      <c r="A64" s="2" t="s">
        <v>258</v>
      </c>
      <c r="B64" s="2" t="s">
        <v>258</v>
      </c>
      <c r="C64" s="2" t="s">
        <v>17</v>
      </c>
      <c r="D64" s="2" t="s">
        <v>18</v>
      </c>
      <c r="E64" s="4">
        <v>-32475</v>
      </c>
      <c r="F64" s="3" t="s">
        <v>259</v>
      </c>
      <c r="G64" s="3" t="s">
        <v>20</v>
      </c>
      <c r="H64" s="2" t="s">
        <v>148</v>
      </c>
      <c r="I64" s="2" t="s">
        <v>260</v>
      </c>
      <c r="J64" s="3" t="str">
        <f>HYPERLINK("https://www.boe.es/gazeta/dias/1811/01/31/pdfs/GMD-1811-31.pdf#page=4","Abrir facsímil")</f>
        <v>Abrir facsímil</v>
      </c>
      <c r="K64" s="3" t="s">
        <v>150</v>
      </c>
    </row>
    <row r="65" spans="1:11" ht="42" customHeight="1">
      <c r="A65" s="2" t="s">
        <v>261</v>
      </c>
      <c r="B65" s="2" t="s">
        <v>262</v>
      </c>
      <c r="C65" s="2" t="s">
        <v>17</v>
      </c>
      <c r="D65" s="2" t="s">
        <v>18</v>
      </c>
      <c r="E65" s="4">
        <v>-32155</v>
      </c>
      <c r="F65" s="3" t="s">
        <v>263</v>
      </c>
      <c r="G65" s="3" t="s">
        <v>264</v>
      </c>
      <c r="H65" s="2" t="s">
        <v>148</v>
      </c>
      <c r="I65" s="2" t="s">
        <v>265</v>
      </c>
      <c r="J65" s="3" t="str">
        <f>HYPERLINK("https://www.boe.es/gazeta/dias/1811/12/17/pdfs/GEI-1811-163.pdf#page=8","Abrir facsímil")</f>
        <v>Abrir facsímil</v>
      </c>
      <c r="K65" s="3" t="s">
        <v>150</v>
      </c>
    </row>
    <row r="66" spans="1:11" ht="42" customHeight="1">
      <c r="A66" s="2" t="s">
        <v>266</v>
      </c>
      <c r="B66" s="2" t="s">
        <v>267</v>
      </c>
      <c r="C66" s="2" t="s">
        <v>26</v>
      </c>
      <c r="D66" s="2" t="s">
        <v>18</v>
      </c>
      <c r="E66" s="4">
        <v>-32200</v>
      </c>
      <c r="F66" s="3" t="s">
        <v>109</v>
      </c>
      <c r="G66" s="3" t="s">
        <v>268</v>
      </c>
      <c r="H66" s="2" t="s">
        <v>148</v>
      </c>
      <c r="I66" s="2" t="s">
        <v>269</v>
      </c>
      <c r="J66" s="3" t="str">
        <f>HYPERLINK("https://www.boe.es/gazeta/dias/1811/11/02/pdfs/GEI-1811-141.pdf#page=7","Abrir facsímil")</f>
        <v>Abrir facsímil</v>
      </c>
      <c r="K66" s="3" t="s">
        <v>150</v>
      </c>
    </row>
    <row r="67" spans="1:11" ht="42" customHeight="1">
      <c r="A67" s="2" t="s">
        <v>270</v>
      </c>
      <c r="B67" s="2" t="s">
        <v>270</v>
      </c>
      <c r="C67" s="2" t="s">
        <v>17</v>
      </c>
      <c r="D67" s="2" t="s">
        <v>18</v>
      </c>
      <c r="E67" s="4">
        <v>-32373</v>
      </c>
      <c r="F67" s="3" t="s">
        <v>271</v>
      </c>
      <c r="G67" s="3" t="s">
        <v>272</v>
      </c>
      <c r="H67" s="2" t="s">
        <v>148</v>
      </c>
      <c r="I67" s="2" t="s">
        <v>273</v>
      </c>
      <c r="J67" s="3" t="str">
        <f>HYPERLINK("https://www.boe.es/gazeta/dias/1811/05/13/pdfs/GMD-1811-133.pdf#page=2","Abrir facsímil")</f>
        <v>Abrir facsímil</v>
      </c>
      <c r="K67" s="3" t="s">
        <v>150</v>
      </c>
    </row>
    <row r="68" spans="1:11" ht="42" customHeight="1">
      <c r="A68" s="2" t="s">
        <v>274</v>
      </c>
      <c r="B68" s="2" t="s">
        <v>274</v>
      </c>
      <c r="C68" s="2" t="s">
        <v>26</v>
      </c>
      <c r="D68" s="2" t="s">
        <v>18</v>
      </c>
      <c r="E68" s="4">
        <v>-32184</v>
      </c>
      <c r="F68" s="3" t="s">
        <v>275</v>
      </c>
      <c r="G68" s="3" t="s">
        <v>47</v>
      </c>
      <c r="H68" s="2" t="s">
        <v>148</v>
      </c>
      <c r="I68" s="2" t="s">
        <v>276</v>
      </c>
      <c r="J68" s="3" t="str">
        <f>HYPERLINK("https://www.boe.es/gazeta/dias/1811/11/18/pdfs/GMD-1811-322.pdf#page=3","Abrir facsímil")</f>
        <v>Abrir facsímil</v>
      </c>
      <c r="K68" s="3" t="s">
        <v>150</v>
      </c>
    </row>
    <row r="69" spans="1:11" ht="42" customHeight="1">
      <c r="A69" s="2" t="s">
        <v>277</v>
      </c>
      <c r="B69" s="2" t="s">
        <v>278</v>
      </c>
      <c r="C69" s="2" t="s">
        <v>26</v>
      </c>
      <c r="D69" s="2" t="s">
        <v>18</v>
      </c>
      <c r="E69" s="4">
        <v>-32295</v>
      </c>
      <c r="F69" s="3" t="s">
        <v>279</v>
      </c>
      <c r="G69" s="3" t="s">
        <v>280</v>
      </c>
      <c r="H69" s="2" t="s">
        <v>148</v>
      </c>
      <c r="I69" s="2" t="s">
        <v>281</v>
      </c>
      <c r="J69" s="3" t="str">
        <f>HYPERLINK("https://www.boe.es/gazeta/dias/1811/07/30/pdfs/GEI-1811-99.pdf#page=4","Abrir facsímil")</f>
        <v>Abrir facsímil</v>
      </c>
      <c r="K69" s="3" t="s">
        <v>150</v>
      </c>
    </row>
    <row r="70" spans="1:11" ht="42" customHeight="1">
      <c r="A70" s="2" t="s">
        <v>277</v>
      </c>
      <c r="B70" s="2" t="s">
        <v>278</v>
      </c>
      <c r="C70" s="2" t="s">
        <v>17</v>
      </c>
      <c r="D70" s="2" t="s">
        <v>18</v>
      </c>
      <c r="E70" s="4">
        <v>-32256</v>
      </c>
      <c r="F70" s="3" t="s">
        <v>161</v>
      </c>
      <c r="G70" s="3" t="s">
        <v>282</v>
      </c>
      <c r="H70" s="2" t="s">
        <v>148</v>
      </c>
      <c r="I70" s="2" t="s">
        <v>283</v>
      </c>
      <c r="J70" s="3" t="str">
        <f>HYPERLINK("https://www.boe.es/gazeta/dias/1811/09/07/pdfs/GEI-1811-116.pdf#page=4","Abrir facsímil")</f>
        <v>Abrir facsímil</v>
      </c>
      <c r="K70" s="3" t="s">
        <v>150</v>
      </c>
    </row>
    <row r="71" spans="1:11" ht="42" customHeight="1">
      <c r="A71" s="2" t="s">
        <v>277</v>
      </c>
      <c r="B71" s="2" t="s">
        <v>278</v>
      </c>
      <c r="C71" s="2" t="s">
        <v>17</v>
      </c>
      <c r="D71" s="2" t="s">
        <v>105</v>
      </c>
      <c r="E71" s="4">
        <v>-32155</v>
      </c>
      <c r="F71" s="3" t="s">
        <v>263</v>
      </c>
      <c r="G71" s="3" t="s">
        <v>284</v>
      </c>
      <c r="H71" s="2" t="s">
        <v>148</v>
      </c>
      <c r="I71" s="2" t="s">
        <v>285</v>
      </c>
      <c r="J71" s="3" t="str">
        <f>HYPERLINK("https://www.boe.es/gazeta/dias/1811/12/17/pdfs/GEI-1811-163.pdf#page=2","Abrir facsímil")</f>
        <v>Abrir facsímil</v>
      </c>
      <c r="K71" s="3" t="s">
        <v>150</v>
      </c>
    </row>
    <row r="72" spans="1:11" ht="42" customHeight="1">
      <c r="A72" s="2" t="s">
        <v>286</v>
      </c>
      <c r="B72" s="2" t="s">
        <v>287</v>
      </c>
      <c r="C72" s="2" t="s">
        <v>26</v>
      </c>
      <c r="D72" s="2" t="s">
        <v>18</v>
      </c>
      <c r="E72" s="4">
        <v>-32153</v>
      </c>
      <c r="F72" s="3" t="s">
        <v>123</v>
      </c>
      <c r="G72" s="3" t="s">
        <v>288</v>
      </c>
      <c r="H72" s="2" t="s">
        <v>148</v>
      </c>
      <c r="I72" s="2" t="s">
        <v>289</v>
      </c>
      <c r="J72" s="3" t="str">
        <f>HYPERLINK("https://www.boe.es/gazeta/dias/1811/12/19/pdfs/GMD-1811-353.pdf#page=4","Abrir facsímil")</f>
        <v>Abrir facsímil</v>
      </c>
      <c r="K72" s="3" t="s">
        <v>150</v>
      </c>
    </row>
    <row r="73" spans="1:11" ht="42" customHeight="1">
      <c r="A73" s="2" t="s">
        <v>290</v>
      </c>
      <c r="B73" s="2" t="s">
        <v>291</v>
      </c>
      <c r="C73" s="2" t="s">
        <v>17</v>
      </c>
      <c r="D73" s="2" t="s">
        <v>156</v>
      </c>
      <c r="E73" s="4">
        <v>-32333</v>
      </c>
      <c r="F73" s="3" t="s">
        <v>292</v>
      </c>
      <c r="G73" s="3" t="s">
        <v>293</v>
      </c>
      <c r="H73" s="2" t="s">
        <v>148</v>
      </c>
      <c r="I73" s="2" t="s">
        <v>294</v>
      </c>
      <c r="J73" s="3" t="str">
        <f>HYPERLINK("https://www.boe.es/gazeta/dias/1811/06/22/pdfs/GEI-1811-83.pdf#page=8","Abrir facsímil")</f>
        <v>Abrir facsímil</v>
      </c>
      <c r="K73" s="3" t="s">
        <v>150</v>
      </c>
    </row>
    <row r="74" spans="1:11" ht="42" customHeight="1">
      <c r="A74" s="2" t="s">
        <v>295</v>
      </c>
      <c r="B74" s="2" t="s">
        <v>296</v>
      </c>
      <c r="C74" s="2" t="s">
        <v>26</v>
      </c>
      <c r="D74" s="2" t="s">
        <v>18</v>
      </c>
      <c r="E74" s="4">
        <v>-32153</v>
      </c>
      <c r="F74" s="3" t="s">
        <v>235</v>
      </c>
      <c r="G74" s="3" t="s">
        <v>236</v>
      </c>
      <c r="H74" s="2" t="s">
        <v>148</v>
      </c>
      <c r="I74" s="2" t="s">
        <v>297</v>
      </c>
      <c r="J74" s="3" t="str">
        <f>HYPERLINK("https://www.boe.es/gazeta/dias/1811/12/19/pdfs/GEI-1811-164.pdf#page=7","Abrir facsímil")</f>
        <v>Abrir facsímil</v>
      </c>
      <c r="K74" s="3" t="s">
        <v>150</v>
      </c>
    </row>
    <row r="75" spans="1:11" ht="42" customHeight="1">
      <c r="A75" s="2" t="s">
        <v>298</v>
      </c>
      <c r="B75" s="2" t="s">
        <v>299</v>
      </c>
      <c r="C75" s="2" t="s">
        <v>26</v>
      </c>
      <c r="D75" s="2" t="s">
        <v>18</v>
      </c>
      <c r="E75" s="4">
        <v>-32172</v>
      </c>
      <c r="F75" s="3" t="s">
        <v>300</v>
      </c>
      <c r="G75" s="3" t="s">
        <v>301</v>
      </c>
      <c r="H75" s="2" t="s">
        <v>148</v>
      </c>
      <c r="I75" s="2" t="s">
        <v>302</v>
      </c>
      <c r="J75" s="3" t="str">
        <f>HYPERLINK("https://www.boe.es/gazeta/dias/1811/11/30/pdfs/GMD-1811-334.pdf#page=4","Abrir facsímil")</f>
        <v>Abrir facsímil</v>
      </c>
      <c r="K75" s="3" t="s">
        <v>150</v>
      </c>
    </row>
    <row r="76" spans="1:11" ht="42" customHeight="1">
      <c r="A76" s="2" t="s">
        <v>303</v>
      </c>
      <c r="B76" s="2" t="s">
        <v>304</v>
      </c>
      <c r="C76" s="2" t="s">
        <v>26</v>
      </c>
      <c r="D76" s="2" t="s">
        <v>18</v>
      </c>
      <c r="E76" s="4">
        <v>-32172</v>
      </c>
      <c r="F76" s="3" t="s">
        <v>300</v>
      </c>
      <c r="G76" s="3" t="s">
        <v>305</v>
      </c>
      <c r="H76" s="2" t="s">
        <v>148</v>
      </c>
      <c r="I76" s="2" t="s">
        <v>306</v>
      </c>
      <c r="J76" s="3" t="str">
        <f>HYPERLINK("https://www.boe.es/gazeta/dias/1811/11/30/pdfs/GMD-1811-334.pdf#page=3","Abrir facsímil")</f>
        <v>Abrir facsímil</v>
      </c>
      <c r="K76" s="3" t="s">
        <v>150</v>
      </c>
    </row>
    <row r="77" spans="1:11" ht="42" customHeight="1">
      <c r="A77" s="2" t="s">
        <v>307</v>
      </c>
      <c r="B77" s="2" t="s">
        <v>307</v>
      </c>
      <c r="C77" s="2" t="s">
        <v>17</v>
      </c>
      <c r="D77" s="2" t="s">
        <v>18</v>
      </c>
      <c r="E77" s="4">
        <v>-32141</v>
      </c>
      <c r="F77" s="3" t="s">
        <v>308</v>
      </c>
      <c r="G77" s="3" t="s">
        <v>309</v>
      </c>
      <c r="H77" s="2" t="s">
        <v>148</v>
      </c>
      <c r="I77" s="2" t="s">
        <v>310</v>
      </c>
      <c r="J77" s="3" t="str">
        <f>HYPERLINK("https://www.boe.es/gazeta/dias/1811/12/31/pdfs/GEI-1811-169.pdf#page=3","Abrir facsímil")</f>
        <v>Abrir facsímil</v>
      </c>
      <c r="K77" s="3" t="s">
        <v>150</v>
      </c>
    </row>
    <row r="78" spans="1:11" ht="42" customHeight="1">
      <c r="A78" s="2" t="s">
        <v>311</v>
      </c>
      <c r="B78" s="2" t="s">
        <v>312</v>
      </c>
      <c r="C78" s="2" t="s">
        <v>26</v>
      </c>
      <c r="D78" s="2" t="s">
        <v>18</v>
      </c>
      <c r="E78" s="4">
        <v>-32151</v>
      </c>
      <c r="F78" s="3" t="s">
        <v>313</v>
      </c>
      <c r="G78" s="3" t="s">
        <v>44</v>
      </c>
      <c r="H78" s="2" t="s">
        <v>148</v>
      </c>
      <c r="I78" s="2" t="s">
        <v>314</v>
      </c>
      <c r="J78" s="3" t="str">
        <f>HYPERLINK("https://www.boe.es/gazeta/dias/1811/12/21/pdfs/GEI-1811-165.pdf#page=7","Abrir facsímil")</f>
        <v>Abrir facsímil</v>
      </c>
      <c r="K78" s="3" t="s">
        <v>150</v>
      </c>
    </row>
    <row r="79" spans="1:11" ht="42" customHeight="1">
      <c r="A79" s="2" t="s">
        <v>315</v>
      </c>
      <c r="B79" s="2" t="s">
        <v>316</v>
      </c>
      <c r="C79" s="2" t="s">
        <v>104</v>
      </c>
      <c r="D79" s="2" t="s">
        <v>18</v>
      </c>
      <c r="E79" s="4">
        <v>-32162</v>
      </c>
      <c r="F79" s="3" t="s">
        <v>317</v>
      </c>
      <c r="G79" s="3" t="s">
        <v>318</v>
      </c>
      <c r="H79" s="2" t="s">
        <v>148</v>
      </c>
      <c r="I79" s="2" t="s">
        <v>319</v>
      </c>
      <c r="J79" s="3" t="str">
        <f>HYPERLINK("https://www.boe.es/gazeta/dias/1811/12/10/pdfs/GEI-1811-160.pdf#page=8","Abrir facsímil")</f>
        <v>Abrir facsímil</v>
      </c>
      <c r="K79" s="3" t="s">
        <v>150</v>
      </c>
    </row>
    <row r="80" spans="1:11" ht="42" customHeight="1">
      <c r="A80" s="2" t="s">
        <v>320</v>
      </c>
      <c r="B80" s="2" t="s">
        <v>321</v>
      </c>
      <c r="C80" s="2" t="s">
        <v>17</v>
      </c>
      <c r="D80" s="2" t="s">
        <v>18</v>
      </c>
      <c r="E80" s="4">
        <v>-32323</v>
      </c>
      <c r="F80" s="3" t="s">
        <v>322</v>
      </c>
      <c r="G80" s="3" t="s">
        <v>323</v>
      </c>
      <c r="H80" s="2" t="s">
        <v>148</v>
      </c>
      <c r="I80" s="2" t="s">
        <v>324</v>
      </c>
      <c r="J80" s="3" t="str">
        <f>HYPERLINK("https://www.boe.es/gazeta/dias/1811/07/02/pdfs/GEI-1811-87.pdf#page=8","Abrir facsímil")</f>
        <v>Abrir facsímil</v>
      </c>
      <c r="K80" s="3" t="s">
        <v>150</v>
      </c>
    </row>
    <row r="81" spans="1:11" ht="42" customHeight="1">
      <c r="A81" s="2" t="s">
        <v>325</v>
      </c>
      <c r="B81" s="2" t="s">
        <v>326</v>
      </c>
      <c r="C81" s="2" t="s">
        <v>26</v>
      </c>
      <c r="D81" s="2" t="s">
        <v>18</v>
      </c>
      <c r="E81" s="4">
        <v>-32141</v>
      </c>
      <c r="F81" s="3" t="s">
        <v>327</v>
      </c>
      <c r="G81" s="3" t="s">
        <v>115</v>
      </c>
      <c r="H81" s="2" t="s">
        <v>148</v>
      </c>
      <c r="I81" s="2" t="s">
        <v>328</v>
      </c>
      <c r="J81" s="3" t="str">
        <f>HYPERLINK("https://www.boe.es/gazeta/dias/1811/12/31/pdfs/GMD-1811-365.pdf#page=3","Abrir facsímil")</f>
        <v>Abrir facsímil</v>
      </c>
      <c r="K81" s="3" t="s">
        <v>150</v>
      </c>
    </row>
    <row r="82" spans="1:11" ht="42" customHeight="1">
      <c r="A82" s="2" t="s">
        <v>329</v>
      </c>
      <c r="B82" s="2" t="s">
        <v>329</v>
      </c>
      <c r="C82" s="2" t="s">
        <v>17</v>
      </c>
      <c r="D82" s="2" t="s">
        <v>18</v>
      </c>
      <c r="E82" s="4">
        <v>-32198</v>
      </c>
      <c r="F82" s="3" t="s">
        <v>330</v>
      </c>
      <c r="G82" s="3" t="s">
        <v>331</v>
      </c>
      <c r="H82" s="2" t="s">
        <v>148</v>
      </c>
      <c r="I82" s="2" t="s">
        <v>332</v>
      </c>
      <c r="J82" s="3" t="str">
        <f>HYPERLINK("https://www.boe.es/gazeta/dias/1811/11/04/pdfs/GMD-1811-308.pdf#page=3","Abrir facsímil")</f>
        <v>Abrir facsímil</v>
      </c>
      <c r="K82" s="3" t="s">
        <v>150</v>
      </c>
    </row>
    <row r="83" spans="1:11" ht="42" customHeight="1">
      <c r="A83" s="2" t="s">
        <v>329</v>
      </c>
      <c r="B83" s="2" t="s">
        <v>329</v>
      </c>
      <c r="C83" s="2" t="s">
        <v>17</v>
      </c>
      <c r="D83" s="2" t="s">
        <v>18</v>
      </c>
      <c r="E83" s="4">
        <v>-32176</v>
      </c>
      <c r="F83" s="3" t="s">
        <v>333</v>
      </c>
      <c r="G83" s="3" t="s">
        <v>334</v>
      </c>
      <c r="H83" s="2" t="s">
        <v>148</v>
      </c>
      <c r="I83" s="2" t="s">
        <v>335</v>
      </c>
      <c r="J83" s="3" t="str">
        <f>HYPERLINK("https://www.boe.es/gazeta/dias/1811/11/26/pdfs/GMD-1811-330.pdf#page=3","Abrir facsímil")</f>
        <v>Abrir facsímil</v>
      </c>
      <c r="K83" s="3" t="s">
        <v>150</v>
      </c>
    </row>
    <row r="84" spans="1:11" ht="42" customHeight="1">
      <c r="A84" s="2" t="s">
        <v>336</v>
      </c>
      <c r="B84" s="2" t="s">
        <v>337</v>
      </c>
      <c r="C84" s="2" t="s">
        <v>26</v>
      </c>
      <c r="D84" s="2" t="s">
        <v>18</v>
      </c>
      <c r="E84" s="4">
        <v>-32384</v>
      </c>
      <c r="F84" s="3" t="s">
        <v>338</v>
      </c>
      <c r="G84" s="3" t="s">
        <v>339</v>
      </c>
      <c r="H84" s="2" t="s">
        <v>148</v>
      </c>
      <c r="I84" s="2" t="s">
        <v>340</v>
      </c>
      <c r="J84" s="3" t="str">
        <f>HYPERLINK("https://www.boe.es/gazeta/dias/1811/05/02/pdfs/GEI-1811-58.pdf#page=8","Abrir facsímil")</f>
        <v>Abrir facsímil</v>
      </c>
      <c r="K84" s="3" t="s">
        <v>150</v>
      </c>
    </row>
    <row r="85" spans="1:11" ht="42" customHeight="1">
      <c r="A85" s="2" t="s">
        <v>341</v>
      </c>
      <c r="B85" s="2" t="s">
        <v>341</v>
      </c>
      <c r="C85" s="2" t="s">
        <v>17</v>
      </c>
      <c r="D85" s="2" t="s">
        <v>18</v>
      </c>
      <c r="E85" s="4">
        <v>-32431</v>
      </c>
      <c r="F85" s="3" t="s">
        <v>342</v>
      </c>
      <c r="G85" s="3" t="s">
        <v>343</v>
      </c>
      <c r="H85" s="2" t="s">
        <v>148</v>
      </c>
      <c r="I85" s="2" t="s">
        <v>344</v>
      </c>
      <c r="J85" s="3" t="str">
        <f>HYPERLINK("https://www.boe.es/gazeta/dias/1811/03/16/pdfs/GEI-1811-38.pdf#page=5","Abrir facsímil")</f>
        <v>Abrir facsímil</v>
      </c>
      <c r="K85" s="3" t="s">
        <v>150</v>
      </c>
    </row>
    <row r="86" spans="1:11" ht="42" customHeight="1">
      <c r="A86" s="2" t="s">
        <v>345</v>
      </c>
      <c r="B86" s="2" t="s">
        <v>346</v>
      </c>
      <c r="C86" s="2" t="s">
        <v>26</v>
      </c>
      <c r="D86" s="2" t="s">
        <v>141</v>
      </c>
      <c r="E86" s="4">
        <v>-32167</v>
      </c>
      <c r="F86" s="3" t="s">
        <v>347</v>
      </c>
      <c r="G86" s="3" t="s">
        <v>183</v>
      </c>
      <c r="H86" s="2" t="s">
        <v>148</v>
      </c>
      <c r="I86" s="2" t="s">
        <v>348</v>
      </c>
      <c r="J86" s="3" t="str">
        <f>HYPERLINK("https://www.boe.es/gazeta/dias/1811/12/05/pdfs/GEI-D-1811-158.pdf#page=4","Abrir facsímil")</f>
        <v>Abrir facsímil</v>
      </c>
      <c r="K86" s="3" t="s">
        <v>150</v>
      </c>
    </row>
    <row r="87" spans="1:11" ht="42" customHeight="1">
      <c r="A87" s="2" t="s">
        <v>349</v>
      </c>
      <c r="B87" s="2" t="s">
        <v>350</v>
      </c>
      <c r="C87" s="2" t="s">
        <v>17</v>
      </c>
      <c r="D87" s="2" t="s">
        <v>156</v>
      </c>
      <c r="E87" s="4">
        <v>-32428</v>
      </c>
      <c r="F87" s="3" t="s">
        <v>351</v>
      </c>
      <c r="G87" s="3" t="s">
        <v>352</v>
      </c>
      <c r="H87" s="2" t="s">
        <v>148</v>
      </c>
      <c r="I87" s="2" t="s">
        <v>353</v>
      </c>
      <c r="J87" s="3" t="str">
        <f>HYPERLINK("https://www.boe.es/gazeta/dias/1811/03/19/pdfs/GMD-1811-78.pdf#page=4","Abrir facsímil")</f>
        <v>Abrir facsímil</v>
      </c>
      <c r="K87" s="3" t="s">
        <v>150</v>
      </c>
    </row>
    <row r="88" spans="1:11" ht="42" customHeight="1">
      <c r="A88" s="2" t="s">
        <v>354</v>
      </c>
      <c r="B88" s="2" t="s">
        <v>355</v>
      </c>
      <c r="C88" s="2" t="s">
        <v>26</v>
      </c>
      <c r="D88" s="2" t="s">
        <v>18</v>
      </c>
      <c r="E88" s="4">
        <v>-32188</v>
      </c>
      <c r="F88" s="3" t="s">
        <v>356</v>
      </c>
      <c r="G88" s="3" t="s">
        <v>248</v>
      </c>
      <c r="H88" s="2" t="s">
        <v>148</v>
      </c>
      <c r="I88" s="2" t="s">
        <v>357</v>
      </c>
      <c r="J88" s="3" t="str">
        <f>HYPERLINK("https://www.boe.es/gazeta/dias/1811/11/14/pdfs/GMD-1811-318.pdf#page=5","Abrir facsímil")</f>
        <v>Abrir facsímil</v>
      </c>
      <c r="K88" s="3" t="s">
        <v>150</v>
      </c>
    </row>
    <row r="89" spans="1:11" ht="42" customHeight="1">
      <c r="A89" s="2" t="s">
        <v>358</v>
      </c>
      <c r="B89" s="2" t="s">
        <v>358</v>
      </c>
      <c r="C89" s="2" t="s">
        <v>37</v>
      </c>
      <c r="D89" s="2" t="s">
        <v>18</v>
      </c>
      <c r="E89" s="4">
        <v>-32397</v>
      </c>
      <c r="F89" s="3" t="s">
        <v>359</v>
      </c>
      <c r="G89" s="3" t="s">
        <v>360</v>
      </c>
      <c r="H89" s="2" t="s">
        <v>148</v>
      </c>
      <c r="I89" s="2" t="s">
        <v>361</v>
      </c>
      <c r="J89" s="3" t="str">
        <f>HYPERLINK("https://www.boe.es/gazeta/dias/1811/04/19/pdfs/GMD-1811-109.pdf#page=1","Abrir facsímil")</f>
        <v>Abrir facsímil</v>
      </c>
      <c r="K89" s="3" t="s">
        <v>150</v>
      </c>
    </row>
    <row r="90" spans="1:11" ht="42" customHeight="1">
      <c r="A90" s="2" t="s">
        <v>362</v>
      </c>
      <c r="B90" s="2" t="s">
        <v>362</v>
      </c>
      <c r="C90" s="2" t="s">
        <v>17</v>
      </c>
      <c r="D90" s="2" t="s">
        <v>204</v>
      </c>
      <c r="E90" s="4">
        <v>-32405</v>
      </c>
      <c r="F90" s="3" t="s">
        <v>363</v>
      </c>
      <c r="G90" s="3" t="s">
        <v>20</v>
      </c>
      <c r="H90" s="2" t="s">
        <v>148</v>
      </c>
      <c r="I90" s="2" t="s">
        <v>364</v>
      </c>
      <c r="J90" s="3" t="str">
        <f>HYPERLINK("https://www.boe.es/gazeta/dias/1811/04/11/pdfs/GMD-1811-101.pdf#page=1","Abrir facsímil")</f>
        <v>Abrir facsímil</v>
      </c>
      <c r="K90" s="3" t="s">
        <v>150</v>
      </c>
    </row>
    <row r="91" spans="1:11" ht="42" customHeight="1">
      <c r="A91" s="2" t="s">
        <v>365</v>
      </c>
      <c r="B91" s="2" t="s">
        <v>366</v>
      </c>
      <c r="C91" s="2" t="s">
        <v>367</v>
      </c>
      <c r="D91" s="2" t="s">
        <v>18</v>
      </c>
      <c r="E91" s="4">
        <v>-32181</v>
      </c>
      <c r="F91" s="3" t="s">
        <v>368</v>
      </c>
      <c r="G91" s="3" t="s">
        <v>47</v>
      </c>
      <c r="H91" s="2" t="s">
        <v>148</v>
      </c>
      <c r="I91" s="2" t="s">
        <v>369</v>
      </c>
      <c r="J91" s="3" t="str">
        <f>HYPERLINK("https://www.boe.es/gazeta/dias/1811/11/21/pdfs/GEI-1811-152.pdf#page=2","Abrir facsímil")</f>
        <v>Abrir facsímil</v>
      </c>
      <c r="K91" s="3" t="s">
        <v>150</v>
      </c>
    </row>
    <row r="92" spans="1:11" ht="42" customHeight="1">
      <c r="A92" s="2" t="s">
        <v>370</v>
      </c>
      <c r="B92" s="2" t="s">
        <v>371</v>
      </c>
      <c r="C92" s="2" t="s">
        <v>26</v>
      </c>
      <c r="D92" s="2" t="s">
        <v>18</v>
      </c>
      <c r="E92" s="4">
        <v>-32228</v>
      </c>
      <c r="F92" s="3" t="s">
        <v>372</v>
      </c>
      <c r="G92" s="3" t="s">
        <v>373</v>
      </c>
      <c r="H92" s="2" t="s">
        <v>148</v>
      </c>
      <c r="I92" s="2" t="s">
        <v>374</v>
      </c>
      <c r="J92" s="3" t="str">
        <f>HYPERLINK("https://www.boe.es/gazeta/dias/1811/10/05/pdfs/GEI-1811-128.pdf#page=7","Abrir facsímil")</f>
        <v>Abrir facsímil</v>
      </c>
      <c r="K92" s="3" t="s">
        <v>150</v>
      </c>
    </row>
    <row r="93" spans="1:11" ht="42" customHeight="1">
      <c r="A93" s="2" t="s">
        <v>375</v>
      </c>
      <c r="B93" s="2" t="s">
        <v>375</v>
      </c>
      <c r="C93" s="2" t="s">
        <v>17</v>
      </c>
      <c r="D93" s="2" t="s">
        <v>18</v>
      </c>
      <c r="E93" s="4">
        <v>-32235</v>
      </c>
      <c r="F93" s="3" t="s">
        <v>376</v>
      </c>
      <c r="G93" s="3" t="s">
        <v>377</v>
      </c>
      <c r="H93" s="2" t="s">
        <v>148</v>
      </c>
      <c r="I93" s="2" t="s">
        <v>378</v>
      </c>
      <c r="J93" s="3" t="str">
        <f>HYPERLINK("https://www.boe.es/gazeta/dias/1811/09/28/pdfs/GMD-1811-271.pdf#page=1","Abrir facsímil")</f>
        <v>Abrir facsímil</v>
      </c>
      <c r="K93" s="3" t="s">
        <v>150</v>
      </c>
    </row>
    <row r="94" spans="1:11" ht="42" customHeight="1">
      <c r="A94" s="2" t="s">
        <v>379</v>
      </c>
      <c r="B94" s="2" t="s">
        <v>380</v>
      </c>
      <c r="C94" s="2" t="s">
        <v>122</v>
      </c>
      <c r="D94" s="2" t="s">
        <v>18</v>
      </c>
      <c r="E94" s="4">
        <v>-32449</v>
      </c>
      <c r="F94" s="3" t="s">
        <v>381</v>
      </c>
      <c r="G94" s="3" t="s">
        <v>382</v>
      </c>
      <c r="H94" s="2" t="s">
        <v>148</v>
      </c>
      <c r="I94" s="2" t="s">
        <v>383</v>
      </c>
      <c r="J94" s="3" t="str">
        <f>HYPERLINK("https://www.boe.es/gazeta/dias/1811/02/26/pdfs/GEI-1811-25.pdf#page=8","Abrir facsímil")</f>
        <v>Abrir facsímil</v>
      </c>
      <c r="K94" s="3" t="s">
        <v>150</v>
      </c>
    </row>
    <row r="95" spans="1:11" ht="42" customHeight="1">
      <c r="A95" s="2" t="s">
        <v>384</v>
      </c>
      <c r="B95" s="2" t="s">
        <v>385</v>
      </c>
      <c r="C95" s="2" t="s">
        <v>26</v>
      </c>
      <c r="D95" s="2" t="s">
        <v>105</v>
      </c>
      <c r="E95" s="4">
        <v>-32284</v>
      </c>
      <c r="F95" s="3" t="s">
        <v>170</v>
      </c>
      <c r="G95" s="3" t="s">
        <v>386</v>
      </c>
      <c r="H95" s="2" t="s">
        <v>148</v>
      </c>
      <c r="I95" s="2" t="s">
        <v>387</v>
      </c>
      <c r="J95" s="3" t="str">
        <f>HYPERLINK("https://www.boe.es/gazeta/dias/1811/08/10/pdfs/GEI-1811-104.pdf#page=3","Abrir facsímil")</f>
        <v>Abrir facsímil</v>
      </c>
      <c r="K95" s="3" t="s">
        <v>150</v>
      </c>
    </row>
    <row r="96" spans="1:11" ht="42" customHeight="1">
      <c r="A96" s="2" t="s">
        <v>388</v>
      </c>
      <c r="B96" s="2" t="s">
        <v>389</v>
      </c>
      <c r="C96" s="2" t="s">
        <v>26</v>
      </c>
      <c r="D96" s="2" t="s">
        <v>18</v>
      </c>
      <c r="E96" s="4">
        <v>-32225</v>
      </c>
      <c r="F96" s="3" t="s">
        <v>390</v>
      </c>
      <c r="G96" s="3" t="s">
        <v>391</v>
      </c>
      <c r="H96" s="2" t="s">
        <v>148</v>
      </c>
      <c r="I96" s="2" t="s">
        <v>392</v>
      </c>
      <c r="J96" s="3" t="str">
        <f>HYPERLINK("https://www.boe.es/gazeta/dias/1811/10/08/pdfs/GEI-1811-129.pdf#page=7","Abrir facsímil")</f>
        <v>Abrir facsímil</v>
      </c>
      <c r="K96" s="3" t="s">
        <v>150</v>
      </c>
    </row>
    <row r="97" spans="1:11" ht="42" customHeight="1">
      <c r="A97" s="2" t="s">
        <v>393</v>
      </c>
      <c r="B97" s="2" t="s">
        <v>394</v>
      </c>
      <c r="C97" s="2" t="s">
        <v>26</v>
      </c>
      <c r="D97" s="2" t="s">
        <v>18</v>
      </c>
      <c r="E97" s="4">
        <v>-32172</v>
      </c>
      <c r="F97" s="3" t="s">
        <v>300</v>
      </c>
      <c r="G97" s="3" t="s">
        <v>301</v>
      </c>
      <c r="H97" s="2" t="s">
        <v>148</v>
      </c>
      <c r="I97" s="2" t="s">
        <v>395</v>
      </c>
      <c r="J97" s="3" t="str">
        <f>HYPERLINK("https://www.boe.es/gazeta/dias/1811/11/30/pdfs/GMD-1811-334.pdf#page=4","Abrir facsímil")</f>
        <v>Abrir facsímil</v>
      </c>
      <c r="K97" s="3" t="s">
        <v>150</v>
      </c>
    </row>
    <row r="98" spans="1:11" ht="42" customHeight="1">
      <c r="A98" s="2" t="s">
        <v>396</v>
      </c>
      <c r="B98" s="2" t="s">
        <v>397</v>
      </c>
      <c r="C98" s="2" t="s">
        <v>17</v>
      </c>
      <c r="D98" s="2" t="s">
        <v>156</v>
      </c>
      <c r="E98" s="4">
        <v>-32472</v>
      </c>
      <c r="F98" s="3" t="s">
        <v>398</v>
      </c>
      <c r="G98" s="3" t="s">
        <v>115</v>
      </c>
      <c r="H98" s="2" t="s">
        <v>148</v>
      </c>
      <c r="I98" s="2" t="s">
        <v>399</v>
      </c>
      <c r="J98" s="3" t="str">
        <f>HYPERLINK("https://www.boe.es/gazeta/dias/1811/02/03/pdfs/GMD-1811-34.pdf#page=3","Abrir facsímil")</f>
        <v>Abrir facsímil</v>
      </c>
      <c r="K98" s="3" t="s">
        <v>150</v>
      </c>
    </row>
    <row r="99" spans="1:11" ht="42" customHeight="1">
      <c r="A99" s="2" t="s">
        <v>400</v>
      </c>
      <c r="B99" s="2" t="s">
        <v>401</v>
      </c>
      <c r="C99" s="2" t="s">
        <v>26</v>
      </c>
      <c r="D99" s="2" t="s">
        <v>18</v>
      </c>
      <c r="E99" s="4">
        <v>-32177</v>
      </c>
      <c r="F99" s="3" t="s">
        <v>402</v>
      </c>
      <c r="G99" s="3" t="s">
        <v>178</v>
      </c>
      <c r="H99" s="2" t="s">
        <v>148</v>
      </c>
      <c r="I99" s="2" t="s">
        <v>403</v>
      </c>
      <c r="J99" s="3" t="str">
        <f>HYPERLINK("https://www.boe.es/gazeta/dias/1811/11/25/pdfs/GMD-1811-329.pdf#page=4","Abrir facsímil")</f>
        <v>Abrir facsímil</v>
      </c>
      <c r="K99" s="3" t="s">
        <v>150</v>
      </c>
    </row>
    <row r="100" spans="1:11" ht="42" customHeight="1">
      <c r="A100" s="2" t="s">
        <v>404</v>
      </c>
      <c r="B100" s="2" t="s">
        <v>404</v>
      </c>
      <c r="C100" s="2" t="s">
        <v>26</v>
      </c>
      <c r="D100" s="2" t="s">
        <v>18</v>
      </c>
      <c r="E100" s="4">
        <v>-32141</v>
      </c>
      <c r="F100" s="3" t="s">
        <v>327</v>
      </c>
      <c r="G100" s="3" t="s">
        <v>20</v>
      </c>
      <c r="H100" s="2" t="s">
        <v>148</v>
      </c>
      <c r="I100" s="2" t="s">
        <v>405</v>
      </c>
      <c r="J100" s="3" t="str">
        <f>HYPERLINK("https://www.boe.es/gazeta/dias/1811/12/31/pdfs/GMD-1811-365.pdf#page=4","Abrir facsímil")</f>
        <v>Abrir facsímil</v>
      </c>
      <c r="K100" s="3" t="s">
        <v>150</v>
      </c>
    </row>
    <row r="101" spans="1:11" ht="42" customHeight="1">
      <c r="A101" s="2" t="s">
        <v>406</v>
      </c>
      <c r="B101" s="2" t="s">
        <v>407</v>
      </c>
      <c r="C101" s="2" t="s">
        <v>26</v>
      </c>
      <c r="D101" s="2" t="s">
        <v>18</v>
      </c>
      <c r="E101" s="4">
        <v>-32292</v>
      </c>
      <c r="F101" s="3" t="s">
        <v>408</v>
      </c>
      <c r="G101" s="3" t="s">
        <v>409</v>
      </c>
      <c r="H101" s="2" t="s">
        <v>148</v>
      </c>
      <c r="I101" s="2" t="s">
        <v>410</v>
      </c>
      <c r="J101" s="3" t="str">
        <f>HYPERLINK("https://www.boe.es/gazeta/dias/1811/08/02/pdfs/GMD-1811-214.pdf#page=4","Abrir facsímil")</f>
        <v>Abrir facsímil</v>
      </c>
      <c r="K101" s="3" t="s">
        <v>150</v>
      </c>
    </row>
    <row r="102" spans="1:11" ht="42" customHeight="1">
      <c r="A102" s="2" t="s">
        <v>411</v>
      </c>
      <c r="B102" s="2" t="s">
        <v>411</v>
      </c>
      <c r="C102" s="2" t="s">
        <v>26</v>
      </c>
      <c r="D102" s="2" t="s">
        <v>18</v>
      </c>
      <c r="E102" s="4">
        <v>-32302</v>
      </c>
      <c r="F102" s="3" t="s">
        <v>412</v>
      </c>
      <c r="G102" s="3" t="s">
        <v>413</v>
      </c>
      <c r="H102" s="2" t="s">
        <v>148</v>
      </c>
      <c r="I102" s="2" t="s">
        <v>414</v>
      </c>
      <c r="J102" s="3" t="str">
        <f>HYPERLINK("https://www.boe.es/gazeta/dias/1811/07/23/pdfs/GMD-1811-204.pdf#page=1","Abrir facsímil")</f>
        <v>Abrir facsímil</v>
      </c>
      <c r="K102" s="3" t="s">
        <v>150</v>
      </c>
    </row>
    <row r="103" spans="1:11" ht="42" customHeight="1">
      <c r="A103" s="2" t="s">
        <v>415</v>
      </c>
      <c r="B103" s="2" t="s">
        <v>416</v>
      </c>
      <c r="C103" s="2" t="s">
        <v>37</v>
      </c>
      <c r="D103" s="2" t="s">
        <v>18</v>
      </c>
      <c r="E103" s="4">
        <v>-32145</v>
      </c>
      <c r="F103" s="3" t="s">
        <v>417</v>
      </c>
      <c r="G103" s="3" t="s">
        <v>418</v>
      </c>
      <c r="H103" s="2" t="s">
        <v>148</v>
      </c>
      <c r="I103" s="2" t="s">
        <v>419</v>
      </c>
      <c r="J103" s="3" t="str">
        <f>HYPERLINK("https://www.boe.es/gazeta/dias/1811/12/27/pdfs/GMD-1811-361.pdf#page=4","Abrir facsímil")</f>
        <v>Abrir facsímil</v>
      </c>
      <c r="K103" s="3" t="s">
        <v>150</v>
      </c>
    </row>
    <row r="104" spans="1:11" ht="42" customHeight="1">
      <c r="A104" s="2" t="s">
        <v>420</v>
      </c>
      <c r="B104" s="2" t="s">
        <v>421</v>
      </c>
      <c r="C104" s="2" t="s">
        <v>122</v>
      </c>
      <c r="D104" s="2" t="s">
        <v>141</v>
      </c>
      <c r="E104" s="4">
        <v>-32238</v>
      </c>
      <c r="F104" s="3" t="s">
        <v>166</v>
      </c>
      <c r="G104" s="3" t="s">
        <v>39</v>
      </c>
      <c r="H104" s="2" t="s">
        <v>148</v>
      </c>
      <c r="I104" s="2" t="s">
        <v>422</v>
      </c>
      <c r="J104" s="3" t="str">
        <f>HYPERLINK("https://www.boe.es/gazeta/dias/1811/09/25/pdfs/GMD-C-1811-268.pdf#page=2","Abrir facsímil")</f>
        <v>Abrir facsímil</v>
      </c>
      <c r="K104" s="3" t="s">
        <v>150</v>
      </c>
    </row>
    <row r="105" spans="1:11" ht="42" customHeight="1">
      <c r="A105" s="2" t="s">
        <v>423</v>
      </c>
      <c r="B105" s="2" t="s">
        <v>424</v>
      </c>
      <c r="C105" s="2" t="s">
        <v>26</v>
      </c>
      <c r="D105" s="2" t="s">
        <v>18</v>
      </c>
      <c r="E105" s="4">
        <v>-32288</v>
      </c>
      <c r="F105" s="3" t="s">
        <v>95</v>
      </c>
      <c r="G105" s="3" t="s">
        <v>47</v>
      </c>
      <c r="H105" s="2" t="s">
        <v>148</v>
      </c>
      <c r="I105" s="2" t="s">
        <v>425</v>
      </c>
      <c r="J105" s="3" t="str">
        <f>HYPERLINK("https://www.boe.es/gazeta/dias/1811/08/06/pdfs/GEI-1811-102.pdf#page=8","Abrir facsímil")</f>
        <v>Abrir facsímil</v>
      </c>
      <c r="K105" s="3" t="s">
        <v>150</v>
      </c>
    </row>
    <row r="106" spans="1:11" ht="42" customHeight="1">
      <c r="A106" s="2" t="s">
        <v>426</v>
      </c>
      <c r="B106" s="2" t="s">
        <v>427</v>
      </c>
      <c r="C106" s="2" t="s">
        <v>26</v>
      </c>
      <c r="D106" s="2" t="s">
        <v>18</v>
      </c>
      <c r="E106" s="4">
        <v>-32155</v>
      </c>
      <c r="F106" s="3" t="s">
        <v>263</v>
      </c>
      <c r="G106" s="3" t="s">
        <v>264</v>
      </c>
      <c r="H106" s="2" t="s">
        <v>148</v>
      </c>
      <c r="I106" s="2" t="s">
        <v>428</v>
      </c>
      <c r="J106" s="3" t="str">
        <f>HYPERLINK("https://www.boe.es/gazeta/dias/1811/12/17/pdfs/GEI-1811-163.pdf#page=8","Abrir facsímil")</f>
        <v>Abrir facsímil</v>
      </c>
      <c r="K106" s="3" t="s">
        <v>150</v>
      </c>
    </row>
    <row r="107" spans="1:11" ht="42" customHeight="1">
      <c r="A107" s="2" t="s">
        <v>429</v>
      </c>
      <c r="B107" s="2" t="s">
        <v>430</v>
      </c>
      <c r="C107" s="2" t="s">
        <v>17</v>
      </c>
      <c r="D107" s="2" t="s">
        <v>18</v>
      </c>
      <c r="E107" s="4">
        <v>-32270</v>
      </c>
      <c r="F107" s="3" t="s">
        <v>431</v>
      </c>
      <c r="G107" s="3" t="s">
        <v>432</v>
      </c>
      <c r="H107" s="2" t="s">
        <v>148</v>
      </c>
      <c r="I107" s="2" t="s">
        <v>433</v>
      </c>
      <c r="J107" s="3" t="str">
        <f>HYPERLINK("https://www.boe.es/gazeta/dias/1811/08/24/pdfs/GEI-1811-110.pdf#page=4","Abrir facsímil")</f>
        <v>Abrir facsímil</v>
      </c>
      <c r="K107" s="3" t="s">
        <v>150</v>
      </c>
    </row>
    <row r="108" spans="1:11" ht="42" customHeight="1">
      <c r="A108" s="2" t="s">
        <v>434</v>
      </c>
      <c r="B108" s="2" t="s">
        <v>435</v>
      </c>
      <c r="C108" s="2" t="s">
        <v>104</v>
      </c>
      <c r="D108" s="2" t="s">
        <v>18</v>
      </c>
      <c r="E108" s="4">
        <v>-32200</v>
      </c>
      <c r="F108" s="3" t="s">
        <v>109</v>
      </c>
      <c r="G108" s="3" t="s">
        <v>110</v>
      </c>
      <c r="H108" s="2" t="s">
        <v>148</v>
      </c>
      <c r="I108" s="2" t="s">
        <v>436</v>
      </c>
      <c r="J108" s="3" t="str">
        <f>HYPERLINK("https://www.boe.es/gazeta/dias/1811/11/02/pdfs/GEI-1811-141.pdf#page=6","Abrir facsímil")</f>
        <v>Abrir facsímil</v>
      </c>
      <c r="K108" s="3" t="s">
        <v>150</v>
      </c>
    </row>
    <row r="109" spans="1:11" ht="42" customHeight="1">
      <c r="A109" s="2" t="s">
        <v>437</v>
      </c>
      <c r="B109" s="2" t="s">
        <v>438</v>
      </c>
      <c r="C109" s="2" t="s">
        <v>26</v>
      </c>
      <c r="D109" s="2" t="s">
        <v>18</v>
      </c>
      <c r="E109" s="4">
        <v>-32195</v>
      </c>
      <c r="F109" s="3" t="s">
        <v>439</v>
      </c>
      <c r="G109" s="3" t="s">
        <v>440</v>
      </c>
      <c r="H109" s="2" t="s">
        <v>148</v>
      </c>
      <c r="I109" s="2" t="s">
        <v>441</v>
      </c>
      <c r="J109" s="3" t="str">
        <f>HYPERLINK("https://www.boe.es/gazeta/dias/1811/11/07/pdfs/GEI-1811-144.pdf#page=8","Abrir facsímil")</f>
        <v>Abrir facsímil</v>
      </c>
      <c r="K109" s="3" t="s">
        <v>150</v>
      </c>
    </row>
    <row r="110" spans="1:11" ht="42" customHeight="1">
      <c r="A110" s="2" t="s">
        <v>442</v>
      </c>
      <c r="B110" s="2" t="s">
        <v>443</v>
      </c>
      <c r="C110" s="2" t="s">
        <v>37</v>
      </c>
      <c r="D110" s="2" t="s">
        <v>156</v>
      </c>
      <c r="E110" s="4">
        <v>-32279</v>
      </c>
      <c r="F110" s="3" t="s">
        <v>444</v>
      </c>
      <c r="G110" s="3" t="s">
        <v>445</v>
      </c>
      <c r="H110" s="2" t="s">
        <v>148</v>
      </c>
      <c r="I110" s="2" t="s">
        <v>446</v>
      </c>
      <c r="J110" s="3" t="str">
        <f>HYPERLINK("https://www.boe.es/gazeta/dias/1811/08/15/pdfs/GEI-1811-106.pdf#page=8","Abrir facsímil")</f>
        <v>Abrir facsímil</v>
      </c>
      <c r="K110" s="3" t="s">
        <v>150</v>
      </c>
    </row>
    <row r="111" spans="1:11" ht="42" customHeight="1">
      <c r="A111" s="2" t="s">
        <v>447</v>
      </c>
      <c r="B111" s="2" t="s">
        <v>448</v>
      </c>
      <c r="C111" s="2" t="s">
        <v>26</v>
      </c>
      <c r="D111" s="2" t="s">
        <v>105</v>
      </c>
      <c r="E111" s="4">
        <v>-32258</v>
      </c>
      <c r="F111" s="3" t="s">
        <v>449</v>
      </c>
      <c r="G111" s="3" t="s">
        <v>20</v>
      </c>
      <c r="H111" s="2" t="s">
        <v>148</v>
      </c>
      <c r="I111" s="2" t="s">
        <v>450</v>
      </c>
      <c r="J111" s="3" t="str">
        <f>HYPERLINK("https://www.boe.es/gazeta/dias/1811/09/05/pdfs/GEI-1811-115.pdf#page=8","Abrir facsímil")</f>
        <v>Abrir facsímil</v>
      </c>
      <c r="K111" s="3" t="s">
        <v>150</v>
      </c>
    </row>
    <row r="112" spans="1:11" ht="42" customHeight="1">
      <c r="A112" s="2" t="s">
        <v>451</v>
      </c>
      <c r="B112" s="2" t="s">
        <v>452</v>
      </c>
      <c r="C112" s="2" t="s">
        <v>17</v>
      </c>
      <c r="D112" s="2" t="s">
        <v>18</v>
      </c>
      <c r="E112" s="4">
        <v>-32153</v>
      </c>
      <c r="F112" s="3" t="s">
        <v>123</v>
      </c>
      <c r="G112" s="3" t="s">
        <v>288</v>
      </c>
      <c r="H112" s="2" t="s">
        <v>148</v>
      </c>
      <c r="I112" s="2" t="s">
        <v>453</v>
      </c>
      <c r="J112" s="3" t="str">
        <f>HYPERLINK("https://www.boe.es/gazeta/dias/1811/12/19/pdfs/GMD-1811-353.pdf#page=4","Abrir facsímil")</f>
        <v>Abrir facsímil</v>
      </c>
      <c r="K112" s="3" t="s">
        <v>150</v>
      </c>
    </row>
    <row r="113" spans="1:11" ht="42" customHeight="1">
      <c r="A113" s="2" t="s">
        <v>454</v>
      </c>
      <c r="B113" s="2" t="s">
        <v>455</v>
      </c>
      <c r="C113" s="2" t="s">
        <v>26</v>
      </c>
      <c r="D113" s="2" t="s">
        <v>18</v>
      </c>
      <c r="E113" s="4">
        <v>-32188</v>
      </c>
      <c r="F113" s="3" t="s">
        <v>356</v>
      </c>
      <c r="G113" s="3" t="s">
        <v>248</v>
      </c>
      <c r="H113" s="2" t="s">
        <v>148</v>
      </c>
      <c r="I113" s="2" t="s">
        <v>456</v>
      </c>
      <c r="J113" s="3" t="str">
        <f>HYPERLINK("https://www.boe.es/gazeta/dias/1811/11/14/pdfs/GMD-1811-318.pdf#page=5","Abrir facsímil")</f>
        <v>Abrir facsímil</v>
      </c>
      <c r="K113" s="3" t="s">
        <v>150</v>
      </c>
    </row>
    <row r="114" spans="1:11" ht="42" customHeight="1">
      <c r="A114" s="2" t="s">
        <v>457</v>
      </c>
      <c r="B114" s="2" t="s">
        <v>458</v>
      </c>
      <c r="C114" s="2" t="s">
        <v>17</v>
      </c>
      <c r="D114" s="2" t="s">
        <v>105</v>
      </c>
      <c r="E114" s="4">
        <v>-32433</v>
      </c>
      <c r="F114" s="3" t="s">
        <v>209</v>
      </c>
      <c r="G114" s="3" t="s">
        <v>115</v>
      </c>
      <c r="H114" s="2" t="s">
        <v>148</v>
      </c>
      <c r="I114" s="2" t="s">
        <v>459</v>
      </c>
      <c r="J114" s="3" t="str">
        <f>HYPERLINK("https://www.boe.es/gazeta/dias/1811/03/14/pdfs/GMD-1811-73.pdf#page=3","Abrir facsímil")</f>
        <v>Abrir facsímil</v>
      </c>
      <c r="K114" s="3" t="s">
        <v>150</v>
      </c>
    </row>
    <row r="115" spans="1:11" ht="42" customHeight="1">
      <c r="A115" s="2" t="s">
        <v>460</v>
      </c>
      <c r="B115" s="2" t="s">
        <v>461</v>
      </c>
      <c r="C115" s="2" t="s">
        <v>26</v>
      </c>
      <c r="D115" s="2" t="s">
        <v>18</v>
      </c>
      <c r="E115" s="4">
        <v>-32379</v>
      </c>
      <c r="F115" s="3" t="s">
        <v>462</v>
      </c>
      <c r="G115" s="3" t="s">
        <v>463</v>
      </c>
      <c r="H115" s="2" t="s">
        <v>148</v>
      </c>
      <c r="I115" s="2" t="s">
        <v>464</v>
      </c>
      <c r="J115" s="3" t="str">
        <f>HYPERLINK("https://www.boe.es/gazeta/dias/1811/05/07/pdfs/GEI-1811-60.pdf#page=8","Abrir facsímil")</f>
        <v>Abrir facsímil</v>
      </c>
      <c r="K115" s="3" t="s">
        <v>150</v>
      </c>
    </row>
    <row r="116" spans="1:11" ht="42" customHeight="1">
      <c r="A116" s="2" t="s">
        <v>465</v>
      </c>
      <c r="B116" s="2" t="s">
        <v>466</v>
      </c>
      <c r="C116" s="2" t="s">
        <v>17</v>
      </c>
      <c r="D116" s="2" t="s">
        <v>156</v>
      </c>
      <c r="E116" s="4">
        <v>-32484</v>
      </c>
      <c r="F116" s="3" t="s">
        <v>467</v>
      </c>
      <c r="G116" s="3" t="s">
        <v>468</v>
      </c>
      <c r="H116" s="2" t="s">
        <v>148</v>
      </c>
      <c r="I116" s="2" t="s">
        <v>469</v>
      </c>
      <c r="J116" s="3" t="str">
        <f>HYPERLINK("https://www.boe.es/gazeta/dias/1811/01/22/pdfs/GEI-1811-10.pdf#page=5","Abrir facsímil")</f>
        <v>Abrir facsímil</v>
      </c>
      <c r="K116" s="3" t="s">
        <v>150</v>
      </c>
    </row>
    <row r="117" spans="1:11" ht="42" customHeight="1">
      <c r="A117" s="2" t="s">
        <v>470</v>
      </c>
      <c r="B117" s="2" t="s">
        <v>471</v>
      </c>
      <c r="C117" s="2" t="s">
        <v>26</v>
      </c>
      <c r="D117" s="2" t="s">
        <v>141</v>
      </c>
      <c r="E117" s="4">
        <v>-32167</v>
      </c>
      <c r="F117" s="3" t="s">
        <v>347</v>
      </c>
      <c r="G117" s="3" t="s">
        <v>183</v>
      </c>
      <c r="H117" s="2" t="s">
        <v>148</v>
      </c>
      <c r="I117" s="2" t="s">
        <v>472</v>
      </c>
      <c r="J117" s="3" t="str">
        <f>HYPERLINK("https://www.boe.es/gazeta/dias/1811/12/05/pdfs/GEI-D-1811-158.pdf#page=4","Abrir facsímil")</f>
        <v>Abrir facsímil</v>
      </c>
      <c r="K117" s="3" t="s">
        <v>150</v>
      </c>
    </row>
    <row r="118" spans="1:11" ht="42" customHeight="1">
      <c r="A118" s="2" t="s">
        <v>473</v>
      </c>
      <c r="B118" s="2" t="s">
        <v>474</v>
      </c>
      <c r="C118" s="2" t="s">
        <v>26</v>
      </c>
      <c r="D118" s="2" t="s">
        <v>18</v>
      </c>
      <c r="E118" s="4">
        <v>-32505</v>
      </c>
      <c r="F118" s="3" t="s">
        <v>475</v>
      </c>
      <c r="G118" s="3" t="s">
        <v>476</v>
      </c>
      <c r="H118" s="2" t="s">
        <v>148</v>
      </c>
      <c r="I118" s="2" t="s">
        <v>477</v>
      </c>
      <c r="J118" s="3" t="str">
        <f>HYPERLINK("https://www.boe.es/gazeta/dias/1811/01/01/pdfs/GEI-1811-1.pdf#page=7","Abrir facsímil")</f>
        <v>Abrir facsímil</v>
      </c>
      <c r="K118" s="3" t="s">
        <v>150</v>
      </c>
    </row>
    <row r="119" spans="1:11" ht="42" customHeight="1">
      <c r="A119" s="2" t="s">
        <v>478</v>
      </c>
      <c r="B119" s="2" t="s">
        <v>479</v>
      </c>
      <c r="C119" s="2" t="s">
        <v>26</v>
      </c>
      <c r="D119" s="2" t="s">
        <v>18</v>
      </c>
      <c r="E119" s="4">
        <v>-32407</v>
      </c>
      <c r="F119" s="3" t="s">
        <v>38</v>
      </c>
      <c r="G119" s="3" t="s">
        <v>480</v>
      </c>
      <c r="H119" s="2" t="s">
        <v>148</v>
      </c>
      <c r="I119" s="2" t="s">
        <v>481</v>
      </c>
      <c r="J119" s="3" t="str">
        <f>HYPERLINK("https://www.boe.es/gazeta/dias/1811/04/09/pdfs/GEI-1811-48.pdf#page=4","Abrir facsímil")</f>
        <v>Abrir facsímil</v>
      </c>
      <c r="K119" s="3" t="s">
        <v>150</v>
      </c>
    </row>
    <row r="120" spans="1:11" ht="42" customHeight="1">
      <c r="A120" s="2" t="s">
        <v>482</v>
      </c>
      <c r="B120" s="2" t="s">
        <v>483</v>
      </c>
      <c r="C120" s="2" t="s">
        <v>26</v>
      </c>
      <c r="D120" s="2" t="s">
        <v>18</v>
      </c>
      <c r="E120" s="4">
        <v>-32295</v>
      </c>
      <c r="F120" s="3" t="s">
        <v>279</v>
      </c>
      <c r="G120" s="3" t="s">
        <v>44</v>
      </c>
      <c r="H120" s="2" t="s">
        <v>148</v>
      </c>
      <c r="I120" s="2" t="s">
        <v>484</v>
      </c>
      <c r="J120" s="3" t="str">
        <f>HYPERLINK("https://www.boe.es/gazeta/dias/1811/07/30/pdfs/GEI-1811-99.pdf#page=8","Abrir facsímil")</f>
        <v>Abrir facsímil</v>
      </c>
      <c r="K120" s="3" t="s">
        <v>150</v>
      </c>
    </row>
    <row r="121" spans="1:11" ht="42" customHeight="1">
      <c r="A121" s="2" t="s">
        <v>485</v>
      </c>
      <c r="B121" s="2" t="s">
        <v>486</v>
      </c>
      <c r="C121" s="2" t="s">
        <v>26</v>
      </c>
      <c r="D121" s="2" t="s">
        <v>18</v>
      </c>
      <c r="E121" s="4">
        <v>-32503</v>
      </c>
      <c r="F121" s="3" t="s">
        <v>487</v>
      </c>
      <c r="G121" s="3" t="s">
        <v>488</v>
      </c>
      <c r="H121" s="2" t="s">
        <v>148</v>
      </c>
      <c r="I121" s="2" t="s">
        <v>489</v>
      </c>
      <c r="J121" s="3" t="str">
        <f>HYPERLINK("https://www.boe.es/gazeta/dias/1811/01/03/pdfs/GEI-1811-2.pdf#page=2","Abrir facsímil")</f>
        <v>Abrir facsímil</v>
      </c>
      <c r="K121" s="3" t="s">
        <v>150</v>
      </c>
    </row>
    <row r="122" spans="1:11" ht="42" customHeight="1">
      <c r="A122" s="2" t="s">
        <v>490</v>
      </c>
      <c r="B122" s="2" t="s">
        <v>491</v>
      </c>
      <c r="C122" s="2" t="s">
        <v>84</v>
      </c>
      <c r="D122" s="2" t="s">
        <v>18</v>
      </c>
      <c r="E122" s="4">
        <v>-32300</v>
      </c>
      <c r="F122" s="3" t="s">
        <v>492</v>
      </c>
      <c r="G122" s="3" t="s">
        <v>493</v>
      </c>
      <c r="H122" s="2" t="s">
        <v>148</v>
      </c>
      <c r="I122" s="2" t="s">
        <v>494</v>
      </c>
      <c r="J122" s="3" t="str">
        <f>HYPERLINK("https://www.boe.es/gazeta/dias/1811/07/25/pdfs/GMD-1811-206.pdf#page=4","Abrir facsímil")</f>
        <v>Abrir facsímil</v>
      </c>
      <c r="K122" s="3" t="s">
        <v>150</v>
      </c>
    </row>
    <row r="123" spans="1:11" ht="42" customHeight="1">
      <c r="A123" s="2" t="s">
        <v>495</v>
      </c>
      <c r="B123" s="2" t="s">
        <v>496</v>
      </c>
      <c r="C123" s="2" t="s">
        <v>26</v>
      </c>
      <c r="D123" s="2" t="s">
        <v>18</v>
      </c>
      <c r="E123" s="4">
        <v>-32163</v>
      </c>
      <c r="F123" s="3" t="s">
        <v>497</v>
      </c>
      <c r="G123" s="3" t="s">
        <v>498</v>
      </c>
      <c r="H123" s="2" t="s">
        <v>148</v>
      </c>
      <c r="I123" s="2" t="s">
        <v>499</v>
      </c>
      <c r="J123" s="3" t="str">
        <f>HYPERLINK("https://www.boe.es/gazeta/dias/1811/12/09/pdfs/GMD-1811-343.pdf#page=4","Abrir facsímil")</f>
        <v>Abrir facsímil</v>
      </c>
      <c r="K123" s="3" t="s">
        <v>150</v>
      </c>
    </row>
    <row r="124" spans="1:11" ht="42" customHeight="1">
      <c r="A124" s="2" t="s">
        <v>500</v>
      </c>
      <c r="B124" s="2" t="s">
        <v>501</v>
      </c>
      <c r="C124" s="2" t="s">
        <v>26</v>
      </c>
      <c r="D124" s="2" t="s">
        <v>18</v>
      </c>
      <c r="E124" s="4">
        <v>-32188</v>
      </c>
      <c r="F124" s="3" t="s">
        <v>356</v>
      </c>
      <c r="G124" s="3" t="s">
        <v>248</v>
      </c>
      <c r="H124" s="2" t="s">
        <v>148</v>
      </c>
      <c r="I124" s="2" t="s">
        <v>502</v>
      </c>
      <c r="J124" s="3" t="str">
        <f>HYPERLINK("https://www.boe.es/gazeta/dias/1811/11/14/pdfs/GMD-1811-318.pdf#page=5","Abrir facsímil")</f>
        <v>Abrir facsímil</v>
      </c>
      <c r="K124" s="3" t="s">
        <v>150</v>
      </c>
    </row>
    <row r="125" spans="1:11" ht="42" customHeight="1">
      <c r="A125" s="2" t="s">
        <v>503</v>
      </c>
      <c r="B125" s="2" t="s">
        <v>504</v>
      </c>
      <c r="C125" s="2" t="s">
        <v>26</v>
      </c>
      <c r="D125" s="2" t="s">
        <v>141</v>
      </c>
      <c r="E125" s="4">
        <v>-32188</v>
      </c>
      <c r="F125" s="3" t="s">
        <v>505</v>
      </c>
      <c r="G125" s="3" t="s">
        <v>47</v>
      </c>
      <c r="H125" s="2" t="s">
        <v>148</v>
      </c>
      <c r="I125" s="2" t="s">
        <v>506</v>
      </c>
      <c r="J125" s="3" t="str">
        <f>HYPERLINK("https://www.boe.es/gazeta/dias/1811/11/14/pdfs/GEI-D-1811-149.pdf#page=3","Abrir facsímil")</f>
        <v>Abrir facsímil</v>
      </c>
      <c r="K125" s="3" t="s">
        <v>150</v>
      </c>
    </row>
    <row r="126" spans="1:11" ht="42" customHeight="1">
      <c r="A126" s="2" t="s">
        <v>507</v>
      </c>
      <c r="B126" s="2" t="s">
        <v>508</v>
      </c>
      <c r="C126" s="2" t="s">
        <v>104</v>
      </c>
      <c r="D126" s="2" t="s">
        <v>18</v>
      </c>
      <c r="E126" s="4">
        <v>-32501</v>
      </c>
      <c r="F126" s="3" t="s">
        <v>509</v>
      </c>
      <c r="G126" s="3" t="s">
        <v>510</v>
      </c>
      <c r="H126" s="2" t="s">
        <v>148</v>
      </c>
      <c r="I126" s="2" t="s">
        <v>511</v>
      </c>
      <c r="J126" s="3" t="str">
        <f>HYPERLINK("https://www.boe.es/gazeta/dias/1811/01/05/pdfs/GEI-1811-3.pdf#page=8","Abrir facsímil")</f>
        <v>Abrir facsímil</v>
      </c>
      <c r="K126" s="3" t="s">
        <v>150</v>
      </c>
    </row>
    <row r="127" spans="1:11" ht="42" customHeight="1">
      <c r="A127" s="2" t="s">
        <v>512</v>
      </c>
      <c r="B127" s="2" t="s">
        <v>513</v>
      </c>
      <c r="C127" s="2" t="s">
        <v>37</v>
      </c>
      <c r="D127" s="2" t="s">
        <v>18</v>
      </c>
      <c r="E127" s="4">
        <v>-32241</v>
      </c>
      <c r="F127" s="3" t="s">
        <v>514</v>
      </c>
      <c r="G127" s="3" t="s">
        <v>515</v>
      </c>
      <c r="H127" s="2" t="s">
        <v>148</v>
      </c>
      <c r="I127" s="2" t="s">
        <v>516</v>
      </c>
      <c r="J127" s="3" t="str">
        <f>HYPERLINK("https://www.boe.es/gazeta/dias/1811/09/22/pdfs/GMD-1811-265.pdf#page=4","Abrir facsímil")</f>
        <v>Abrir facsímil</v>
      </c>
      <c r="K127" s="3" t="s">
        <v>150</v>
      </c>
    </row>
    <row r="128" spans="1:11" ht="42" customHeight="1">
      <c r="A128" s="2" t="s">
        <v>517</v>
      </c>
      <c r="B128" s="2" t="s">
        <v>518</v>
      </c>
      <c r="C128" s="2" t="s">
        <v>26</v>
      </c>
      <c r="D128" s="2" t="s">
        <v>141</v>
      </c>
      <c r="E128" s="4">
        <v>-32238</v>
      </c>
      <c r="F128" s="3" t="s">
        <v>166</v>
      </c>
      <c r="G128" s="3" t="s">
        <v>178</v>
      </c>
      <c r="H128" s="2" t="s">
        <v>148</v>
      </c>
      <c r="I128" s="2" t="s">
        <v>519</v>
      </c>
      <c r="J128" s="3" t="str">
        <f>HYPERLINK("https://www.boe.es/gazeta/dias/1811/09/25/pdfs/GMD-C-1811-268.pdf#page=4","Abrir facsímil")</f>
        <v>Abrir facsímil</v>
      </c>
      <c r="K128" s="3" t="s">
        <v>150</v>
      </c>
    </row>
    <row r="129" spans="1:11" ht="42" customHeight="1">
      <c r="A129" s="2" t="s">
        <v>520</v>
      </c>
      <c r="B129" s="2" t="s">
        <v>521</v>
      </c>
      <c r="C129" s="2" t="s">
        <v>26</v>
      </c>
      <c r="D129" s="2" t="s">
        <v>18</v>
      </c>
      <c r="E129" s="4">
        <v>-32145</v>
      </c>
      <c r="F129" s="3" t="s">
        <v>417</v>
      </c>
      <c r="G129" s="3" t="s">
        <v>418</v>
      </c>
      <c r="H129" s="2" t="s">
        <v>148</v>
      </c>
      <c r="I129" s="2" t="s">
        <v>522</v>
      </c>
      <c r="J129" s="3" t="str">
        <f>HYPERLINK("https://www.boe.es/gazeta/dias/1811/12/27/pdfs/GMD-1811-361.pdf#page=4","Abrir facsímil")</f>
        <v>Abrir facsímil</v>
      </c>
      <c r="K129" s="3" t="s">
        <v>150</v>
      </c>
    </row>
    <row r="130" spans="1:11" ht="42" customHeight="1">
      <c r="A130" s="2" t="s">
        <v>523</v>
      </c>
      <c r="B130" s="2" t="s">
        <v>523</v>
      </c>
      <c r="C130" s="2" t="s">
        <v>37</v>
      </c>
      <c r="D130" s="2" t="s">
        <v>156</v>
      </c>
      <c r="E130" s="4">
        <v>-32389</v>
      </c>
      <c r="F130" s="3" t="s">
        <v>524</v>
      </c>
      <c r="G130" s="3" t="s">
        <v>525</v>
      </c>
      <c r="H130" s="2" t="s">
        <v>148</v>
      </c>
      <c r="I130" s="2" t="s">
        <v>526</v>
      </c>
      <c r="J130" s="3" t="str">
        <f>HYPERLINK("https://www.boe.es/gazeta/dias/1811/04/27/pdfs/GEI-D-1811-56.pdf#page=4","Abrir facsímil")</f>
        <v>Abrir facsímil</v>
      </c>
      <c r="K130" s="3" t="s">
        <v>150</v>
      </c>
    </row>
    <row r="131" spans="1:11" ht="42" customHeight="1">
      <c r="A131" s="2" t="s">
        <v>523</v>
      </c>
      <c r="B131" s="2" t="s">
        <v>523</v>
      </c>
      <c r="C131" s="2" t="s">
        <v>26</v>
      </c>
      <c r="D131" s="2" t="s">
        <v>18</v>
      </c>
      <c r="E131" s="4">
        <v>-32300</v>
      </c>
      <c r="F131" s="3" t="s">
        <v>61</v>
      </c>
      <c r="G131" s="3" t="s">
        <v>62</v>
      </c>
      <c r="H131" s="2" t="s">
        <v>148</v>
      </c>
      <c r="I131" s="2" t="s">
        <v>527</v>
      </c>
      <c r="J131" s="3" t="str">
        <f>HYPERLINK("https://www.boe.es/gazeta/dias/1811/07/25/pdfs/GEI-1811-97.pdf#page=5","Abrir facsímil")</f>
        <v>Abrir facsímil</v>
      </c>
      <c r="K131" s="3" t="s">
        <v>150</v>
      </c>
    </row>
    <row r="132" spans="1:11" ht="42" customHeight="1">
      <c r="A132" s="2" t="s">
        <v>523</v>
      </c>
      <c r="B132" s="2" t="s">
        <v>523</v>
      </c>
      <c r="C132" s="2" t="s">
        <v>104</v>
      </c>
      <c r="D132" s="2" t="s">
        <v>528</v>
      </c>
      <c r="E132" s="4">
        <v>-32219</v>
      </c>
      <c r="F132" s="3" t="s">
        <v>529</v>
      </c>
      <c r="G132" s="3" t="s">
        <v>530</v>
      </c>
      <c r="H132" s="2" t="s">
        <v>148</v>
      </c>
      <c r="I132" s="2" t="s">
        <v>531</v>
      </c>
      <c r="J132" s="3" t="str">
        <f>HYPERLINK("https://www.boe.es/gazeta/dias/1811/10/14/pdfs/GEI-1811-132E.pdf#page=4","Abrir facsímil")</f>
        <v>Abrir facsímil</v>
      </c>
      <c r="K132" s="3" t="s">
        <v>150</v>
      </c>
    </row>
    <row r="133" spans="1:11" ht="42" customHeight="1">
      <c r="A133" s="2" t="s">
        <v>532</v>
      </c>
      <c r="B133" s="2" t="s">
        <v>532</v>
      </c>
      <c r="C133" s="2" t="s">
        <v>26</v>
      </c>
      <c r="D133" s="2" t="s">
        <v>18</v>
      </c>
      <c r="E133" s="4">
        <v>-32491</v>
      </c>
      <c r="F133" s="3" t="s">
        <v>533</v>
      </c>
      <c r="G133" s="3" t="s">
        <v>248</v>
      </c>
      <c r="H133" s="2" t="s">
        <v>148</v>
      </c>
      <c r="I133" s="2" t="s">
        <v>534</v>
      </c>
      <c r="J133" s="3" t="str">
        <f>HYPERLINK("https://www.boe.es/gazeta/dias/1811/01/15/pdfs/GEI-1811-7.pdf#page=9","Abrir facsímil")</f>
        <v>Abrir facsímil</v>
      </c>
      <c r="K133" s="3" t="s">
        <v>150</v>
      </c>
    </row>
    <row r="134" spans="1:11" ht="42" customHeight="1">
      <c r="A134" s="2" t="s">
        <v>532</v>
      </c>
      <c r="B134" s="2" t="s">
        <v>532</v>
      </c>
      <c r="C134" s="2" t="s">
        <v>26</v>
      </c>
      <c r="D134" s="2" t="s">
        <v>18</v>
      </c>
      <c r="E134" s="4">
        <v>-32406</v>
      </c>
      <c r="F134" s="3" t="s">
        <v>535</v>
      </c>
      <c r="G134" s="3" t="s">
        <v>20</v>
      </c>
      <c r="H134" s="2" t="s">
        <v>148</v>
      </c>
      <c r="I134" s="2" t="s">
        <v>536</v>
      </c>
      <c r="J134" s="3" t="str">
        <f>HYPERLINK("https://www.boe.es/gazeta/dias/1811/04/10/pdfs/GMD-1811-100.pdf#page=3","Abrir facsímil")</f>
        <v>Abrir facsímil</v>
      </c>
      <c r="K134" s="3" t="s">
        <v>150</v>
      </c>
    </row>
    <row r="135" spans="1:11" ht="42" customHeight="1">
      <c r="A135" s="2" t="s">
        <v>532</v>
      </c>
      <c r="B135" s="2" t="s">
        <v>532</v>
      </c>
      <c r="C135" s="2" t="s">
        <v>26</v>
      </c>
      <c r="D135" s="2" t="s">
        <v>141</v>
      </c>
      <c r="E135" s="4">
        <v>-32355</v>
      </c>
      <c r="F135" s="3" t="s">
        <v>537</v>
      </c>
      <c r="G135" s="3" t="s">
        <v>44</v>
      </c>
      <c r="H135" s="2" t="s">
        <v>148</v>
      </c>
      <c r="I135" s="2" t="s">
        <v>538</v>
      </c>
      <c r="J135" s="3" t="str">
        <f>HYPERLINK("https://www.boe.es/gazeta/dias/1811/05/31/pdfs/GMD-C-1811-151.pdf#page=9","Abrir facsímil")</f>
        <v>Abrir facsímil</v>
      </c>
      <c r="K135" s="3" t="s">
        <v>150</v>
      </c>
    </row>
    <row r="136" spans="1:11" ht="42" customHeight="1">
      <c r="A136" s="2" t="s">
        <v>532</v>
      </c>
      <c r="B136" s="2" t="s">
        <v>532</v>
      </c>
      <c r="C136" s="2" t="s">
        <v>367</v>
      </c>
      <c r="D136" s="2" t="s">
        <v>18</v>
      </c>
      <c r="E136" s="4">
        <v>-32302</v>
      </c>
      <c r="F136" s="3" t="s">
        <v>412</v>
      </c>
      <c r="G136" s="3" t="s">
        <v>248</v>
      </c>
      <c r="H136" s="2" t="s">
        <v>148</v>
      </c>
      <c r="I136" s="2" t="s">
        <v>539</v>
      </c>
      <c r="J136" s="3" t="str">
        <f>HYPERLINK("https://www.boe.es/gazeta/dias/1811/07/23/pdfs/GMD-1811-204.pdf#page=4","Abrir facsímil")</f>
        <v>Abrir facsímil</v>
      </c>
      <c r="K136" s="3" t="s">
        <v>150</v>
      </c>
    </row>
    <row r="137" spans="1:11" ht="42" customHeight="1">
      <c r="A137" s="2" t="s">
        <v>532</v>
      </c>
      <c r="B137" s="2" t="s">
        <v>532</v>
      </c>
      <c r="C137" s="2" t="s">
        <v>17</v>
      </c>
      <c r="D137" s="2" t="s">
        <v>156</v>
      </c>
      <c r="E137" s="4">
        <v>-32279</v>
      </c>
      <c r="F137" s="3" t="s">
        <v>540</v>
      </c>
      <c r="G137" s="3" t="s">
        <v>91</v>
      </c>
      <c r="H137" s="2" t="s">
        <v>148</v>
      </c>
      <c r="I137" s="2" t="s">
        <v>541</v>
      </c>
      <c r="J137" s="3" t="str">
        <f>HYPERLINK("https://www.boe.es/gazeta/dias/1811/08/15/pdfs/GMD-1811-227.pdf#page=3","Abrir facsímil")</f>
        <v>Abrir facsímil</v>
      </c>
      <c r="K137" s="3" t="s">
        <v>150</v>
      </c>
    </row>
    <row r="138" spans="1:11" ht="42" customHeight="1">
      <c r="A138" s="2" t="s">
        <v>532</v>
      </c>
      <c r="B138" s="2" t="s">
        <v>532</v>
      </c>
      <c r="C138" s="2" t="s">
        <v>26</v>
      </c>
      <c r="D138" s="2" t="s">
        <v>18</v>
      </c>
      <c r="E138" s="4">
        <v>-32172</v>
      </c>
      <c r="F138" s="3" t="s">
        <v>300</v>
      </c>
      <c r="G138" s="3" t="s">
        <v>301</v>
      </c>
      <c r="H138" s="2" t="s">
        <v>148</v>
      </c>
      <c r="I138" s="2" t="s">
        <v>542</v>
      </c>
      <c r="J138" s="3" t="str">
        <f>HYPERLINK("https://www.boe.es/gazeta/dias/1811/11/30/pdfs/GMD-1811-334.pdf#page=4","Abrir facsímil")</f>
        <v>Abrir facsímil</v>
      </c>
      <c r="K138" s="3" t="s">
        <v>150</v>
      </c>
    </row>
    <row r="139" spans="1:11" ht="42" customHeight="1">
      <c r="A139" s="2" t="s">
        <v>543</v>
      </c>
      <c r="B139" s="2" t="s">
        <v>544</v>
      </c>
      <c r="C139" s="2" t="s">
        <v>26</v>
      </c>
      <c r="D139" s="2" t="s">
        <v>18</v>
      </c>
      <c r="E139" s="4">
        <v>-32218</v>
      </c>
      <c r="F139" s="3" t="s">
        <v>545</v>
      </c>
      <c r="G139" s="3" t="s">
        <v>546</v>
      </c>
      <c r="H139" s="2" t="s">
        <v>148</v>
      </c>
      <c r="I139" s="2" t="s">
        <v>547</v>
      </c>
      <c r="J139" s="3" t="str">
        <f>HYPERLINK("https://www.boe.es/gazeta/dias/1811/10/15/pdfs/GMD-1811-288.pdf#page=4","Abrir facsímil")</f>
        <v>Abrir facsímil</v>
      </c>
      <c r="K139" s="3" t="s">
        <v>150</v>
      </c>
    </row>
    <row r="140" spans="1:11" ht="42" customHeight="1">
      <c r="A140" s="2" t="s">
        <v>548</v>
      </c>
      <c r="B140" s="2" t="s">
        <v>549</v>
      </c>
      <c r="C140" s="2" t="s">
        <v>26</v>
      </c>
      <c r="D140" s="2" t="s">
        <v>141</v>
      </c>
      <c r="E140" s="4">
        <v>-32238</v>
      </c>
      <c r="F140" s="3" t="s">
        <v>166</v>
      </c>
      <c r="G140" s="3" t="s">
        <v>178</v>
      </c>
      <c r="H140" s="2" t="s">
        <v>148</v>
      </c>
      <c r="I140" s="2" t="s">
        <v>550</v>
      </c>
      <c r="J140" s="3" t="str">
        <f>HYPERLINK("https://www.boe.es/gazeta/dias/1811/09/25/pdfs/GMD-C-1811-268.pdf#page=4","Abrir facsímil")</f>
        <v>Abrir facsímil</v>
      </c>
      <c r="K140" s="3" t="s">
        <v>150</v>
      </c>
    </row>
    <row r="141" spans="1:11" ht="42" customHeight="1">
      <c r="A141" s="2" t="s">
        <v>551</v>
      </c>
      <c r="B141" s="2" t="s">
        <v>551</v>
      </c>
      <c r="C141" s="2" t="s">
        <v>17</v>
      </c>
      <c r="D141" s="2" t="s">
        <v>18</v>
      </c>
      <c r="E141" s="4">
        <v>-32325</v>
      </c>
      <c r="F141" s="3" t="s">
        <v>552</v>
      </c>
      <c r="G141" s="3" t="s">
        <v>553</v>
      </c>
      <c r="H141" s="2" t="s">
        <v>148</v>
      </c>
      <c r="I141" s="2" t="s">
        <v>554</v>
      </c>
      <c r="J141" s="3" t="str">
        <f>HYPERLINK("https://www.boe.es/gazeta/dias/1811/06/30/pdfs/GMD-1811-181.pdf#page=3","Abrir facsímil")</f>
        <v>Abrir facsímil</v>
      </c>
      <c r="K141" s="3" t="s">
        <v>150</v>
      </c>
    </row>
    <row r="142" spans="1:11" ht="42" customHeight="1">
      <c r="A142" s="2" t="s">
        <v>555</v>
      </c>
      <c r="B142" s="2" t="s">
        <v>555</v>
      </c>
      <c r="C142" s="2" t="s">
        <v>37</v>
      </c>
      <c r="D142" s="2" t="s">
        <v>18</v>
      </c>
      <c r="E142" s="4">
        <v>-32486</v>
      </c>
      <c r="F142" s="3" t="s">
        <v>556</v>
      </c>
      <c r="G142" s="3" t="s">
        <v>248</v>
      </c>
      <c r="H142" s="2" t="s">
        <v>148</v>
      </c>
      <c r="I142" s="2" t="s">
        <v>557</v>
      </c>
      <c r="J142" s="3" t="str">
        <f>HYPERLINK("https://www.boe.es/gazeta/dias/1811/01/20/pdfs/GMD-1811-20.pdf#page=2","Abrir facsímil")</f>
        <v>Abrir facsímil</v>
      </c>
      <c r="K142" s="3" t="s">
        <v>150</v>
      </c>
    </row>
    <row r="143" spans="1:11" ht="42" customHeight="1">
      <c r="A143" s="2" t="s">
        <v>558</v>
      </c>
      <c r="B143" s="2" t="s">
        <v>558</v>
      </c>
      <c r="C143" s="2" t="s">
        <v>17</v>
      </c>
      <c r="D143" s="2" t="s">
        <v>18</v>
      </c>
      <c r="E143" s="4">
        <v>-32153</v>
      </c>
      <c r="F143" s="3" t="s">
        <v>235</v>
      </c>
      <c r="G143" s="3" t="s">
        <v>44</v>
      </c>
      <c r="H143" s="2" t="s">
        <v>148</v>
      </c>
      <c r="I143" s="2" t="s">
        <v>559</v>
      </c>
      <c r="J143" s="3" t="str">
        <f>HYPERLINK("https://www.boe.es/gazeta/dias/1811/12/19/pdfs/GEI-1811-164.pdf#page=4","Abrir facsímil")</f>
        <v>Abrir facsímil</v>
      </c>
      <c r="K143" s="3" t="s">
        <v>150</v>
      </c>
    </row>
    <row r="144" spans="1:11" ht="42" customHeight="1">
      <c r="A144" s="2" t="s">
        <v>560</v>
      </c>
      <c r="B144" s="2" t="s">
        <v>560</v>
      </c>
      <c r="C144" s="2" t="s">
        <v>17</v>
      </c>
      <c r="D144" s="2" t="s">
        <v>18</v>
      </c>
      <c r="E144" s="4">
        <v>-32349</v>
      </c>
      <c r="F144" s="3" t="s">
        <v>239</v>
      </c>
      <c r="G144" s="3" t="s">
        <v>561</v>
      </c>
      <c r="H144" s="2" t="s">
        <v>148</v>
      </c>
      <c r="I144" s="2" t="s">
        <v>562</v>
      </c>
      <c r="J144" s="3" t="str">
        <f>HYPERLINK("https://www.boe.es/gazeta/dias/1811/06/06/pdfs/GEI-1811-76.pdf#page=4","Abrir facsímil")</f>
        <v>Abrir facsímil</v>
      </c>
      <c r="K144" s="3" t="s">
        <v>150</v>
      </c>
    </row>
    <row r="145" spans="1:11" ht="42" customHeight="1">
      <c r="A145" s="2" t="s">
        <v>563</v>
      </c>
      <c r="B145" s="2" t="s">
        <v>564</v>
      </c>
      <c r="C145" s="2" t="s">
        <v>26</v>
      </c>
      <c r="D145" s="2" t="s">
        <v>18</v>
      </c>
      <c r="E145" s="4">
        <v>-32340</v>
      </c>
      <c r="F145" s="3" t="s">
        <v>565</v>
      </c>
      <c r="G145" s="3" t="s">
        <v>566</v>
      </c>
      <c r="H145" s="2" t="s">
        <v>148</v>
      </c>
      <c r="I145" s="2" t="s">
        <v>567</v>
      </c>
      <c r="J145" s="3" t="str">
        <f>HYPERLINK("https://www.boe.es/gazeta/dias/1811/06/15/pdfs/GEI-1811-80.pdf#page=5","Abrir facsímil")</f>
        <v>Abrir facsímil</v>
      </c>
      <c r="K145" s="3" t="s">
        <v>150</v>
      </c>
    </row>
    <row r="146" spans="1:11" ht="42" customHeight="1">
      <c r="A146" s="2" t="s">
        <v>568</v>
      </c>
      <c r="B146" s="2" t="s">
        <v>569</v>
      </c>
      <c r="C146" s="2" t="s">
        <v>26</v>
      </c>
      <c r="D146" s="2" t="s">
        <v>18</v>
      </c>
      <c r="E146" s="4">
        <v>-32314</v>
      </c>
      <c r="F146" s="3" t="s">
        <v>570</v>
      </c>
      <c r="G146" s="3" t="s">
        <v>571</v>
      </c>
      <c r="H146" s="2" t="s">
        <v>148</v>
      </c>
      <c r="I146" s="2" t="s">
        <v>572</v>
      </c>
      <c r="J146" s="3" t="str">
        <f>HYPERLINK("https://www.boe.es/gazeta/dias/1811/07/11/pdfs/GEI-1811-91.pdf#page=7","Abrir facsímil")</f>
        <v>Abrir facsímil</v>
      </c>
      <c r="K146" s="3" t="s">
        <v>150</v>
      </c>
    </row>
    <row r="147" spans="1:11" ht="42" customHeight="1">
      <c r="A147" s="2" t="s">
        <v>573</v>
      </c>
      <c r="B147" s="2" t="s">
        <v>574</v>
      </c>
      <c r="C147" s="2" t="s">
        <v>26</v>
      </c>
      <c r="D147" s="2" t="s">
        <v>18</v>
      </c>
      <c r="E147" s="4">
        <v>-32200</v>
      </c>
      <c r="F147" s="3" t="s">
        <v>109</v>
      </c>
      <c r="G147" s="3" t="s">
        <v>110</v>
      </c>
      <c r="H147" s="2" t="s">
        <v>148</v>
      </c>
      <c r="I147" s="2" t="s">
        <v>575</v>
      </c>
      <c r="J147" s="3" t="str">
        <f>HYPERLINK("https://www.boe.es/gazeta/dias/1811/11/02/pdfs/GEI-1811-141.pdf#page=6","Abrir facsímil")</f>
        <v>Abrir facsímil</v>
      </c>
      <c r="K147" s="3" t="s">
        <v>150</v>
      </c>
    </row>
    <row r="148" spans="1:11" ht="42" customHeight="1">
      <c r="A148" s="2" t="s">
        <v>576</v>
      </c>
      <c r="B148" s="2" t="s">
        <v>576</v>
      </c>
      <c r="C148" s="2" t="s">
        <v>17</v>
      </c>
      <c r="D148" s="2" t="s">
        <v>156</v>
      </c>
      <c r="E148" s="4">
        <v>-32428</v>
      </c>
      <c r="F148" s="3" t="s">
        <v>351</v>
      </c>
      <c r="G148" s="3" t="s">
        <v>115</v>
      </c>
      <c r="H148" s="2" t="s">
        <v>148</v>
      </c>
      <c r="I148" s="2" t="s">
        <v>577</v>
      </c>
      <c r="J148" s="3" t="str">
        <f>HYPERLINK("https://www.boe.es/gazeta/dias/1811/03/19/pdfs/GMD-1811-78.pdf#page=3","Abrir facsímil")</f>
        <v>Abrir facsímil</v>
      </c>
      <c r="K148" s="3" t="s">
        <v>150</v>
      </c>
    </row>
    <row r="149" spans="1:11" ht="42" customHeight="1">
      <c r="A149" s="2" t="s">
        <v>578</v>
      </c>
      <c r="B149" s="2" t="s">
        <v>578</v>
      </c>
      <c r="C149" s="2" t="s">
        <v>104</v>
      </c>
      <c r="D149" s="2" t="s">
        <v>204</v>
      </c>
      <c r="E149" s="4">
        <v>-32393</v>
      </c>
      <c r="F149" s="3" t="s">
        <v>32</v>
      </c>
      <c r="G149" s="3" t="s">
        <v>579</v>
      </c>
      <c r="H149" s="2" t="s">
        <v>148</v>
      </c>
      <c r="I149" s="2" t="s">
        <v>580</v>
      </c>
      <c r="J149" s="3" t="str">
        <f>HYPERLINK("https://www.boe.es/gazeta/dias/1811/04/23/pdfs/GEI-1811-54.pdf#page=3","Abrir facsímil")</f>
        <v>Abrir facsímil</v>
      </c>
      <c r="K149" s="3" t="s">
        <v>150</v>
      </c>
    </row>
    <row r="150" spans="1:11" ht="42" customHeight="1">
      <c r="A150" s="2" t="s">
        <v>578</v>
      </c>
      <c r="B150" s="2" t="s">
        <v>578</v>
      </c>
      <c r="C150" s="2" t="s">
        <v>17</v>
      </c>
      <c r="D150" s="2" t="s">
        <v>156</v>
      </c>
      <c r="E150" s="4">
        <v>-32253</v>
      </c>
      <c r="F150" s="3" t="s">
        <v>581</v>
      </c>
      <c r="G150" s="3" t="s">
        <v>582</v>
      </c>
      <c r="H150" s="2" t="s">
        <v>148</v>
      </c>
      <c r="I150" s="2" t="s">
        <v>583</v>
      </c>
      <c r="J150" s="3" t="str">
        <f>HYPERLINK("https://www.boe.es/gazeta/dias/1811/09/10/pdfs/GEI-1811-117.pdf#page=2","Abrir facsímil")</f>
        <v>Abrir facsímil</v>
      </c>
      <c r="K150" s="3" t="s">
        <v>150</v>
      </c>
    </row>
    <row r="151" spans="1:11" ht="42" customHeight="1">
      <c r="A151" s="2" t="s">
        <v>584</v>
      </c>
      <c r="B151" s="2" t="s">
        <v>584</v>
      </c>
      <c r="C151" s="2" t="s">
        <v>17</v>
      </c>
      <c r="D151" s="2" t="s">
        <v>18</v>
      </c>
      <c r="E151" s="4">
        <v>-32494</v>
      </c>
      <c r="F151" s="3" t="s">
        <v>585</v>
      </c>
      <c r="G151" s="3" t="s">
        <v>586</v>
      </c>
      <c r="H151" s="2" t="s">
        <v>148</v>
      </c>
      <c r="I151" s="2" t="s">
        <v>587</v>
      </c>
      <c r="J151" s="3" t="str">
        <f>HYPERLINK("https://www.boe.es/gazeta/dias/1811/01/12/pdfs/GMD-1811-12.pdf#page=4","Abrir facsímil")</f>
        <v>Abrir facsímil</v>
      </c>
      <c r="K151" s="3" t="s">
        <v>150</v>
      </c>
    </row>
    <row r="152" spans="1:11" ht="42" customHeight="1">
      <c r="A152" s="2" t="s">
        <v>588</v>
      </c>
      <c r="B152" s="2" t="s">
        <v>588</v>
      </c>
      <c r="C152" s="2" t="s">
        <v>26</v>
      </c>
      <c r="D152" s="2" t="s">
        <v>204</v>
      </c>
      <c r="E152" s="4">
        <v>-32477</v>
      </c>
      <c r="F152" s="3" t="s">
        <v>589</v>
      </c>
      <c r="G152" s="3" t="s">
        <v>39</v>
      </c>
      <c r="H152" s="2" t="s">
        <v>148</v>
      </c>
      <c r="I152" s="2" t="s">
        <v>590</v>
      </c>
      <c r="J152" s="3" t="str">
        <f>HYPERLINK("https://www.boe.es/gazeta/dias/1811/01/29/pdfs/GMD-1811-29.pdf#page=1","Abrir facsímil")</f>
        <v>Abrir facsímil</v>
      </c>
      <c r="K152" s="3" t="s">
        <v>150</v>
      </c>
    </row>
    <row r="153" spans="1:11" ht="42" customHeight="1">
      <c r="A153" s="2" t="s">
        <v>591</v>
      </c>
      <c r="B153" s="2" t="s">
        <v>592</v>
      </c>
      <c r="C153" s="2" t="s">
        <v>26</v>
      </c>
      <c r="D153" s="2" t="s">
        <v>141</v>
      </c>
      <c r="E153" s="4">
        <v>-32355</v>
      </c>
      <c r="F153" s="3" t="s">
        <v>537</v>
      </c>
      <c r="G153" s="3" t="s">
        <v>593</v>
      </c>
      <c r="H153" s="2" t="s">
        <v>148</v>
      </c>
      <c r="I153" s="2" t="s">
        <v>594</v>
      </c>
      <c r="J153" s="3" t="str">
        <f>HYPERLINK("https://www.boe.es/gazeta/dias/1811/05/31/pdfs/GMD-C-1811-151.pdf#page=15","Abrir facsímil")</f>
        <v>Abrir facsímil</v>
      </c>
      <c r="K153" s="3" t="s">
        <v>150</v>
      </c>
    </row>
    <row r="154" spans="1:11" ht="42" customHeight="1">
      <c r="A154" s="2" t="s">
        <v>595</v>
      </c>
      <c r="B154" s="2" t="s">
        <v>596</v>
      </c>
      <c r="C154" s="2" t="s">
        <v>26</v>
      </c>
      <c r="D154" s="2" t="s">
        <v>141</v>
      </c>
      <c r="E154" s="4">
        <v>-32280</v>
      </c>
      <c r="F154" s="3" t="s">
        <v>142</v>
      </c>
      <c r="G154" s="3" t="s">
        <v>597</v>
      </c>
      <c r="H154" s="2" t="s">
        <v>148</v>
      </c>
      <c r="I154" s="2" t="s">
        <v>598</v>
      </c>
      <c r="J154" s="3" t="str">
        <f>HYPERLINK("https://www.boe.es/gazeta/dias/1811/08/14/pdfs/GMD-C-1811-226.pdf#page=2","Abrir facsímil")</f>
        <v>Abrir facsímil</v>
      </c>
      <c r="K154" s="3" t="s">
        <v>150</v>
      </c>
    </row>
    <row r="155" spans="1:11" ht="42" customHeight="1">
      <c r="A155" s="2" t="s">
        <v>599</v>
      </c>
      <c r="B155" s="2" t="s">
        <v>600</v>
      </c>
      <c r="C155" s="2" t="s">
        <v>26</v>
      </c>
      <c r="D155" s="2" t="s">
        <v>18</v>
      </c>
      <c r="E155" s="4">
        <v>-32452</v>
      </c>
      <c r="F155" s="3" t="s">
        <v>106</v>
      </c>
      <c r="G155" s="3" t="s">
        <v>20</v>
      </c>
      <c r="H155" s="2" t="s">
        <v>148</v>
      </c>
      <c r="I155" s="2" t="s">
        <v>601</v>
      </c>
      <c r="J155" s="3" t="str">
        <f>HYPERLINK("https://www.boe.es/gazeta/dias/1811/02/23/pdfs/GEI-1811-24.pdf#page=8","Abrir facsímil")</f>
        <v>Abrir facsímil</v>
      </c>
      <c r="K155" s="3" t="s">
        <v>150</v>
      </c>
    </row>
    <row r="156" spans="1:11" ht="42" customHeight="1">
      <c r="A156" s="2" t="s">
        <v>602</v>
      </c>
      <c r="B156" s="2" t="s">
        <v>603</v>
      </c>
      <c r="C156" s="2" t="s">
        <v>37</v>
      </c>
      <c r="D156" s="2" t="s">
        <v>204</v>
      </c>
      <c r="E156" s="4">
        <v>-32417</v>
      </c>
      <c r="F156" s="3" t="s">
        <v>604</v>
      </c>
      <c r="G156" s="3" t="s">
        <v>178</v>
      </c>
      <c r="H156" s="2" t="s">
        <v>148</v>
      </c>
      <c r="I156" s="2" t="s">
        <v>605</v>
      </c>
      <c r="J156" s="3" t="str">
        <f>HYPERLINK("https://www.boe.es/gazeta/dias/1811/03/30/pdfs/GMD-1811-89.pdf#page=3","Abrir facsímil")</f>
        <v>Abrir facsímil</v>
      </c>
      <c r="K156" s="3" t="s">
        <v>150</v>
      </c>
    </row>
    <row r="157" spans="1:11" ht="42" customHeight="1">
      <c r="A157" s="2" t="s">
        <v>606</v>
      </c>
      <c r="B157" s="2" t="s">
        <v>606</v>
      </c>
      <c r="C157" s="2" t="s">
        <v>17</v>
      </c>
      <c r="D157" s="2" t="s">
        <v>156</v>
      </c>
      <c r="E157" s="4">
        <v>-32207</v>
      </c>
      <c r="F157" s="3" t="s">
        <v>152</v>
      </c>
      <c r="G157" s="3" t="s">
        <v>607</v>
      </c>
      <c r="H157" s="2" t="s">
        <v>148</v>
      </c>
      <c r="I157" s="2" t="s">
        <v>608</v>
      </c>
      <c r="J157" s="3" t="str">
        <f>HYPERLINK("https://www.boe.es/gazeta/dias/1811/10/26/pdfs/GEI-1811-138.pdf#page=4","Abrir facsímil")</f>
        <v>Abrir facsímil</v>
      </c>
      <c r="K157" s="3" t="s">
        <v>150</v>
      </c>
    </row>
    <row r="158" spans="1:11" ht="42" customHeight="1">
      <c r="A158" s="2" t="s">
        <v>609</v>
      </c>
      <c r="B158" s="2" t="s">
        <v>610</v>
      </c>
      <c r="C158" s="2" t="s">
        <v>26</v>
      </c>
      <c r="D158" s="2" t="s">
        <v>18</v>
      </c>
      <c r="E158" s="4">
        <v>-32249</v>
      </c>
      <c r="F158" s="3" t="s">
        <v>182</v>
      </c>
      <c r="G158" s="3" t="s">
        <v>44</v>
      </c>
      <c r="H158" s="2" t="s">
        <v>148</v>
      </c>
      <c r="I158" s="2" t="s">
        <v>611</v>
      </c>
      <c r="J158" s="3" t="str">
        <f>HYPERLINK("https://www.boe.es/gazeta/dias/1811/09/14/pdfs/GMD-1811-257.pdf#page=3","Abrir facsímil")</f>
        <v>Abrir facsímil</v>
      </c>
      <c r="K158" s="3" t="s">
        <v>150</v>
      </c>
    </row>
    <row r="159" spans="1:11" ht="42" customHeight="1">
      <c r="A159" s="2" t="s">
        <v>612</v>
      </c>
      <c r="B159" s="2" t="s">
        <v>613</v>
      </c>
      <c r="C159" s="2" t="s">
        <v>26</v>
      </c>
      <c r="D159" s="2" t="s">
        <v>18</v>
      </c>
      <c r="E159" s="4">
        <v>-32179</v>
      </c>
      <c r="F159" s="3" t="s">
        <v>614</v>
      </c>
      <c r="G159" s="3" t="s">
        <v>615</v>
      </c>
      <c r="H159" s="2" t="s">
        <v>21</v>
      </c>
      <c r="I159" s="2" t="s">
        <v>616</v>
      </c>
      <c r="J159" s="3" t="str">
        <f>HYPERLINK("https://www.boe.es/gazeta/dias/1811/11/23/pdfs/GEI-1811-153.pdf#page=4","Abrir facsímil")</f>
        <v>Abrir facsímil</v>
      </c>
      <c r="K159" s="3" t="s">
        <v>23</v>
      </c>
    </row>
    <row r="160" spans="1:11" ht="42" customHeight="1">
      <c r="A160" s="2" t="s">
        <v>617</v>
      </c>
      <c r="B160" s="2" t="s">
        <v>617</v>
      </c>
      <c r="C160" s="2" t="s">
        <v>37</v>
      </c>
      <c r="D160" s="2" t="s">
        <v>18</v>
      </c>
      <c r="E160" s="4">
        <v>-32226</v>
      </c>
      <c r="F160" s="3" t="s">
        <v>618</v>
      </c>
      <c r="G160" s="3" t="s">
        <v>57</v>
      </c>
      <c r="H160" s="2" t="s">
        <v>148</v>
      </c>
      <c r="I160" s="2" t="s">
        <v>619</v>
      </c>
      <c r="J160" s="3" t="str">
        <f>HYPERLINK("https://www.boe.es/gazeta/dias/1811/10/07/pdfs/GMD-1811-280.pdf#page=2","Abrir facsímil")</f>
        <v>Abrir facsímil</v>
      </c>
      <c r="K160" s="3" t="s">
        <v>150</v>
      </c>
    </row>
    <row r="161" spans="1:11" ht="42" customHeight="1">
      <c r="A161" s="2" t="s">
        <v>620</v>
      </c>
      <c r="B161" s="2" t="s">
        <v>621</v>
      </c>
      <c r="C161" s="2" t="s">
        <v>26</v>
      </c>
      <c r="D161" s="2" t="s">
        <v>18</v>
      </c>
      <c r="E161" s="4">
        <v>-32248</v>
      </c>
      <c r="F161" s="3" t="s">
        <v>622</v>
      </c>
      <c r="G161" s="3" t="s">
        <v>115</v>
      </c>
      <c r="H161" s="2" t="s">
        <v>148</v>
      </c>
      <c r="I161" s="2" t="s">
        <v>623</v>
      </c>
      <c r="J161" s="3" t="str">
        <f>HYPERLINK("https://www.boe.es/gazeta/dias/1811/09/15/pdfs/GMD-1811-258.pdf#page=3","Abrir facsímil")</f>
        <v>Abrir facsímil</v>
      </c>
      <c r="K161" s="3" t="s">
        <v>150</v>
      </c>
    </row>
    <row r="162" spans="1:11" ht="42" customHeight="1">
      <c r="A162" s="2" t="s">
        <v>624</v>
      </c>
      <c r="B162" s="2" t="s">
        <v>624</v>
      </c>
      <c r="C162" s="2" t="s">
        <v>17</v>
      </c>
      <c r="D162" s="2" t="s">
        <v>18</v>
      </c>
      <c r="E162" s="4">
        <v>-32230</v>
      </c>
      <c r="F162" s="3" t="s">
        <v>625</v>
      </c>
      <c r="G162" s="3" t="s">
        <v>626</v>
      </c>
      <c r="H162" s="2" t="s">
        <v>148</v>
      </c>
      <c r="I162" s="2" t="s">
        <v>627</v>
      </c>
      <c r="J162" s="3" t="str">
        <f>HYPERLINK("https://www.boe.es/gazeta/dias/1811/10/03/pdfs/GEI-1811-127.pdf#page=3","Abrir facsímil")</f>
        <v>Abrir facsímil</v>
      </c>
      <c r="K162" s="3" t="s">
        <v>150</v>
      </c>
    </row>
    <row r="163" spans="1:11" ht="42" customHeight="1">
      <c r="A163" s="2" t="s">
        <v>628</v>
      </c>
      <c r="B163" s="2" t="s">
        <v>629</v>
      </c>
      <c r="C163" s="2" t="s">
        <v>104</v>
      </c>
      <c r="D163" s="2" t="s">
        <v>18</v>
      </c>
      <c r="E163" s="4">
        <v>-32200</v>
      </c>
      <c r="F163" s="3" t="s">
        <v>109</v>
      </c>
      <c r="G163" s="3" t="s">
        <v>630</v>
      </c>
      <c r="H163" s="2" t="s">
        <v>148</v>
      </c>
      <c r="I163" s="2" t="s">
        <v>631</v>
      </c>
      <c r="J163" s="3" t="str">
        <f>HYPERLINK("https://www.boe.es/gazeta/dias/1811/11/02/pdfs/GEI-1811-141.pdf#page=2","Abrir facsímil")</f>
        <v>Abrir facsímil</v>
      </c>
      <c r="K163" s="3" t="s">
        <v>150</v>
      </c>
    </row>
    <row r="164" spans="1:11" ht="42" customHeight="1">
      <c r="A164" s="2" t="s">
        <v>632</v>
      </c>
      <c r="B164" s="2" t="s">
        <v>633</v>
      </c>
      <c r="C164" s="2" t="s">
        <v>26</v>
      </c>
      <c r="D164" s="2" t="s">
        <v>18</v>
      </c>
      <c r="E164" s="4">
        <v>-32442</v>
      </c>
      <c r="F164" s="3" t="s">
        <v>634</v>
      </c>
      <c r="G164" s="3" t="s">
        <v>57</v>
      </c>
      <c r="H164" s="2" t="s">
        <v>148</v>
      </c>
      <c r="I164" s="2" t="s">
        <v>635</v>
      </c>
      <c r="J164" s="3" t="str">
        <f>HYPERLINK("https://www.boe.es/gazeta/dias/1811/03/05/pdfs/GEI-1811-29.pdf#page=2","Abrir facsímil")</f>
        <v>Abrir facsímil</v>
      </c>
      <c r="K164" s="3" t="s">
        <v>150</v>
      </c>
    </row>
    <row r="165" spans="1:11" ht="42" customHeight="1">
      <c r="A165" s="2" t="s">
        <v>636</v>
      </c>
      <c r="B165" s="2" t="s">
        <v>637</v>
      </c>
      <c r="C165" s="2" t="s">
        <v>17</v>
      </c>
      <c r="D165" s="2" t="s">
        <v>156</v>
      </c>
      <c r="E165" s="4">
        <v>-32176</v>
      </c>
      <c r="F165" s="3" t="s">
        <v>638</v>
      </c>
      <c r="G165" s="3" t="s">
        <v>639</v>
      </c>
      <c r="H165" s="2" t="s">
        <v>148</v>
      </c>
      <c r="I165" s="2" t="s">
        <v>640</v>
      </c>
      <c r="J165" s="3" t="str">
        <f>HYPERLINK("https://www.boe.es/gazeta/dias/1811/11/26/pdfs/GEI-1811-154.pdf#page=7","Abrir facsímil")</f>
        <v>Abrir facsímil</v>
      </c>
      <c r="K165" s="3" t="s">
        <v>150</v>
      </c>
    </row>
    <row r="166" spans="1:11" ht="42" customHeight="1">
      <c r="A166" s="2" t="s">
        <v>641</v>
      </c>
      <c r="B166" s="2" t="s">
        <v>642</v>
      </c>
      <c r="C166" s="2" t="s">
        <v>26</v>
      </c>
      <c r="D166" s="2" t="s">
        <v>18</v>
      </c>
      <c r="E166" s="4">
        <v>-32288</v>
      </c>
      <c r="F166" s="3" t="s">
        <v>95</v>
      </c>
      <c r="G166" s="3" t="s">
        <v>47</v>
      </c>
      <c r="H166" s="2" t="s">
        <v>148</v>
      </c>
      <c r="I166" s="2" t="s">
        <v>643</v>
      </c>
      <c r="J166" s="3" t="str">
        <f>HYPERLINK("https://www.boe.es/gazeta/dias/1811/08/06/pdfs/GEI-1811-102.pdf#page=8","Abrir facsímil")</f>
        <v>Abrir facsímil</v>
      </c>
      <c r="K166" s="3" t="s">
        <v>150</v>
      </c>
    </row>
    <row r="167" spans="1:11" ht="42" customHeight="1">
      <c r="A167" s="2" t="s">
        <v>644</v>
      </c>
      <c r="B167" s="2" t="s">
        <v>645</v>
      </c>
      <c r="C167" s="2" t="s">
        <v>26</v>
      </c>
      <c r="D167" s="2" t="s">
        <v>18</v>
      </c>
      <c r="E167" s="4">
        <v>-32452</v>
      </c>
      <c r="F167" s="3" t="s">
        <v>106</v>
      </c>
      <c r="G167" s="3" t="s">
        <v>20</v>
      </c>
      <c r="H167" s="2" t="s">
        <v>148</v>
      </c>
      <c r="I167" s="2" t="s">
        <v>646</v>
      </c>
      <c r="J167" s="3" t="str">
        <f>HYPERLINK("https://www.boe.es/gazeta/dias/1811/02/23/pdfs/GEI-1811-24.pdf#page=8","Abrir facsímil")</f>
        <v>Abrir facsímil</v>
      </c>
      <c r="K167" s="3" t="s">
        <v>150</v>
      </c>
    </row>
    <row r="168" spans="1:11" ht="42" customHeight="1">
      <c r="A168" s="2" t="s">
        <v>647</v>
      </c>
      <c r="B168" s="2" t="s">
        <v>647</v>
      </c>
      <c r="C168" s="2" t="s">
        <v>26</v>
      </c>
      <c r="D168" s="2" t="s">
        <v>18</v>
      </c>
      <c r="E168" s="4">
        <v>-32356</v>
      </c>
      <c r="F168" s="3" t="s">
        <v>648</v>
      </c>
      <c r="G168" s="3" t="s">
        <v>649</v>
      </c>
      <c r="H168" s="2" t="s">
        <v>148</v>
      </c>
      <c r="I168" s="2" t="s">
        <v>650</v>
      </c>
      <c r="J168" s="3" t="str">
        <f>HYPERLINK("https://www.boe.es/gazeta/dias/1811/05/30/pdfs/GMD-1811-150.pdf#page=1","Abrir facsímil")</f>
        <v>Abrir facsímil</v>
      </c>
      <c r="K168" s="3" t="s">
        <v>150</v>
      </c>
    </row>
    <row r="169" spans="1:11" ht="42" customHeight="1">
      <c r="A169" s="2" t="s">
        <v>651</v>
      </c>
      <c r="B169" s="2" t="s">
        <v>652</v>
      </c>
      <c r="C169" s="2" t="s">
        <v>66</v>
      </c>
      <c r="D169" s="2" t="s">
        <v>204</v>
      </c>
      <c r="E169" s="4">
        <v>-32182</v>
      </c>
      <c r="F169" s="3" t="s">
        <v>653</v>
      </c>
      <c r="G169" s="3" t="s">
        <v>44</v>
      </c>
      <c r="H169" s="2" t="s">
        <v>148</v>
      </c>
      <c r="I169" s="2" t="s">
        <v>654</v>
      </c>
      <c r="J169" s="3" t="str">
        <f>HYPERLINK("https://www.boe.es/gazeta/dias/1811/11/20/pdfs/GMD-1811-324.pdf#page=4","Abrir facsímil")</f>
        <v>Abrir facsímil</v>
      </c>
      <c r="K169" s="3" t="s">
        <v>150</v>
      </c>
    </row>
    <row r="170" spans="1:11" ht="42" customHeight="1">
      <c r="A170" s="2" t="s">
        <v>655</v>
      </c>
      <c r="B170" s="2" t="s">
        <v>656</v>
      </c>
      <c r="C170" s="2" t="s">
        <v>66</v>
      </c>
      <c r="D170" s="2" t="s">
        <v>141</v>
      </c>
      <c r="E170" s="4">
        <v>-32238</v>
      </c>
      <c r="F170" s="3" t="s">
        <v>166</v>
      </c>
      <c r="G170" s="3" t="s">
        <v>657</v>
      </c>
      <c r="H170" s="2" t="s">
        <v>148</v>
      </c>
      <c r="I170" s="2" t="s">
        <v>658</v>
      </c>
      <c r="J170" s="3" t="str">
        <f>HYPERLINK("https://www.boe.es/gazeta/dias/1811/09/25/pdfs/GMD-C-1811-268.pdf#page=3","Abrir facsímil")</f>
        <v>Abrir facsímil</v>
      </c>
      <c r="K170" s="3" t="s">
        <v>150</v>
      </c>
    </row>
    <row r="171" spans="1:11" ht="42" customHeight="1">
      <c r="A171" s="2" t="s">
        <v>659</v>
      </c>
      <c r="B171" s="2" t="s">
        <v>660</v>
      </c>
      <c r="C171" s="2" t="s">
        <v>104</v>
      </c>
      <c r="D171" s="2" t="s">
        <v>204</v>
      </c>
      <c r="E171" s="4">
        <v>-32505</v>
      </c>
      <c r="F171" s="3" t="s">
        <v>661</v>
      </c>
      <c r="G171" s="3" t="s">
        <v>530</v>
      </c>
      <c r="H171" s="2" t="s">
        <v>148</v>
      </c>
      <c r="I171" s="2" t="s">
        <v>662</v>
      </c>
      <c r="J171" s="3" t="str">
        <f>HYPERLINK("https://www.boe.es/gazeta/dias/1811/01/01/pdfs/GMD-1811-1.pdf#page=3","Abrir facsímil")</f>
        <v>Abrir facsímil</v>
      </c>
      <c r="K171" s="3" t="s">
        <v>150</v>
      </c>
    </row>
    <row r="172" spans="1:11" ht="42" customHeight="1">
      <c r="A172" s="2" t="s">
        <v>663</v>
      </c>
      <c r="B172" s="2" t="s">
        <v>664</v>
      </c>
      <c r="C172" s="2" t="s">
        <v>26</v>
      </c>
      <c r="D172" s="2" t="s">
        <v>204</v>
      </c>
      <c r="E172" s="4">
        <v>-32447</v>
      </c>
      <c r="F172" s="3" t="s">
        <v>665</v>
      </c>
      <c r="G172" s="3" t="s">
        <v>57</v>
      </c>
      <c r="H172" s="2" t="s">
        <v>148</v>
      </c>
      <c r="I172" s="2" t="s">
        <v>666</v>
      </c>
      <c r="J172" s="3" t="str">
        <f>HYPERLINK("https://www.boe.es/gazeta/dias/1811/02/28/pdfs/GMD-1811-59.pdf#page=2","Abrir facsímil")</f>
        <v>Abrir facsímil</v>
      </c>
      <c r="K172" s="3" t="s">
        <v>150</v>
      </c>
    </row>
    <row r="173" spans="1:11" ht="42" customHeight="1">
      <c r="A173" s="2" t="s">
        <v>667</v>
      </c>
      <c r="B173" s="2" t="s">
        <v>667</v>
      </c>
      <c r="C173" s="2" t="s">
        <v>367</v>
      </c>
      <c r="D173" s="2" t="s">
        <v>18</v>
      </c>
      <c r="E173" s="4">
        <v>-32431</v>
      </c>
      <c r="F173" s="3" t="s">
        <v>668</v>
      </c>
      <c r="G173" s="3" t="s">
        <v>669</v>
      </c>
      <c r="H173" s="2" t="s">
        <v>148</v>
      </c>
      <c r="I173" s="2" t="s">
        <v>670</v>
      </c>
      <c r="J173" s="3" t="str">
        <f>HYPERLINK("https://www.boe.es/gazeta/dias/1811/03/16/pdfs/GMD-1811-75.pdf#page=1","Abrir facsímil")</f>
        <v>Abrir facsímil</v>
      </c>
      <c r="K173" s="3" t="s">
        <v>150</v>
      </c>
    </row>
    <row r="174" spans="1:11" ht="42" customHeight="1">
      <c r="A174" s="2" t="s">
        <v>671</v>
      </c>
      <c r="B174" s="2" t="s">
        <v>672</v>
      </c>
      <c r="C174" s="2" t="s">
        <v>37</v>
      </c>
      <c r="D174" s="2" t="s">
        <v>18</v>
      </c>
      <c r="E174" s="4">
        <v>-32192</v>
      </c>
      <c r="F174" s="3" t="s">
        <v>673</v>
      </c>
      <c r="G174" s="3" t="s">
        <v>305</v>
      </c>
      <c r="H174" s="2" t="s">
        <v>148</v>
      </c>
      <c r="I174" s="2" t="s">
        <v>674</v>
      </c>
      <c r="J174" s="3" t="str">
        <f>HYPERLINK("https://www.boe.es/gazeta/dias/1811/11/10/pdfs/GMD-1811-314.pdf#page=4","Abrir facsímil")</f>
        <v>Abrir facsímil</v>
      </c>
      <c r="K174" s="3" t="s">
        <v>150</v>
      </c>
    </row>
    <row r="175" spans="1:11" ht="42" customHeight="1">
      <c r="A175" s="2" t="s">
        <v>675</v>
      </c>
      <c r="B175" s="2" t="s">
        <v>675</v>
      </c>
      <c r="C175" s="2" t="s">
        <v>17</v>
      </c>
      <c r="D175" s="2" t="s">
        <v>18</v>
      </c>
      <c r="E175" s="4">
        <v>-32433</v>
      </c>
      <c r="F175" s="3" t="s">
        <v>676</v>
      </c>
      <c r="G175" s="3" t="s">
        <v>91</v>
      </c>
      <c r="H175" s="2" t="s">
        <v>148</v>
      </c>
      <c r="I175" s="2" t="s">
        <v>677</v>
      </c>
      <c r="J175" s="3" t="str">
        <f>HYPERLINK("https://www.boe.es/gazeta/dias/1811/03/14/pdfs/GEI-1811-37.pdf#page=6","Abrir facsímil")</f>
        <v>Abrir facsímil</v>
      </c>
      <c r="K175" s="3" t="s">
        <v>150</v>
      </c>
    </row>
    <row r="176" spans="1:11" ht="42" customHeight="1">
      <c r="A176" s="2" t="s">
        <v>678</v>
      </c>
      <c r="B176" s="2" t="s">
        <v>678</v>
      </c>
      <c r="C176" s="2" t="s">
        <v>17</v>
      </c>
      <c r="D176" s="2" t="s">
        <v>18</v>
      </c>
      <c r="E176" s="4">
        <v>-32433</v>
      </c>
      <c r="F176" s="3" t="s">
        <v>676</v>
      </c>
      <c r="G176" s="3" t="s">
        <v>679</v>
      </c>
      <c r="H176" s="2" t="s">
        <v>148</v>
      </c>
      <c r="I176" s="2" t="s">
        <v>680</v>
      </c>
      <c r="J176" s="3" t="str">
        <f>HYPERLINK("https://www.boe.es/gazeta/dias/1811/03/14/pdfs/GEI-1811-37.pdf#page=7","Abrir facsímil")</f>
        <v>Abrir facsímil</v>
      </c>
      <c r="K176" s="3" t="s">
        <v>150</v>
      </c>
    </row>
    <row r="177" spans="1:11" ht="42" customHeight="1">
      <c r="A177" s="2" t="s">
        <v>681</v>
      </c>
      <c r="B177" s="2" t="s">
        <v>682</v>
      </c>
      <c r="C177" s="2" t="s">
        <v>17</v>
      </c>
      <c r="D177" s="2" t="s">
        <v>156</v>
      </c>
      <c r="E177" s="4">
        <v>-32468</v>
      </c>
      <c r="F177" s="3" t="s">
        <v>683</v>
      </c>
      <c r="G177" s="3" t="s">
        <v>214</v>
      </c>
      <c r="H177" s="2" t="s">
        <v>148</v>
      </c>
      <c r="I177" s="2" t="s">
        <v>684</v>
      </c>
      <c r="J177" s="3" t="str">
        <f>HYPERLINK("https://www.boe.es/gazeta/dias/1811/02/07/pdfs/GEI-1811-17.pdf#page=6","Abrir facsímil")</f>
        <v>Abrir facsímil</v>
      </c>
      <c r="K177" s="3" t="s">
        <v>150</v>
      </c>
    </row>
    <row r="178" spans="1:11" ht="42" customHeight="1">
      <c r="A178" s="2" t="s">
        <v>685</v>
      </c>
      <c r="B178" s="2" t="s">
        <v>686</v>
      </c>
      <c r="C178" s="2" t="s">
        <v>17</v>
      </c>
      <c r="D178" s="2" t="s">
        <v>18</v>
      </c>
      <c r="E178" s="4">
        <v>-32197</v>
      </c>
      <c r="F178" s="3" t="s">
        <v>687</v>
      </c>
      <c r="G178" s="3" t="s">
        <v>688</v>
      </c>
      <c r="H178" s="2" t="s">
        <v>148</v>
      </c>
      <c r="I178" s="2" t="s">
        <v>689</v>
      </c>
      <c r="J178" s="3" t="str">
        <f>HYPERLINK("https://www.boe.es/gazeta/dias/1811/11/05/pdfs/GEI-1811-143.pdf#page=7","Abrir facsímil")</f>
        <v>Abrir facsímil</v>
      </c>
      <c r="K178" s="3" t="s">
        <v>150</v>
      </c>
    </row>
    <row r="179" spans="1:11" ht="42" customHeight="1">
      <c r="A179" s="2" t="s">
        <v>690</v>
      </c>
      <c r="B179" s="2" t="s">
        <v>691</v>
      </c>
      <c r="C179" s="2" t="s">
        <v>26</v>
      </c>
      <c r="D179" s="2" t="s">
        <v>18</v>
      </c>
      <c r="E179" s="4">
        <v>-32501</v>
      </c>
      <c r="F179" s="3" t="s">
        <v>509</v>
      </c>
      <c r="G179" s="3" t="s">
        <v>510</v>
      </c>
      <c r="H179" s="2" t="s">
        <v>148</v>
      </c>
      <c r="I179" s="2" t="s">
        <v>692</v>
      </c>
      <c r="J179" s="3" t="str">
        <f>HYPERLINK("https://www.boe.es/gazeta/dias/1811/01/05/pdfs/GEI-1811-3.pdf#page=8","Abrir facsímil")</f>
        <v>Abrir facsímil</v>
      </c>
      <c r="K179" s="3" t="s">
        <v>150</v>
      </c>
    </row>
    <row r="180" spans="1:11" ht="42" customHeight="1">
      <c r="A180" s="2" t="s">
        <v>693</v>
      </c>
      <c r="B180" s="2" t="s">
        <v>694</v>
      </c>
      <c r="C180" s="2" t="s">
        <v>26</v>
      </c>
      <c r="D180" s="2" t="s">
        <v>18</v>
      </c>
      <c r="E180" s="4">
        <v>-32501</v>
      </c>
      <c r="F180" s="3" t="s">
        <v>509</v>
      </c>
      <c r="G180" s="3" t="s">
        <v>510</v>
      </c>
      <c r="H180" s="2" t="s">
        <v>148</v>
      </c>
      <c r="I180" s="2" t="s">
        <v>695</v>
      </c>
      <c r="J180" s="3" t="str">
        <f>HYPERLINK("https://www.boe.es/gazeta/dias/1811/01/05/pdfs/GEI-1811-3.pdf#page=8","Abrir facsímil")</f>
        <v>Abrir facsímil</v>
      </c>
      <c r="K180" s="3" t="s">
        <v>150</v>
      </c>
    </row>
    <row r="181" spans="1:11" ht="42" customHeight="1">
      <c r="A181" s="2" t="s">
        <v>696</v>
      </c>
      <c r="B181" s="2" t="s">
        <v>697</v>
      </c>
      <c r="C181" s="2" t="s">
        <v>26</v>
      </c>
      <c r="D181" s="2" t="s">
        <v>18</v>
      </c>
      <c r="E181" s="4">
        <v>-32433</v>
      </c>
      <c r="F181" s="3" t="s">
        <v>676</v>
      </c>
      <c r="G181" s="3" t="s">
        <v>698</v>
      </c>
      <c r="H181" s="2" t="s">
        <v>148</v>
      </c>
      <c r="I181" s="2" t="s">
        <v>699</v>
      </c>
      <c r="J181" s="3" t="str">
        <f>HYPERLINK("https://www.boe.es/gazeta/dias/1811/03/14/pdfs/GEI-1811-37.pdf#page=5","Abrir facsímil")</f>
        <v>Abrir facsímil</v>
      </c>
      <c r="K181" s="3" t="s">
        <v>150</v>
      </c>
    </row>
    <row r="182" spans="1:11" ht="42" customHeight="1">
      <c r="A182" s="2" t="s">
        <v>700</v>
      </c>
      <c r="B182" s="2" t="s">
        <v>701</v>
      </c>
      <c r="C182" s="2" t="s">
        <v>26</v>
      </c>
      <c r="D182" s="2" t="s">
        <v>18</v>
      </c>
      <c r="E182" s="4">
        <v>-32153</v>
      </c>
      <c r="F182" s="3" t="s">
        <v>123</v>
      </c>
      <c r="G182" s="3" t="s">
        <v>124</v>
      </c>
      <c r="H182" s="2" t="s">
        <v>148</v>
      </c>
      <c r="I182" s="2" t="s">
        <v>702</v>
      </c>
      <c r="J182" s="3" t="str">
        <f>HYPERLINK("https://www.boe.es/gazeta/dias/1811/12/19/pdfs/GMD-1811-353.pdf#page=6","Abrir facsímil")</f>
        <v>Abrir facsímil</v>
      </c>
      <c r="K182" s="3" t="s">
        <v>150</v>
      </c>
    </row>
    <row r="183" spans="1:11" ht="42" customHeight="1">
      <c r="A183" s="2" t="s">
        <v>703</v>
      </c>
      <c r="B183" s="2" t="s">
        <v>704</v>
      </c>
      <c r="C183" s="2" t="s">
        <v>17</v>
      </c>
      <c r="D183" s="2" t="s">
        <v>18</v>
      </c>
      <c r="E183" s="4">
        <v>-32300</v>
      </c>
      <c r="F183" s="3" t="s">
        <v>61</v>
      </c>
      <c r="G183" s="3" t="s">
        <v>62</v>
      </c>
      <c r="H183" s="2" t="s">
        <v>148</v>
      </c>
      <c r="I183" s="2" t="s">
        <v>705</v>
      </c>
      <c r="J183" s="3" t="str">
        <f>HYPERLINK("https://www.boe.es/gazeta/dias/1811/07/25/pdfs/GEI-1811-97.pdf#page=5","Abrir facsímil")</f>
        <v>Abrir facsímil</v>
      </c>
      <c r="K183" s="3" t="s">
        <v>150</v>
      </c>
    </row>
    <row r="184" spans="1:11" ht="42" customHeight="1">
      <c r="A184" s="2" t="s">
        <v>706</v>
      </c>
      <c r="B184" s="2" t="s">
        <v>706</v>
      </c>
      <c r="C184" s="2" t="s">
        <v>17</v>
      </c>
      <c r="D184" s="2" t="s">
        <v>156</v>
      </c>
      <c r="E184" s="4">
        <v>-32172</v>
      </c>
      <c r="F184" s="3" t="s">
        <v>707</v>
      </c>
      <c r="G184" s="3" t="s">
        <v>708</v>
      </c>
      <c r="H184" s="2" t="s">
        <v>148</v>
      </c>
      <c r="I184" s="2" t="s">
        <v>709</v>
      </c>
      <c r="J184" s="3" t="str">
        <f>HYPERLINK("https://www.boe.es/gazeta/dias/1811/11/30/pdfs/GEI-1811-156.pdf#page=6","Abrir facsímil")</f>
        <v>Abrir facsímil</v>
      </c>
      <c r="K184" s="3" t="s">
        <v>150</v>
      </c>
    </row>
    <row r="185" spans="1:11" ht="42" customHeight="1">
      <c r="A185" s="2" t="s">
        <v>710</v>
      </c>
      <c r="B185" s="2" t="s">
        <v>711</v>
      </c>
      <c r="C185" s="2" t="s">
        <v>26</v>
      </c>
      <c r="D185" s="2" t="s">
        <v>18</v>
      </c>
      <c r="E185" s="4">
        <v>-32291</v>
      </c>
      <c r="F185" s="3" t="s">
        <v>712</v>
      </c>
      <c r="G185" s="3" t="s">
        <v>713</v>
      </c>
      <c r="H185" s="2" t="s">
        <v>148</v>
      </c>
      <c r="I185" s="2" t="s">
        <v>714</v>
      </c>
      <c r="J185" s="3" t="str">
        <f>HYPERLINK("https://www.boe.es/gazeta/dias/1811/08/03/pdfs/GEI-1811-101.pdf#page=6","Abrir facsímil")</f>
        <v>Abrir facsímil</v>
      </c>
      <c r="K185" s="3" t="s">
        <v>150</v>
      </c>
    </row>
    <row r="186" spans="1:11" ht="42" customHeight="1">
      <c r="A186" s="2" t="s">
        <v>715</v>
      </c>
      <c r="B186" s="2" t="s">
        <v>716</v>
      </c>
      <c r="C186" s="2" t="s">
        <v>26</v>
      </c>
      <c r="D186" s="2" t="s">
        <v>18</v>
      </c>
      <c r="E186" s="4">
        <v>-32237</v>
      </c>
      <c r="F186" s="3" t="s">
        <v>717</v>
      </c>
      <c r="G186" s="3" t="s">
        <v>718</v>
      </c>
      <c r="H186" s="2" t="s">
        <v>148</v>
      </c>
      <c r="I186" s="2" t="s">
        <v>719</v>
      </c>
      <c r="J186" s="3" t="str">
        <f>HYPERLINK("https://www.boe.es/gazeta/dias/1811/09/26/pdfs/GEI-1811-124.pdf#page=5","Abrir facsímil")</f>
        <v>Abrir facsímil</v>
      </c>
      <c r="K186" s="3" t="s">
        <v>150</v>
      </c>
    </row>
    <row r="187" spans="1:11" ht="42" customHeight="1">
      <c r="A187" s="2" t="s">
        <v>720</v>
      </c>
      <c r="B187" s="2" t="s">
        <v>721</v>
      </c>
      <c r="C187" s="2" t="s">
        <v>37</v>
      </c>
      <c r="D187" s="2" t="s">
        <v>18</v>
      </c>
      <c r="E187" s="4">
        <v>-32489</v>
      </c>
      <c r="F187" s="3" t="s">
        <v>722</v>
      </c>
      <c r="G187" s="3" t="s">
        <v>468</v>
      </c>
      <c r="H187" s="2" t="s">
        <v>148</v>
      </c>
      <c r="I187" s="2" t="s">
        <v>723</v>
      </c>
      <c r="J187" s="3" t="str">
        <f>HYPERLINK("https://www.boe.es/gazeta/dias/1811/01/17/pdfs/GMD-1811-17.pdf#page=4","Abrir facsímil")</f>
        <v>Abrir facsímil</v>
      </c>
      <c r="K187" s="3" t="s">
        <v>150</v>
      </c>
    </row>
    <row r="188" spans="1:11" ht="42" customHeight="1">
      <c r="A188" s="2" t="s">
        <v>724</v>
      </c>
      <c r="B188" s="2" t="s">
        <v>725</v>
      </c>
      <c r="C188" s="2" t="s">
        <v>17</v>
      </c>
      <c r="D188" s="2" t="s">
        <v>18</v>
      </c>
      <c r="E188" s="4">
        <v>-32251</v>
      </c>
      <c r="F188" s="3" t="s">
        <v>726</v>
      </c>
      <c r="G188" s="3" t="s">
        <v>727</v>
      </c>
      <c r="H188" s="2" t="s">
        <v>148</v>
      </c>
      <c r="I188" s="2" t="s">
        <v>728</v>
      </c>
      <c r="J188" s="3" t="str">
        <f>HYPERLINK("https://www.boe.es/gazeta/dias/1811/09/12/pdfs/GEI-1811-118.pdf#page=8","Abrir facsímil")</f>
        <v>Abrir facsímil</v>
      </c>
      <c r="K188" s="3" t="s">
        <v>150</v>
      </c>
    </row>
    <row r="189" spans="1:11" ht="42" customHeight="1">
      <c r="A189" s="2" t="s">
        <v>729</v>
      </c>
      <c r="B189" s="2" t="s">
        <v>729</v>
      </c>
      <c r="C189" s="2" t="s">
        <v>84</v>
      </c>
      <c r="D189" s="2" t="s">
        <v>18</v>
      </c>
      <c r="E189" s="4">
        <v>-32324</v>
      </c>
      <c r="F189" s="3" t="s">
        <v>730</v>
      </c>
      <c r="G189" s="3" t="s">
        <v>57</v>
      </c>
      <c r="H189" s="2" t="s">
        <v>148</v>
      </c>
      <c r="I189" s="2" t="s">
        <v>731</v>
      </c>
      <c r="J189" s="3" t="str">
        <f>HYPERLINK("https://www.boe.es/gazeta/dias/1811/07/01/pdfs/GMD-1811-182.pdf#page=2","Abrir facsímil")</f>
        <v>Abrir facsímil</v>
      </c>
      <c r="K189" s="3" t="s">
        <v>150</v>
      </c>
    </row>
    <row r="190" spans="1:11" ht="42" customHeight="1">
      <c r="A190" s="2" t="s">
        <v>732</v>
      </c>
      <c r="B190" s="2" t="s">
        <v>733</v>
      </c>
      <c r="C190" s="2" t="s">
        <v>367</v>
      </c>
      <c r="D190" s="2" t="s">
        <v>18</v>
      </c>
      <c r="E190" s="4">
        <v>-32463</v>
      </c>
      <c r="F190" s="3" t="s">
        <v>734</v>
      </c>
      <c r="G190" s="3" t="s">
        <v>735</v>
      </c>
      <c r="H190" s="2" t="s">
        <v>148</v>
      </c>
      <c r="I190" s="2" t="s">
        <v>736</v>
      </c>
      <c r="J190" s="3" t="str">
        <f>HYPERLINK("https://www.boe.es/gazeta/dias/1811/02/12/pdfs/GEI-1811-19.pdf#page=8","Abrir facsímil")</f>
        <v>Abrir facsímil</v>
      </c>
      <c r="K190" s="3" t="s">
        <v>150</v>
      </c>
    </row>
    <row r="191" spans="1:11" ht="42" customHeight="1">
      <c r="A191" s="2" t="s">
        <v>737</v>
      </c>
      <c r="B191" s="2" t="s">
        <v>738</v>
      </c>
      <c r="C191" s="2" t="s">
        <v>26</v>
      </c>
      <c r="D191" s="2" t="s">
        <v>18</v>
      </c>
      <c r="E191" s="4">
        <v>-32468</v>
      </c>
      <c r="F191" s="3" t="s">
        <v>683</v>
      </c>
      <c r="G191" s="3" t="s">
        <v>334</v>
      </c>
      <c r="H191" s="2" t="s">
        <v>148</v>
      </c>
      <c r="I191" s="2" t="s">
        <v>739</v>
      </c>
      <c r="J191" s="3" t="str">
        <f>HYPERLINK("https://www.boe.es/gazeta/dias/1811/02/07/pdfs/GEI-1811-17.pdf#page=4","Abrir facsímil")</f>
        <v>Abrir facsímil</v>
      </c>
      <c r="K191" s="3" t="s">
        <v>150</v>
      </c>
    </row>
    <row r="192" spans="1:11" ht="42" customHeight="1">
      <c r="A192" s="2" t="s">
        <v>737</v>
      </c>
      <c r="B192" s="2" t="s">
        <v>738</v>
      </c>
      <c r="C192" s="2" t="s">
        <v>26</v>
      </c>
      <c r="D192" s="2" t="s">
        <v>18</v>
      </c>
      <c r="E192" s="4">
        <v>-32263</v>
      </c>
      <c r="F192" s="3" t="s">
        <v>128</v>
      </c>
      <c r="G192" s="3" t="s">
        <v>129</v>
      </c>
      <c r="H192" s="2" t="s">
        <v>148</v>
      </c>
      <c r="I192" s="2" t="s">
        <v>740</v>
      </c>
      <c r="J192" s="3" t="str">
        <f>HYPERLINK("https://www.boe.es/gazeta/dias/1811/08/31/pdfs/GEI-1811-113.pdf#page=5","Abrir facsímil")</f>
        <v>Abrir facsímil</v>
      </c>
      <c r="K192" s="3" t="s">
        <v>150</v>
      </c>
    </row>
    <row r="193" spans="1:11" ht="42" customHeight="1">
      <c r="A193" s="2" t="s">
        <v>741</v>
      </c>
      <c r="B193" s="2" t="s">
        <v>742</v>
      </c>
      <c r="C193" s="2" t="s">
        <v>26</v>
      </c>
      <c r="D193" s="2" t="s">
        <v>141</v>
      </c>
      <c r="E193" s="4">
        <v>-32249</v>
      </c>
      <c r="F193" s="3" t="s">
        <v>743</v>
      </c>
      <c r="G193" s="3" t="s">
        <v>468</v>
      </c>
      <c r="H193" s="2" t="s">
        <v>148</v>
      </c>
      <c r="I193" s="2" t="s">
        <v>744</v>
      </c>
      <c r="J193" s="3" t="str">
        <f>HYPERLINK("https://www.boe.es/gazeta/dias/1811/09/14/pdfs/GMD-C-1811-257.pdf#page=1","Abrir facsímil")</f>
        <v>Abrir facsímil</v>
      </c>
      <c r="K193" s="3" t="s">
        <v>150</v>
      </c>
    </row>
    <row r="194" spans="1:11" ht="42" customHeight="1">
      <c r="A194" s="2" t="s">
        <v>745</v>
      </c>
      <c r="B194" s="2" t="s">
        <v>746</v>
      </c>
      <c r="C194" s="2" t="s">
        <v>26</v>
      </c>
      <c r="D194" s="2" t="s">
        <v>18</v>
      </c>
      <c r="E194" s="4">
        <v>-32221</v>
      </c>
      <c r="F194" s="3" t="s">
        <v>747</v>
      </c>
      <c r="G194" s="3" t="s">
        <v>748</v>
      </c>
      <c r="H194" s="2" t="s">
        <v>148</v>
      </c>
      <c r="I194" s="2" t="s">
        <v>749</v>
      </c>
      <c r="J194" s="3" t="str">
        <f>HYPERLINK("https://www.boe.es/gazeta/dias/1811/10/12/pdfs/GEI-1811-131.pdf#page=4","Abrir facsímil")</f>
        <v>Abrir facsímil</v>
      </c>
      <c r="K194" s="3" t="s">
        <v>150</v>
      </c>
    </row>
    <row r="195" spans="1:11" ht="42" customHeight="1">
      <c r="A195" s="2" t="s">
        <v>750</v>
      </c>
      <c r="B195" s="2" t="s">
        <v>751</v>
      </c>
      <c r="C195" s="2" t="s">
        <v>26</v>
      </c>
      <c r="D195" s="2" t="s">
        <v>18</v>
      </c>
      <c r="E195" s="4">
        <v>-32333</v>
      </c>
      <c r="F195" s="3" t="s">
        <v>292</v>
      </c>
      <c r="G195" s="3" t="s">
        <v>293</v>
      </c>
      <c r="H195" s="2" t="s">
        <v>148</v>
      </c>
      <c r="I195" s="2" t="s">
        <v>752</v>
      </c>
      <c r="J195" s="3" t="str">
        <f>HYPERLINK("https://www.boe.es/gazeta/dias/1811/06/22/pdfs/GEI-1811-83.pdf#page=8","Abrir facsímil")</f>
        <v>Abrir facsímil</v>
      </c>
      <c r="K195" s="3" t="s">
        <v>150</v>
      </c>
    </row>
    <row r="196" spans="1:11" ht="42" customHeight="1">
      <c r="A196" s="2" t="s">
        <v>753</v>
      </c>
      <c r="B196" s="2" t="s">
        <v>753</v>
      </c>
      <c r="C196" s="2" t="s">
        <v>104</v>
      </c>
      <c r="D196" s="2" t="s">
        <v>204</v>
      </c>
      <c r="E196" s="4">
        <v>-32286</v>
      </c>
      <c r="F196" s="3" t="s">
        <v>754</v>
      </c>
      <c r="G196" s="3" t="s">
        <v>755</v>
      </c>
      <c r="H196" s="2" t="s">
        <v>148</v>
      </c>
      <c r="I196" s="2" t="s">
        <v>756</v>
      </c>
      <c r="J196" s="3" t="str">
        <f>HYPERLINK("https://www.boe.es/gazeta/dias/1811/08/08/pdfs/GEI-1811-103.pdf#page=2","Abrir facsímil")</f>
        <v>Abrir facsímil</v>
      </c>
      <c r="K196" s="3" t="s">
        <v>150</v>
      </c>
    </row>
    <row r="197" spans="1:11" ht="42" customHeight="1">
      <c r="A197" s="2" t="s">
        <v>753</v>
      </c>
      <c r="B197" s="2" t="s">
        <v>753</v>
      </c>
      <c r="C197" s="2" t="s">
        <v>104</v>
      </c>
      <c r="D197" s="2" t="s">
        <v>204</v>
      </c>
      <c r="E197" s="4">
        <v>-32253</v>
      </c>
      <c r="F197" s="3" t="s">
        <v>581</v>
      </c>
      <c r="G197" s="3" t="s">
        <v>39</v>
      </c>
      <c r="H197" s="2" t="s">
        <v>148</v>
      </c>
      <c r="I197" s="2" t="s">
        <v>757</v>
      </c>
      <c r="J197" s="3" t="str">
        <f>HYPERLINK("https://www.boe.es/gazeta/dias/1811/09/10/pdfs/GEI-1811-117.pdf#page=1","Abrir facsímil")</f>
        <v>Abrir facsímil</v>
      </c>
      <c r="K197" s="3" t="s">
        <v>150</v>
      </c>
    </row>
    <row r="198" spans="1:11" ht="42" customHeight="1">
      <c r="A198" s="2" t="s">
        <v>758</v>
      </c>
      <c r="B198" s="2" t="s">
        <v>758</v>
      </c>
      <c r="C198" s="2" t="s">
        <v>17</v>
      </c>
      <c r="D198" s="2" t="s">
        <v>18</v>
      </c>
      <c r="E198" s="4">
        <v>-32486</v>
      </c>
      <c r="F198" s="3" t="s">
        <v>556</v>
      </c>
      <c r="G198" s="3" t="s">
        <v>248</v>
      </c>
      <c r="H198" s="2" t="s">
        <v>148</v>
      </c>
      <c r="I198" s="2" t="s">
        <v>759</v>
      </c>
      <c r="J198" s="3" t="str">
        <f>HYPERLINK("https://www.boe.es/gazeta/dias/1811/01/20/pdfs/GMD-1811-20.pdf#page=2","Abrir facsímil")</f>
        <v>Abrir facsímil</v>
      </c>
      <c r="K198" s="3" t="s">
        <v>150</v>
      </c>
    </row>
    <row r="199" spans="1:11" ht="42" customHeight="1">
      <c r="A199" s="2" t="s">
        <v>760</v>
      </c>
      <c r="B199" s="2" t="s">
        <v>760</v>
      </c>
      <c r="C199" s="2" t="s">
        <v>26</v>
      </c>
      <c r="D199" s="2" t="s">
        <v>18</v>
      </c>
      <c r="E199" s="4">
        <v>-32344</v>
      </c>
      <c r="F199" s="3" t="s">
        <v>761</v>
      </c>
      <c r="G199" s="3" t="s">
        <v>762</v>
      </c>
      <c r="H199" s="2" t="s">
        <v>148</v>
      </c>
      <c r="I199" s="2" t="s">
        <v>763</v>
      </c>
      <c r="J199" s="3" t="str">
        <f>HYPERLINK("https://www.boe.es/gazeta/dias/1811/06/11/pdfs/GEI-1811-78.pdf#page=4","Abrir facsímil")</f>
        <v>Abrir facsímil</v>
      </c>
      <c r="K199" s="3" t="s">
        <v>150</v>
      </c>
    </row>
    <row r="200" spans="1:11" ht="42" customHeight="1">
      <c r="A200" s="2" t="s">
        <v>764</v>
      </c>
      <c r="B200" s="2" t="s">
        <v>764</v>
      </c>
      <c r="C200" s="2" t="s">
        <v>17</v>
      </c>
      <c r="D200" s="2" t="s">
        <v>18</v>
      </c>
      <c r="E200" s="4">
        <v>-32278</v>
      </c>
      <c r="F200" s="3" t="s">
        <v>765</v>
      </c>
      <c r="G200" s="3" t="s">
        <v>468</v>
      </c>
      <c r="H200" s="2" t="s">
        <v>148</v>
      </c>
      <c r="I200" s="2" t="s">
        <v>766</v>
      </c>
      <c r="J200" s="3" t="str">
        <f>HYPERLINK("https://www.boe.es/gazeta/dias/1811/08/16/pdfs/GMD-1811-228.pdf#page=2","Abrir facsímil")</f>
        <v>Abrir facsímil</v>
      </c>
      <c r="K200" s="3" t="s">
        <v>150</v>
      </c>
    </row>
    <row r="201" spans="1:11" ht="42" customHeight="1">
      <c r="A201" s="2" t="s">
        <v>767</v>
      </c>
      <c r="B201" s="2" t="s">
        <v>767</v>
      </c>
      <c r="C201" s="2" t="s">
        <v>104</v>
      </c>
      <c r="D201" s="2" t="s">
        <v>18</v>
      </c>
      <c r="E201" s="4">
        <v>-32467</v>
      </c>
      <c r="F201" s="3" t="s">
        <v>768</v>
      </c>
      <c r="G201" s="3" t="s">
        <v>382</v>
      </c>
      <c r="H201" s="2" t="s">
        <v>148</v>
      </c>
      <c r="I201" s="2" t="s">
        <v>769</v>
      </c>
      <c r="J201" s="3" t="str">
        <f>HYPERLINK("https://www.boe.es/gazeta/dias/1811/02/08/pdfs/GMD-1811-39.pdf#page=3","Abrir facsímil")</f>
        <v>Abrir facsímil</v>
      </c>
      <c r="K201" s="3" t="s">
        <v>150</v>
      </c>
    </row>
    <row r="202" spans="1:11" ht="42" customHeight="1">
      <c r="A202" s="2" t="s">
        <v>767</v>
      </c>
      <c r="B202" s="2" t="s">
        <v>767</v>
      </c>
      <c r="C202" s="2" t="s">
        <v>17</v>
      </c>
      <c r="D202" s="2" t="s">
        <v>156</v>
      </c>
      <c r="E202" s="4">
        <v>-32429</v>
      </c>
      <c r="F202" s="3" t="s">
        <v>770</v>
      </c>
      <c r="G202" s="3" t="s">
        <v>47</v>
      </c>
      <c r="H202" s="2" t="s">
        <v>148</v>
      </c>
      <c r="I202" s="2" t="s">
        <v>771</v>
      </c>
      <c r="J202" s="3" t="str">
        <f>HYPERLINK("https://www.boe.es/gazeta/dias/1811/03/18/pdfs/GMD-1811-77.pdf#page=1","Abrir facsímil")</f>
        <v>Abrir facsímil</v>
      </c>
      <c r="K202" s="3" t="s">
        <v>150</v>
      </c>
    </row>
    <row r="203" spans="1:11" ht="42" customHeight="1">
      <c r="A203" s="2" t="s">
        <v>767</v>
      </c>
      <c r="B203" s="2" t="s">
        <v>767</v>
      </c>
      <c r="C203" s="2" t="s">
        <v>104</v>
      </c>
      <c r="D203" s="2" t="s">
        <v>18</v>
      </c>
      <c r="E203" s="4">
        <v>-32424</v>
      </c>
      <c r="F203" s="3" t="s">
        <v>772</v>
      </c>
      <c r="G203" s="3" t="s">
        <v>47</v>
      </c>
      <c r="H203" s="2" t="s">
        <v>148</v>
      </c>
      <c r="I203" s="2" t="s">
        <v>773</v>
      </c>
      <c r="J203" s="3" t="str">
        <f>HYPERLINK("https://www.boe.es/gazeta/dias/1811/03/23/pdfs/GMD-1811-82.pdf#page=1","Abrir facsímil")</f>
        <v>Abrir facsímil</v>
      </c>
      <c r="K203" s="3" t="s">
        <v>150</v>
      </c>
    </row>
    <row r="204" spans="1:11" ht="42" customHeight="1">
      <c r="A204" s="2" t="s">
        <v>767</v>
      </c>
      <c r="B204" s="2" t="s">
        <v>767</v>
      </c>
      <c r="C204" s="2" t="s">
        <v>17</v>
      </c>
      <c r="D204" s="2" t="s">
        <v>18</v>
      </c>
      <c r="E204" s="4">
        <v>-32279</v>
      </c>
      <c r="F204" s="3" t="s">
        <v>540</v>
      </c>
      <c r="G204" s="3" t="s">
        <v>91</v>
      </c>
      <c r="H204" s="2" t="s">
        <v>148</v>
      </c>
      <c r="I204" s="2" t="s">
        <v>774</v>
      </c>
      <c r="J204" s="3" t="str">
        <f>HYPERLINK("https://www.boe.es/gazeta/dias/1811/08/15/pdfs/GMD-1811-227.pdf#page=3","Abrir facsímil")</f>
        <v>Abrir facsímil</v>
      </c>
      <c r="K204" s="3" t="s">
        <v>150</v>
      </c>
    </row>
    <row r="205" spans="1:11" ht="42" customHeight="1">
      <c r="A205" s="2" t="s">
        <v>767</v>
      </c>
      <c r="B205" s="2" t="s">
        <v>767</v>
      </c>
      <c r="C205" s="2" t="s">
        <v>104</v>
      </c>
      <c r="D205" s="2" t="s">
        <v>18</v>
      </c>
      <c r="E205" s="4">
        <v>-32221</v>
      </c>
      <c r="F205" s="3" t="s">
        <v>775</v>
      </c>
      <c r="G205" s="3" t="s">
        <v>248</v>
      </c>
      <c r="H205" s="2" t="s">
        <v>148</v>
      </c>
      <c r="I205" s="2" t="s">
        <v>776</v>
      </c>
      <c r="J205" s="3" t="str">
        <f>HYPERLINK("https://www.boe.es/gazeta/dias/1811/10/12/pdfs/GMD-1811-285.pdf#page=1","Abrir facsímil")</f>
        <v>Abrir facsímil</v>
      </c>
      <c r="K205" s="3" t="s">
        <v>150</v>
      </c>
    </row>
    <row r="206" spans="1:11" ht="42" customHeight="1">
      <c r="A206" s="2" t="s">
        <v>767</v>
      </c>
      <c r="B206" s="2" t="s">
        <v>767</v>
      </c>
      <c r="C206" s="2" t="s">
        <v>17</v>
      </c>
      <c r="D206" s="2" t="s">
        <v>18</v>
      </c>
      <c r="E206" s="4">
        <v>-32146</v>
      </c>
      <c r="F206" s="3" t="s">
        <v>777</v>
      </c>
      <c r="G206" s="3" t="s">
        <v>778</v>
      </c>
      <c r="H206" s="2" t="s">
        <v>148</v>
      </c>
      <c r="I206" s="2" t="s">
        <v>779</v>
      </c>
      <c r="J206" s="3" t="str">
        <f>HYPERLINK("https://www.boe.es/gazeta/dias/1811/12/26/pdfs/GEI-1811-167.pdf#page=2","Abrir facsímil")</f>
        <v>Abrir facsímil</v>
      </c>
      <c r="K206" s="3" t="s">
        <v>150</v>
      </c>
    </row>
    <row r="207" spans="1:11" ht="42" customHeight="1">
      <c r="A207" s="2" t="s">
        <v>780</v>
      </c>
      <c r="B207" s="2" t="s">
        <v>780</v>
      </c>
      <c r="C207" s="2" t="s">
        <v>17</v>
      </c>
      <c r="D207" s="2" t="s">
        <v>204</v>
      </c>
      <c r="E207" s="4">
        <v>-32331</v>
      </c>
      <c r="F207" s="3" t="s">
        <v>781</v>
      </c>
      <c r="G207" s="3" t="s">
        <v>91</v>
      </c>
      <c r="H207" s="2" t="s">
        <v>148</v>
      </c>
      <c r="I207" s="2" t="s">
        <v>782</v>
      </c>
      <c r="J207" s="3" t="str">
        <f>HYPERLINK("https://www.boe.es/gazeta/dias/1811/06/24/pdfs/GMD-1811-175.pdf#page=2","Abrir facsímil")</f>
        <v>Abrir facsímil</v>
      </c>
      <c r="K207" s="3" t="s">
        <v>150</v>
      </c>
    </row>
    <row r="208" spans="1:11" ht="42" customHeight="1">
      <c r="A208" s="2" t="s">
        <v>783</v>
      </c>
      <c r="B208" s="2" t="s">
        <v>783</v>
      </c>
      <c r="C208" s="2" t="s">
        <v>26</v>
      </c>
      <c r="D208" s="2" t="s">
        <v>18</v>
      </c>
      <c r="E208" s="4">
        <v>-32279</v>
      </c>
      <c r="F208" s="3" t="s">
        <v>540</v>
      </c>
      <c r="G208" s="3" t="s">
        <v>91</v>
      </c>
      <c r="H208" s="2" t="s">
        <v>148</v>
      </c>
      <c r="I208" s="2" t="s">
        <v>784</v>
      </c>
      <c r="J208" s="3" t="str">
        <f>HYPERLINK("https://www.boe.es/gazeta/dias/1811/08/15/pdfs/GMD-1811-227.pdf#page=3","Abrir facsímil")</f>
        <v>Abrir facsímil</v>
      </c>
      <c r="K208" s="3" t="s">
        <v>150</v>
      </c>
    </row>
    <row r="209" spans="1:11" ht="42" customHeight="1">
      <c r="A209" s="2" t="s">
        <v>785</v>
      </c>
      <c r="B209" s="2" t="s">
        <v>785</v>
      </c>
      <c r="C209" s="2" t="s">
        <v>104</v>
      </c>
      <c r="D209" s="2" t="s">
        <v>204</v>
      </c>
      <c r="E209" s="4">
        <v>-32337</v>
      </c>
      <c r="F209" s="3" t="s">
        <v>786</v>
      </c>
      <c r="G209" s="3" t="s">
        <v>787</v>
      </c>
      <c r="H209" s="2" t="s">
        <v>148</v>
      </c>
      <c r="I209" s="2" t="s">
        <v>788</v>
      </c>
      <c r="J209" s="3" t="str">
        <f>HYPERLINK("https://www.boe.es/gazeta/dias/1811/06/18/pdfs/GMD-1811-169.pdf#page=1","Abrir facsímil")</f>
        <v>Abrir facsímil</v>
      </c>
      <c r="K209" s="3" t="s">
        <v>150</v>
      </c>
    </row>
    <row r="210" spans="1:11" ht="42" customHeight="1">
      <c r="A210" s="2" t="s">
        <v>789</v>
      </c>
      <c r="B210" s="2" t="s">
        <v>790</v>
      </c>
      <c r="C210" s="2" t="s">
        <v>26</v>
      </c>
      <c r="D210" s="2" t="s">
        <v>18</v>
      </c>
      <c r="E210" s="4">
        <v>-32379</v>
      </c>
      <c r="F210" s="3" t="s">
        <v>462</v>
      </c>
      <c r="G210" s="3" t="s">
        <v>463</v>
      </c>
      <c r="H210" s="2" t="s">
        <v>148</v>
      </c>
      <c r="I210" s="2" t="s">
        <v>791</v>
      </c>
      <c r="J210" s="3" t="str">
        <f>HYPERLINK("https://www.boe.es/gazeta/dias/1811/05/07/pdfs/GEI-1811-60.pdf#page=8","Abrir facsímil")</f>
        <v>Abrir facsímil</v>
      </c>
      <c r="K210" s="3" t="s">
        <v>150</v>
      </c>
    </row>
    <row r="211" spans="1:11" ht="42" customHeight="1">
      <c r="A211" s="2" t="s">
        <v>792</v>
      </c>
      <c r="B211" s="2" t="s">
        <v>793</v>
      </c>
      <c r="C211" s="2" t="s">
        <v>84</v>
      </c>
      <c r="D211" s="2" t="s">
        <v>18</v>
      </c>
      <c r="E211" s="4">
        <v>-32450</v>
      </c>
      <c r="F211" s="3" t="s">
        <v>794</v>
      </c>
      <c r="G211" s="3" t="s">
        <v>795</v>
      </c>
      <c r="H211" s="2" t="s">
        <v>148</v>
      </c>
      <c r="I211" s="2" t="s">
        <v>796</v>
      </c>
      <c r="J211" s="3" t="str">
        <f>HYPERLINK("https://www.boe.es/gazeta/dias/1811/02/25/pdfs/GMD-1811-56.pdf#page=3","Abrir facsímil")</f>
        <v>Abrir facsímil</v>
      </c>
      <c r="K211" s="3" t="s">
        <v>150</v>
      </c>
    </row>
    <row r="212" spans="1:11" ht="42" customHeight="1">
      <c r="A212" s="2" t="s">
        <v>797</v>
      </c>
      <c r="B212" s="2" t="s">
        <v>797</v>
      </c>
      <c r="C212" s="2" t="s">
        <v>26</v>
      </c>
      <c r="D212" s="2" t="s">
        <v>18</v>
      </c>
      <c r="E212" s="4">
        <v>-32230</v>
      </c>
      <c r="F212" s="3" t="s">
        <v>625</v>
      </c>
      <c r="G212" s="3" t="s">
        <v>162</v>
      </c>
      <c r="H212" s="2" t="s">
        <v>148</v>
      </c>
      <c r="I212" s="2" t="s">
        <v>798</v>
      </c>
      <c r="J212" s="3" t="str">
        <f>HYPERLINK("https://www.boe.es/gazeta/dias/1811/10/03/pdfs/GEI-1811-127.pdf#page=7","Abrir facsímil")</f>
        <v>Abrir facsímil</v>
      </c>
      <c r="K212" s="3" t="s">
        <v>150</v>
      </c>
    </row>
    <row r="213" spans="1:11" ht="42" customHeight="1">
      <c r="A213" s="2" t="s">
        <v>799</v>
      </c>
      <c r="B213" s="2" t="s">
        <v>800</v>
      </c>
      <c r="C213" s="2" t="s">
        <v>26</v>
      </c>
      <c r="D213" s="2" t="s">
        <v>18</v>
      </c>
      <c r="E213" s="4">
        <v>-32279</v>
      </c>
      <c r="F213" s="3" t="s">
        <v>540</v>
      </c>
      <c r="G213" s="3" t="s">
        <v>91</v>
      </c>
      <c r="H213" s="2" t="s">
        <v>148</v>
      </c>
      <c r="I213" s="2" t="s">
        <v>801</v>
      </c>
      <c r="J213" s="3" t="str">
        <f>HYPERLINK("https://www.boe.es/gazeta/dias/1811/08/15/pdfs/GMD-1811-227.pdf#page=3","Abrir facsímil")</f>
        <v>Abrir facsímil</v>
      </c>
      <c r="K213" s="3" t="s">
        <v>150</v>
      </c>
    </row>
    <row r="214" spans="1:11" ht="42" customHeight="1">
      <c r="A214" s="2" t="s">
        <v>802</v>
      </c>
      <c r="B214" s="2" t="s">
        <v>803</v>
      </c>
      <c r="C214" s="2" t="s">
        <v>26</v>
      </c>
      <c r="D214" s="2" t="s">
        <v>141</v>
      </c>
      <c r="E214" s="4">
        <v>-32396</v>
      </c>
      <c r="F214" s="3" t="s">
        <v>804</v>
      </c>
      <c r="G214" s="3" t="s">
        <v>805</v>
      </c>
      <c r="H214" s="2" t="s">
        <v>148</v>
      </c>
      <c r="I214" s="2" t="s">
        <v>806</v>
      </c>
      <c r="J214" s="3" t="str">
        <f>HYPERLINK("https://www.boe.es/gazeta/dias/1811/04/20/pdfs/GEI-D-1811-53.pdf#page=4","Abrir facsímil")</f>
        <v>Abrir facsímil</v>
      </c>
      <c r="K214" s="3" t="s">
        <v>150</v>
      </c>
    </row>
    <row r="215" spans="1:11" ht="42" customHeight="1">
      <c r="A215" s="2" t="s">
        <v>807</v>
      </c>
      <c r="B215" s="2" t="s">
        <v>808</v>
      </c>
      <c r="C215" s="2" t="s">
        <v>17</v>
      </c>
      <c r="D215" s="2" t="s">
        <v>156</v>
      </c>
      <c r="E215" s="4">
        <v>-32263</v>
      </c>
      <c r="F215" s="3" t="s">
        <v>128</v>
      </c>
      <c r="G215" s="3" t="s">
        <v>20</v>
      </c>
      <c r="H215" s="2" t="s">
        <v>148</v>
      </c>
      <c r="I215" s="2" t="s">
        <v>809</v>
      </c>
      <c r="J215" s="3" t="str">
        <f>HYPERLINK("https://www.boe.es/gazeta/dias/1811/08/31/pdfs/GEI-1811-113.pdf#page=4","Abrir facsímil")</f>
        <v>Abrir facsímil</v>
      </c>
      <c r="K215" s="3" t="s">
        <v>150</v>
      </c>
    </row>
    <row r="216" spans="1:11" ht="42" customHeight="1">
      <c r="A216" s="2" t="s">
        <v>810</v>
      </c>
      <c r="B216" s="2" t="s">
        <v>810</v>
      </c>
      <c r="C216" s="2" t="s">
        <v>17</v>
      </c>
      <c r="D216" s="2" t="s">
        <v>204</v>
      </c>
      <c r="E216" s="4">
        <v>-32440</v>
      </c>
      <c r="F216" s="3" t="s">
        <v>811</v>
      </c>
      <c r="G216" s="3" t="s">
        <v>812</v>
      </c>
      <c r="H216" s="2" t="s">
        <v>148</v>
      </c>
      <c r="I216" s="2" t="s">
        <v>813</v>
      </c>
      <c r="J216" s="3" t="str">
        <f>HYPERLINK("https://www.boe.es/gazeta/dias/1811/03/07/pdfs/GMD-1811-66.pdf#page=4","Abrir facsímil")</f>
        <v>Abrir facsímil</v>
      </c>
      <c r="K216" s="3" t="s">
        <v>150</v>
      </c>
    </row>
    <row r="217" spans="1:11" ht="42" customHeight="1">
      <c r="A217" s="2" t="s">
        <v>814</v>
      </c>
      <c r="B217" s="2" t="s">
        <v>815</v>
      </c>
      <c r="C217" s="2" t="s">
        <v>26</v>
      </c>
      <c r="D217" s="2" t="s">
        <v>18</v>
      </c>
      <c r="E217" s="4">
        <v>-32200</v>
      </c>
      <c r="F217" s="3" t="s">
        <v>109</v>
      </c>
      <c r="G217" s="3" t="s">
        <v>630</v>
      </c>
      <c r="H217" s="2" t="s">
        <v>148</v>
      </c>
      <c r="I217" s="2" t="s">
        <v>816</v>
      </c>
      <c r="J217" s="3" t="str">
        <f>HYPERLINK("https://www.boe.es/gazeta/dias/1811/11/02/pdfs/GEI-1811-141.pdf#page=2","Abrir facsímil")</f>
        <v>Abrir facsímil</v>
      </c>
      <c r="K217" s="3" t="s">
        <v>150</v>
      </c>
    </row>
    <row r="218" spans="1:11" ht="42" customHeight="1">
      <c r="A218" s="2" t="s">
        <v>817</v>
      </c>
      <c r="B218" s="2" t="s">
        <v>818</v>
      </c>
      <c r="C218" s="2" t="s">
        <v>26</v>
      </c>
      <c r="D218" s="2" t="s">
        <v>141</v>
      </c>
      <c r="E218" s="4">
        <v>-32280</v>
      </c>
      <c r="F218" s="3" t="s">
        <v>142</v>
      </c>
      <c r="G218" s="3" t="s">
        <v>597</v>
      </c>
      <c r="H218" s="2" t="s">
        <v>148</v>
      </c>
      <c r="I218" s="2" t="s">
        <v>819</v>
      </c>
      <c r="J218" s="3" t="str">
        <f>HYPERLINK("https://www.boe.es/gazeta/dias/1811/08/14/pdfs/GMD-C-1811-226.pdf#page=2","Abrir facsímil")</f>
        <v>Abrir facsímil</v>
      </c>
      <c r="K218" s="3" t="s">
        <v>150</v>
      </c>
    </row>
    <row r="219" spans="1:11" ht="42" customHeight="1">
      <c r="A219" s="2" t="s">
        <v>820</v>
      </c>
      <c r="B219" s="2" t="s">
        <v>821</v>
      </c>
      <c r="C219" s="2" t="s">
        <v>17</v>
      </c>
      <c r="D219" s="2" t="s">
        <v>105</v>
      </c>
      <c r="E219" s="4">
        <v>-32258</v>
      </c>
      <c r="F219" s="3" t="s">
        <v>449</v>
      </c>
      <c r="G219" s="3" t="s">
        <v>391</v>
      </c>
      <c r="H219" s="2" t="s">
        <v>148</v>
      </c>
      <c r="I219" s="2" t="s">
        <v>822</v>
      </c>
      <c r="J219" s="3" t="str">
        <f>HYPERLINK("https://www.boe.es/gazeta/dias/1811/09/05/pdfs/GEI-1811-115.pdf#page=7","Abrir facsímil")</f>
        <v>Abrir facsímil</v>
      </c>
      <c r="K219" s="3" t="s">
        <v>150</v>
      </c>
    </row>
    <row r="220" spans="1:11" ht="42" customHeight="1">
      <c r="A220" s="2" t="s">
        <v>823</v>
      </c>
      <c r="B220" s="2" t="s">
        <v>823</v>
      </c>
      <c r="C220" s="2" t="s">
        <v>26</v>
      </c>
      <c r="D220" s="2" t="s">
        <v>18</v>
      </c>
      <c r="E220" s="4">
        <v>-32249</v>
      </c>
      <c r="F220" s="3" t="s">
        <v>824</v>
      </c>
      <c r="G220" s="3" t="s">
        <v>162</v>
      </c>
      <c r="H220" s="2" t="s">
        <v>148</v>
      </c>
      <c r="I220" s="2" t="s">
        <v>825</v>
      </c>
      <c r="J220" s="3" t="str">
        <f>HYPERLINK("https://www.boe.es/gazeta/dias/1811/09/14/pdfs/GEI-1811-119.pdf#page=4","Abrir facsímil")</f>
        <v>Abrir facsímil</v>
      </c>
      <c r="K220" s="3" t="s">
        <v>150</v>
      </c>
    </row>
    <row r="221" spans="1:11" ht="42" customHeight="1">
      <c r="A221" s="2" t="s">
        <v>826</v>
      </c>
      <c r="B221" s="2" t="s">
        <v>827</v>
      </c>
      <c r="C221" s="2" t="s">
        <v>17</v>
      </c>
      <c r="D221" s="2" t="s">
        <v>18</v>
      </c>
      <c r="E221" s="4">
        <v>-32498</v>
      </c>
      <c r="F221" s="3" t="s">
        <v>828</v>
      </c>
      <c r="G221" s="3" t="s">
        <v>20</v>
      </c>
      <c r="H221" s="2" t="s">
        <v>148</v>
      </c>
      <c r="I221" s="2" t="s">
        <v>829</v>
      </c>
      <c r="J221" s="3" t="str">
        <f>HYPERLINK("https://www.boe.es/gazeta/dias/1811/01/08/pdfs/GEI-1811-4.pdf#page=6","Abrir facsímil")</f>
        <v>Abrir facsímil</v>
      </c>
      <c r="K221" s="3" t="s">
        <v>150</v>
      </c>
    </row>
    <row r="222" spans="1:11" ht="42" customHeight="1">
      <c r="A222" s="2" t="s">
        <v>830</v>
      </c>
      <c r="B222" s="2" t="s">
        <v>831</v>
      </c>
      <c r="C222" s="2" t="s">
        <v>26</v>
      </c>
      <c r="D222" s="2" t="s">
        <v>18</v>
      </c>
      <c r="E222" s="4">
        <v>-32235</v>
      </c>
      <c r="F222" s="3" t="s">
        <v>190</v>
      </c>
      <c r="G222" s="3" t="s">
        <v>188</v>
      </c>
      <c r="H222" s="2" t="s">
        <v>148</v>
      </c>
      <c r="I222" s="2" t="s">
        <v>832</v>
      </c>
      <c r="J222" s="3" t="str">
        <f>HYPERLINK("https://www.boe.es/gazeta/dias/1811/09/28/pdfs/GEI-1811-125.pdf#page=8","Abrir facsímil")</f>
        <v>Abrir facsímil</v>
      </c>
      <c r="K222" s="3" t="s">
        <v>150</v>
      </c>
    </row>
    <row r="223" spans="1:11" ht="42" customHeight="1">
      <c r="A223" s="2" t="s">
        <v>833</v>
      </c>
      <c r="B223" s="2" t="s">
        <v>833</v>
      </c>
      <c r="C223" s="2" t="s">
        <v>66</v>
      </c>
      <c r="D223" s="2" t="s">
        <v>204</v>
      </c>
      <c r="E223" s="4">
        <v>-32352</v>
      </c>
      <c r="F223" s="3" t="s">
        <v>834</v>
      </c>
      <c r="G223" s="3" t="s">
        <v>382</v>
      </c>
      <c r="H223" s="2" t="s">
        <v>148</v>
      </c>
      <c r="I223" s="2" t="s">
        <v>835</v>
      </c>
      <c r="J223" s="3" t="str">
        <f>HYPERLINK("https://www.boe.es/gazeta/dias/1811/06/03/pdfs/GMD-1811-154.pdf#page=1","Abrir facsímil")</f>
        <v>Abrir facsímil</v>
      </c>
      <c r="K223" s="3" t="s">
        <v>150</v>
      </c>
    </row>
    <row r="224" spans="1:11" ht="42" customHeight="1">
      <c r="A224" s="2" t="s">
        <v>836</v>
      </c>
      <c r="B224" s="2" t="s">
        <v>837</v>
      </c>
      <c r="C224" s="2" t="s">
        <v>26</v>
      </c>
      <c r="D224" s="2" t="s">
        <v>141</v>
      </c>
      <c r="E224" s="4">
        <v>-32238</v>
      </c>
      <c r="F224" s="3" t="s">
        <v>166</v>
      </c>
      <c r="G224" s="3" t="s">
        <v>657</v>
      </c>
      <c r="H224" s="2" t="s">
        <v>148</v>
      </c>
      <c r="I224" s="2" t="s">
        <v>838</v>
      </c>
      <c r="J224" s="3" t="str">
        <f>HYPERLINK("https://www.boe.es/gazeta/dias/1811/09/25/pdfs/GMD-C-1811-268.pdf#page=3","Abrir facsímil")</f>
        <v>Abrir facsímil</v>
      </c>
      <c r="K224" s="3" t="s">
        <v>150</v>
      </c>
    </row>
    <row r="225" spans="1:11" ht="42" customHeight="1">
      <c r="A225" s="2" t="s">
        <v>839</v>
      </c>
      <c r="B225" s="2" t="s">
        <v>840</v>
      </c>
      <c r="C225" s="2" t="s">
        <v>841</v>
      </c>
      <c r="D225" s="2" t="s">
        <v>18</v>
      </c>
      <c r="E225" s="4">
        <v>-32487</v>
      </c>
      <c r="F225" s="3" t="s">
        <v>842</v>
      </c>
      <c r="G225" s="3" t="s">
        <v>488</v>
      </c>
      <c r="H225" s="2" t="s">
        <v>148</v>
      </c>
      <c r="I225" s="2" t="s">
        <v>843</v>
      </c>
      <c r="J225" s="3" t="str">
        <f>HYPERLINK("https://www.boe.es/gazeta/dias/1811/01/19/pdfs/GEI-1811-9.pdf#page=8","Abrir facsímil")</f>
        <v>Abrir facsímil</v>
      </c>
      <c r="K225" s="3" t="s">
        <v>150</v>
      </c>
    </row>
    <row r="226" spans="1:11" ht="42" customHeight="1">
      <c r="A226" s="2" t="s">
        <v>844</v>
      </c>
      <c r="B226" s="2" t="s">
        <v>845</v>
      </c>
      <c r="C226" s="2" t="s">
        <v>17</v>
      </c>
      <c r="D226" s="2" t="s">
        <v>105</v>
      </c>
      <c r="E226" s="4">
        <v>-32146</v>
      </c>
      <c r="F226" s="3" t="s">
        <v>777</v>
      </c>
      <c r="G226" s="3" t="s">
        <v>846</v>
      </c>
      <c r="H226" s="2" t="s">
        <v>148</v>
      </c>
      <c r="I226" s="2" t="s">
        <v>847</v>
      </c>
      <c r="J226" s="3" t="str">
        <f>HYPERLINK("https://www.boe.es/gazeta/dias/1811/12/26/pdfs/GEI-1811-167.pdf#page=8","Abrir facsímil")</f>
        <v>Abrir facsímil</v>
      </c>
      <c r="K226" s="3" t="s">
        <v>150</v>
      </c>
    </row>
    <row r="227" spans="1:11" ht="42" customHeight="1">
      <c r="A227" s="2" t="s">
        <v>848</v>
      </c>
      <c r="B227" s="2" t="s">
        <v>849</v>
      </c>
      <c r="C227" s="2" t="s">
        <v>26</v>
      </c>
      <c r="D227" s="2" t="s">
        <v>105</v>
      </c>
      <c r="E227" s="4">
        <v>-32192</v>
      </c>
      <c r="F227" s="3" t="s">
        <v>673</v>
      </c>
      <c r="G227" s="3" t="s">
        <v>305</v>
      </c>
      <c r="H227" s="2" t="s">
        <v>148</v>
      </c>
      <c r="I227" s="2" t="s">
        <v>850</v>
      </c>
      <c r="J227" s="3" t="str">
        <f>HYPERLINK("https://www.boe.es/gazeta/dias/1811/11/10/pdfs/GMD-1811-314.pdf#page=4","Abrir facsímil")</f>
        <v>Abrir facsímil</v>
      </c>
      <c r="K227" s="3" t="s">
        <v>150</v>
      </c>
    </row>
    <row r="228" spans="1:11" ht="42" customHeight="1">
      <c r="A228" s="2" t="s">
        <v>851</v>
      </c>
      <c r="B228" s="2" t="s">
        <v>851</v>
      </c>
      <c r="C228" s="2" t="s">
        <v>26</v>
      </c>
      <c r="D228" s="2" t="s">
        <v>18</v>
      </c>
      <c r="E228" s="4">
        <v>-32235</v>
      </c>
      <c r="F228" s="3" t="s">
        <v>190</v>
      </c>
      <c r="G228" s="3" t="s">
        <v>188</v>
      </c>
      <c r="H228" s="2" t="s">
        <v>148</v>
      </c>
      <c r="I228" s="2" t="s">
        <v>852</v>
      </c>
      <c r="J228" s="3" t="str">
        <f>HYPERLINK("https://www.boe.es/gazeta/dias/1811/09/28/pdfs/GEI-1811-125.pdf#page=8","Abrir facsímil")</f>
        <v>Abrir facsímil</v>
      </c>
      <c r="K228" s="3" t="s">
        <v>150</v>
      </c>
    </row>
    <row r="229" spans="1:11" ht="42" customHeight="1">
      <c r="A229" s="2" t="s">
        <v>853</v>
      </c>
      <c r="B229" s="2" t="s">
        <v>853</v>
      </c>
      <c r="C229" s="2" t="s">
        <v>17</v>
      </c>
      <c r="D229" s="2" t="s">
        <v>156</v>
      </c>
      <c r="E229" s="4">
        <v>-32428</v>
      </c>
      <c r="F229" s="3" t="s">
        <v>351</v>
      </c>
      <c r="G229" s="3" t="s">
        <v>115</v>
      </c>
      <c r="H229" s="2" t="s">
        <v>148</v>
      </c>
      <c r="I229" s="2" t="s">
        <v>854</v>
      </c>
      <c r="J229" s="3" t="str">
        <f>HYPERLINK("https://www.boe.es/gazeta/dias/1811/03/19/pdfs/GMD-1811-78.pdf#page=3","Abrir facsímil")</f>
        <v>Abrir facsímil</v>
      </c>
      <c r="K229" s="3" t="s">
        <v>150</v>
      </c>
    </row>
    <row r="230" spans="1:11" ht="42" customHeight="1">
      <c r="A230" s="2" t="s">
        <v>853</v>
      </c>
      <c r="B230" s="2" t="s">
        <v>853</v>
      </c>
      <c r="C230" s="2" t="s">
        <v>104</v>
      </c>
      <c r="D230" s="2" t="s">
        <v>105</v>
      </c>
      <c r="E230" s="4">
        <v>-32238</v>
      </c>
      <c r="F230" s="3" t="s">
        <v>166</v>
      </c>
      <c r="G230" s="3" t="s">
        <v>657</v>
      </c>
      <c r="H230" s="2" t="s">
        <v>148</v>
      </c>
      <c r="I230" s="2" t="s">
        <v>855</v>
      </c>
      <c r="J230" s="3" t="str">
        <f>HYPERLINK("https://www.boe.es/gazeta/dias/1811/09/25/pdfs/GMD-C-1811-268.pdf#page=3","Abrir facsímil")</f>
        <v>Abrir facsímil</v>
      </c>
      <c r="K230" s="3" t="s">
        <v>150</v>
      </c>
    </row>
    <row r="231" spans="1:11" ht="42" customHeight="1">
      <c r="A231" s="2" t="s">
        <v>853</v>
      </c>
      <c r="B231" s="2" t="s">
        <v>853</v>
      </c>
      <c r="C231" s="2" t="s">
        <v>26</v>
      </c>
      <c r="D231" s="2" t="s">
        <v>18</v>
      </c>
      <c r="E231" s="4">
        <v>-32230</v>
      </c>
      <c r="F231" s="3" t="s">
        <v>856</v>
      </c>
      <c r="G231" s="3" t="s">
        <v>178</v>
      </c>
      <c r="H231" s="2" t="s">
        <v>148</v>
      </c>
      <c r="I231" s="2" t="s">
        <v>857</v>
      </c>
      <c r="J231" s="3" t="str">
        <f>HYPERLINK("https://www.boe.es/gazeta/dias/1811/10/03/pdfs/GMD-1811-276.pdf#page=4","Abrir facsímil")</f>
        <v>Abrir facsímil</v>
      </c>
      <c r="K231" s="3" t="s">
        <v>150</v>
      </c>
    </row>
    <row r="232" spans="1:11" ht="42" customHeight="1">
      <c r="A232" s="2" t="s">
        <v>853</v>
      </c>
      <c r="B232" s="2" t="s">
        <v>853</v>
      </c>
      <c r="C232" s="2" t="s">
        <v>26</v>
      </c>
      <c r="D232" s="2" t="s">
        <v>18</v>
      </c>
      <c r="E232" s="4">
        <v>-32171</v>
      </c>
      <c r="F232" s="3" t="s">
        <v>157</v>
      </c>
      <c r="G232" s="3" t="s">
        <v>44</v>
      </c>
      <c r="H232" s="2" t="s">
        <v>148</v>
      </c>
      <c r="I232" s="2" t="s">
        <v>858</v>
      </c>
      <c r="J232" s="3" t="str">
        <f>HYPERLINK("https://www.boe.es/gazeta/dias/1811/12/01/pdfs/GMD-1811-335.pdf#page=4","Abrir facsímil")</f>
        <v>Abrir facsímil</v>
      </c>
      <c r="K232" s="3" t="s">
        <v>150</v>
      </c>
    </row>
    <row r="233" spans="1:11" ht="42" customHeight="1">
      <c r="A233" s="2" t="s">
        <v>859</v>
      </c>
      <c r="B233" s="2" t="s">
        <v>860</v>
      </c>
      <c r="C233" s="2" t="s">
        <v>26</v>
      </c>
      <c r="D233" s="2" t="s">
        <v>141</v>
      </c>
      <c r="E233" s="4">
        <v>-32238</v>
      </c>
      <c r="F233" s="3" t="s">
        <v>166</v>
      </c>
      <c r="G233" s="3" t="s">
        <v>178</v>
      </c>
      <c r="H233" s="2" t="s">
        <v>148</v>
      </c>
      <c r="I233" s="2" t="s">
        <v>861</v>
      </c>
      <c r="J233" s="3" t="str">
        <f>HYPERLINK("https://www.boe.es/gazeta/dias/1811/09/25/pdfs/GMD-C-1811-268.pdf#page=4","Abrir facsímil")</f>
        <v>Abrir facsímil</v>
      </c>
      <c r="K233" s="3" t="s">
        <v>150</v>
      </c>
    </row>
    <row r="234" spans="1:11" ht="42" customHeight="1">
      <c r="A234" s="2" t="s">
        <v>862</v>
      </c>
      <c r="B234" s="2" t="s">
        <v>863</v>
      </c>
      <c r="C234" s="2" t="s">
        <v>26</v>
      </c>
      <c r="D234" s="2" t="s">
        <v>18</v>
      </c>
      <c r="E234" s="4">
        <v>-32302</v>
      </c>
      <c r="F234" s="3" t="s">
        <v>864</v>
      </c>
      <c r="G234" s="3" t="s">
        <v>865</v>
      </c>
      <c r="H234" s="2" t="s">
        <v>148</v>
      </c>
      <c r="I234" s="2" t="s">
        <v>866</v>
      </c>
      <c r="J234" s="3" t="str">
        <f>HYPERLINK("https://www.boe.es/gazeta/dias/1811/07/23/pdfs/GEI-1811-96.pdf#page=2","Abrir facsímil")</f>
        <v>Abrir facsímil</v>
      </c>
      <c r="K234" s="3" t="s">
        <v>150</v>
      </c>
    </row>
    <row r="235" spans="1:11" ht="42" customHeight="1">
      <c r="A235" s="2" t="s">
        <v>867</v>
      </c>
      <c r="B235" s="2" t="s">
        <v>868</v>
      </c>
      <c r="C235" s="2" t="s">
        <v>26</v>
      </c>
      <c r="D235" s="2" t="s">
        <v>105</v>
      </c>
      <c r="E235" s="4">
        <v>-32200</v>
      </c>
      <c r="F235" s="3" t="s">
        <v>109</v>
      </c>
      <c r="G235" s="3" t="s">
        <v>268</v>
      </c>
      <c r="H235" s="2" t="s">
        <v>148</v>
      </c>
      <c r="I235" s="2" t="s">
        <v>869</v>
      </c>
      <c r="J235" s="3" t="str">
        <f>HYPERLINK("https://www.boe.es/gazeta/dias/1811/11/02/pdfs/GEI-1811-141.pdf#page=7","Abrir facsímil")</f>
        <v>Abrir facsímil</v>
      </c>
      <c r="K235" s="3" t="s">
        <v>150</v>
      </c>
    </row>
    <row r="236" spans="1:11" ht="42" customHeight="1">
      <c r="A236" s="2" t="s">
        <v>870</v>
      </c>
      <c r="B236" s="2" t="s">
        <v>871</v>
      </c>
      <c r="C236" s="2" t="s">
        <v>104</v>
      </c>
      <c r="D236" s="2" t="s">
        <v>18</v>
      </c>
      <c r="E236" s="4">
        <v>-32241</v>
      </c>
      <c r="F236" s="3" t="s">
        <v>514</v>
      </c>
      <c r="G236" s="3" t="s">
        <v>515</v>
      </c>
      <c r="H236" s="2" t="s">
        <v>148</v>
      </c>
      <c r="I236" s="2" t="s">
        <v>872</v>
      </c>
      <c r="J236" s="3" t="str">
        <f>HYPERLINK("https://www.boe.es/gazeta/dias/1811/09/22/pdfs/GMD-1811-265.pdf#page=4","Abrir facsímil")</f>
        <v>Abrir facsímil</v>
      </c>
      <c r="K236" s="3" t="s">
        <v>150</v>
      </c>
    </row>
    <row r="237" spans="1:11" ht="42" customHeight="1">
      <c r="A237" s="2" t="s">
        <v>873</v>
      </c>
      <c r="B237" s="2" t="s">
        <v>874</v>
      </c>
      <c r="C237" s="2" t="s">
        <v>26</v>
      </c>
      <c r="D237" s="2" t="s">
        <v>18</v>
      </c>
      <c r="E237" s="4">
        <v>-32484</v>
      </c>
      <c r="F237" s="3" t="s">
        <v>467</v>
      </c>
      <c r="G237" s="3" t="s">
        <v>875</v>
      </c>
      <c r="H237" s="2" t="s">
        <v>148</v>
      </c>
      <c r="I237" s="2" t="s">
        <v>876</v>
      </c>
      <c r="J237" s="3" t="str">
        <f>HYPERLINK("https://www.boe.es/gazeta/dias/1811/01/22/pdfs/GEI-1811-10.pdf#page=4","Abrir facsímil")</f>
        <v>Abrir facsímil</v>
      </c>
      <c r="K237" s="3" t="s">
        <v>150</v>
      </c>
    </row>
    <row r="238" spans="1:11" ht="42" customHeight="1">
      <c r="A238" s="2" t="s">
        <v>873</v>
      </c>
      <c r="B238" s="2" t="s">
        <v>874</v>
      </c>
      <c r="C238" s="2" t="s">
        <v>26</v>
      </c>
      <c r="D238" s="2" t="s">
        <v>18</v>
      </c>
      <c r="E238" s="4">
        <v>-32484</v>
      </c>
      <c r="F238" s="3" t="s">
        <v>467</v>
      </c>
      <c r="G238" s="3" t="s">
        <v>468</v>
      </c>
      <c r="H238" s="2" t="s">
        <v>148</v>
      </c>
      <c r="I238" s="2" t="s">
        <v>877</v>
      </c>
      <c r="J238" s="3" t="str">
        <f>HYPERLINK("https://www.boe.es/gazeta/dias/1811/01/22/pdfs/GEI-1811-10.pdf#page=5","Abrir facsímil")</f>
        <v>Abrir facsímil</v>
      </c>
      <c r="K238" s="3" t="s">
        <v>150</v>
      </c>
    </row>
    <row r="239" spans="1:11" ht="42" customHeight="1">
      <c r="A239" s="2" t="s">
        <v>878</v>
      </c>
      <c r="B239" s="2" t="s">
        <v>879</v>
      </c>
      <c r="C239" s="2" t="s">
        <v>104</v>
      </c>
      <c r="D239" s="2" t="s">
        <v>18</v>
      </c>
      <c r="E239" s="4">
        <v>-32445</v>
      </c>
      <c r="F239" s="3" t="s">
        <v>880</v>
      </c>
      <c r="G239" s="3" t="s">
        <v>881</v>
      </c>
      <c r="H239" s="2" t="s">
        <v>148</v>
      </c>
      <c r="I239" s="2" t="s">
        <v>882</v>
      </c>
      <c r="J239" s="3" t="str">
        <f>HYPERLINK("https://www.boe.es/gazeta/dias/1811/03/02/pdfs/GMD-1811-61.pdf#page=3","Abrir facsímil")</f>
        <v>Abrir facsímil</v>
      </c>
      <c r="K239" s="3" t="s">
        <v>150</v>
      </c>
    </row>
    <row r="240" spans="1:11" ht="42" customHeight="1">
      <c r="A240" s="2" t="s">
        <v>883</v>
      </c>
      <c r="B240" s="2" t="s">
        <v>884</v>
      </c>
      <c r="C240" s="2" t="s">
        <v>26</v>
      </c>
      <c r="D240" s="2" t="s">
        <v>141</v>
      </c>
      <c r="E240" s="4">
        <v>-32238</v>
      </c>
      <c r="F240" s="3" t="s">
        <v>166</v>
      </c>
      <c r="G240" s="3" t="s">
        <v>178</v>
      </c>
      <c r="H240" s="2" t="s">
        <v>148</v>
      </c>
      <c r="I240" s="2" t="s">
        <v>885</v>
      </c>
      <c r="J240" s="3" t="str">
        <f>HYPERLINK("https://www.boe.es/gazeta/dias/1811/09/25/pdfs/GMD-C-1811-268.pdf#page=4","Abrir facsímil")</f>
        <v>Abrir facsímil</v>
      </c>
      <c r="K240" s="3" t="s">
        <v>150</v>
      </c>
    </row>
    <row r="241" spans="1:11" ht="42" customHeight="1">
      <c r="A241" s="2" t="s">
        <v>886</v>
      </c>
      <c r="B241" s="2" t="s">
        <v>887</v>
      </c>
      <c r="C241" s="2" t="s">
        <v>17</v>
      </c>
      <c r="D241" s="2" t="s">
        <v>18</v>
      </c>
      <c r="E241" s="4">
        <v>-32300</v>
      </c>
      <c r="F241" s="3" t="s">
        <v>61</v>
      </c>
      <c r="G241" s="3" t="s">
        <v>62</v>
      </c>
      <c r="H241" s="2" t="s">
        <v>148</v>
      </c>
      <c r="I241" s="2" t="s">
        <v>888</v>
      </c>
      <c r="J241" s="3" t="str">
        <f>HYPERLINK("https://www.boe.es/gazeta/dias/1811/07/25/pdfs/GEI-1811-97.pdf#page=5","Abrir facsímil")</f>
        <v>Abrir facsímil</v>
      </c>
      <c r="K241" s="3" t="s">
        <v>150</v>
      </c>
    </row>
    <row r="242" spans="1:11" ht="42" customHeight="1">
      <c r="A242" s="2" t="s">
        <v>889</v>
      </c>
      <c r="B242" s="2" t="s">
        <v>889</v>
      </c>
      <c r="C242" s="2" t="s">
        <v>17</v>
      </c>
      <c r="D242" s="2" t="s">
        <v>156</v>
      </c>
      <c r="E242" s="4">
        <v>-32207</v>
      </c>
      <c r="F242" s="3" t="s">
        <v>152</v>
      </c>
      <c r="G242" s="3" t="s">
        <v>607</v>
      </c>
      <c r="H242" s="2" t="s">
        <v>148</v>
      </c>
      <c r="I242" s="2" t="s">
        <v>890</v>
      </c>
      <c r="J242" s="3" t="str">
        <f>HYPERLINK("https://www.boe.es/gazeta/dias/1811/10/26/pdfs/GEI-1811-138.pdf#page=4","Abrir facsímil")</f>
        <v>Abrir facsímil</v>
      </c>
      <c r="K242" s="3" t="s">
        <v>150</v>
      </c>
    </row>
    <row r="243" spans="1:11" ht="42" customHeight="1">
      <c r="A243" s="2" t="s">
        <v>889</v>
      </c>
      <c r="B243" s="2" t="s">
        <v>889</v>
      </c>
      <c r="C243" s="2" t="s">
        <v>17</v>
      </c>
      <c r="D243" s="2" t="s">
        <v>18</v>
      </c>
      <c r="E243" s="4">
        <v>-32207</v>
      </c>
      <c r="F243" s="3" t="s">
        <v>152</v>
      </c>
      <c r="G243" s="3" t="s">
        <v>891</v>
      </c>
      <c r="H243" s="2" t="s">
        <v>148</v>
      </c>
      <c r="I243" s="2" t="s">
        <v>892</v>
      </c>
      <c r="J243" s="3" t="str">
        <f>HYPERLINK("https://www.boe.es/gazeta/dias/1811/10/26/pdfs/GEI-1811-138.pdf#page=5","Abrir facsímil")</f>
        <v>Abrir facsímil</v>
      </c>
      <c r="K243" s="3" t="s">
        <v>150</v>
      </c>
    </row>
    <row r="244" spans="1:11" ht="42" customHeight="1">
      <c r="A244" s="2" t="s">
        <v>889</v>
      </c>
      <c r="B244" s="2" t="s">
        <v>889</v>
      </c>
      <c r="C244" s="2" t="s">
        <v>17</v>
      </c>
      <c r="D244" s="2" t="s">
        <v>156</v>
      </c>
      <c r="E244" s="4">
        <v>-32207</v>
      </c>
      <c r="F244" s="3" t="s">
        <v>152</v>
      </c>
      <c r="G244" s="3" t="s">
        <v>893</v>
      </c>
      <c r="H244" s="2" t="s">
        <v>148</v>
      </c>
      <c r="I244" s="2" t="s">
        <v>894</v>
      </c>
      <c r="J244" s="3" t="str">
        <f>HYPERLINK("https://www.boe.es/gazeta/dias/1811/10/26/pdfs/GEI-1811-138.pdf#page=6","Abrir facsímil")</f>
        <v>Abrir facsímil</v>
      </c>
      <c r="K244" s="3" t="s">
        <v>150</v>
      </c>
    </row>
    <row r="245" spans="1:11" ht="42" customHeight="1">
      <c r="A245" s="2" t="s">
        <v>895</v>
      </c>
      <c r="B245" s="2" t="s">
        <v>895</v>
      </c>
      <c r="C245" s="2" t="s">
        <v>17</v>
      </c>
      <c r="D245" s="2" t="s">
        <v>18</v>
      </c>
      <c r="E245" s="4">
        <v>-32369</v>
      </c>
      <c r="F245" s="3" t="s">
        <v>896</v>
      </c>
      <c r="G245" s="3" t="s">
        <v>236</v>
      </c>
      <c r="H245" s="2" t="s">
        <v>148</v>
      </c>
      <c r="I245" s="2" t="s">
        <v>897</v>
      </c>
      <c r="J245" s="3" t="str">
        <f>HYPERLINK("https://www.boe.es/gazeta/dias/1811/05/17/pdfs/GMD-1811-137.pdf#page=1","Abrir facsímil")</f>
        <v>Abrir facsímil</v>
      </c>
      <c r="K245" s="3" t="s">
        <v>150</v>
      </c>
    </row>
    <row r="246" spans="1:11" ht="42" customHeight="1">
      <c r="A246" s="2" t="s">
        <v>895</v>
      </c>
      <c r="B246" s="2" t="s">
        <v>895</v>
      </c>
      <c r="C246" s="2" t="s">
        <v>17</v>
      </c>
      <c r="D246" s="2" t="s">
        <v>18</v>
      </c>
      <c r="E246" s="4">
        <v>-32349</v>
      </c>
      <c r="F246" s="3" t="s">
        <v>239</v>
      </c>
      <c r="G246" s="3" t="s">
        <v>240</v>
      </c>
      <c r="H246" s="2" t="s">
        <v>148</v>
      </c>
      <c r="I246" s="2" t="s">
        <v>898</v>
      </c>
      <c r="J246" s="3" t="str">
        <f>HYPERLINK("https://www.boe.es/gazeta/dias/1811/06/06/pdfs/GEI-1811-76.pdf#page=6","Abrir facsímil")</f>
        <v>Abrir facsímil</v>
      </c>
      <c r="K246" s="3" t="s">
        <v>150</v>
      </c>
    </row>
    <row r="247" spans="1:11" ht="42" customHeight="1">
      <c r="A247" s="2" t="s">
        <v>895</v>
      </c>
      <c r="B247" s="2" t="s">
        <v>895</v>
      </c>
      <c r="C247" s="2" t="s">
        <v>17</v>
      </c>
      <c r="D247" s="2" t="s">
        <v>18</v>
      </c>
      <c r="E247" s="4">
        <v>-32228</v>
      </c>
      <c r="F247" s="3" t="s">
        <v>899</v>
      </c>
      <c r="G247" s="3" t="s">
        <v>900</v>
      </c>
      <c r="H247" s="2" t="s">
        <v>148</v>
      </c>
      <c r="I247" s="2" t="s">
        <v>901</v>
      </c>
      <c r="J247" s="3" t="str">
        <f>HYPERLINK("https://www.boe.es/gazeta/dias/1811/10/05/pdfs/GMD-1811-278.pdf#page=2","Abrir facsímil")</f>
        <v>Abrir facsímil</v>
      </c>
      <c r="K247" s="3" t="s">
        <v>150</v>
      </c>
    </row>
    <row r="248" spans="1:11" ht="42" customHeight="1">
      <c r="A248" s="2" t="s">
        <v>902</v>
      </c>
      <c r="B248" s="2" t="s">
        <v>902</v>
      </c>
      <c r="C248" s="2" t="s">
        <v>17</v>
      </c>
      <c r="D248" s="2" t="s">
        <v>18</v>
      </c>
      <c r="E248" s="4">
        <v>-32258</v>
      </c>
      <c r="F248" s="3" t="s">
        <v>449</v>
      </c>
      <c r="G248" s="3" t="s">
        <v>903</v>
      </c>
      <c r="H248" s="2" t="s">
        <v>148</v>
      </c>
      <c r="I248" s="2" t="s">
        <v>904</v>
      </c>
      <c r="J248" s="3" t="str">
        <f>HYPERLINK("https://www.boe.es/gazeta/dias/1811/09/05/pdfs/GEI-1811-115.pdf#page=4","Abrir facsímil")</f>
        <v>Abrir facsímil</v>
      </c>
      <c r="K248" s="3" t="s">
        <v>150</v>
      </c>
    </row>
    <row r="249" spans="1:11" ht="42" customHeight="1">
      <c r="A249" s="2" t="s">
        <v>905</v>
      </c>
      <c r="B249" s="2" t="s">
        <v>906</v>
      </c>
      <c r="C249" s="2" t="s">
        <v>26</v>
      </c>
      <c r="D249" s="2" t="s">
        <v>141</v>
      </c>
      <c r="E249" s="4">
        <v>-32319</v>
      </c>
      <c r="F249" s="3" t="s">
        <v>907</v>
      </c>
      <c r="G249" s="3" t="s">
        <v>134</v>
      </c>
      <c r="H249" s="2" t="s">
        <v>148</v>
      </c>
      <c r="I249" s="2" t="s">
        <v>908</v>
      </c>
      <c r="J249" s="3" t="str">
        <f>HYPERLINK("https://www.boe.es/gazeta/dias/1811/07/06/pdfs/GEI-D-1811-89.pdf#page=4","Abrir facsímil")</f>
        <v>Abrir facsímil</v>
      </c>
      <c r="K249" s="3" t="s">
        <v>150</v>
      </c>
    </row>
    <row r="250" spans="1:11" ht="42" customHeight="1">
      <c r="A250" s="2" t="s">
        <v>909</v>
      </c>
      <c r="B250" s="2" t="s">
        <v>910</v>
      </c>
      <c r="C250" s="2" t="s">
        <v>122</v>
      </c>
      <c r="D250" s="2" t="s">
        <v>18</v>
      </c>
      <c r="E250" s="4">
        <v>-32404</v>
      </c>
      <c r="F250" s="3" t="s">
        <v>911</v>
      </c>
      <c r="G250" s="3" t="s">
        <v>468</v>
      </c>
      <c r="H250" s="2" t="s">
        <v>148</v>
      </c>
      <c r="I250" s="2" t="s">
        <v>912</v>
      </c>
      <c r="J250" s="3" t="str">
        <f>HYPERLINK("https://www.boe.es/gazeta/dias/1811/04/12/pdfs/GMD-1811-102.pdf#page=3","Abrir facsímil")</f>
        <v>Abrir facsímil</v>
      </c>
      <c r="K250" s="3" t="s">
        <v>150</v>
      </c>
    </row>
    <row r="251" spans="1:11" ht="42" customHeight="1">
      <c r="A251" s="2" t="s">
        <v>913</v>
      </c>
      <c r="B251" s="2" t="s">
        <v>914</v>
      </c>
      <c r="C251" s="2" t="s">
        <v>104</v>
      </c>
      <c r="D251" s="2" t="s">
        <v>18</v>
      </c>
      <c r="E251" s="4">
        <v>-32230</v>
      </c>
      <c r="F251" s="3" t="s">
        <v>625</v>
      </c>
      <c r="G251" s="3" t="s">
        <v>162</v>
      </c>
      <c r="H251" s="2" t="s">
        <v>148</v>
      </c>
      <c r="I251" s="2" t="s">
        <v>915</v>
      </c>
      <c r="J251" s="3" t="str">
        <f>HYPERLINK("https://www.boe.es/gazeta/dias/1811/10/03/pdfs/GEI-1811-127.pdf#page=7","Abrir facsímil")</f>
        <v>Abrir facsímil</v>
      </c>
      <c r="K251" s="3" t="s">
        <v>150</v>
      </c>
    </row>
    <row r="252" spans="1:11" ht="42" customHeight="1">
      <c r="A252" s="2" t="s">
        <v>916</v>
      </c>
      <c r="B252" s="2" t="s">
        <v>917</v>
      </c>
      <c r="C252" s="2" t="s">
        <v>26</v>
      </c>
      <c r="D252" s="2" t="s">
        <v>18</v>
      </c>
      <c r="E252" s="4">
        <v>-32302</v>
      </c>
      <c r="F252" s="3" t="s">
        <v>412</v>
      </c>
      <c r="G252" s="3" t="s">
        <v>248</v>
      </c>
      <c r="H252" s="2" t="s">
        <v>148</v>
      </c>
      <c r="I252" s="2" t="s">
        <v>918</v>
      </c>
      <c r="J252" s="3" t="str">
        <f>HYPERLINK("https://www.boe.es/gazeta/dias/1811/07/23/pdfs/GMD-1811-204.pdf#page=4","Abrir facsímil")</f>
        <v>Abrir facsímil</v>
      </c>
      <c r="K252" s="3" t="s">
        <v>150</v>
      </c>
    </row>
    <row r="253" spans="1:11" ht="42" customHeight="1">
      <c r="A253" s="2" t="s">
        <v>919</v>
      </c>
      <c r="B253" s="2" t="s">
        <v>920</v>
      </c>
      <c r="C253" s="2" t="s">
        <v>17</v>
      </c>
      <c r="D253" s="2" t="s">
        <v>18</v>
      </c>
      <c r="E253" s="4">
        <v>-32192</v>
      </c>
      <c r="F253" s="3" t="s">
        <v>673</v>
      </c>
      <c r="G253" s="3" t="s">
        <v>305</v>
      </c>
      <c r="H253" s="2" t="s">
        <v>148</v>
      </c>
      <c r="I253" s="2" t="s">
        <v>921</v>
      </c>
      <c r="J253" s="3" t="str">
        <f>HYPERLINK("https://www.boe.es/gazeta/dias/1811/11/10/pdfs/GMD-1811-314.pdf#page=4","Abrir facsímil")</f>
        <v>Abrir facsímil</v>
      </c>
      <c r="K253" s="3" t="s">
        <v>150</v>
      </c>
    </row>
    <row r="254" spans="1:11" ht="42" customHeight="1">
      <c r="A254" s="2" t="s">
        <v>922</v>
      </c>
      <c r="B254" s="2" t="s">
        <v>923</v>
      </c>
      <c r="C254" s="2" t="s">
        <v>26</v>
      </c>
      <c r="D254" s="2" t="s">
        <v>18</v>
      </c>
      <c r="E254" s="4">
        <v>-32482</v>
      </c>
      <c r="F254" s="3" t="s">
        <v>924</v>
      </c>
      <c r="G254" s="3" t="s">
        <v>925</v>
      </c>
      <c r="H254" s="2" t="s">
        <v>148</v>
      </c>
      <c r="I254" s="2" t="s">
        <v>926</v>
      </c>
      <c r="J254" s="3" t="str">
        <f>HYPERLINK("https://www.boe.es/gazeta/dias/1811/01/24/pdfs/GEI-1811-11.pdf#page=6","Abrir facsímil")</f>
        <v>Abrir facsímil</v>
      </c>
      <c r="K254" s="3" t="s">
        <v>150</v>
      </c>
    </row>
    <row r="255" spans="1:11" ht="42" customHeight="1">
      <c r="A255" s="2" t="s">
        <v>927</v>
      </c>
      <c r="B255" s="2" t="s">
        <v>928</v>
      </c>
      <c r="C255" s="2" t="s">
        <v>26</v>
      </c>
      <c r="D255" s="2" t="s">
        <v>18</v>
      </c>
      <c r="E255" s="4">
        <v>-32188</v>
      </c>
      <c r="F255" s="3" t="s">
        <v>356</v>
      </c>
      <c r="G255" s="3" t="s">
        <v>248</v>
      </c>
      <c r="H255" s="2" t="s">
        <v>148</v>
      </c>
      <c r="I255" s="2" t="s">
        <v>929</v>
      </c>
      <c r="J255" s="3" t="str">
        <f>HYPERLINK("https://www.boe.es/gazeta/dias/1811/11/14/pdfs/GMD-1811-318.pdf#page=5","Abrir facsímil")</f>
        <v>Abrir facsímil</v>
      </c>
      <c r="K255" s="3" t="s">
        <v>150</v>
      </c>
    </row>
    <row r="256" spans="1:11" ht="42" customHeight="1">
      <c r="A256" s="2" t="s">
        <v>930</v>
      </c>
      <c r="B256" s="2" t="s">
        <v>931</v>
      </c>
      <c r="C256" s="2" t="s">
        <v>26</v>
      </c>
      <c r="D256" s="2" t="s">
        <v>141</v>
      </c>
      <c r="E256" s="4">
        <v>-32188</v>
      </c>
      <c r="F256" s="3" t="s">
        <v>505</v>
      </c>
      <c r="G256" s="3" t="s">
        <v>162</v>
      </c>
      <c r="H256" s="2" t="s">
        <v>148</v>
      </c>
      <c r="I256" s="2" t="s">
        <v>932</v>
      </c>
      <c r="J256" s="3" t="str">
        <f>HYPERLINK("https://www.boe.es/gazeta/dias/1811/11/14/pdfs/GEI-D-1811-149.pdf#page=4","Abrir facsímil")</f>
        <v>Abrir facsímil</v>
      </c>
      <c r="K256" s="3" t="s">
        <v>150</v>
      </c>
    </row>
    <row r="257" spans="1:11" ht="42" customHeight="1">
      <c r="A257" s="2" t="s">
        <v>933</v>
      </c>
      <c r="B257" s="2" t="s">
        <v>934</v>
      </c>
      <c r="C257" s="2" t="s">
        <v>26</v>
      </c>
      <c r="D257" s="2" t="s">
        <v>141</v>
      </c>
      <c r="E257" s="4">
        <v>-32188</v>
      </c>
      <c r="F257" s="3" t="s">
        <v>505</v>
      </c>
      <c r="G257" s="3" t="s">
        <v>162</v>
      </c>
      <c r="H257" s="2" t="s">
        <v>148</v>
      </c>
      <c r="I257" s="2" t="s">
        <v>935</v>
      </c>
      <c r="J257" s="3" t="str">
        <f>HYPERLINK("https://www.boe.es/gazeta/dias/1811/11/14/pdfs/GEI-D-1811-149.pdf#page=4","Abrir facsímil")</f>
        <v>Abrir facsímil</v>
      </c>
      <c r="K257" s="3" t="s">
        <v>150</v>
      </c>
    </row>
    <row r="258" spans="1:11" ht="42" customHeight="1">
      <c r="A258" s="2" t="s">
        <v>936</v>
      </c>
      <c r="B258" s="2" t="s">
        <v>937</v>
      </c>
      <c r="C258" s="2" t="s">
        <v>17</v>
      </c>
      <c r="D258" s="2" t="s">
        <v>156</v>
      </c>
      <c r="E258" s="4">
        <v>-32218</v>
      </c>
      <c r="F258" s="3" t="s">
        <v>938</v>
      </c>
      <c r="G258" s="3" t="s">
        <v>939</v>
      </c>
      <c r="H258" s="2" t="s">
        <v>148</v>
      </c>
      <c r="I258" s="2" t="s">
        <v>940</v>
      </c>
      <c r="J258" s="3" t="str">
        <f>HYPERLINK("https://www.boe.es/gazeta/dias/1811/10/15/pdfs/GEI-1811-133.pdf#page=8","Abrir facsímil")</f>
        <v>Abrir facsímil</v>
      </c>
      <c r="K258" s="3" t="s">
        <v>150</v>
      </c>
    </row>
    <row r="259" spans="1:11" ht="42" customHeight="1">
      <c r="A259" s="2" t="s">
        <v>941</v>
      </c>
      <c r="B259" s="2" t="s">
        <v>942</v>
      </c>
      <c r="C259" s="2" t="s">
        <v>17</v>
      </c>
      <c r="D259" s="2" t="s">
        <v>105</v>
      </c>
      <c r="E259" s="4">
        <v>-32283</v>
      </c>
      <c r="F259" s="3" t="s">
        <v>90</v>
      </c>
      <c r="G259" s="3" t="s">
        <v>91</v>
      </c>
      <c r="H259" s="2" t="s">
        <v>148</v>
      </c>
      <c r="I259" s="2" t="s">
        <v>943</v>
      </c>
      <c r="J259" s="3" t="str">
        <f>HYPERLINK("https://www.boe.es/gazeta/dias/1811/08/11/pdfs/GMD-1811-223.pdf#page=4","Abrir facsímil")</f>
        <v>Abrir facsímil</v>
      </c>
      <c r="K259" s="3" t="s">
        <v>150</v>
      </c>
    </row>
    <row r="260" spans="1:11" ht="42" customHeight="1">
      <c r="A260" s="2" t="s">
        <v>944</v>
      </c>
      <c r="B260" s="2" t="s">
        <v>945</v>
      </c>
      <c r="C260" s="2" t="s">
        <v>26</v>
      </c>
      <c r="D260" s="2" t="s">
        <v>18</v>
      </c>
      <c r="E260" s="4">
        <v>-32398</v>
      </c>
      <c r="F260" s="3" t="s">
        <v>946</v>
      </c>
      <c r="G260" s="3" t="s">
        <v>947</v>
      </c>
      <c r="H260" s="2" t="s">
        <v>148</v>
      </c>
      <c r="I260" s="2" t="s">
        <v>948</v>
      </c>
      <c r="J260" s="3" t="str">
        <f>HYPERLINK("https://www.boe.es/gazeta/dias/1811/04/18/pdfs/GEI-1811-52.pdf#page=6","Abrir facsímil")</f>
        <v>Abrir facsímil</v>
      </c>
      <c r="K260" s="3" t="s">
        <v>150</v>
      </c>
    </row>
    <row r="261" spans="1:11" ht="42" customHeight="1">
      <c r="A261" s="2" t="s">
        <v>949</v>
      </c>
      <c r="B261" s="2" t="s">
        <v>950</v>
      </c>
      <c r="C261" s="2" t="s">
        <v>26</v>
      </c>
      <c r="D261" s="2" t="s">
        <v>18</v>
      </c>
      <c r="E261" s="4">
        <v>-32155</v>
      </c>
      <c r="F261" s="3" t="s">
        <v>99</v>
      </c>
      <c r="G261" s="3" t="s">
        <v>100</v>
      </c>
      <c r="H261" s="2" t="s">
        <v>148</v>
      </c>
      <c r="I261" s="2" t="s">
        <v>951</v>
      </c>
      <c r="J261" s="3" t="str">
        <f>HYPERLINK("https://www.boe.es/gazeta/dias/1811/12/17/pdfs/GMD-1811-351.pdf#page=4","Abrir facsímil")</f>
        <v>Abrir facsímil</v>
      </c>
      <c r="K261" s="3" t="s">
        <v>150</v>
      </c>
    </row>
    <row r="262" spans="1:11" ht="42" customHeight="1">
      <c r="A262" s="2" t="s">
        <v>952</v>
      </c>
      <c r="B262" s="2" t="s">
        <v>953</v>
      </c>
      <c r="C262" s="2" t="s">
        <v>26</v>
      </c>
      <c r="D262" s="2" t="s">
        <v>18</v>
      </c>
      <c r="E262" s="4">
        <v>-32416</v>
      </c>
      <c r="F262" s="3" t="s">
        <v>954</v>
      </c>
      <c r="G262" s="3" t="s">
        <v>47</v>
      </c>
      <c r="H262" s="2" t="s">
        <v>148</v>
      </c>
      <c r="I262" s="2" t="s">
        <v>955</v>
      </c>
      <c r="J262" s="3" t="str">
        <f>HYPERLINK("https://www.boe.es/gazeta/dias/1811/03/31/pdfs/GMD-1811-90.pdf#page=3","Abrir facsímil")</f>
        <v>Abrir facsímil</v>
      </c>
      <c r="K262" s="3" t="s">
        <v>150</v>
      </c>
    </row>
    <row r="263" spans="1:11" ht="42" customHeight="1">
      <c r="A263" s="2" t="s">
        <v>956</v>
      </c>
      <c r="B263" s="2" t="s">
        <v>957</v>
      </c>
      <c r="C263" s="2" t="s">
        <v>26</v>
      </c>
      <c r="D263" s="2" t="s">
        <v>141</v>
      </c>
      <c r="E263" s="4">
        <v>-32238</v>
      </c>
      <c r="F263" s="3" t="s">
        <v>166</v>
      </c>
      <c r="G263" s="3" t="s">
        <v>39</v>
      </c>
      <c r="H263" s="2" t="s">
        <v>148</v>
      </c>
      <c r="I263" s="2" t="s">
        <v>958</v>
      </c>
      <c r="J263" s="3" t="str">
        <f>HYPERLINK("https://www.boe.es/gazeta/dias/1811/09/25/pdfs/GMD-C-1811-268.pdf#page=2","Abrir facsímil")</f>
        <v>Abrir facsímil</v>
      </c>
      <c r="K263" s="3" t="s">
        <v>150</v>
      </c>
    </row>
    <row r="264" spans="1:11" ht="42" customHeight="1">
      <c r="A264" s="2" t="s">
        <v>959</v>
      </c>
      <c r="B264" s="2" t="s">
        <v>960</v>
      </c>
      <c r="C264" s="2" t="s">
        <v>26</v>
      </c>
      <c r="D264" s="2" t="s">
        <v>141</v>
      </c>
      <c r="E264" s="4">
        <v>-32188</v>
      </c>
      <c r="F264" s="3" t="s">
        <v>505</v>
      </c>
      <c r="G264" s="3" t="s">
        <v>47</v>
      </c>
      <c r="H264" s="2" t="s">
        <v>148</v>
      </c>
      <c r="I264" s="2" t="s">
        <v>961</v>
      </c>
      <c r="J264" s="3" t="str">
        <f>HYPERLINK("https://www.boe.es/gazeta/dias/1811/11/14/pdfs/GEI-D-1811-149.pdf#page=3","Abrir facsímil")</f>
        <v>Abrir facsímil</v>
      </c>
      <c r="K264" s="3" t="s">
        <v>150</v>
      </c>
    </row>
    <row r="265" spans="1:11" ht="42" customHeight="1">
      <c r="A265" s="2" t="s">
        <v>962</v>
      </c>
      <c r="B265" s="2" t="s">
        <v>963</v>
      </c>
      <c r="C265" s="2" t="s">
        <v>26</v>
      </c>
      <c r="D265" s="2" t="s">
        <v>18</v>
      </c>
      <c r="E265" s="4">
        <v>-32172</v>
      </c>
      <c r="F265" s="3" t="s">
        <v>300</v>
      </c>
      <c r="G265" s="3" t="s">
        <v>301</v>
      </c>
      <c r="H265" s="2" t="s">
        <v>148</v>
      </c>
      <c r="I265" s="2" t="s">
        <v>964</v>
      </c>
      <c r="J265" s="3" t="str">
        <f>HYPERLINK("https://www.boe.es/gazeta/dias/1811/11/30/pdfs/GMD-1811-334.pdf#page=4","Abrir facsímil")</f>
        <v>Abrir facsímil</v>
      </c>
      <c r="K265" s="3" t="s">
        <v>150</v>
      </c>
    </row>
    <row r="266" spans="1:11" ht="42" customHeight="1">
      <c r="A266" s="2" t="s">
        <v>965</v>
      </c>
      <c r="B266" s="2" t="s">
        <v>966</v>
      </c>
      <c r="C266" s="2" t="s">
        <v>26</v>
      </c>
      <c r="D266" s="2" t="s">
        <v>18</v>
      </c>
      <c r="E266" s="4">
        <v>-32153</v>
      </c>
      <c r="F266" s="3" t="s">
        <v>123</v>
      </c>
      <c r="G266" s="3" t="s">
        <v>288</v>
      </c>
      <c r="H266" s="2" t="s">
        <v>148</v>
      </c>
      <c r="I266" s="2" t="s">
        <v>967</v>
      </c>
      <c r="J266" s="3" t="str">
        <f>HYPERLINK("https://www.boe.es/gazeta/dias/1811/12/19/pdfs/GMD-1811-353.pdf#page=4","Abrir facsímil")</f>
        <v>Abrir facsímil</v>
      </c>
      <c r="K266" s="3" t="s">
        <v>150</v>
      </c>
    </row>
    <row r="267" spans="1:11" ht="42" customHeight="1">
      <c r="A267" s="2" t="s">
        <v>968</v>
      </c>
      <c r="B267" s="2" t="s">
        <v>969</v>
      </c>
      <c r="C267" s="2" t="s">
        <v>26</v>
      </c>
      <c r="D267" s="2" t="s">
        <v>18</v>
      </c>
      <c r="E267" s="4">
        <v>-32204</v>
      </c>
      <c r="F267" s="3" t="s">
        <v>177</v>
      </c>
      <c r="G267" s="3" t="s">
        <v>178</v>
      </c>
      <c r="H267" s="2" t="s">
        <v>148</v>
      </c>
      <c r="I267" s="2" t="s">
        <v>970</v>
      </c>
      <c r="J267" s="3" t="str">
        <f>HYPERLINK("https://www.boe.es/gazeta/dias/1811/10/29/pdfs/GMD-1811-302.pdf#page=4","Abrir facsímil")</f>
        <v>Abrir facsímil</v>
      </c>
      <c r="K267" s="3" t="s">
        <v>150</v>
      </c>
    </row>
    <row r="268" spans="1:11" ht="42" customHeight="1">
      <c r="A268" s="2" t="s">
        <v>971</v>
      </c>
      <c r="B268" s="2" t="s">
        <v>972</v>
      </c>
      <c r="C268" s="2" t="s">
        <v>26</v>
      </c>
      <c r="D268" s="2" t="s">
        <v>18</v>
      </c>
      <c r="E268" s="4">
        <v>-32153</v>
      </c>
      <c r="F268" s="3" t="s">
        <v>123</v>
      </c>
      <c r="G268" s="3" t="s">
        <v>288</v>
      </c>
      <c r="H268" s="2" t="s">
        <v>148</v>
      </c>
      <c r="I268" s="2" t="s">
        <v>973</v>
      </c>
      <c r="J268" s="3" t="str">
        <f>HYPERLINK("https://www.boe.es/gazeta/dias/1811/12/19/pdfs/GMD-1811-353.pdf#page=4","Abrir facsímil")</f>
        <v>Abrir facsímil</v>
      </c>
      <c r="K268" s="3" t="s">
        <v>150</v>
      </c>
    </row>
    <row r="269" spans="1:11" ht="42" customHeight="1">
      <c r="A269" s="2" t="s">
        <v>974</v>
      </c>
      <c r="B269" s="2" t="s">
        <v>974</v>
      </c>
      <c r="C269" s="2" t="s">
        <v>104</v>
      </c>
      <c r="D269" s="2" t="s">
        <v>204</v>
      </c>
      <c r="E269" s="4">
        <v>-32319</v>
      </c>
      <c r="F269" s="3" t="s">
        <v>975</v>
      </c>
      <c r="G269" s="3" t="s">
        <v>976</v>
      </c>
      <c r="H269" s="2" t="s">
        <v>148</v>
      </c>
      <c r="I269" s="2" t="s">
        <v>977</v>
      </c>
      <c r="J269" s="3" t="str">
        <f>HYPERLINK("https://www.boe.es/gazeta/dias/1811/07/06/pdfs/GEI-1811-89.pdf#page=2","Abrir facsímil")</f>
        <v>Abrir facsímil</v>
      </c>
      <c r="K269" s="3" t="s">
        <v>150</v>
      </c>
    </row>
    <row r="270" spans="1:11" ht="42" customHeight="1">
      <c r="A270" s="2" t="s">
        <v>978</v>
      </c>
      <c r="B270" s="2" t="s">
        <v>978</v>
      </c>
      <c r="C270" s="2" t="s">
        <v>26</v>
      </c>
      <c r="D270" s="2" t="s">
        <v>18</v>
      </c>
      <c r="E270" s="4">
        <v>-32428</v>
      </c>
      <c r="F270" s="3" t="s">
        <v>351</v>
      </c>
      <c r="G270" s="3" t="s">
        <v>352</v>
      </c>
      <c r="H270" s="2" t="s">
        <v>148</v>
      </c>
      <c r="I270" s="2" t="s">
        <v>979</v>
      </c>
      <c r="J270" s="3" t="str">
        <f>HYPERLINK("https://www.boe.es/gazeta/dias/1811/03/19/pdfs/GMD-1811-78.pdf#page=4","Abrir facsímil")</f>
        <v>Abrir facsímil</v>
      </c>
      <c r="K270" s="3" t="s">
        <v>150</v>
      </c>
    </row>
    <row r="271" spans="1:11" ht="42" customHeight="1">
      <c r="A271" s="2" t="s">
        <v>980</v>
      </c>
      <c r="B271" s="2" t="s">
        <v>981</v>
      </c>
      <c r="C271" s="2" t="s">
        <v>26</v>
      </c>
      <c r="D271" s="2" t="s">
        <v>18</v>
      </c>
      <c r="E271" s="4">
        <v>-32281</v>
      </c>
      <c r="F271" s="3" t="s">
        <v>982</v>
      </c>
      <c r="G271" s="3" t="s">
        <v>983</v>
      </c>
      <c r="H271" s="2" t="s">
        <v>148</v>
      </c>
      <c r="I271" s="2" t="s">
        <v>984</v>
      </c>
      <c r="J271" s="3" t="str">
        <f>HYPERLINK("https://www.boe.es/gazeta/dias/1811/08/13/pdfs/GEI-1811-105.pdf#page=4","Abrir facsímil")</f>
        <v>Abrir facsímil</v>
      </c>
      <c r="K271" s="3" t="s">
        <v>150</v>
      </c>
    </row>
    <row r="272" spans="1:11" ht="42" customHeight="1">
      <c r="A272" s="2" t="s">
        <v>985</v>
      </c>
      <c r="B272" s="2" t="s">
        <v>985</v>
      </c>
      <c r="C272" s="2" t="s">
        <v>26</v>
      </c>
      <c r="D272" s="2" t="s">
        <v>18</v>
      </c>
      <c r="E272" s="4">
        <v>-32411</v>
      </c>
      <c r="F272" s="3" t="s">
        <v>986</v>
      </c>
      <c r="G272" s="3" t="s">
        <v>755</v>
      </c>
      <c r="H272" s="2" t="s">
        <v>148</v>
      </c>
      <c r="I272" s="2" t="s">
        <v>987</v>
      </c>
      <c r="J272" s="3" t="str">
        <f>HYPERLINK("https://www.boe.es/gazeta/dias/1811/04/05/pdfs/GMD-1811-95.pdf#page=2","Abrir facsímil")</f>
        <v>Abrir facsímil</v>
      </c>
      <c r="K272" s="3" t="s">
        <v>150</v>
      </c>
    </row>
    <row r="273" spans="1:11" ht="42" customHeight="1">
      <c r="A273" s="2" t="s">
        <v>985</v>
      </c>
      <c r="B273" s="2" t="s">
        <v>985</v>
      </c>
      <c r="C273" s="2" t="s">
        <v>66</v>
      </c>
      <c r="D273" s="2" t="s">
        <v>204</v>
      </c>
      <c r="E273" s="4">
        <v>-32274</v>
      </c>
      <c r="F273" s="3" t="s">
        <v>988</v>
      </c>
      <c r="G273" s="3" t="s">
        <v>47</v>
      </c>
      <c r="H273" s="2" t="s">
        <v>148</v>
      </c>
      <c r="I273" s="2" t="s">
        <v>989</v>
      </c>
      <c r="J273" s="3" t="str">
        <f>HYPERLINK("https://www.boe.es/gazeta/dias/1811/08/20/pdfs/GMD-1811-232.pdf#page=2","Abrir facsímil")</f>
        <v>Abrir facsímil</v>
      </c>
      <c r="K273" s="3" t="s">
        <v>150</v>
      </c>
    </row>
    <row r="274" spans="1:11" ht="42" customHeight="1">
      <c r="A274" s="2" t="s">
        <v>990</v>
      </c>
      <c r="B274" s="2" t="s">
        <v>991</v>
      </c>
      <c r="C274" s="2" t="s">
        <v>26</v>
      </c>
      <c r="D274" s="2" t="s">
        <v>18</v>
      </c>
      <c r="E274" s="4">
        <v>-32472</v>
      </c>
      <c r="F274" s="3" t="s">
        <v>398</v>
      </c>
      <c r="G274" s="3" t="s">
        <v>115</v>
      </c>
      <c r="H274" s="2" t="s">
        <v>148</v>
      </c>
      <c r="I274" s="2" t="s">
        <v>992</v>
      </c>
      <c r="J274" s="3" t="str">
        <f>HYPERLINK("https://www.boe.es/gazeta/dias/1811/02/03/pdfs/GMD-1811-34.pdf#page=3","Abrir facsímil")</f>
        <v>Abrir facsímil</v>
      </c>
      <c r="K274" s="3" t="s">
        <v>150</v>
      </c>
    </row>
    <row r="275" spans="1:11" ht="42" customHeight="1">
      <c r="A275" s="2" t="s">
        <v>993</v>
      </c>
      <c r="B275" s="2" t="s">
        <v>994</v>
      </c>
      <c r="C275" s="2" t="s">
        <v>26</v>
      </c>
      <c r="D275" s="2" t="s">
        <v>18</v>
      </c>
      <c r="E275" s="4">
        <v>-32230</v>
      </c>
      <c r="F275" s="3" t="s">
        <v>625</v>
      </c>
      <c r="G275" s="3" t="s">
        <v>162</v>
      </c>
      <c r="H275" s="2" t="s">
        <v>148</v>
      </c>
      <c r="I275" s="2" t="s">
        <v>995</v>
      </c>
      <c r="J275" s="3" t="str">
        <f>HYPERLINK("https://www.boe.es/gazeta/dias/1811/10/03/pdfs/GEI-1811-127.pdf#page=7","Abrir facsímil")</f>
        <v>Abrir facsímil</v>
      </c>
      <c r="K275" s="3" t="s">
        <v>150</v>
      </c>
    </row>
    <row r="276" spans="1:11" ht="42" customHeight="1">
      <c r="A276" s="2" t="s">
        <v>996</v>
      </c>
      <c r="B276" s="2" t="s">
        <v>997</v>
      </c>
      <c r="C276" s="2" t="s">
        <v>17</v>
      </c>
      <c r="D276" s="2" t="s">
        <v>156</v>
      </c>
      <c r="E276" s="4">
        <v>-32412</v>
      </c>
      <c r="F276" s="3" t="s">
        <v>998</v>
      </c>
      <c r="G276" s="3" t="s">
        <v>44</v>
      </c>
      <c r="H276" s="2" t="s">
        <v>148</v>
      </c>
      <c r="I276" s="2" t="s">
        <v>999</v>
      </c>
      <c r="J276" s="3" t="str">
        <f>HYPERLINK("https://www.boe.es/gazeta/dias/1811/04/04/pdfs/GEI-1811-46.pdf#page=3","Abrir facsímil")</f>
        <v>Abrir facsímil</v>
      </c>
      <c r="K276" s="3" t="s">
        <v>150</v>
      </c>
    </row>
    <row r="277" spans="1:11" ht="42" customHeight="1">
      <c r="A277" s="2" t="s">
        <v>1000</v>
      </c>
      <c r="B277" s="2" t="s">
        <v>1001</v>
      </c>
      <c r="C277" s="2" t="s">
        <v>26</v>
      </c>
      <c r="D277" s="2" t="s">
        <v>141</v>
      </c>
      <c r="E277" s="4">
        <v>-32238</v>
      </c>
      <c r="F277" s="3" t="s">
        <v>166</v>
      </c>
      <c r="G277" s="3" t="s">
        <v>657</v>
      </c>
      <c r="H277" s="2" t="s">
        <v>148</v>
      </c>
      <c r="I277" s="2" t="s">
        <v>1002</v>
      </c>
      <c r="J277" s="3" t="str">
        <f>HYPERLINK("https://www.boe.es/gazeta/dias/1811/09/25/pdfs/GMD-C-1811-268.pdf#page=3","Abrir facsímil")</f>
        <v>Abrir facsímil</v>
      </c>
      <c r="K277" s="3" t="s">
        <v>150</v>
      </c>
    </row>
    <row r="278" spans="1:11" ht="42" customHeight="1">
      <c r="A278" s="2" t="s">
        <v>1003</v>
      </c>
      <c r="B278" s="2" t="s">
        <v>1003</v>
      </c>
      <c r="C278" s="2" t="s">
        <v>17</v>
      </c>
      <c r="D278" s="2" t="s">
        <v>18</v>
      </c>
      <c r="E278" s="4">
        <v>-32246</v>
      </c>
      <c r="F278" s="3" t="s">
        <v>19</v>
      </c>
      <c r="G278" s="3" t="s">
        <v>1004</v>
      </c>
      <c r="H278" s="2" t="s">
        <v>148</v>
      </c>
      <c r="I278" s="2" t="s">
        <v>1005</v>
      </c>
      <c r="J278" s="3" t="str">
        <f>HYPERLINK("https://www.boe.es/gazeta/dias/1811/09/17/pdfs/GEI-1811-120.pdf#page=20","Abrir facsímil")</f>
        <v>Abrir facsímil</v>
      </c>
      <c r="K278" s="3" t="s">
        <v>150</v>
      </c>
    </row>
    <row r="279" spans="1:11" ht="42" customHeight="1">
      <c r="A279" s="2" t="s">
        <v>1003</v>
      </c>
      <c r="B279" s="2" t="s">
        <v>1003</v>
      </c>
      <c r="C279" s="2" t="s">
        <v>17</v>
      </c>
      <c r="D279" s="2" t="s">
        <v>18</v>
      </c>
      <c r="E279" s="4">
        <v>-32246</v>
      </c>
      <c r="F279" s="3" t="s">
        <v>19</v>
      </c>
      <c r="G279" s="3" t="s">
        <v>1006</v>
      </c>
      <c r="H279" s="2" t="s">
        <v>148</v>
      </c>
      <c r="I279" s="2" t="s">
        <v>1007</v>
      </c>
      <c r="J279" s="3" t="str">
        <f>HYPERLINK("https://www.boe.es/gazeta/dias/1811/09/17/pdfs/GEI-1811-120.pdf#page=23","Abrir facsímil")</f>
        <v>Abrir facsímil</v>
      </c>
      <c r="K279" s="3" t="s">
        <v>150</v>
      </c>
    </row>
    <row r="280" spans="1:11" ht="42" customHeight="1">
      <c r="A280" s="2" t="s">
        <v>1008</v>
      </c>
      <c r="B280" s="2" t="s">
        <v>1009</v>
      </c>
      <c r="C280" s="2" t="s">
        <v>26</v>
      </c>
      <c r="D280" s="2" t="s">
        <v>18</v>
      </c>
      <c r="E280" s="4">
        <v>-32288</v>
      </c>
      <c r="F280" s="3" t="s">
        <v>95</v>
      </c>
      <c r="G280" s="3" t="s">
        <v>47</v>
      </c>
      <c r="H280" s="2" t="s">
        <v>148</v>
      </c>
      <c r="I280" s="2" t="s">
        <v>1010</v>
      </c>
      <c r="J280" s="3" t="str">
        <f>HYPERLINK("https://www.boe.es/gazeta/dias/1811/08/06/pdfs/GEI-1811-102.pdf#page=8","Abrir facsímil")</f>
        <v>Abrir facsímil</v>
      </c>
      <c r="K280" s="3" t="s">
        <v>150</v>
      </c>
    </row>
    <row r="281" spans="1:11" ht="42" customHeight="1">
      <c r="A281" s="2" t="s">
        <v>1011</v>
      </c>
      <c r="B281" s="2" t="s">
        <v>1012</v>
      </c>
      <c r="C281" s="2" t="s">
        <v>26</v>
      </c>
      <c r="D281" s="2" t="s">
        <v>18</v>
      </c>
      <c r="E281" s="4">
        <v>-32160</v>
      </c>
      <c r="F281" s="3" t="s">
        <v>1013</v>
      </c>
      <c r="G281" s="3" t="s">
        <v>1014</v>
      </c>
      <c r="H281" s="2" t="s">
        <v>148</v>
      </c>
      <c r="I281" s="2" t="s">
        <v>1015</v>
      </c>
      <c r="J281" s="3" t="str">
        <f>HYPERLINK("https://www.boe.es/gazeta/dias/1811/12/12/pdfs/GEI-1811-161.pdf#page=5","Abrir facsímil")</f>
        <v>Abrir facsímil</v>
      </c>
      <c r="K281" s="3" t="s">
        <v>150</v>
      </c>
    </row>
    <row r="282" spans="1:11" ht="42" customHeight="1">
      <c r="A282" s="2" t="s">
        <v>1016</v>
      </c>
      <c r="B282" s="2" t="s">
        <v>1017</v>
      </c>
      <c r="C282" s="2" t="s">
        <v>26</v>
      </c>
      <c r="D282" s="2" t="s">
        <v>105</v>
      </c>
      <c r="E282" s="4">
        <v>-32204</v>
      </c>
      <c r="F282" s="3" t="s">
        <v>177</v>
      </c>
      <c r="G282" s="3" t="s">
        <v>178</v>
      </c>
      <c r="H282" s="2" t="s">
        <v>148</v>
      </c>
      <c r="I282" s="2" t="s">
        <v>1018</v>
      </c>
      <c r="J282" s="3" t="str">
        <f>HYPERLINK("https://www.boe.es/gazeta/dias/1811/10/29/pdfs/GMD-1811-302.pdf#page=4","Abrir facsímil")</f>
        <v>Abrir facsímil</v>
      </c>
      <c r="K282" s="3" t="s">
        <v>150</v>
      </c>
    </row>
    <row r="283" spans="1:11" ht="42" customHeight="1">
      <c r="A283" s="2" t="s">
        <v>1019</v>
      </c>
      <c r="B283" s="2" t="s">
        <v>1020</v>
      </c>
      <c r="C283" s="2" t="s">
        <v>26</v>
      </c>
      <c r="D283" s="2" t="s">
        <v>141</v>
      </c>
      <c r="E283" s="4">
        <v>-32249</v>
      </c>
      <c r="F283" s="3" t="s">
        <v>743</v>
      </c>
      <c r="G283" s="3" t="s">
        <v>1021</v>
      </c>
      <c r="H283" s="2" t="s">
        <v>148</v>
      </c>
      <c r="I283" s="2" t="s">
        <v>1022</v>
      </c>
      <c r="J283" s="3" t="str">
        <f>HYPERLINK("https://www.boe.es/gazeta/dias/1811/09/14/pdfs/GMD-C-1811-257.pdf#page=2","Abrir facsímil")</f>
        <v>Abrir facsímil</v>
      </c>
      <c r="K283" s="3" t="s">
        <v>150</v>
      </c>
    </row>
    <row r="284" spans="1:11" ht="42" customHeight="1">
      <c r="A284" s="2" t="s">
        <v>1023</v>
      </c>
      <c r="B284" s="2" t="s">
        <v>1024</v>
      </c>
      <c r="C284" s="2" t="s">
        <v>26</v>
      </c>
      <c r="D284" s="2" t="s">
        <v>18</v>
      </c>
      <c r="E284" s="4">
        <v>-32200</v>
      </c>
      <c r="F284" s="3" t="s">
        <v>109</v>
      </c>
      <c r="G284" s="3" t="s">
        <v>268</v>
      </c>
      <c r="H284" s="2" t="s">
        <v>148</v>
      </c>
      <c r="I284" s="2" t="s">
        <v>1025</v>
      </c>
      <c r="J284" s="3" t="str">
        <f>HYPERLINK("https://www.boe.es/gazeta/dias/1811/11/02/pdfs/GEI-1811-141.pdf#page=7","Abrir facsímil")</f>
        <v>Abrir facsímil</v>
      </c>
      <c r="K284" s="3" t="s">
        <v>150</v>
      </c>
    </row>
    <row r="285" spans="1:11" ht="42" customHeight="1">
      <c r="A285" s="2" t="s">
        <v>1026</v>
      </c>
      <c r="B285" s="2" t="s">
        <v>1027</v>
      </c>
      <c r="C285" s="2" t="s">
        <v>26</v>
      </c>
      <c r="D285" s="2" t="s">
        <v>18</v>
      </c>
      <c r="E285" s="4">
        <v>-32424</v>
      </c>
      <c r="F285" s="3" t="s">
        <v>1028</v>
      </c>
      <c r="G285" s="3" t="s">
        <v>20</v>
      </c>
      <c r="H285" s="2" t="s">
        <v>148</v>
      </c>
      <c r="I285" s="2" t="s">
        <v>1029</v>
      </c>
      <c r="J285" s="3" t="str">
        <f>HYPERLINK("https://www.boe.es/gazeta/dias/1811/03/23/pdfs/GEI-1811-41.pdf#page=2","Abrir facsímil")</f>
        <v>Abrir facsímil</v>
      </c>
      <c r="K285" s="3" t="s">
        <v>150</v>
      </c>
    </row>
    <row r="286" spans="1:11" ht="42" customHeight="1">
      <c r="A286" s="2" t="s">
        <v>1030</v>
      </c>
      <c r="B286" s="2" t="s">
        <v>1030</v>
      </c>
      <c r="C286" s="2" t="s">
        <v>26</v>
      </c>
      <c r="D286" s="2" t="s">
        <v>18</v>
      </c>
      <c r="E286" s="4">
        <v>-32468</v>
      </c>
      <c r="F286" s="3" t="s">
        <v>683</v>
      </c>
      <c r="G286" s="3" t="s">
        <v>62</v>
      </c>
      <c r="H286" s="2" t="s">
        <v>148</v>
      </c>
      <c r="I286" s="2" t="s">
        <v>1031</v>
      </c>
      <c r="J286" s="3" t="str">
        <f>HYPERLINK("https://www.boe.es/gazeta/dias/1811/02/07/pdfs/GEI-1811-17.pdf#page=5","Abrir facsímil")</f>
        <v>Abrir facsímil</v>
      </c>
      <c r="K286" s="3" t="s">
        <v>150</v>
      </c>
    </row>
    <row r="287" spans="1:11" ht="42" customHeight="1">
      <c r="A287" s="2" t="s">
        <v>1032</v>
      </c>
      <c r="B287" s="2" t="s">
        <v>1033</v>
      </c>
      <c r="C287" s="2" t="s">
        <v>26</v>
      </c>
      <c r="D287" s="2" t="s">
        <v>18</v>
      </c>
      <c r="E287" s="4">
        <v>-32459</v>
      </c>
      <c r="F287" s="3" t="s">
        <v>1034</v>
      </c>
      <c r="G287" s="3" t="s">
        <v>510</v>
      </c>
      <c r="H287" s="2" t="s">
        <v>148</v>
      </c>
      <c r="I287" s="2" t="s">
        <v>1035</v>
      </c>
      <c r="J287" s="3" t="str">
        <f>HYPERLINK("https://www.boe.es/gazeta/dias/1811/02/16/pdfs/GEI-1811-21.pdf#page=8","Abrir facsímil")</f>
        <v>Abrir facsímil</v>
      </c>
      <c r="K287" s="3" t="s">
        <v>150</v>
      </c>
    </row>
    <row r="288" spans="1:11" ht="42" customHeight="1">
      <c r="A288" s="2" t="s">
        <v>1036</v>
      </c>
      <c r="B288" s="2" t="s">
        <v>1036</v>
      </c>
      <c r="C288" s="2" t="s">
        <v>17</v>
      </c>
      <c r="D288" s="2" t="s">
        <v>156</v>
      </c>
      <c r="E288" s="4">
        <v>-32193</v>
      </c>
      <c r="F288" s="3" t="s">
        <v>1037</v>
      </c>
      <c r="G288" s="3" t="s">
        <v>1038</v>
      </c>
      <c r="H288" s="2" t="s">
        <v>148</v>
      </c>
      <c r="I288" s="2" t="s">
        <v>1039</v>
      </c>
      <c r="J288" s="3" t="str">
        <f>HYPERLINK("https://www.boe.es/gazeta/dias/1811/11/09/pdfs/GEI-1811-145.pdf#page=3","Abrir facsímil")</f>
        <v>Abrir facsímil</v>
      </c>
      <c r="K288" s="3" t="s">
        <v>150</v>
      </c>
    </row>
    <row r="289" spans="1:11" ht="42" customHeight="1">
      <c r="A289" s="2" t="s">
        <v>1040</v>
      </c>
      <c r="B289" s="2" t="s">
        <v>1040</v>
      </c>
      <c r="C289" s="2" t="s">
        <v>26</v>
      </c>
      <c r="D289" s="2" t="s">
        <v>18</v>
      </c>
      <c r="E289" s="4">
        <v>-32281</v>
      </c>
      <c r="F289" s="3" t="s">
        <v>1041</v>
      </c>
      <c r="G289" s="3" t="s">
        <v>115</v>
      </c>
      <c r="H289" s="2" t="s">
        <v>148</v>
      </c>
      <c r="I289" s="2" t="s">
        <v>1042</v>
      </c>
      <c r="J289" s="3" t="str">
        <f>HYPERLINK("https://www.boe.es/gazeta/dias/1811/08/13/pdfs/GMD-1811-225.pdf#page=3","Abrir facsímil")</f>
        <v>Abrir facsímil</v>
      </c>
      <c r="K289" s="3" t="s">
        <v>150</v>
      </c>
    </row>
    <row r="290" spans="1:11" ht="42" customHeight="1">
      <c r="A290" s="2" t="s">
        <v>1043</v>
      </c>
      <c r="B290" s="2" t="s">
        <v>1044</v>
      </c>
      <c r="C290" s="2" t="s">
        <v>26</v>
      </c>
      <c r="D290" s="2" t="s">
        <v>18</v>
      </c>
      <c r="E290" s="4">
        <v>-32267</v>
      </c>
      <c r="F290" s="3" t="s">
        <v>1045</v>
      </c>
      <c r="G290" s="3" t="s">
        <v>1046</v>
      </c>
      <c r="H290" s="2" t="s">
        <v>148</v>
      </c>
      <c r="I290" s="2" t="s">
        <v>1047</v>
      </c>
      <c r="J290" s="3" t="str">
        <f>HYPERLINK("https://www.boe.es/gazeta/dias/1811/08/27/pdfs/GEI-1811-111.pdf#page=3","Abrir facsímil")</f>
        <v>Abrir facsímil</v>
      </c>
      <c r="K290" s="3" t="s">
        <v>150</v>
      </c>
    </row>
    <row r="291" spans="1:11" ht="42" customHeight="1">
      <c r="A291" s="2" t="s">
        <v>1043</v>
      </c>
      <c r="B291" s="2" t="s">
        <v>1044</v>
      </c>
      <c r="C291" s="2" t="s">
        <v>26</v>
      </c>
      <c r="D291" s="2" t="s">
        <v>18</v>
      </c>
      <c r="E291" s="4">
        <v>-32260</v>
      </c>
      <c r="F291" s="3" t="s">
        <v>27</v>
      </c>
      <c r="G291" s="3" t="s">
        <v>1048</v>
      </c>
      <c r="H291" s="2" t="s">
        <v>148</v>
      </c>
      <c r="I291" s="2" t="s">
        <v>1049</v>
      </c>
      <c r="J291" s="3" t="str">
        <f>HYPERLINK("https://www.boe.es/gazeta/dias/1811/09/03/pdfs/GEI-1811-114.pdf#page=2","Abrir facsímil")</f>
        <v>Abrir facsímil</v>
      </c>
      <c r="K291" s="3" t="s">
        <v>150</v>
      </c>
    </row>
    <row r="292" spans="1:11" ht="42" customHeight="1">
      <c r="A292" s="2" t="s">
        <v>1043</v>
      </c>
      <c r="B292" s="2" t="s">
        <v>1044</v>
      </c>
      <c r="C292" s="2" t="s">
        <v>17</v>
      </c>
      <c r="D292" s="2" t="s">
        <v>18</v>
      </c>
      <c r="E292" s="4">
        <v>-32260</v>
      </c>
      <c r="F292" s="3" t="s">
        <v>27</v>
      </c>
      <c r="G292" s="3" t="s">
        <v>28</v>
      </c>
      <c r="H292" s="2" t="s">
        <v>148</v>
      </c>
      <c r="I292" s="2" t="s">
        <v>1050</v>
      </c>
      <c r="J292" s="3" t="str">
        <f>HYPERLINK("https://www.boe.es/gazeta/dias/1811/09/03/pdfs/GEI-1811-114.pdf#page=3","Abrir facsímil")</f>
        <v>Abrir facsímil</v>
      </c>
      <c r="K292" s="3" t="s">
        <v>150</v>
      </c>
    </row>
    <row r="293" spans="1:11" ht="42" customHeight="1">
      <c r="A293" s="2" t="s">
        <v>1051</v>
      </c>
      <c r="B293" s="2" t="s">
        <v>1052</v>
      </c>
      <c r="C293" s="2" t="s">
        <v>26</v>
      </c>
      <c r="D293" s="2" t="s">
        <v>18</v>
      </c>
      <c r="E293" s="4">
        <v>-32204</v>
      </c>
      <c r="F293" s="3" t="s">
        <v>1053</v>
      </c>
      <c r="G293" s="3" t="s">
        <v>1054</v>
      </c>
      <c r="H293" s="2" t="s">
        <v>148</v>
      </c>
      <c r="I293" s="2" t="s">
        <v>1055</v>
      </c>
      <c r="J293" s="3" t="str">
        <f>HYPERLINK("https://www.boe.es/gazeta/dias/1811/10/29/pdfs/GEI-1811-139.pdf#page=7","Abrir facsímil")</f>
        <v>Abrir facsímil</v>
      </c>
      <c r="K293" s="3" t="s">
        <v>150</v>
      </c>
    </row>
    <row r="294" spans="1:11" ht="42" customHeight="1">
      <c r="A294" s="2" t="s">
        <v>1056</v>
      </c>
      <c r="B294" s="2" t="s">
        <v>1057</v>
      </c>
      <c r="C294" s="2" t="s">
        <v>26</v>
      </c>
      <c r="D294" s="2" t="s">
        <v>18</v>
      </c>
      <c r="E294" s="4">
        <v>-32260</v>
      </c>
      <c r="F294" s="3" t="s">
        <v>27</v>
      </c>
      <c r="G294" s="3" t="s">
        <v>1058</v>
      </c>
      <c r="H294" s="2" t="s">
        <v>148</v>
      </c>
      <c r="I294" s="2" t="s">
        <v>1059</v>
      </c>
      <c r="J294" s="3" t="str">
        <f>HYPERLINK("https://www.boe.es/gazeta/dias/1811/09/03/pdfs/GEI-1811-114.pdf#page=1","Abrir facsímil")</f>
        <v>Abrir facsímil</v>
      </c>
      <c r="K294" s="3" t="s">
        <v>150</v>
      </c>
    </row>
    <row r="295" spans="1:11" ht="42" customHeight="1">
      <c r="A295" s="2" t="s">
        <v>1060</v>
      </c>
      <c r="B295" s="2" t="s">
        <v>1061</v>
      </c>
      <c r="C295" s="2" t="s">
        <v>17</v>
      </c>
      <c r="D295" s="2" t="s">
        <v>18</v>
      </c>
      <c r="E295" s="4">
        <v>-32194</v>
      </c>
      <c r="F295" s="3" t="s">
        <v>1062</v>
      </c>
      <c r="G295" s="3" t="s">
        <v>1063</v>
      </c>
      <c r="H295" s="2" t="s">
        <v>148</v>
      </c>
      <c r="I295" s="2" t="s">
        <v>1064</v>
      </c>
      <c r="J295" s="3" t="str">
        <f>HYPERLINK("https://www.boe.es/gazeta/dias/1811/11/08/pdfs/GMD-1811-312.pdf#page=4","Abrir facsímil")</f>
        <v>Abrir facsímil</v>
      </c>
      <c r="K295" s="3" t="s">
        <v>150</v>
      </c>
    </row>
    <row r="296" spans="1:11" ht="42" customHeight="1">
      <c r="A296" s="2" t="s">
        <v>1065</v>
      </c>
      <c r="B296" s="2" t="s">
        <v>1066</v>
      </c>
      <c r="C296" s="2" t="s">
        <v>26</v>
      </c>
      <c r="D296" s="2" t="s">
        <v>18</v>
      </c>
      <c r="E296" s="4">
        <v>-32153</v>
      </c>
      <c r="F296" s="3" t="s">
        <v>123</v>
      </c>
      <c r="G296" s="3" t="s">
        <v>1067</v>
      </c>
      <c r="H296" s="2" t="s">
        <v>148</v>
      </c>
      <c r="I296" s="2" t="s">
        <v>1068</v>
      </c>
      <c r="J296" s="3" t="str">
        <f>HYPERLINK("https://www.boe.es/gazeta/dias/1811/12/19/pdfs/GMD-1811-353.pdf#page=5","Abrir facsímil")</f>
        <v>Abrir facsímil</v>
      </c>
      <c r="K296" s="3" t="s">
        <v>150</v>
      </c>
    </row>
    <row r="297" spans="1:11" ht="42" customHeight="1">
      <c r="A297" s="2" t="s">
        <v>1069</v>
      </c>
      <c r="B297" s="2" t="s">
        <v>1070</v>
      </c>
      <c r="C297" s="2" t="s">
        <v>17</v>
      </c>
      <c r="D297" s="2" t="s">
        <v>18</v>
      </c>
      <c r="E297" s="4">
        <v>-32288</v>
      </c>
      <c r="F297" s="3" t="s">
        <v>95</v>
      </c>
      <c r="G297" s="3" t="s">
        <v>1071</v>
      </c>
      <c r="H297" s="2" t="s">
        <v>21</v>
      </c>
      <c r="I297" s="2" t="s">
        <v>1072</v>
      </c>
      <c r="J297" s="3" t="str">
        <f>HYPERLINK("https://www.boe.es/gazeta/dias/1811/08/06/pdfs/GEI-1811-102.pdf#page=6","Abrir facsímil")</f>
        <v>Abrir facsímil</v>
      </c>
      <c r="K297" s="3" t="s">
        <v>23</v>
      </c>
    </row>
    <row r="298" spans="1:11" ht="42" customHeight="1">
      <c r="A298" s="2" t="s">
        <v>1073</v>
      </c>
      <c r="B298" s="2" t="s">
        <v>1073</v>
      </c>
      <c r="C298" s="2" t="s">
        <v>17</v>
      </c>
      <c r="D298" s="2" t="s">
        <v>18</v>
      </c>
      <c r="E298" s="4">
        <v>-32211</v>
      </c>
      <c r="F298" s="3" t="s">
        <v>1074</v>
      </c>
      <c r="G298" s="3" t="s">
        <v>248</v>
      </c>
      <c r="H298" s="2" t="s">
        <v>148</v>
      </c>
      <c r="I298" s="2" t="s">
        <v>1075</v>
      </c>
      <c r="J298" s="3" t="str">
        <f>HYPERLINK("https://www.boe.es/gazeta/dias/1811/10/22/pdfs/GEI-1811-136.pdf#page=8","Abrir facsímil")</f>
        <v>Abrir facsímil</v>
      </c>
      <c r="K298" s="3" t="s">
        <v>150</v>
      </c>
    </row>
    <row r="299" spans="1:11" ht="42" customHeight="1">
      <c r="A299" s="2" t="s">
        <v>1076</v>
      </c>
      <c r="B299" s="2" t="s">
        <v>1077</v>
      </c>
      <c r="C299" s="2" t="s">
        <v>17</v>
      </c>
      <c r="D299" s="2" t="s">
        <v>18</v>
      </c>
      <c r="E299" s="4">
        <v>-32463</v>
      </c>
      <c r="F299" s="3" t="s">
        <v>734</v>
      </c>
      <c r="G299" s="3" t="s">
        <v>735</v>
      </c>
      <c r="H299" s="2" t="s">
        <v>148</v>
      </c>
      <c r="I299" s="2" t="s">
        <v>1078</v>
      </c>
      <c r="J299" s="3" t="str">
        <f>HYPERLINK("https://www.boe.es/gazeta/dias/1811/02/12/pdfs/GEI-1811-19.pdf#page=8","Abrir facsímil")</f>
        <v>Abrir facsímil</v>
      </c>
      <c r="K299" s="3" t="s">
        <v>150</v>
      </c>
    </row>
    <row r="300" spans="1:11" ht="42" customHeight="1">
      <c r="A300" s="2" t="s">
        <v>1079</v>
      </c>
      <c r="B300" s="2" t="s">
        <v>1080</v>
      </c>
      <c r="C300" s="2" t="s">
        <v>26</v>
      </c>
      <c r="D300" s="2" t="s">
        <v>18</v>
      </c>
      <c r="E300" s="4">
        <v>-32483</v>
      </c>
      <c r="F300" s="3" t="s">
        <v>1081</v>
      </c>
      <c r="G300" s="3" t="s">
        <v>162</v>
      </c>
      <c r="H300" s="2" t="s">
        <v>148</v>
      </c>
      <c r="I300" s="2" t="s">
        <v>1082</v>
      </c>
      <c r="J300" s="3" t="str">
        <f>HYPERLINK("https://www.boe.es/gazeta/dias/1811/01/23/pdfs/GMD-1811-23.pdf#page=4","Abrir facsímil")</f>
        <v>Abrir facsímil</v>
      </c>
      <c r="K300" s="3" t="s">
        <v>150</v>
      </c>
    </row>
    <row r="301" spans="1:11" ht="42" customHeight="1">
      <c r="A301" s="2" t="s">
        <v>1083</v>
      </c>
      <c r="B301" s="2" t="s">
        <v>1083</v>
      </c>
      <c r="C301" s="2" t="s">
        <v>26</v>
      </c>
      <c r="D301" s="2" t="s">
        <v>18</v>
      </c>
      <c r="E301" s="4">
        <v>-32401</v>
      </c>
      <c r="F301" s="3" t="s">
        <v>1084</v>
      </c>
      <c r="G301" s="3" t="s">
        <v>248</v>
      </c>
      <c r="H301" s="2" t="s">
        <v>148</v>
      </c>
      <c r="I301" s="2" t="s">
        <v>1085</v>
      </c>
      <c r="J301" s="3" t="str">
        <f>HYPERLINK("https://www.boe.es/gazeta/dias/1811/04/15/pdfs/GMD-1811-105.pdf#page=1","Abrir facsímil")</f>
        <v>Abrir facsímil</v>
      </c>
      <c r="K301" s="3" t="s">
        <v>150</v>
      </c>
    </row>
    <row r="302" spans="1:11" ht="42" customHeight="1">
      <c r="A302" s="2" t="s">
        <v>1083</v>
      </c>
      <c r="B302" s="2" t="s">
        <v>1083</v>
      </c>
      <c r="C302" s="2" t="s">
        <v>26</v>
      </c>
      <c r="D302" s="2" t="s">
        <v>18</v>
      </c>
      <c r="E302" s="4">
        <v>-32348</v>
      </c>
      <c r="F302" s="3" t="s">
        <v>1086</v>
      </c>
      <c r="G302" s="3" t="s">
        <v>1087</v>
      </c>
      <c r="H302" s="2" t="s">
        <v>148</v>
      </c>
      <c r="I302" s="2" t="s">
        <v>1088</v>
      </c>
      <c r="J302" s="3" t="str">
        <f>HYPERLINK("https://www.boe.es/gazeta/dias/1811/06/07/pdfs/GMD-1811-158.pdf#page=1","Abrir facsímil")</f>
        <v>Abrir facsímil</v>
      </c>
      <c r="K302" s="3" t="s">
        <v>150</v>
      </c>
    </row>
    <row r="303" spans="1:11" ht="42" customHeight="1">
      <c r="A303" s="2" t="s">
        <v>1083</v>
      </c>
      <c r="B303" s="2" t="s">
        <v>1083</v>
      </c>
      <c r="C303" s="2" t="s">
        <v>17</v>
      </c>
      <c r="D303" s="2" t="s">
        <v>18</v>
      </c>
      <c r="E303" s="4">
        <v>-32251</v>
      </c>
      <c r="F303" s="3" t="s">
        <v>1089</v>
      </c>
      <c r="G303" s="3" t="s">
        <v>488</v>
      </c>
      <c r="H303" s="2" t="s">
        <v>148</v>
      </c>
      <c r="I303" s="2" t="s">
        <v>1090</v>
      </c>
      <c r="J303" s="3" t="str">
        <f>HYPERLINK("https://www.boe.es/gazeta/dias/1811/09/12/pdfs/GMD-1811-255.pdf#page=2","Abrir facsímil")</f>
        <v>Abrir facsímil</v>
      </c>
      <c r="K303" s="3" t="s">
        <v>150</v>
      </c>
    </row>
    <row r="304" spans="1:11" ht="42" customHeight="1">
      <c r="A304" s="2" t="s">
        <v>1091</v>
      </c>
      <c r="B304" s="2" t="s">
        <v>1092</v>
      </c>
      <c r="C304" s="2" t="s">
        <v>26</v>
      </c>
      <c r="D304" s="2" t="s">
        <v>18</v>
      </c>
      <c r="E304" s="4">
        <v>-32257</v>
      </c>
      <c r="F304" s="3" t="s">
        <v>1093</v>
      </c>
      <c r="G304" s="3" t="s">
        <v>44</v>
      </c>
      <c r="H304" s="2" t="s">
        <v>148</v>
      </c>
      <c r="I304" s="2" t="s">
        <v>1094</v>
      </c>
      <c r="J304" s="3" t="str">
        <f>HYPERLINK("https://www.boe.es/gazeta/dias/1811/09/06/pdfs/GMD-1811-249.pdf#page=2","Abrir facsímil")</f>
        <v>Abrir facsímil</v>
      </c>
      <c r="K304" s="3" t="s">
        <v>150</v>
      </c>
    </row>
    <row r="305" spans="1:11" ht="42" customHeight="1">
      <c r="A305" s="2" t="s">
        <v>1095</v>
      </c>
      <c r="B305" s="2" t="s">
        <v>1096</v>
      </c>
      <c r="C305" s="2" t="s">
        <v>26</v>
      </c>
      <c r="D305" s="2" t="s">
        <v>18</v>
      </c>
      <c r="E305" s="4">
        <v>-32144</v>
      </c>
      <c r="F305" s="3" t="s">
        <v>1097</v>
      </c>
      <c r="G305" s="3" t="s">
        <v>1098</v>
      </c>
      <c r="H305" s="2" t="s">
        <v>148</v>
      </c>
      <c r="I305" s="2" t="s">
        <v>1099</v>
      </c>
      <c r="J305" s="3" t="str">
        <f>HYPERLINK("https://www.boe.es/gazeta/dias/1811/12/28/pdfs/GEI-1811-168.pdf#page=8","Abrir facsímil")</f>
        <v>Abrir facsímil</v>
      </c>
      <c r="K305" s="3" t="s">
        <v>150</v>
      </c>
    </row>
    <row r="306" spans="1:11" ht="42" customHeight="1">
      <c r="A306" s="2" t="s">
        <v>1100</v>
      </c>
      <c r="B306" s="2" t="s">
        <v>1101</v>
      </c>
      <c r="C306" s="2" t="s">
        <v>26</v>
      </c>
      <c r="D306" s="2" t="s">
        <v>141</v>
      </c>
      <c r="E306" s="4">
        <v>-32188</v>
      </c>
      <c r="F306" s="3" t="s">
        <v>505</v>
      </c>
      <c r="G306" s="3" t="s">
        <v>47</v>
      </c>
      <c r="H306" s="2" t="s">
        <v>148</v>
      </c>
      <c r="I306" s="2" t="s">
        <v>1102</v>
      </c>
      <c r="J306" s="3" t="str">
        <f>HYPERLINK("https://www.boe.es/gazeta/dias/1811/11/14/pdfs/GEI-D-1811-149.pdf#page=3","Abrir facsímil")</f>
        <v>Abrir facsímil</v>
      </c>
      <c r="K306" s="3" t="s">
        <v>150</v>
      </c>
    </row>
    <row r="307" spans="1:11" ht="42" customHeight="1">
      <c r="A307" s="2" t="s">
        <v>1103</v>
      </c>
      <c r="B307" s="2" t="s">
        <v>1103</v>
      </c>
      <c r="C307" s="2" t="s">
        <v>17</v>
      </c>
      <c r="D307" s="2" t="s">
        <v>156</v>
      </c>
      <c r="E307" s="4">
        <v>-32361</v>
      </c>
      <c r="F307" s="3" t="s">
        <v>1104</v>
      </c>
      <c r="G307" s="3" t="s">
        <v>1105</v>
      </c>
      <c r="H307" s="2" t="s">
        <v>148</v>
      </c>
      <c r="I307" s="2" t="s">
        <v>1106</v>
      </c>
      <c r="J307" s="3" t="str">
        <f>HYPERLINK("https://www.boe.es/gazeta/dias/1811/05/25/pdfs/GEI-1811-71.pdf#page=7","Abrir facsímil")</f>
        <v>Abrir facsímil</v>
      </c>
      <c r="K307" s="3" t="s">
        <v>150</v>
      </c>
    </row>
    <row r="308" spans="1:11" ht="42" customHeight="1">
      <c r="A308" s="2" t="s">
        <v>1107</v>
      </c>
      <c r="B308" s="2" t="s">
        <v>1108</v>
      </c>
      <c r="C308" s="2" t="s">
        <v>26</v>
      </c>
      <c r="D308" s="2" t="s">
        <v>18</v>
      </c>
      <c r="E308" s="4">
        <v>-32473</v>
      </c>
      <c r="F308" s="3" t="s">
        <v>1109</v>
      </c>
      <c r="G308" s="3" t="s">
        <v>162</v>
      </c>
      <c r="H308" s="2" t="s">
        <v>148</v>
      </c>
      <c r="I308" s="2" t="s">
        <v>1110</v>
      </c>
      <c r="J308" s="3" t="str">
        <f>HYPERLINK("https://www.boe.es/gazeta/dias/1811/02/02/pdfs/GMD-1811-33.pdf#page=3","Abrir facsímil")</f>
        <v>Abrir facsímil</v>
      </c>
      <c r="K308" s="3" t="s">
        <v>150</v>
      </c>
    </row>
    <row r="309" spans="1:11" ht="42" customHeight="1">
      <c r="A309" s="2" t="s">
        <v>1111</v>
      </c>
      <c r="B309" s="2" t="s">
        <v>1111</v>
      </c>
      <c r="C309" s="2" t="s">
        <v>26</v>
      </c>
      <c r="D309" s="2" t="s">
        <v>18</v>
      </c>
      <c r="E309" s="4">
        <v>-32307</v>
      </c>
      <c r="F309" s="3" t="s">
        <v>1112</v>
      </c>
      <c r="G309" s="3" t="s">
        <v>1113</v>
      </c>
      <c r="H309" s="2" t="s">
        <v>148</v>
      </c>
      <c r="I309" s="2" t="s">
        <v>1114</v>
      </c>
      <c r="J309" s="3" t="str">
        <f>HYPERLINK("https://www.boe.es/gazeta/dias/1811/07/18/pdfs/GEI-1811-94.pdf#page=8","Abrir facsímil")</f>
        <v>Abrir facsímil</v>
      </c>
      <c r="K309" s="3" t="s">
        <v>150</v>
      </c>
    </row>
    <row r="310" spans="1:11" ht="42" customHeight="1">
      <c r="A310" s="2" t="s">
        <v>1115</v>
      </c>
      <c r="B310" s="2" t="s">
        <v>1116</v>
      </c>
      <c r="C310" s="2" t="s">
        <v>17</v>
      </c>
      <c r="D310" s="2" t="s">
        <v>18</v>
      </c>
      <c r="E310" s="4">
        <v>-32505</v>
      </c>
      <c r="F310" s="3" t="s">
        <v>475</v>
      </c>
      <c r="G310" s="3" t="s">
        <v>755</v>
      </c>
      <c r="H310" s="2" t="s">
        <v>148</v>
      </c>
      <c r="I310" s="2" t="s">
        <v>1117</v>
      </c>
      <c r="J310" s="3" t="str">
        <f>HYPERLINK("https://www.boe.es/gazeta/dias/1811/01/01/pdfs/GEI-1811-1.pdf#page=8","Abrir facsímil")</f>
        <v>Abrir facsímil</v>
      </c>
      <c r="K310" s="3" t="s">
        <v>150</v>
      </c>
    </row>
    <row r="311" spans="1:11" ht="42" customHeight="1">
      <c r="A311" s="2" t="s">
        <v>1118</v>
      </c>
      <c r="B311" s="2" t="s">
        <v>1118</v>
      </c>
      <c r="C311" s="2" t="s">
        <v>17</v>
      </c>
      <c r="D311" s="2" t="s">
        <v>105</v>
      </c>
      <c r="E311" s="4">
        <v>-32428</v>
      </c>
      <c r="F311" s="3" t="s">
        <v>351</v>
      </c>
      <c r="G311" s="3" t="s">
        <v>57</v>
      </c>
      <c r="H311" s="2" t="s">
        <v>148</v>
      </c>
      <c r="I311" s="2" t="s">
        <v>1119</v>
      </c>
      <c r="J311" s="3" t="str">
        <f>HYPERLINK("https://www.boe.es/gazeta/dias/1811/03/19/pdfs/GMD-1811-78.pdf#page=2","Abrir facsímil")</f>
        <v>Abrir facsímil</v>
      </c>
      <c r="K311" s="3" t="s">
        <v>150</v>
      </c>
    </row>
    <row r="312" spans="1:11" ht="42" customHeight="1">
      <c r="A312" s="2" t="s">
        <v>1118</v>
      </c>
      <c r="B312" s="2" t="s">
        <v>1118</v>
      </c>
      <c r="C312" s="2" t="s">
        <v>17</v>
      </c>
      <c r="D312" s="2" t="s">
        <v>156</v>
      </c>
      <c r="E312" s="4">
        <v>-32279</v>
      </c>
      <c r="F312" s="3" t="s">
        <v>540</v>
      </c>
      <c r="G312" s="3" t="s">
        <v>91</v>
      </c>
      <c r="H312" s="2" t="s">
        <v>148</v>
      </c>
      <c r="I312" s="2" t="s">
        <v>1120</v>
      </c>
      <c r="J312" s="3" t="str">
        <f>HYPERLINK("https://www.boe.es/gazeta/dias/1811/08/15/pdfs/GMD-1811-227.pdf#page=3","Abrir facsímil")</f>
        <v>Abrir facsímil</v>
      </c>
      <c r="K312" s="3" t="s">
        <v>150</v>
      </c>
    </row>
    <row r="313" spans="1:11" ht="42" customHeight="1">
      <c r="A313" s="2" t="s">
        <v>1118</v>
      </c>
      <c r="B313" s="2" t="s">
        <v>1118</v>
      </c>
      <c r="C313" s="2" t="s">
        <v>26</v>
      </c>
      <c r="D313" s="2" t="s">
        <v>18</v>
      </c>
      <c r="E313" s="4">
        <v>-32272</v>
      </c>
      <c r="F313" s="3" t="s">
        <v>1121</v>
      </c>
      <c r="G313" s="3" t="s">
        <v>510</v>
      </c>
      <c r="H313" s="2" t="s">
        <v>148</v>
      </c>
      <c r="I313" s="2" t="s">
        <v>1122</v>
      </c>
      <c r="J313" s="3" t="str">
        <f>HYPERLINK("https://www.boe.es/gazeta/dias/1811/08/22/pdfs/GEI-1811-109.pdf#page=8","Abrir facsímil")</f>
        <v>Abrir facsímil</v>
      </c>
      <c r="K313" s="3" t="s">
        <v>150</v>
      </c>
    </row>
    <row r="314" spans="1:11" ht="42" customHeight="1">
      <c r="A314" s="2" t="s">
        <v>1123</v>
      </c>
      <c r="B314" s="2" t="s">
        <v>1124</v>
      </c>
      <c r="C314" s="2" t="s">
        <v>26</v>
      </c>
      <c r="D314" s="2" t="s">
        <v>18</v>
      </c>
      <c r="E314" s="4">
        <v>-32153</v>
      </c>
      <c r="F314" s="3" t="s">
        <v>123</v>
      </c>
      <c r="G314" s="3" t="s">
        <v>1067</v>
      </c>
      <c r="H314" s="2" t="s">
        <v>148</v>
      </c>
      <c r="I314" s="2" t="s">
        <v>1125</v>
      </c>
      <c r="J314" s="3" t="str">
        <f>HYPERLINK("https://www.boe.es/gazeta/dias/1811/12/19/pdfs/GMD-1811-353.pdf#page=5","Abrir facsímil")</f>
        <v>Abrir facsímil</v>
      </c>
      <c r="K314" s="3" t="s">
        <v>150</v>
      </c>
    </row>
    <row r="315" spans="1:11" ht="42" customHeight="1">
      <c r="A315" s="2" t="s">
        <v>1126</v>
      </c>
      <c r="B315" s="2" t="s">
        <v>1127</v>
      </c>
      <c r="C315" s="2" t="s">
        <v>37</v>
      </c>
      <c r="D315" s="2" t="s">
        <v>18</v>
      </c>
      <c r="E315" s="4">
        <v>-32237</v>
      </c>
      <c r="F315" s="3" t="s">
        <v>717</v>
      </c>
      <c r="G315" s="3" t="s">
        <v>1128</v>
      </c>
      <c r="H315" s="2" t="s">
        <v>148</v>
      </c>
      <c r="I315" s="2" t="s">
        <v>1129</v>
      </c>
      <c r="J315" s="3" t="str">
        <f>HYPERLINK("https://www.boe.es/gazeta/dias/1811/09/26/pdfs/GEI-1811-124.pdf#page=8","Abrir facsímil")</f>
        <v>Abrir facsímil</v>
      </c>
      <c r="K315" s="3" t="s">
        <v>150</v>
      </c>
    </row>
    <row r="316" spans="1:11" ht="42" customHeight="1">
      <c r="A316" s="2" t="s">
        <v>1130</v>
      </c>
      <c r="B316" s="2" t="s">
        <v>1131</v>
      </c>
      <c r="C316" s="2" t="s">
        <v>122</v>
      </c>
      <c r="D316" s="2" t="s">
        <v>105</v>
      </c>
      <c r="E316" s="4">
        <v>-32300</v>
      </c>
      <c r="F316" s="3" t="s">
        <v>492</v>
      </c>
      <c r="G316" s="3" t="s">
        <v>493</v>
      </c>
      <c r="H316" s="2" t="s">
        <v>148</v>
      </c>
      <c r="I316" s="2" t="s">
        <v>1132</v>
      </c>
      <c r="J316" s="3" t="str">
        <f>HYPERLINK("https://www.boe.es/gazeta/dias/1811/07/25/pdfs/GMD-1811-206.pdf#page=4","Abrir facsímil")</f>
        <v>Abrir facsímil</v>
      </c>
      <c r="K316" s="3" t="s">
        <v>150</v>
      </c>
    </row>
    <row r="317" spans="1:11" ht="42" customHeight="1">
      <c r="A317" s="2" t="s">
        <v>1133</v>
      </c>
      <c r="B317" s="2" t="s">
        <v>1134</v>
      </c>
      <c r="C317" s="2" t="s">
        <v>26</v>
      </c>
      <c r="D317" s="2" t="s">
        <v>18</v>
      </c>
      <c r="E317" s="4">
        <v>-32188</v>
      </c>
      <c r="F317" s="3" t="s">
        <v>356</v>
      </c>
      <c r="G317" s="3" t="s">
        <v>468</v>
      </c>
      <c r="H317" s="2" t="s">
        <v>148</v>
      </c>
      <c r="I317" s="2" t="s">
        <v>1135</v>
      </c>
      <c r="J317" s="3" t="str">
        <f>HYPERLINK("https://www.boe.es/gazeta/dias/1811/11/14/pdfs/GMD-1811-318.pdf#page=6","Abrir facsímil")</f>
        <v>Abrir facsímil</v>
      </c>
      <c r="K317" s="3" t="s">
        <v>150</v>
      </c>
    </row>
    <row r="318" spans="1:11" ht="42" customHeight="1">
      <c r="A318" s="2" t="s">
        <v>1136</v>
      </c>
      <c r="B318" s="2" t="s">
        <v>1137</v>
      </c>
      <c r="C318" s="2" t="s">
        <v>26</v>
      </c>
      <c r="D318" s="2" t="s">
        <v>18</v>
      </c>
      <c r="E318" s="4">
        <v>-32417</v>
      </c>
      <c r="F318" s="3" t="s">
        <v>604</v>
      </c>
      <c r="G318" s="3" t="s">
        <v>178</v>
      </c>
      <c r="H318" s="2" t="s">
        <v>148</v>
      </c>
      <c r="I318" s="2" t="s">
        <v>1138</v>
      </c>
      <c r="J318" s="3" t="str">
        <f>HYPERLINK("https://www.boe.es/gazeta/dias/1811/03/30/pdfs/GMD-1811-89.pdf#page=3","Abrir facsímil")</f>
        <v>Abrir facsímil</v>
      </c>
      <c r="K318" s="3" t="s">
        <v>150</v>
      </c>
    </row>
    <row r="319" spans="1:11" ht="42" customHeight="1">
      <c r="A319" s="2" t="s">
        <v>1139</v>
      </c>
      <c r="B319" s="2" t="s">
        <v>1139</v>
      </c>
      <c r="C319" s="2" t="s">
        <v>17</v>
      </c>
      <c r="D319" s="2" t="s">
        <v>528</v>
      </c>
      <c r="E319" s="4">
        <v>-32219</v>
      </c>
      <c r="F319" s="3" t="s">
        <v>529</v>
      </c>
      <c r="G319" s="3" t="s">
        <v>91</v>
      </c>
      <c r="H319" s="2" t="s">
        <v>148</v>
      </c>
      <c r="I319" s="2" t="s">
        <v>1140</v>
      </c>
      <c r="J319" s="3" t="str">
        <f>HYPERLINK("https://www.boe.es/gazeta/dias/1811/10/14/pdfs/GEI-1811-132E.pdf#page=1","Abrir facsímil")</f>
        <v>Abrir facsímil</v>
      </c>
      <c r="K319" s="3" t="s">
        <v>150</v>
      </c>
    </row>
    <row r="320" spans="1:11" ht="42" customHeight="1">
      <c r="A320" s="2" t="s">
        <v>1141</v>
      </c>
      <c r="B320" s="2" t="s">
        <v>1142</v>
      </c>
      <c r="C320" s="2" t="s">
        <v>17</v>
      </c>
      <c r="D320" s="2" t="s">
        <v>528</v>
      </c>
      <c r="E320" s="4">
        <v>-32219</v>
      </c>
      <c r="F320" s="3" t="s">
        <v>529</v>
      </c>
      <c r="G320" s="3" t="s">
        <v>1143</v>
      </c>
      <c r="H320" s="2" t="s">
        <v>21</v>
      </c>
      <c r="I320" s="2" t="s">
        <v>1144</v>
      </c>
      <c r="J320" s="3" t="str">
        <f>HYPERLINK("https://www.boe.es/gazeta/dias/1811/10/14/pdfs/GEI-1811-132E.pdf#page=3","Abrir facsímil")</f>
        <v>Abrir facsímil</v>
      </c>
      <c r="K320" s="3" t="s">
        <v>23</v>
      </c>
    </row>
    <row r="321" spans="1:11" ht="42" customHeight="1">
      <c r="A321" s="2" t="s">
        <v>1145</v>
      </c>
      <c r="B321" s="2" t="s">
        <v>1146</v>
      </c>
      <c r="C321" s="2" t="s">
        <v>17</v>
      </c>
      <c r="D321" s="2" t="s">
        <v>528</v>
      </c>
      <c r="E321" s="4">
        <v>-32219</v>
      </c>
      <c r="F321" s="3" t="s">
        <v>529</v>
      </c>
      <c r="G321" s="3" t="s">
        <v>91</v>
      </c>
      <c r="H321" s="2" t="s">
        <v>148</v>
      </c>
      <c r="I321" s="2" t="s">
        <v>1147</v>
      </c>
      <c r="J321" s="3" t="str">
        <f>HYPERLINK("https://www.boe.es/gazeta/dias/1811/10/14/pdfs/GEI-1811-132E.pdf#page=1","Abrir facsímil")</f>
        <v>Abrir facsímil</v>
      </c>
      <c r="K321" s="3" t="s">
        <v>150</v>
      </c>
    </row>
    <row r="322" spans="1:11" ht="42" customHeight="1">
      <c r="A322" s="2" t="s">
        <v>1148</v>
      </c>
      <c r="B322" s="2" t="s">
        <v>1149</v>
      </c>
      <c r="C322" s="2" t="s">
        <v>26</v>
      </c>
      <c r="D322" s="2" t="s">
        <v>141</v>
      </c>
      <c r="E322" s="4">
        <v>-32272</v>
      </c>
      <c r="F322" s="3" t="s">
        <v>1150</v>
      </c>
      <c r="G322" s="3" t="s">
        <v>468</v>
      </c>
      <c r="H322" s="2" t="s">
        <v>148</v>
      </c>
      <c r="I322" s="2" t="s">
        <v>1151</v>
      </c>
      <c r="J322" s="3" t="str">
        <f>HYPERLINK("https://www.boe.es/gazeta/dias/1811/08/22/pdfs/GMD-C-1811-234.pdf#page=2","Abrir facsímil")</f>
        <v>Abrir facsímil</v>
      </c>
      <c r="K322" s="3" t="s">
        <v>150</v>
      </c>
    </row>
    <row r="323" spans="1:11" ht="42" customHeight="1">
      <c r="A323" s="2" t="s">
        <v>1152</v>
      </c>
      <c r="B323" s="2" t="s">
        <v>1153</v>
      </c>
      <c r="C323" s="2" t="s">
        <v>26</v>
      </c>
      <c r="D323" s="2" t="s">
        <v>105</v>
      </c>
      <c r="E323" s="4">
        <v>-32272</v>
      </c>
      <c r="F323" s="3" t="s">
        <v>1150</v>
      </c>
      <c r="G323" s="3" t="s">
        <v>248</v>
      </c>
      <c r="H323" s="2" t="s">
        <v>148</v>
      </c>
      <c r="I323" s="2" t="s">
        <v>1154</v>
      </c>
      <c r="J323" s="3" t="str">
        <f>HYPERLINK("https://www.boe.es/gazeta/dias/1811/08/22/pdfs/GMD-C-1811-234.pdf#page=1","Abrir facsímil")</f>
        <v>Abrir facsímil</v>
      </c>
      <c r="K323" s="3" t="s">
        <v>150</v>
      </c>
    </row>
    <row r="324" spans="1:11" ht="42" customHeight="1">
      <c r="A324" s="2" t="s">
        <v>1155</v>
      </c>
      <c r="B324" s="2" t="s">
        <v>1156</v>
      </c>
      <c r="C324" s="2" t="s">
        <v>26</v>
      </c>
      <c r="D324" s="2" t="s">
        <v>18</v>
      </c>
      <c r="E324" s="4">
        <v>-32188</v>
      </c>
      <c r="F324" s="3" t="s">
        <v>356</v>
      </c>
      <c r="G324" s="3" t="s">
        <v>468</v>
      </c>
      <c r="H324" s="2" t="s">
        <v>148</v>
      </c>
      <c r="I324" s="2" t="s">
        <v>1157</v>
      </c>
      <c r="J324" s="3" t="str">
        <f>HYPERLINK("https://www.boe.es/gazeta/dias/1811/11/14/pdfs/GMD-1811-318.pdf#page=6","Abrir facsímil")</f>
        <v>Abrir facsímil</v>
      </c>
      <c r="K324" s="3" t="s">
        <v>150</v>
      </c>
    </row>
    <row r="325" spans="1:11" ht="42" customHeight="1">
      <c r="A325" s="2" t="s">
        <v>1158</v>
      </c>
      <c r="B325" s="2" t="s">
        <v>1158</v>
      </c>
      <c r="C325" s="2" t="s">
        <v>17</v>
      </c>
      <c r="D325" s="2" t="s">
        <v>156</v>
      </c>
      <c r="E325" s="4">
        <v>-32428</v>
      </c>
      <c r="F325" s="3" t="s">
        <v>351</v>
      </c>
      <c r="G325" s="3" t="s">
        <v>115</v>
      </c>
      <c r="H325" s="2" t="s">
        <v>148</v>
      </c>
      <c r="I325" s="2" t="s">
        <v>1159</v>
      </c>
      <c r="J325" s="3" t="str">
        <f>HYPERLINK("https://www.boe.es/gazeta/dias/1811/03/19/pdfs/GMD-1811-78.pdf#page=3","Abrir facsímil")</f>
        <v>Abrir facsímil</v>
      </c>
      <c r="K325" s="3" t="s">
        <v>150</v>
      </c>
    </row>
    <row r="326" spans="1:11" ht="42" customHeight="1">
      <c r="A326" s="2" t="s">
        <v>1158</v>
      </c>
      <c r="B326" s="2" t="s">
        <v>1158</v>
      </c>
      <c r="C326" s="2" t="s">
        <v>26</v>
      </c>
      <c r="D326" s="2" t="s">
        <v>18</v>
      </c>
      <c r="E326" s="4">
        <v>-32428</v>
      </c>
      <c r="F326" s="3" t="s">
        <v>351</v>
      </c>
      <c r="G326" s="3" t="s">
        <v>352</v>
      </c>
      <c r="H326" s="2" t="s">
        <v>148</v>
      </c>
      <c r="I326" s="2" t="s">
        <v>1160</v>
      </c>
      <c r="J326" s="3" t="str">
        <f>HYPERLINK("https://www.boe.es/gazeta/dias/1811/03/19/pdfs/GMD-1811-78.pdf#page=4","Abrir facsímil")</f>
        <v>Abrir facsímil</v>
      </c>
      <c r="K326" s="3" t="s">
        <v>150</v>
      </c>
    </row>
    <row r="327" spans="1:11" ht="42" customHeight="1">
      <c r="A327" s="2" t="s">
        <v>1158</v>
      </c>
      <c r="B327" s="2" t="s">
        <v>1158</v>
      </c>
      <c r="C327" s="2" t="s">
        <v>26</v>
      </c>
      <c r="D327" s="2" t="s">
        <v>105</v>
      </c>
      <c r="E327" s="4">
        <v>-32249</v>
      </c>
      <c r="F327" s="3" t="s">
        <v>743</v>
      </c>
      <c r="G327" s="3" t="s">
        <v>468</v>
      </c>
      <c r="H327" s="2" t="s">
        <v>148</v>
      </c>
      <c r="I327" s="2" t="s">
        <v>1161</v>
      </c>
      <c r="J327" s="3" t="str">
        <f>HYPERLINK("https://www.boe.es/gazeta/dias/1811/09/14/pdfs/GMD-C-1811-257.pdf#page=1","Abrir facsímil")</f>
        <v>Abrir facsímil</v>
      </c>
      <c r="K327" s="3" t="s">
        <v>150</v>
      </c>
    </row>
    <row r="328" spans="1:11" ht="42" customHeight="1">
      <c r="A328" s="2" t="s">
        <v>1162</v>
      </c>
      <c r="B328" s="2" t="s">
        <v>1163</v>
      </c>
      <c r="C328" s="2" t="s">
        <v>26</v>
      </c>
      <c r="D328" s="2" t="s">
        <v>18</v>
      </c>
      <c r="E328" s="4">
        <v>-32171</v>
      </c>
      <c r="F328" s="3" t="s">
        <v>157</v>
      </c>
      <c r="G328" s="3" t="s">
        <v>44</v>
      </c>
      <c r="H328" s="2" t="s">
        <v>148</v>
      </c>
      <c r="I328" s="2" t="s">
        <v>1164</v>
      </c>
      <c r="J328" s="3" t="str">
        <f>HYPERLINK("https://www.boe.es/gazeta/dias/1811/12/01/pdfs/GMD-1811-335.pdf#page=4","Abrir facsímil")</f>
        <v>Abrir facsímil</v>
      </c>
      <c r="K328" s="3" t="s">
        <v>150</v>
      </c>
    </row>
    <row r="329" spans="1:11" ht="42" customHeight="1">
      <c r="A329" s="2" t="s">
        <v>1165</v>
      </c>
      <c r="B329" s="2" t="s">
        <v>1165</v>
      </c>
      <c r="C329" s="2" t="s">
        <v>26</v>
      </c>
      <c r="D329" s="2" t="s">
        <v>18</v>
      </c>
      <c r="E329" s="4">
        <v>-32153</v>
      </c>
      <c r="F329" s="3" t="s">
        <v>123</v>
      </c>
      <c r="G329" s="3" t="s">
        <v>288</v>
      </c>
      <c r="H329" s="2" t="s">
        <v>148</v>
      </c>
      <c r="I329" s="2" t="s">
        <v>1166</v>
      </c>
      <c r="J329" s="3" t="str">
        <f>HYPERLINK("https://www.boe.es/gazeta/dias/1811/12/19/pdfs/GMD-1811-353.pdf#page=4","Abrir facsímil")</f>
        <v>Abrir facsímil</v>
      </c>
      <c r="K329" s="3" t="s">
        <v>150</v>
      </c>
    </row>
    <row r="330" spans="1:11" ht="42" customHeight="1">
      <c r="A330" s="2" t="s">
        <v>1167</v>
      </c>
      <c r="B330" s="2" t="s">
        <v>1168</v>
      </c>
      <c r="C330" s="2" t="s">
        <v>104</v>
      </c>
      <c r="D330" s="2" t="s">
        <v>18</v>
      </c>
      <c r="E330" s="4">
        <v>-32181</v>
      </c>
      <c r="F330" s="3" t="s">
        <v>1169</v>
      </c>
      <c r="G330" s="3" t="s">
        <v>1170</v>
      </c>
      <c r="H330" s="2" t="s">
        <v>148</v>
      </c>
      <c r="I330" s="2" t="s">
        <v>1171</v>
      </c>
      <c r="J330" s="3" t="str">
        <f>HYPERLINK("https://www.boe.es/gazeta/dias/1811/11/21/pdfs/GMD-1811-325.pdf#page=4","Abrir facsímil")</f>
        <v>Abrir facsímil</v>
      </c>
      <c r="K330" s="3" t="s">
        <v>150</v>
      </c>
    </row>
    <row r="331" spans="1:11" ht="42" customHeight="1">
      <c r="A331" s="2" t="s">
        <v>1172</v>
      </c>
      <c r="B331" s="2" t="s">
        <v>1173</v>
      </c>
      <c r="C331" s="2" t="s">
        <v>26</v>
      </c>
      <c r="D331" s="2" t="s">
        <v>105</v>
      </c>
      <c r="E331" s="4">
        <v>-32150</v>
      </c>
      <c r="F331" s="3" t="s">
        <v>1174</v>
      </c>
      <c r="G331" s="3" t="s">
        <v>20</v>
      </c>
      <c r="H331" s="2" t="s">
        <v>148</v>
      </c>
      <c r="I331" s="2" t="s">
        <v>1175</v>
      </c>
      <c r="J331" s="3" t="str">
        <f>HYPERLINK("https://www.boe.es/gazeta/dias/1811/12/22/pdfs/GMD-1811-356.pdf#page=4","Abrir facsímil")</f>
        <v>Abrir facsímil</v>
      </c>
      <c r="K331" s="3" t="s">
        <v>150</v>
      </c>
    </row>
    <row r="332" spans="1:11" ht="42" customHeight="1">
      <c r="A332" s="2" t="s">
        <v>1176</v>
      </c>
      <c r="B332" s="2" t="s">
        <v>1177</v>
      </c>
      <c r="C332" s="2" t="s">
        <v>104</v>
      </c>
      <c r="D332" s="2" t="s">
        <v>141</v>
      </c>
      <c r="E332" s="4">
        <v>-32250</v>
      </c>
      <c r="F332" s="3" t="s">
        <v>1178</v>
      </c>
      <c r="G332" s="3" t="s">
        <v>1179</v>
      </c>
      <c r="H332" s="2" t="s">
        <v>148</v>
      </c>
      <c r="I332" s="2" t="s">
        <v>1180</v>
      </c>
      <c r="J332" s="3" t="str">
        <f>HYPERLINK("https://www.boe.es/gazeta/dias/1811/09/13/pdfs/GMD-C-1811-256.pdf#page=1","Abrir facsímil")</f>
        <v>Abrir facsímil</v>
      </c>
      <c r="K332" s="3" t="s">
        <v>150</v>
      </c>
    </row>
    <row r="333" spans="1:11" ht="42" customHeight="1">
      <c r="A333" s="2" t="s">
        <v>1181</v>
      </c>
      <c r="B333" s="2" t="s">
        <v>1182</v>
      </c>
      <c r="C333" s="2" t="s">
        <v>26</v>
      </c>
      <c r="D333" s="2" t="s">
        <v>18</v>
      </c>
      <c r="E333" s="4">
        <v>-32170</v>
      </c>
      <c r="F333" s="3" t="s">
        <v>1183</v>
      </c>
      <c r="G333" s="3" t="s">
        <v>1184</v>
      </c>
      <c r="H333" s="2" t="s">
        <v>148</v>
      </c>
      <c r="I333" s="2" t="s">
        <v>1185</v>
      </c>
      <c r="J333" s="3" t="str">
        <f>HYPERLINK("https://www.boe.es/gazeta/dias/1811/12/02/pdfs/GMD-1811-336.pdf#page=4","Abrir facsímil")</f>
        <v>Abrir facsímil</v>
      </c>
      <c r="K333" s="3" t="s">
        <v>150</v>
      </c>
    </row>
    <row r="334" spans="1:11" ht="42" customHeight="1">
      <c r="A334" s="2" t="s">
        <v>1186</v>
      </c>
      <c r="B334" s="2" t="s">
        <v>1187</v>
      </c>
      <c r="C334" s="2" t="s">
        <v>26</v>
      </c>
      <c r="D334" s="2" t="s">
        <v>105</v>
      </c>
      <c r="E334" s="4">
        <v>-32195</v>
      </c>
      <c r="F334" s="3" t="s">
        <v>439</v>
      </c>
      <c r="G334" s="3" t="s">
        <v>440</v>
      </c>
      <c r="H334" s="2" t="s">
        <v>148</v>
      </c>
      <c r="I334" s="2" t="s">
        <v>1188</v>
      </c>
      <c r="J334" s="3" t="str">
        <f>HYPERLINK("https://www.boe.es/gazeta/dias/1811/11/07/pdfs/GEI-1811-144.pdf#page=8","Abrir facsímil")</f>
        <v>Abrir facsímil</v>
      </c>
      <c r="K334" s="3" t="s">
        <v>150</v>
      </c>
    </row>
    <row r="335" spans="1:11" ht="42" customHeight="1">
      <c r="A335" s="2" t="s">
        <v>1189</v>
      </c>
      <c r="B335" s="2" t="s">
        <v>1190</v>
      </c>
      <c r="C335" s="2" t="s">
        <v>17</v>
      </c>
      <c r="D335" s="2" t="s">
        <v>156</v>
      </c>
      <c r="E335" s="4">
        <v>-32279</v>
      </c>
      <c r="F335" s="3" t="s">
        <v>444</v>
      </c>
      <c r="G335" s="3" t="s">
        <v>445</v>
      </c>
      <c r="H335" s="2" t="s">
        <v>148</v>
      </c>
      <c r="I335" s="2" t="s">
        <v>1191</v>
      </c>
      <c r="J335" s="3" t="str">
        <f>HYPERLINK("https://www.boe.es/gazeta/dias/1811/08/15/pdfs/GEI-1811-106.pdf#page=8","Abrir facsímil")</f>
        <v>Abrir facsímil</v>
      </c>
      <c r="K335" s="3" t="s">
        <v>150</v>
      </c>
    </row>
    <row r="336" spans="1:11" ht="42" customHeight="1">
      <c r="A336" s="2" t="s">
        <v>1192</v>
      </c>
      <c r="B336" s="2" t="s">
        <v>1192</v>
      </c>
      <c r="C336" s="2" t="s">
        <v>26</v>
      </c>
      <c r="D336" s="2" t="s">
        <v>18</v>
      </c>
      <c r="E336" s="4">
        <v>-32318</v>
      </c>
      <c r="F336" s="3" t="s">
        <v>1193</v>
      </c>
      <c r="G336" s="3" t="s">
        <v>284</v>
      </c>
      <c r="H336" s="2" t="s">
        <v>148</v>
      </c>
      <c r="I336" s="2" t="s">
        <v>1194</v>
      </c>
      <c r="J336" s="3" t="str">
        <f>HYPERLINK("https://www.boe.es/gazeta/dias/1811/07/07/pdfs/GMD-1811-188.pdf#page=2","Abrir facsímil")</f>
        <v>Abrir facsímil</v>
      </c>
      <c r="K336" s="3" t="s">
        <v>150</v>
      </c>
    </row>
    <row r="337" spans="1:11" ht="42" customHeight="1">
      <c r="A337" s="2" t="s">
        <v>1192</v>
      </c>
      <c r="B337" s="2" t="s">
        <v>1192</v>
      </c>
      <c r="C337" s="2" t="s">
        <v>26</v>
      </c>
      <c r="D337" s="2" t="s">
        <v>18</v>
      </c>
      <c r="E337" s="4">
        <v>-32318</v>
      </c>
      <c r="F337" s="3" t="s">
        <v>1193</v>
      </c>
      <c r="G337" s="3" t="s">
        <v>488</v>
      </c>
      <c r="H337" s="2" t="s">
        <v>148</v>
      </c>
      <c r="I337" s="2" t="s">
        <v>1195</v>
      </c>
      <c r="J337" s="3" t="str">
        <f>HYPERLINK("https://www.boe.es/gazeta/dias/1811/07/07/pdfs/GMD-1811-188.pdf#page=3","Abrir facsímil")</f>
        <v>Abrir facsímil</v>
      </c>
      <c r="K337" s="3" t="s">
        <v>150</v>
      </c>
    </row>
    <row r="338" spans="1:11" ht="42" customHeight="1">
      <c r="A338" s="2" t="s">
        <v>1196</v>
      </c>
      <c r="B338" s="2" t="s">
        <v>1197</v>
      </c>
      <c r="C338" s="2" t="s">
        <v>37</v>
      </c>
      <c r="D338" s="2" t="s">
        <v>18</v>
      </c>
      <c r="E338" s="4">
        <v>-32141</v>
      </c>
      <c r="F338" s="3" t="s">
        <v>308</v>
      </c>
      <c r="G338" s="3" t="s">
        <v>1198</v>
      </c>
      <c r="H338" s="2" t="s">
        <v>148</v>
      </c>
      <c r="I338" s="2" t="s">
        <v>1199</v>
      </c>
      <c r="J338" s="3" t="str">
        <f>HYPERLINK("https://www.boe.es/gazeta/dias/1811/12/31/pdfs/GEI-1811-169.pdf#page=8","Abrir facsímil")</f>
        <v>Abrir facsímil</v>
      </c>
      <c r="K338" s="3" t="s">
        <v>150</v>
      </c>
    </row>
    <row r="339" spans="1:11" ht="42" customHeight="1">
      <c r="A339" s="2" t="s">
        <v>1200</v>
      </c>
      <c r="B339" s="2" t="s">
        <v>1201</v>
      </c>
      <c r="C339" s="2" t="s">
        <v>26</v>
      </c>
      <c r="D339" s="2" t="s">
        <v>141</v>
      </c>
      <c r="E339" s="4">
        <v>-32396</v>
      </c>
      <c r="F339" s="3" t="s">
        <v>804</v>
      </c>
      <c r="G339" s="3" t="s">
        <v>805</v>
      </c>
      <c r="H339" s="2" t="s">
        <v>148</v>
      </c>
      <c r="I339" s="2" t="s">
        <v>1202</v>
      </c>
      <c r="J339" s="3" t="str">
        <f>HYPERLINK("https://www.boe.es/gazeta/dias/1811/04/20/pdfs/GEI-D-1811-53.pdf#page=4","Abrir facsímil")</f>
        <v>Abrir facsímil</v>
      </c>
      <c r="K339" s="3" t="s">
        <v>150</v>
      </c>
    </row>
    <row r="340" spans="1:11" ht="42" customHeight="1">
      <c r="A340" s="2" t="s">
        <v>1203</v>
      </c>
      <c r="B340" s="2" t="s">
        <v>1203</v>
      </c>
      <c r="C340" s="2" t="s">
        <v>17</v>
      </c>
      <c r="D340" s="2" t="s">
        <v>156</v>
      </c>
      <c r="E340" s="4">
        <v>-32428</v>
      </c>
      <c r="F340" s="3" t="s">
        <v>351</v>
      </c>
      <c r="G340" s="3" t="s">
        <v>57</v>
      </c>
      <c r="H340" s="2" t="s">
        <v>148</v>
      </c>
      <c r="I340" s="2" t="s">
        <v>1204</v>
      </c>
      <c r="J340" s="3" t="str">
        <f>HYPERLINK("https://www.boe.es/gazeta/dias/1811/03/19/pdfs/GMD-1811-78.pdf#page=2","Abrir facsímil")</f>
        <v>Abrir facsímil</v>
      </c>
      <c r="K340" s="3" t="s">
        <v>150</v>
      </c>
    </row>
    <row r="341" spans="1:11" ht="42" customHeight="1">
      <c r="A341" s="2" t="s">
        <v>1203</v>
      </c>
      <c r="B341" s="2" t="s">
        <v>1203</v>
      </c>
      <c r="C341" s="2" t="s">
        <v>122</v>
      </c>
      <c r="D341" s="2" t="s">
        <v>18</v>
      </c>
      <c r="E341" s="4">
        <v>-32404</v>
      </c>
      <c r="F341" s="3" t="s">
        <v>911</v>
      </c>
      <c r="G341" s="3" t="s">
        <v>468</v>
      </c>
      <c r="H341" s="2" t="s">
        <v>148</v>
      </c>
      <c r="I341" s="2" t="s">
        <v>1205</v>
      </c>
      <c r="J341" s="3" t="str">
        <f>HYPERLINK("https://www.boe.es/gazeta/dias/1811/04/12/pdfs/GMD-1811-102.pdf#page=3","Abrir facsímil")</f>
        <v>Abrir facsímil</v>
      </c>
      <c r="K341" s="3" t="s">
        <v>150</v>
      </c>
    </row>
    <row r="342" spans="1:11" ht="42" customHeight="1">
      <c r="A342" s="2" t="s">
        <v>1203</v>
      </c>
      <c r="B342" s="2" t="s">
        <v>1203</v>
      </c>
      <c r="C342" s="2" t="s">
        <v>17</v>
      </c>
      <c r="D342" s="2" t="s">
        <v>18</v>
      </c>
      <c r="E342" s="4">
        <v>-32263</v>
      </c>
      <c r="F342" s="3" t="s">
        <v>128</v>
      </c>
      <c r="G342" s="3" t="s">
        <v>1206</v>
      </c>
      <c r="H342" s="2" t="s">
        <v>148</v>
      </c>
      <c r="I342" s="2" t="s">
        <v>1207</v>
      </c>
      <c r="J342" s="3" t="str">
        <f>HYPERLINK("https://www.boe.es/gazeta/dias/1811/08/31/pdfs/GEI-1811-113.pdf#page=3","Abrir facsímil")</f>
        <v>Abrir facsímil</v>
      </c>
      <c r="K342" s="3" t="s">
        <v>150</v>
      </c>
    </row>
    <row r="343" spans="1:11" ht="42" customHeight="1">
      <c r="A343" s="2" t="s">
        <v>1208</v>
      </c>
      <c r="B343" s="2" t="s">
        <v>1208</v>
      </c>
      <c r="C343" s="2" t="s">
        <v>17</v>
      </c>
      <c r="D343" s="2" t="s">
        <v>156</v>
      </c>
      <c r="E343" s="4">
        <v>-32375</v>
      </c>
      <c r="F343" s="3" t="s">
        <v>1209</v>
      </c>
      <c r="G343" s="3" t="s">
        <v>488</v>
      </c>
      <c r="H343" s="2" t="s">
        <v>148</v>
      </c>
      <c r="I343" s="2" t="s">
        <v>1210</v>
      </c>
      <c r="J343" s="3" t="str">
        <f>HYPERLINK("https://www.boe.es/gazeta/dias/1811/05/11/pdfs/GEI-1811-62.pdf#page=7","Abrir facsímil")</f>
        <v>Abrir facsímil</v>
      </c>
      <c r="K343" s="3" t="s">
        <v>150</v>
      </c>
    </row>
    <row r="344" spans="1:11" ht="42" customHeight="1">
      <c r="A344" s="2" t="s">
        <v>1211</v>
      </c>
      <c r="B344" s="2" t="s">
        <v>1211</v>
      </c>
      <c r="C344" s="2" t="s">
        <v>17</v>
      </c>
      <c r="D344" s="2" t="s">
        <v>18</v>
      </c>
      <c r="E344" s="4">
        <v>-32228</v>
      </c>
      <c r="F344" s="3" t="s">
        <v>899</v>
      </c>
      <c r="G344" s="3" t="s">
        <v>900</v>
      </c>
      <c r="H344" s="2" t="s">
        <v>148</v>
      </c>
      <c r="I344" s="2" t="s">
        <v>1212</v>
      </c>
      <c r="J344" s="3" t="str">
        <f>HYPERLINK("https://www.boe.es/gazeta/dias/1811/10/05/pdfs/GMD-1811-278.pdf#page=2","Abrir facsímil")</f>
        <v>Abrir facsímil</v>
      </c>
      <c r="K344" s="3" t="s">
        <v>150</v>
      </c>
    </row>
    <row r="345" spans="1:11" ht="42" customHeight="1">
      <c r="A345" s="2" t="s">
        <v>1211</v>
      </c>
      <c r="B345" s="2" t="s">
        <v>1211</v>
      </c>
      <c r="C345" s="2" t="s">
        <v>17</v>
      </c>
      <c r="D345" s="2" t="s">
        <v>18</v>
      </c>
      <c r="E345" s="4">
        <v>-32207</v>
      </c>
      <c r="F345" s="3" t="s">
        <v>152</v>
      </c>
      <c r="G345" s="3" t="s">
        <v>20</v>
      </c>
      <c r="H345" s="2" t="s">
        <v>148</v>
      </c>
      <c r="I345" s="2" t="s">
        <v>1213</v>
      </c>
      <c r="J345" s="3" t="str">
        <f>HYPERLINK("https://www.boe.es/gazeta/dias/1811/10/26/pdfs/GEI-1811-138.pdf#page=3","Abrir facsímil")</f>
        <v>Abrir facsímil</v>
      </c>
      <c r="K345" s="3" t="s">
        <v>150</v>
      </c>
    </row>
    <row r="346" spans="1:11" ht="42" customHeight="1">
      <c r="A346" s="2" t="s">
        <v>1214</v>
      </c>
      <c r="B346" s="2" t="s">
        <v>1215</v>
      </c>
      <c r="C346" s="2" t="s">
        <v>26</v>
      </c>
      <c r="D346" s="2" t="s">
        <v>18</v>
      </c>
      <c r="E346" s="4">
        <v>-32463</v>
      </c>
      <c r="F346" s="3" t="s">
        <v>734</v>
      </c>
      <c r="G346" s="3" t="s">
        <v>735</v>
      </c>
      <c r="H346" s="2" t="s">
        <v>148</v>
      </c>
      <c r="I346" s="2" t="s">
        <v>1216</v>
      </c>
      <c r="J346" s="3" t="str">
        <f>HYPERLINK("https://www.boe.es/gazeta/dias/1811/02/12/pdfs/GEI-1811-19.pdf#page=8","Abrir facsímil")</f>
        <v>Abrir facsímil</v>
      </c>
      <c r="K346" s="3" t="s">
        <v>150</v>
      </c>
    </row>
    <row r="347" spans="1:11" ht="42" customHeight="1">
      <c r="A347" s="2" t="s">
        <v>1217</v>
      </c>
      <c r="B347" s="2" t="s">
        <v>1218</v>
      </c>
      <c r="C347" s="2" t="s">
        <v>26</v>
      </c>
      <c r="D347" s="2" t="s">
        <v>18</v>
      </c>
      <c r="E347" s="4">
        <v>-32228</v>
      </c>
      <c r="F347" s="3" t="s">
        <v>372</v>
      </c>
      <c r="G347" s="3" t="s">
        <v>20</v>
      </c>
      <c r="H347" s="2" t="s">
        <v>148</v>
      </c>
      <c r="I347" s="2" t="s">
        <v>1219</v>
      </c>
      <c r="J347" s="3" t="str">
        <f>HYPERLINK("https://www.boe.es/gazeta/dias/1811/10/05/pdfs/GEI-1811-128.pdf#page=8","Abrir facsímil")</f>
        <v>Abrir facsímil</v>
      </c>
      <c r="K347" s="3" t="s">
        <v>150</v>
      </c>
    </row>
    <row r="348" spans="1:11" ht="42" customHeight="1">
      <c r="A348" s="2" t="s">
        <v>1220</v>
      </c>
      <c r="B348" s="2" t="s">
        <v>1221</v>
      </c>
      <c r="C348" s="2" t="s">
        <v>17</v>
      </c>
      <c r="D348" s="2" t="s">
        <v>156</v>
      </c>
      <c r="E348" s="4">
        <v>-32452</v>
      </c>
      <c r="F348" s="3" t="s">
        <v>106</v>
      </c>
      <c r="G348" s="3" t="s">
        <v>20</v>
      </c>
      <c r="H348" s="2" t="s">
        <v>148</v>
      </c>
      <c r="I348" s="2" t="s">
        <v>1222</v>
      </c>
      <c r="J348" s="3" t="str">
        <f>HYPERLINK("https://www.boe.es/gazeta/dias/1811/02/23/pdfs/GEI-1811-24.pdf#page=8","Abrir facsímil")</f>
        <v>Abrir facsímil</v>
      </c>
      <c r="K348" s="3" t="s">
        <v>150</v>
      </c>
    </row>
    <row r="349" spans="1:11" ht="42" customHeight="1">
      <c r="A349" s="2" t="s">
        <v>1223</v>
      </c>
      <c r="B349" s="2" t="s">
        <v>1224</v>
      </c>
      <c r="C349" s="2" t="s">
        <v>17</v>
      </c>
      <c r="D349" s="2" t="s">
        <v>18</v>
      </c>
      <c r="E349" s="4">
        <v>-32239</v>
      </c>
      <c r="F349" s="3" t="s">
        <v>1225</v>
      </c>
      <c r="G349" s="3" t="s">
        <v>1226</v>
      </c>
      <c r="H349" s="2" t="s">
        <v>148</v>
      </c>
      <c r="I349" s="2" t="s">
        <v>1227</v>
      </c>
      <c r="J349" s="3" t="str">
        <f>HYPERLINK("https://www.boe.es/gazeta/dias/1811/09/24/pdfs/GEI-1811-123.pdf#page=3","Abrir facsímil")</f>
        <v>Abrir facsímil</v>
      </c>
      <c r="K349" s="3" t="s">
        <v>150</v>
      </c>
    </row>
    <row r="350" spans="1:11" ht="42" customHeight="1">
      <c r="A350" s="2" t="s">
        <v>1228</v>
      </c>
      <c r="B350" s="2" t="s">
        <v>1229</v>
      </c>
      <c r="C350" s="2" t="s">
        <v>84</v>
      </c>
      <c r="D350" s="2" t="s">
        <v>18</v>
      </c>
      <c r="E350" s="4">
        <v>-32211</v>
      </c>
      <c r="F350" s="3" t="s">
        <v>1230</v>
      </c>
      <c r="G350" s="3" t="s">
        <v>377</v>
      </c>
      <c r="H350" s="2" t="s">
        <v>148</v>
      </c>
      <c r="I350" s="2" t="s">
        <v>1231</v>
      </c>
      <c r="J350" s="3" t="str">
        <f>HYPERLINK("https://www.boe.es/gazeta/dias/1811/10/22/pdfs/GMD-1811-295.pdf#page=4","Abrir facsímil")</f>
        <v>Abrir facsímil</v>
      </c>
      <c r="K350" s="3" t="s">
        <v>150</v>
      </c>
    </row>
    <row r="351" spans="1:11" ht="42" customHeight="1">
      <c r="A351" s="2" t="s">
        <v>1232</v>
      </c>
      <c r="B351" s="2" t="s">
        <v>1232</v>
      </c>
      <c r="C351" s="2" t="s">
        <v>26</v>
      </c>
      <c r="D351" s="2" t="s">
        <v>18</v>
      </c>
      <c r="E351" s="4">
        <v>-32463</v>
      </c>
      <c r="F351" s="3" t="s">
        <v>734</v>
      </c>
      <c r="G351" s="3" t="s">
        <v>735</v>
      </c>
      <c r="H351" s="2" t="s">
        <v>148</v>
      </c>
      <c r="I351" s="2" t="s">
        <v>1233</v>
      </c>
      <c r="J351" s="3" t="str">
        <f>HYPERLINK("https://www.boe.es/gazeta/dias/1811/02/12/pdfs/GEI-1811-19.pdf#page=8","Abrir facsímil")</f>
        <v>Abrir facsímil</v>
      </c>
      <c r="K351" s="3" t="s">
        <v>150</v>
      </c>
    </row>
    <row r="352" spans="1:11" ht="42" customHeight="1">
      <c r="A352" s="2" t="s">
        <v>1232</v>
      </c>
      <c r="B352" s="2" t="s">
        <v>1232</v>
      </c>
      <c r="C352" s="2" t="s">
        <v>122</v>
      </c>
      <c r="D352" s="2" t="s">
        <v>18</v>
      </c>
      <c r="E352" s="4">
        <v>-32266</v>
      </c>
      <c r="F352" s="3" t="s">
        <v>1234</v>
      </c>
      <c r="G352" s="3" t="s">
        <v>1235</v>
      </c>
      <c r="H352" s="2" t="s">
        <v>148</v>
      </c>
      <c r="I352" s="2" t="s">
        <v>1236</v>
      </c>
      <c r="J352" s="3" t="str">
        <f>HYPERLINK("https://www.boe.es/gazeta/dias/1811/08/28/pdfs/GMD-1811-240.pdf#page=4","Abrir facsímil")</f>
        <v>Abrir facsímil</v>
      </c>
      <c r="K352" s="3" t="s">
        <v>150</v>
      </c>
    </row>
    <row r="353" spans="1:11" ht="42" customHeight="1">
      <c r="A353" s="2" t="s">
        <v>1232</v>
      </c>
      <c r="B353" s="2" t="s">
        <v>1232</v>
      </c>
      <c r="C353" s="2" t="s">
        <v>17</v>
      </c>
      <c r="D353" s="2" t="s">
        <v>18</v>
      </c>
      <c r="E353" s="4">
        <v>-32200</v>
      </c>
      <c r="F353" s="3" t="s">
        <v>109</v>
      </c>
      <c r="G353" s="3" t="s">
        <v>630</v>
      </c>
      <c r="H353" s="2" t="s">
        <v>148</v>
      </c>
      <c r="I353" s="2" t="s">
        <v>1237</v>
      </c>
      <c r="J353" s="3" t="str">
        <f>HYPERLINK("https://www.boe.es/gazeta/dias/1811/11/02/pdfs/GEI-1811-141.pdf#page=2","Abrir facsímil")</f>
        <v>Abrir facsímil</v>
      </c>
      <c r="K353" s="3" t="s">
        <v>150</v>
      </c>
    </row>
    <row r="354" spans="1:11" ht="42" customHeight="1">
      <c r="A354" s="2" t="s">
        <v>1238</v>
      </c>
      <c r="B354" s="2" t="s">
        <v>1239</v>
      </c>
      <c r="C354" s="2" t="s">
        <v>26</v>
      </c>
      <c r="D354" s="2" t="s">
        <v>18</v>
      </c>
      <c r="E354" s="4">
        <v>-32197</v>
      </c>
      <c r="F354" s="3" t="s">
        <v>687</v>
      </c>
      <c r="G354" s="3" t="s">
        <v>1240</v>
      </c>
      <c r="H354" s="2" t="s">
        <v>148</v>
      </c>
      <c r="I354" s="2" t="s">
        <v>1241</v>
      </c>
      <c r="J354" s="3" t="str">
        <f>HYPERLINK("https://www.boe.es/gazeta/dias/1811/11/05/pdfs/GEI-1811-143.pdf#page=8","Abrir facsímil")</f>
        <v>Abrir facsímil</v>
      </c>
      <c r="K354" s="3" t="s">
        <v>150</v>
      </c>
    </row>
    <row r="355" spans="1:11" ht="42" customHeight="1">
      <c r="A355" s="2" t="s">
        <v>1242</v>
      </c>
      <c r="B355" s="2" t="s">
        <v>1243</v>
      </c>
      <c r="C355" s="2" t="s">
        <v>122</v>
      </c>
      <c r="D355" s="2" t="s">
        <v>18</v>
      </c>
      <c r="E355" s="4">
        <v>-32150</v>
      </c>
      <c r="F355" s="3" t="s">
        <v>1174</v>
      </c>
      <c r="G355" s="3" t="s">
        <v>20</v>
      </c>
      <c r="H355" s="2" t="s">
        <v>148</v>
      </c>
      <c r="I355" s="2" t="s">
        <v>1244</v>
      </c>
      <c r="J355" s="3" t="str">
        <f>HYPERLINK("https://www.boe.es/gazeta/dias/1811/12/22/pdfs/GMD-1811-356.pdf#page=4","Abrir facsímil")</f>
        <v>Abrir facsímil</v>
      </c>
      <c r="K355" s="3" t="s">
        <v>150</v>
      </c>
    </row>
    <row r="356" spans="1:11" ht="42" customHeight="1">
      <c r="A356" s="2" t="s">
        <v>1245</v>
      </c>
      <c r="B356" s="2" t="s">
        <v>1246</v>
      </c>
      <c r="C356" s="2" t="s">
        <v>122</v>
      </c>
      <c r="D356" s="2" t="s">
        <v>141</v>
      </c>
      <c r="E356" s="4">
        <v>-32249</v>
      </c>
      <c r="F356" s="3" t="s">
        <v>743</v>
      </c>
      <c r="G356" s="3" t="s">
        <v>1021</v>
      </c>
      <c r="H356" s="2" t="s">
        <v>148</v>
      </c>
      <c r="I356" s="2" t="s">
        <v>1247</v>
      </c>
      <c r="J356" s="3" t="str">
        <f>HYPERLINK("https://www.boe.es/gazeta/dias/1811/09/14/pdfs/GMD-C-1811-257.pdf#page=2","Abrir facsímil")</f>
        <v>Abrir facsímil</v>
      </c>
      <c r="K356" s="3" t="s">
        <v>150</v>
      </c>
    </row>
    <row r="357" spans="1:11" ht="42" customHeight="1">
      <c r="A357" s="2" t="s">
        <v>1248</v>
      </c>
      <c r="B357" s="2" t="s">
        <v>1248</v>
      </c>
      <c r="C357" s="2" t="s">
        <v>17</v>
      </c>
      <c r="D357" s="2" t="s">
        <v>105</v>
      </c>
      <c r="E357" s="4">
        <v>-32146</v>
      </c>
      <c r="F357" s="3" t="s">
        <v>777</v>
      </c>
      <c r="G357" s="3" t="s">
        <v>846</v>
      </c>
      <c r="H357" s="2" t="s">
        <v>148</v>
      </c>
      <c r="I357" s="2" t="s">
        <v>1249</v>
      </c>
      <c r="J357" s="3" t="str">
        <f>HYPERLINK("https://www.boe.es/gazeta/dias/1811/12/26/pdfs/GEI-1811-167.pdf#page=8","Abrir facsímil")</f>
        <v>Abrir facsímil</v>
      </c>
      <c r="K357" s="3" t="s">
        <v>150</v>
      </c>
    </row>
    <row r="358" spans="1:11" ht="42" customHeight="1">
      <c r="A358" s="2" t="s">
        <v>1250</v>
      </c>
      <c r="B358" s="2" t="s">
        <v>1251</v>
      </c>
      <c r="C358" s="2" t="s">
        <v>26</v>
      </c>
      <c r="D358" s="2" t="s">
        <v>105</v>
      </c>
      <c r="E358" s="4">
        <v>-32355</v>
      </c>
      <c r="F358" s="3" t="s">
        <v>537</v>
      </c>
      <c r="G358" s="3" t="s">
        <v>593</v>
      </c>
      <c r="H358" s="2" t="s">
        <v>148</v>
      </c>
      <c r="I358" s="2" t="s">
        <v>1252</v>
      </c>
      <c r="J358" s="3" t="str">
        <f>HYPERLINK("https://www.boe.es/gazeta/dias/1811/05/31/pdfs/GMD-C-1811-151.pdf#page=15","Abrir facsímil")</f>
        <v>Abrir facsímil</v>
      </c>
      <c r="K358" s="3" t="s">
        <v>150</v>
      </c>
    </row>
    <row r="359" spans="1:11" ht="42" customHeight="1">
      <c r="A359" s="2" t="s">
        <v>1253</v>
      </c>
      <c r="B359" s="2" t="s">
        <v>1253</v>
      </c>
      <c r="C359" s="2" t="s">
        <v>17</v>
      </c>
      <c r="D359" s="2" t="s">
        <v>18</v>
      </c>
      <c r="E359" s="4">
        <v>-32440</v>
      </c>
      <c r="F359" s="3" t="s">
        <v>1254</v>
      </c>
      <c r="G359" s="3" t="s">
        <v>47</v>
      </c>
      <c r="H359" s="2" t="s">
        <v>148</v>
      </c>
      <c r="I359" s="2" t="s">
        <v>1255</v>
      </c>
      <c r="J359" s="3" t="str">
        <f>HYPERLINK("https://www.boe.es/gazeta/dias/1811/03/07/pdfs/GEI-1811-32.pdf#page=3","Abrir facsímil")</f>
        <v>Abrir facsímil</v>
      </c>
      <c r="K359" s="3" t="s">
        <v>150</v>
      </c>
    </row>
    <row r="360" spans="1:11" ht="42" customHeight="1">
      <c r="A360" s="2" t="s">
        <v>1256</v>
      </c>
      <c r="B360" s="2" t="s">
        <v>1256</v>
      </c>
      <c r="C360" s="2" t="s">
        <v>17</v>
      </c>
      <c r="D360" s="2" t="s">
        <v>156</v>
      </c>
      <c r="E360" s="4">
        <v>-32428</v>
      </c>
      <c r="F360" s="3" t="s">
        <v>351</v>
      </c>
      <c r="G360" s="3" t="s">
        <v>57</v>
      </c>
      <c r="H360" s="2" t="s">
        <v>148</v>
      </c>
      <c r="I360" s="2" t="s">
        <v>1257</v>
      </c>
      <c r="J360" s="3" t="str">
        <f>HYPERLINK("https://www.boe.es/gazeta/dias/1811/03/19/pdfs/GMD-1811-78.pdf#page=2","Abrir facsímil")</f>
        <v>Abrir facsímil</v>
      </c>
      <c r="K360" s="3" t="s">
        <v>150</v>
      </c>
    </row>
    <row r="361" spans="1:11" ht="42" customHeight="1">
      <c r="A361" s="2" t="s">
        <v>1256</v>
      </c>
      <c r="B361" s="2" t="s">
        <v>1256</v>
      </c>
      <c r="C361" s="2" t="s">
        <v>26</v>
      </c>
      <c r="D361" s="2" t="s">
        <v>18</v>
      </c>
      <c r="E361" s="4">
        <v>-32230</v>
      </c>
      <c r="F361" s="3" t="s">
        <v>625</v>
      </c>
      <c r="G361" s="3" t="s">
        <v>1258</v>
      </c>
      <c r="H361" s="2" t="s">
        <v>148</v>
      </c>
      <c r="I361" s="2" t="s">
        <v>1259</v>
      </c>
      <c r="J361" s="3" t="str">
        <f>HYPERLINK("https://www.boe.es/gazeta/dias/1811/10/03/pdfs/GEI-1811-127.pdf#page=8","Abrir facsímil")</f>
        <v>Abrir facsímil</v>
      </c>
      <c r="K361" s="3" t="s">
        <v>150</v>
      </c>
    </row>
    <row r="362" spans="1:11" ht="42" customHeight="1">
      <c r="A362" s="2" t="s">
        <v>1260</v>
      </c>
      <c r="B362" s="2" t="s">
        <v>1260</v>
      </c>
      <c r="C362" s="2" t="s">
        <v>17</v>
      </c>
      <c r="D362" s="2" t="s">
        <v>18</v>
      </c>
      <c r="E362" s="4">
        <v>-32456</v>
      </c>
      <c r="F362" s="3" t="s">
        <v>1261</v>
      </c>
      <c r="G362" s="3" t="s">
        <v>553</v>
      </c>
      <c r="H362" s="2" t="s">
        <v>148</v>
      </c>
      <c r="I362" s="2" t="s">
        <v>1262</v>
      </c>
      <c r="J362" s="3" t="str">
        <f>HYPERLINK("https://www.boe.es/gazeta/dias/1811/02/19/pdfs/GEI-1811-22.pdf#page=8","Abrir facsímil")</f>
        <v>Abrir facsímil</v>
      </c>
      <c r="K362" s="3" t="s">
        <v>150</v>
      </c>
    </row>
    <row r="363" spans="1:11" ht="42" customHeight="1">
      <c r="A363" s="2" t="s">
        <v>1260</v>
      </c>
      <c r="B363" s="2" t="s">
        <v>1260</v>
      </c>
      <c r="C363" s="2" t="s">
        <v>17</v>
      </c>
      <c r="D363" s="2" t="s">
        <v>156</v>
      </c>
      <c r="E363" s="4">
        <v>-32428</v>
      </c>
      <c r="F363" s="3" t="s">
        <v>351</v>
      </c>
      <c r="G363" s="3" t="s">
        <v>57</v>
      </c>
      <c r="H363" s="2" t="s">
        <v>148</v>
      </c>
      <c r="I363" s="2" t="s">
        <v>1263</v>
      </c>
      <c r="J363" s="3" t="str">
        <f>HYPERLINK("https://www.boe.es/gazeta/dias/1811/03/19/pdfs/GMD-1811-78.pdf#page=2","Abrir facsímil")</f>
        <v>Abrir facsímil</v>
      </c>
      <c r="K363" s="3" t="s">
        <v>150</v>
      </c>
    </row>
    <row r="364" spans="1:11" ht="42" customHeight="1">
      <c r="A364" s="2" t="s">
        <v>1260</v>
      </c>
      <c r="B364" s="2" t="s">
        <v>1260</v>
      </c>
      <c r="C364" s="2" t="s">
        <v>17</v>
      </c>
      <c r="D364" s="2" t="s">
        <v>156</v>
      </c>
      <c r="E364" s="4">
        <v>-32428</v>
      </c>
      <c r="F364" s="3" t="s">
        <v>351</v>
      </c>
      <c r="G364" s="3" t="s">
        <v>115</v>
      </c>
      <c r="H364" s="2" t="s">
        <v>148</v>
      </c>
      <c r="I364" s="2" t="s">
        <v>1264</v>
      </c>
      <c r="J364" s="3" t="str">
        <f>HYPERLINK("https://www.boe.es/gazeta/dias/1811/03/19/pdfs/GMD-1811-78.pdf#page=3","Abrir facsímil")</f>
        <v>Abrir facsímil</v>
      </c>
      <c r="K364" s="3" t="s">
        <v>150</v>
      </c>
    </row>
    <row r="365" spans="1:11" ht="42" customHeight="1">
      <c r="A365" s="2" t="s">
        <v>1260</v>
      </c>
      <c r="B365" s="2" t="s">
        <v>1260</v>
      </c>
      <c r="C365" s="2" t="s">
        <v>17</v>
      </c>
      <c r="D365" s="2" t="s">
        <v>156</v>
      </c>
      <c r="E365" s="4">
        <v>-32428</v>
      </c>
      <c r="F365" s="3" t="s">
        <v>351</v>
      </c>
      <c r="G365" s="3" t="s">
        <v>352</v>
      </c>
      <c r="H365" s="2" t="s">
        <v>148</v>
      </c>
      <c r="I365" s="2" t="s">
        <v>1265</v>
      </c>
      <c r="J365" s="3" t="str">
        <f>HYPERLINK("https://www.boe.es/gazeta/dias/1811/03/19/pdfs/GMD-1811-78.pdf#page=4","Abrir facsímil")</f>
        <v>Abrir facsímil</v>
      </c>
      <c r="K365" s="3" t="s">
        <v>150</v>
      </c>
    </row>
    <row r="366" spans="1:11" ht="42" customHeight="1">
      <c r="A366" s="2" t="s">
        <v>1260</v>
      </c>
      <c r="B366" s="2" t="s">
        <v>1260</v>
      </c>
      <c r="C366" s="2" t="s">
        <v>37</v>
      </c>
      <c r="D366" s="2" t="s">
        <v>18</v>
      </c>
      <c r="E366" s="4">
        <v>-32416</v>
      </c>
      <c r="F366" s="3" t="s">
        <v>954</v>
      </c>
      <c r="G366" s="3" t="s">
        <v>183</v>
      </c>
      <c r="H366" s="2" t="s">
        <v>148</v>
      </c>
      <c r="I366" s="2" t="s">
        <v>1266</v>
      </c>
      <c r="J366" s="3" t="str">
        <f>HYPERLINK("https://www.boe.es/gazeta/dias/1811/03/31/pdfs/GMD-1811-90.pdf#page=4","Abrir facsímil")</f>
        <v>Abrir facsímil</v>
      </c>
      <c r="K366" s="3" t="s">
        <v>150</v>
      </c>
    </row>
    <row r="367" spans="1:11" ht="42" customHeight="1">
      <c r="A367" s="2" t="s">
        <v>1260</v>
      </c>
      <c r="B367" s="2" t="s">
        <v>1260</v>
      </c>
      <c r="C367" s="2" t="s">
        <v>26</v>
      </c>
      <c r="D367" s="2" t="s">
        <v>18</v>
      </c>
      <c r="E367" s="4">
        <v>-32396</v>
      </c>
      <c r="F367" s="3" t="s">
        <v>1267</v>
      </c>
      <c r="G367" s="3" t="s">
        <v>382</v>
      </c>
      <c r="H367" s="2" t="s">
        <v>148</v>
      </c>
      <c r="I367" s="2" t="s">
        <v>1268</v>
      </c>
      <c r="J367" s="3" t="str">
        <f>HYPERLINK("https://www.boe.es/gazeta/dias/1811/04/20/pdfs/GMD-1811-110.pdf#page=2","Abrir facsímil")</f>
        <v>Abrir facsímil</v>
      </c>
      <c r="K367" s="3" t="s">
        <v>150</v>
      </c>
    </row>
    <row r="368" spans="1:11" ht="42" customHeight="1">
      <c r="A368" s="2" t="s">
        <v>1260</v>
      </c>
      <c r="B368" s="2" t="s">
        <v>1260</v>
      </c>
      <c r="C368" s="2" t="s">
        <v>26</v>
      </c>
      <c r="D368" s="2" t="s">
        <v>18</v>
      </c>
      <c r="E368" s="4">
        <v>-32382</v>
      </c>
      <c r="F368" s="3" t="s">
        <v>1269</v>
      </c>
      <c r="G368" s="3" t="s">
        <v>183</v>
      </c>
      <c r="H368" s="2" t="s">
        <v>148</v>
      </c>
      <c r="I368" s="2" t="s">
        <v>1270</v>
      </c>
      <c r="J368" s="3" t="str">
        <f>HYPERLINK("https://www.boe.es/gazeta/dias/1811/05/04/pdfs/GEI-1811-59.pdf#page=4","Abrir facsímil")</f>
        <v>Abrir facsímil</v>
      </c>
      <c r="K368" s="3" t="s">
        <v>150</v>
      </c>
    </row>
    <row r="369" spans="1:11" ht="42" customHeight="1">
      <c r="A369" s="2" t="s">
        <v>1260</v>
      </c>
      <c r="B369" s="2" t="s">
        <v>1260</v>
      </c>
      <c r="C369" s="2" t="s">
        <v>17</v>
      </c>
      <c r="D369" s="2" t="s">
        <v>18</v>
      </c>
      <c r="E369" s="4">
        <v>-32340</v>
      </c>
      <c r="F369" s="3" t="s">
        <v>565</v>
      </c>
      <c r="G369" s="3" t="s">
        <v>39</v>
      </c>
      <c r="H369" s="2" t="s">
        <v>148</v>
      </c>
      <c r="I369" s="2" t="s">
        <v>1271</v>
      </c>
      <c r="J369" s="3" t="str">
        <f>HYPERLINK("https://www.boe.es/gazeta/dias/1811/06/15/pdfs/GEI-1811-80.pdf#page=1","Abrir facsímil")</f>
        <v>Abrir facsímil</v>
      </c>
      <c r="K369" s="3" t="s">
        <v>150</v>
      </c>
    </row>
    <row r="370" spans="1:11" ht="42" customHeight="1">
      <c r="A370" s="2" t="s">
        <v>1260</v>
      </c>
      <c r="B370" s="2" t="s">
        <v>1260</v>
      </c>
      <c r="C370" s="2" t="s">
        <v>17</v>
      </c>
      <c r="D370" s="2" t="s">
        <v>18</v>
      </c>
      <c r="E370" s="4">
        <v>-32333</v>
      </c>
      <c r="F370" s="3" t="s">
        <v>292</v>
      </c>
      <c r="G370" s="3" t="s">
        <v>178</v>
      </c>
      <c r="H370" s="2" t="s">
        <v>148</v>
      </c>
      <c r="I370" s="2" t="s">
        <v>1272</v>
      </c>
      <c r="J370" s="3" t="str">
        <f>HYPERLINK("https://www.boe.es/gazeta/dias/1811/06/22/pdfs/GEI-1811-83.pdf#page=4","Abrir facsímil")</f>
        <v>Abrir facsímil</v>
      </c>
      <c r="K370" s="3" t="s">
        <v>150</v>
      </c>
    </row>
    <row r="371" spans="1:11" ht="42" customHeight="1">
      <c r="A371" s="2" t="s">
        <v>1260</v>
      </c>
      <c r="B371" s="2" t="s">
        <v>1260</v>
      </c>
      <c r="C371" s="2" t="s">
        <v>26</v>
      </c>
      <c r="D371" s="2" t="s">
        <v>18</v>
      </c>
      <c r="E371" s="4">
        <v>-32292</v>
      </c>
      <c r="F371" s="3" t="s">
        <v>408</v>
      </c>
      <c r="G371" s="3" t="s">
        <v>409</v>
      </c>
      <c r="H371" s="2" t="s">
        <v>148</v>
      </c>
      <c r="I371" s="2" t="s">
        <v>1273</v>
      </c>
      <c r="J371" s="3" t="str">
        <f>HYPERLINK("https://www.boe.es/gazeta/dias/1811/08/02/pdfs/GMD-1811-214.pdf#page=4","Abrir facsímil")</f>
        <v>Abrir facsímil</v>
      </c>
      <c r="K371" s="3" t="s">
        <v>150</v>
      </c>
    </row>
    <row r="372" spans="1:11" ht="42" customHeight="1">
      <c r="A372" s="2" t="s">
        <v>1260</v>
      </c>
      <c r="B372" s="2" t="s">
        <v>1260</v>
      </c>
      <c r="C372" s="2" t="s">
        <v>26</v>
      </c>
      <c r="D372" s="2" t="s">
        <v>18</v>
      </c>
      <c r="E372" s="4">
        <v>-32281</v>
      </c>
      <c r="F372" s="3" t="s">
        <v>1041</v>
      </c>
      <c r="G372" s="3" t="s">
        <v>115</v>
      </c>
      <c r="H372" s="2" t="s">
        <v>148</v>
      </c>
      <c r="I372" s="2" t="s">
        <v>1274</v>
      </c>
      <c r="J372" s="3" t="str">
        <f>HYPERLINK("https://www.boe.es/gazeta/dias/1811/08/13/pdfs/GMD-1811-225.pdf#page=3","Abrir facsímil")</f>
        <v>Abrir facsímil</v>
      </c>
      <c r="K372" s="3" t="s">
        <v>150</v>
      </c>
    </row>
    <row r="373" spans="1:11" ht="42" customHeight="1">
      <c r="A373" s="2" t="s">
        <v>1260</v>
      </c>
      <c r="B373" s="2" t="s">
        <v>1260</v>
      </c>
      <c r="C373" s="2" t="s">
        <v>367</v>
      </c>
      <c r="D373" s="2" t="s">
        <v>18</v>
      </c>
      <c r="E373" s="4">
        <v>-32281</v>
      </c>
      <c r="F373" s="3" t="s">
        <v>1041</v>
      </c>
      <c r="G373" s="3" t="s">
        <v>468</v>
      </c>
      <c r="H373" s="2" t="s">
        <v>148</v>
      </c>
      <c r="I373" s="2" t="s">
        <v>1275</v>
      </c>
      <c r="J373" s="3" t="str">
        <f>HYPERLINK("https://www.boe.es/gazeta/dias/1811/08/13/pdfs/GMD-1811-225.pdf#page=4","Abrir facsímil")</f>
        <v>Abrir facsímil</v>
      </c>
      <c r="K373" s="3" t="s">
        <v>150</v>
      </c>
    </row>
    <row r="374" spans="1:11" ht="42" customHeight="1">
      <c r="A374" s="2" t="s">
        <v>1260</v>
      </c>
      <c r="B374" s="2" t="s">
        <v>1260</v>
      </c>
      <c r="C374" s="2" t="s">
        <v>26</v>
      </c>
      <c r="D374" s="2" t="s">
        <v>18</v>
      </c>
      <c r="E374" s="4">
        <v>-32279</v>
      </c>
      <c r="F374" s="3" t="s">
        <v>540</v>
      </c>
      <c r="G374" s="3" t="s">
        <v>91</v>
      </c>
      <c r="H374" s="2" t="s">
        <v>148</v>
      </c>
      <c r="I374" s="2" t="s">
        <v>1276</v>
      </c>
      <c r="J374" s="3" t="str">
        <f>HYPERLINK("https://www.boe.es/gazeta/dias/1811/08/15/pdfs/GMD-1811-227.pdf#page=3","Abrir facsímil")</f>
        <v>Abrir facsímil</v>
      </c>
      <c r="K374" s="3" t="s">
        <v>150</v>
      </c>
    </row>
    <row r="375" spans="1:11" ht="42" customHeight="1">
      <c r="A375" s="2" t="s">
        <v>1260</v>
      </c>
      <c r="B375" s="2" t="s">
        <v>1260</v>
      </c>
      <c r="C375" s="2" t="s">
        <v>26</v>
      </c>
      <c r="D375" s="2" t="s">
        <v>18</v>
      </c>
      <c r="E375" s="4">
        <v>-32275</v>
      </c>
      <c r="F375" s="3" t="s">
        <v>1277</v>
      </c>
      <c r="G375" s="3" t="s">
        <v>183</v>
      </c>
      <c r="H375" s="2" t="s">
        <v>148</v>
      </c>
      <c r="I375" s="2" t="s">
        <v>1278</v>
      </c>
      <c r="J375" s="3" t="str">
        <f>HYPERLINK("https://www.boe.es/gazeta/dias/1811/08/19/pdfs/GMD-1811-231.pdf#page=4","Abrir facsímil")</f>
        <v>Abrir facsímil</v>
      </c>
      <c r="K375" s="3" t="s">
        <v>150</v>
      </c>
    </row>
    <row r="376" spans="1:11" ht="42" customHeight="1">
      <c r="A376" s="2" t="s">
        <v>1260</v>
      </c>
      <c r="B376" s="2" t="s">
        <v>1260</v>
      </c>
      <c r="C376" s="2" t="s">
        <v>26</v>
      </c>
      <c r="D376" s="2" t="s">
        <v>18</v>
      </c>
      <c r="E376" s="4">
        <v>-32270</v>
      </c>
      <c r="F376" s="3" t="s">
        <v>431</v>
      </c>
      <c r="G376" s="3" t="s">
        <v>432</v>
      </c>
      <c r="H376" s="2" t="s">
        <v>148</v>
      </c>
      <c r="I376" s="2" t="s">
        <v>1279</v>
      </c>
      <c r="J376" s="3" t="str">
        <f>HYPERLINK("https://www.boe.es/gazeta/dias/1811/08/24/pdfs/GEI-1811-110.pdf#page=4","Abrir facsímil")</f>
        <v>Abrir facsímil</v>
      </c>
      <c r="K376" s="3" t="s">
        <v>150</v>
      </c>
    </row>
    <row r="377" spans="1:11" ht="42" customHeight="1">
      <c r="A377" s="2" t="s">
        <v>1260</v>
      </c>
      <c r="B377" s="2" t="s">
        <v>1260</v>
      </c>
      <c r="C377" s="2" t="s">
        <v>37</v>
      </c>
      <c r="D377" s="2" t="s">
        <v>105</v>
      </c>
      <c r="E377" s="4">
        <v>-32235</v>
      </c>
      <c r="F377" s="3" t="s">
        <v>376</v>
      </c>
      <c r="G377" s="3" t="s">
        <v>1280</v>
      </c>
      <c r="H377" s="2" t="s">
        <v>148</v>
      </c>
      <c r="I377" s="2" t="s">
        <v>1281</v>
      </c>
      <c r="J377" s="3" t="str">
        <f>HYPERLINK("https://www.boe.es/gazeta/dias/1811/09/28/pdfs/GMD-1811-271.pdf#page=2","Abrir facsímil")</f>
        <v>Abrir facsímil</v>
      </c>
      <c r="K377" s="3" t="s">
        <v>150</v>
      </c>
    </row>
    <row r="378" spans="1:11" ht="42" customHeight="1">
      <c r="A378" s="2" t="s">
        <v>1260</v>
      </c>
      <c r="B378" s="2" t="s">
        <v>1260</v>
      </c>
      <c r="C378" s="2" t="s">
        <v>26</v>
      </c>
      <c r="D378" s="2" t="s">
        <v>18</v>
      </c>
      <c r="E378" s="4">
        <v>-32190</v>
      </c>
      <c r="F378" s="3" t="s">
        <v>1282</v>
      </c>
      <c r="G378" s="3" t="s">
        <v>47</v>
      </c>
      <c r="H378" s="2" t="s">
        <v>148</v>
      </c>
      <c r="I378" s="2" t="s">
        <v>1283</v>
      </c>
      <c r="J378" s="3" t="str">
        <f>HYPERLINK("https://www.boe.es/gazeta/dias/1811/11/12/pdfs/GMD-1811-316.pdf#page=3","Abrir facsímil")</f>
        <v>Abrir facsímil</v>
      </c>
      <c r="K378" s="3" t="s">
        <v>150</v>
      </c>
    </row>
    <row r="379" spans="1:11" ht="42" customHeight="1">
      <c r="A379" s="2" t="s">
        <v>1260</v>
      </c>
      <c r="B379" s="2" t="s">
        <v>1260</v>
      </c>
      <c r="C379" s="2" t="s">
        <v>17</v>
      </c>
      <c r="D379" s="2" t="s">
        <v>18</v>
      </c>
      <c r="E379" s="4">
        <v>-32171</v>
      </c>
      <c r="F379" s="3" t="s">
        <v>157</v>
      </c>
      <c r="G379" s="3" t="s">
        <v>44</v>
      </c>
      <c r="H379" s="2" t="s">
        <v>148</v>
      </c>
      <c r="I379" s="2" t="s">
        <v>1284</v>
      </c>
      <c r="J379" s="3" t="str">
        <f>HYPERLINK("https://www.boe.es/gazeta/dias/1811/12/01/pdfs/GMD-1811-335.pdf#page=4","Abrir facsímil")</f>
        <v>Abrir facsímil</v>
      </c>
      <c r="K379" s="3" t="s">
        <v>150</v>
      </c>
    </row>
    <row r="380" spans="1:11" ht="42" customHeight="1">
      <c r="A380" s="2" t="s">
        <v>1260</v>
      </c>
      <c r="B380" s="2" t="s">
        <v>1260</v>
      </c>
      <c r="C380" s="2" t="s">
        <v>367</v>
      </c>
      <c r="D380" s="2" t="s">
        <v>18</v>
      </c>
      <c r="E380" s="4">
        <v>-32153</v>
      </c>
      <c r="F380" s="3" t="s">
        <v>123</v>
      </c>
      <c r="G380" s="3" t="s">
        <v>288</v>
      </c>
      <c r="H380" s="2" t="s">
        <v>148</v>
      </c>
      <c r="I380" s="2" t="s">
        <v>1285</v>
      </c>
      <c r="J380" s="3" t="str">
        <f>HYPERLINK("https://www.boe.es/gazeta/dias/1811/12/19/pdfs/GMD-1811-353.pdf#page=4","Abrir facsímil")</f>
        <v>Abrir facsímil</v>
      </c>
      <c r="K380" s="3" t="s">
        <v>150</v>
      </c>
    </row>
    <row r="381" spans="1:11" ht="42" customHeight="1">
      <c r="A381" s="2" t="s">
        <v>1260</v>
      </c>
      <c r="B381" s="2" t="s">
        <v>1260</v>
      </c>
      <c r="C381" s="2" t="s">
        <v>17</v>
      </c>
      <c r="D381" s="2" t="s">
        <v>105</v>
      </c>
      <c r="E381" s="4">
        <v>-32146</v>
      </c>
      <c r="F381" s="3" t="s">
        <v>777</v>
      </c>
      <c r="G381" s="3" t="s">
        <v>846</v>
      </c>
      <c r="H381" s="2" t="s">
        <v>148</v>
      </c>
      <c r="I381" s="2" t="s">
        <v>1286</v>
      </c>
      <c r="J381" s="3" t="str">
        <f>HYPERLINK("https://www.boe.es/gazeta/dias/1811/12/26/pdfs/GEI-1811-167.pdf#page=8","Abrir facsímil")</f>
        <v>Abrir facsímil</v>
      </c>
      <c r="K381" s="3" t="s">
        <v>150</v>
      </c>
    </row>
    <row r="382" spans="1:11" ht="42" customHeight="1">
      <c r="A382" s="2" t="s">
        <v>1287</v>
      </c>
      <c r="B382" s="2" t="s">
        <v>1288</v>
      </c>
      <c r="C382" s="2" t="s">
        <v>26</v>
      </c>
      <c r="D382" s="2" t="s">
        <v>18</v>
      </c>
      <c r="E382" s="4">
        <v>-32279</v>
      </c>
      <c r="F382" s="3" t="s">
        <v>540</v>
      </c>
      <c r="G382" s="3" t="s">
        <v>91</v>
      </c>
      <c r="H382" s="2" t="s">
        <v>148</v>
      </c>
      <c r="I382" s="2" t="s">
        <v>1289</v>
      </c>
      <c r="J382" s="3" t="str">
        <f>HYPERLINK("https://www.boe.es/gazeta/dias/1811/08/15/pdfs/GMD-1811-227.pdf#page=3","Abrir facsímil")</f>
        <v>Abrir facsímil</v>
      </c>
      <c r="K382" s="3" t="s">
        <v>150</v>
      </c>
    </row>
    <row r="383" spans="1:11" ht="42" customHeight="1">
      <c r="A383" s="2" t="s">
        <v>1290</v>
      </c>
      <c r="B383" s="2" t="s">
        <v>1291</v>
      </c>
      <c r="C383" s="2" t="s">
        <v>17</v>
      </c>
      <c r="D383" s="2" t="s">
        <v>156</v>
      </c>
      <c r="E383" s="4">
        <v>-32491</v>
      </c>
      <c r="F383" s="3" t="s">
        <v>533</v>
      </c>
      <c r="G383" s="3" t="s">
        <v>597</v>
      </c>
      <c r="H383" s="2" t="s">
        <v>148</v>
      </c>
      <c r="I383" s="2" t="s">
        <v>1292</v>
      </c>
      <c r="J383" s="3" t="str">
        <f>HYPERLINK("https://www.boe.es/gazeta/dias/1811/01/15/pdfs/GEI-1811-7.pdf#page=2","Abrir facsímil")</f>
        <v>Abrir facsímil</v>
      </c>
      <c r="K383" s="3" t="s">
        <v>150</v>
      </c>
    </row>
    <row r="384" spans="1:11" ht="42" customHeight="1">
      <c r="A384" s="2" t="s">
        <v>1293</v>
      </c>
      <c r="B384" s="2" t="s">
        <v>1294</v>
      </c>
      <c r="C384" s="2" t="s">
        <v>26</v>
      </c>
      <c r="D384" s="2" t="s">
        <v>18</v>
      </c>
      <c r="E384" s="4">
        <v>-32242</v>
      </c>
      <c r="F384" s="3" t="s">
        <v>1295</v>
      </c>
      <c r="G384" s="3" t="s">
        <v>1296</v>
      </c>
      <c r="H384" s="2" t="s">
        <v>148</v>
      </c>
      <c r="I384" s="2" t="s">
        <v>1297</v>
      </c>
      <c r="J384" s="3" t="str">
        <f>HYPERLINK("https://www.boe.es/gazeta/dias/1811/09/21/pdfs/GEI-1811-122.pdf#page=8","Abrir facsímil")</f>
        <v>Abrir facsímil</v>
      </c>
      <c r="K384" s="3" t="s">
        <v>150</v>
      </c>
    </row>
    <row r="385" spans="1:11" ht="42" customHeight="1">
      <c r="A385" s="2" t="s">
        <v>1298</v>
      </c>
      <c r="B385" s="2" t="s">
        <v>1299</v>
      </c>
      <c r="C385" s="2" t="s">
        <v>26</v>
      </c>
      <c r="D385" s="2" t="s">
        <v>141</v>
      </c>
      <c r="E385" s="4">
        <v>-32355</v>
      </c>
      <c r="F385" s="3" t="s">
        <v>537</v>
      </c>
      <c r="G385" s="3" t="s">
        <v>44</v>
      </c>
      <c r="H385" s="2" t="s">
        <v>148</v>
      </c>
      <c r="I385" s="2" t="s">
        <v>1300</v>
      </c>
      <c r="J385" s="3" t="str">
        <f>HYPERLINK("https://www.boe.es/gazeta/dias/1811/05/31/pdfs/GMD-C-1811-151.pdf#page=9","Abrir facsímil")</f>
        <v>Abrir facsímil</v>
      </c>
      <c r="K385" s="3" t="s">
        <v>150</v>
      </c>
    </row>
    <row r="386" spans="1:11" ht="42" customHeight="1">
      <c r="A386" s="2" t="s">
        <v>1298</v>
      </c>
      <c r="B386" s="2" t="s">
        <v>1299</v>
      </c>
      <c r="C386" s="2" t="s">
        <v>66</v>
      </c>
      <c r="D386" s="2" t="s">
        <v>18</v>
      </c>
      <c r="E386" s="4">
        <v>-32153</v>
      </c>
      <c r="F386" s="3" t="s">
        <v>123</v>
      </c>
      <c r="G386" s="3" t="s">
        <v>288</v>
      </c>
      <c r="H386" s="2" t="s">
        <v>148</v>
      </c>
      <c r="I386" s="2" t="s">
        <v>1301</v>
      </c>
      <c r="J386" s="3" t="str">
        <f>HYPERLINK("https://www.boe.es/gazeta/dias/1811/12/19/pdfs/GMD-1811-353.pdf#page=4","Abrir facsímil")</f>
        <v>Abrir facsímil</v>
      </c>
      <c r="K386" s="3" t="s">
        <v>150</v>
      </c>
    </row>
    <row r="387" spans="1:11" ht="42" customHeight="1">
      <c r="A387" s="2" t="s">
        <v>1302</v>
      </c>
      <c r="B387" s="2" t="s">
        <v>1303</v>
      </c>
      <c r="C387" s="2" t="s">
        <v>26</v>
      </c>
      <c r="D387" s="2" t="s">
        <v>141</v>
      </c>
      <c r="E387" s="4">
        <v>-32365</v>
      </c>
      <c r="F387" s="3" t="s">
        <v>1304</v>
      </c>
      <c r="G387" s="3" t="s">
        <v>120</v>
      </c>
      <c r="H387" s="2" t="s">
        <v>148</v>
      </c>
      <c r="I387" s="2" t="s">
        <v>1305</v>
      </c>
      <c r="J387" s="3" t="str">
        <f>HYPERLINK("https://www.boe.es/gazeta/dias/1811/05/21/pdfs/GEI-D-1811-67.pdf#page=4","Abrir facsímil")</f>
        <v>Abrir facsímil</v>
      </c>
      <c r="K387" s="3" t="s">
        <v>150</v>
      </c>
    </row>
    <row r="388" spans="1:11" ht="42" customHeight="1">
      <c r="A388" s="2" t="s">
        <v>1306</v>
      </c>
      <c r="B388" s="2" t="s">
        <v>1307</v>
      </c>
      <c r="C388" s="2" t="s">
        <v>26</v>
      </c>
      <c r="D388" s="2" t="s">
        <v>105</v>
      </c>
      <c r="E388" s="4">
        <v>-32428</v>
      </c>
      <c r="F388" s="3" t="s">
        <v>351</v>
      </c>
      <c r="G388" s="3" t="s">
        <v>352</v>
      </c>
      <c r="H388" s="2" t="s">
        <v>148</v>
      </c>
      <c r="I388" s="2" t="s">
        <v>1308</v>
      </c>
      <c r="J388" s="3" t="str">
        <f>HYPERLINK("https://www.boe.es/gazeta/dias/1811/03/19/pdfs/GMD-1811-78.pdf#page=4","Abrir facsímil")</f>
        <v>Abrir facsímil</v>
      </c>
      <c r="K388" s="3" t="s">
        <v>150</v>
      </c>
    </row>
    <row r="389" spans="1:11" ht="42" customHeight="1">
      <c r="A389" s="2" t="s">
        <v>1309</v>
      </c>
      <c r="B389" s="2" t="s">
        <v>1310</v>
      </c>
      <c r="C389" s="2" t="s">
        <v>17</v>
      </c>
      <c r="D389" s="2" t="s">
        <v>156</v>
      </c>
      <c r="E389" s="4">
        <v>-32428</v>
      </c>
      <c r="F389" s="3" t="s">
        <v>351</v>
      </c>
      <c r="G389" s="3" t="s">
        <v>57</v>
      </c>
      <c r="H389" s="2" t="s">
        <v>148</v>
      </c>
      <c r="I389" s="2" t="s">
        <v>1311</v>
      </c>
      <c r="J389" s="3" t="str">
        <f>HYPERLINK("https://www.boe.es/gazeta/dias/1811/03/19/pdfs/GMD-1811-78.pdf#page=2","Abrir facsímil")</f>
        <v>Abrir facsímil</v>
      </c>
      <c r="K389" s="3" t="s">
        <v>150</v>
      </c>
    </row>
    <row r="390" spans="1:11" ht="42" customHeight="1">
      <c r="A390" s="2" t="s">
        <v>1312</v>
      </c>
      <c r="B390" s="2" t="s">
        <v>1313</v>
      </c>
      <c r="C390" s="2" t="s">
        <v>17</v>
      </c>
      <c r="D390" s="2" t="s">
        <v>141</v>
      </c>
      <c r="E390" s="4">
        <v>-32188</v>
      </c>
      <c r="F390" s="3" t="s">
        <v>505</v>
      </c>
      <c r="G390" s="3" t="s">
        <v>162</v>
      </c>
      <c r="H390" s="2" t="s">
        <v>148</v>
      </c>
      <c r="I390" s="2" t="s">
        <v>1314</v>
      </c>
      <c r="J390" s="3" t="str">
        <f>HYPERLINK("https://www.boe.es/gazeta/dias/1811/11/14/pdfs/GEI-D-1811-149.pdf#page=4","Abrir facsímil")</f>
        <v>Abrir facsímil</v>
      </c>
      <c r="K390" s="3" t="s">
        <v>150</v>
      </c>
    </row>
    <row r="391" spans="1:11" ht="42" customHeight="1">
      <c r="A391" s="2" t="s">
        <v>1312</v>
      </c>
      <c r="B391" s="2" t="s">
        <v>1313</v>
      </c>
      <c r="C391" s="2" t="s">
        <v>17</v>
      </c>
      <c r="D391" s="2" t="s">
        <v>156</v>
      </c>
      <c r="E391" s="4">
        <v>-32153</v>
      </c>
      <c r="F391" s="3" t="s">
        <v>235</v>
      </c>
      <c r="G391" s="3" t="s">
        <v>1315</v>
      </c>
      <c r="H391" s="2" t="s">
        <v>148</v>
      </c>
      <c r="I391" s="2" t="s">
        <v>1316</v>
      </c>
      <c r="J391" s="3" t="str">
        <f>HYPERLINK("https://www.boe.es/gazeta/dias/1811/12/19/pdfs/GEI-1811-164.pdf#page=2","Abrir facsímil")</f>
        <v>Abrir facsímil</v>
      </c>
      <c r="K391" s="3" t="s">
        <v>150</v>
      </c>
    </row>
    <row r="392" spans="1:11" ht="42" customHeight="1">
      <c r="A392" s="2" t="s">
        <v>1317</v>
      </c>
      <c r="B392" s="2" t="s">
        <v>1318</v>
      </c>
      <c r="C392" s="2" t="s">
        <v>17</v>
      </c>
      <c r="D392" s="2" t="s">
        <v>156</v>
      </c>
      <c r="E392" s="4">
        <v>-32428</v>
      </c>
      <c r="F392" s="3" t="s">
        <v>351</v>
      </c>
      <c r="G392" s="3" t="s">
        <v>352</v>
      </c>
      <c r="H392" s="2" t="s">
        <v>148</v>
      </c>
      <c r="I392" s="2" t="s">
        <v>1319</v>
      </c>
      <c r="J392" s="3" t="str">
        <f>HYPERLINK("https://www.boe.es/gazeta/dias/1811/03/19/pdfs/GMD-1811-78.pdf#page=4","Abrir facsímil")</f>
        <v>Abrir facsímil</v>
      </c>
      <c r="K392" s="3" t="s">
        <v>150</v>
      </c>
    </row>
    <row r="393" spans="1:11" ht="42" customHeight="1">
      <c r="A393" s="2" t="s">
        <v>1320</v>
      </c>
      <c r="B393" s="2" t="s">
        <v>1321</v>
      </c>
      <c r="C393" s="2" t="s">
        <v>17</v>
      </c>
      <c r="D393" s="2" t="s">
        <v>18</v>
      </c>
      <c r="E393" s="4">
        <v>-32379</v>
      </c>
      <c r="F393" s="3" t="s">
        <v>462</v>
      </c>
      <c r="G393" s="3" t="s">
        <v>228</v>
      </c>
      <c r="H393" s="2" t="s">
        <v>148</v>
      </c>
      <c r="I393" s="2" t="s">
        <v>1322</v>
      </c>
      <c r="J393" s="3" t="str">
        <f>HYPERLINK("https://www.boe.es/gazeta/dias/1811/05/07/pdfs/GEI-1811-60.pdf#page=3","Abrir facsímil")</f>
        <v>Abrir facsímil</v>
      </c>
      <c r="K393" s="3" t="s">
        <v>150</v>
      </c>
    </row>
    <row r="394" spans="1:11" ht="42" customHeight="1">
      <c r="A394" s="2" t="s">
        <v>1323</v>
      </c>
      <c r="B394" s="2" t="s">
        <v>1323</v>
      </c>
      <c r="C394" s="2" t="s">
        <v>841</v>
      </c>
      <c r="D394" s="2" t="s">
        <v>18</v>
      </c>
      <c r="E394" s="4">
        <v>-32209</v>
      </c>
      <c r="F394" s="3" t="s">
        <v>1324</v>
      </c>
      <c r="G394" s="3" t="s">
        <v>1325</v>
      </c>
      <c r="H394" s="2" t="s">
        <v>148</v>
      </c>
      <c r="I394" s="2" t="s">
        <v>1326</v>
      </c>
      <c r="J394" s="3" t="str">
        <f>HYPERLINK("https://www.boe.es/gazeta/dias/1811/10/24/pdfs/GMD-1811-297.pdf#page=2","Abrir facsímil")</f>
        <v>Abrir facsímil</v>
      </c>
      <c r="K394" s="3" t="s">
        <v>150</v>
      </c>
    </row>
    <row r="395" spans="1:11" ht="42" customHeight="1">
      <c r="A395" s="2" t="s">
        <v>1327</v>
      </c>
      <c r="B395" s="2" t="s">
        <v>1328</v>
      </c>
      <c r="C395" s="2" t="s">
        <v>17</v>
      </c>
      <c r="D395" s="2" t="s">
        <v>156</v>
      </c>
      <c r="E395" s="4">
        <v>-32185</v>
      </c>
      <c r="F395" s="3" t="s">
        <v>1329</v>
      </c>
      <c r="G395" s="3" t="s">
        <v>120</v>
      </c>
      <c r="H395" s="2" t="s">
        <v>148</v>
      </c>
      <c r="I395" s="2" t="s">
        <v>1330</v>
      </c>
      <c r="J395" s="3" t="str">
        <f>HYPERLINK("https://www.boe.es/gazeta/dias/1811/11/17/pdfs/GMD-1811-321.pdf#page=4","Abrir facsímil")</f>
        <v>Abrir facsímil</v>
      </c>
      <c r="K395" s="3" t="s">
        <v>150</v>
      </c>
    </row>
    <row r="396" spans="1:11" ht="42" customHeight="1">
      <c r="A396" s="2" t="s">
        <v>1331</v>
      </c>
      <c r="B396" s="2" t="s">
        <v>1332</v>
      </c>
      <c r="C396" s="2" t="s">
        <v>26</v>
      </c>
      <c r="D396" s="2" t="s">
        <v>18</v>
      </c>
      <c r="E396" s="4">
        <v>-32445</v>
      </c>
      <c r="F396" s="3" t="s">
        <v>880</v>
      </c>
      <c r="G396" s="3" t="s">
        <v>881</v>
      </c>
      <c r="H396" s="2" t="s">
        <v>148</v>
      </c>
      <c r="I396" s="2" t="s">
        <v>1333</v>
      </c>
      <c r="J396" s="3" t="str">
        <f>HYPERLINK("https://www.boe.es/gazeta/dias/1811/03/02/pdfs/GMD-1811-61.pdf#page=3","Abrir facsímil")</f>
        <v>Abrir facsímil</v>
      </c>
      <c r="K396" s="3" t="s">
        <v>150</v>
      </c>
    </row>
    <row r="397" spans="1:11" ht="42" customHeight="1">
      <c r="A397" s="2" t="s">
        <v>1334</v>
      </c>
      <c r="B397" s="2" t="s">
        <v>1335</v>
      </c>
      <c r="C397" s="2" t="s">
        <v>26</v>
      </c>
      <c r="D397" s="2" t="s">
        <v>18</v>
      </c>
      <c r="E397" s="4">
        <v>-32421</v>
      </c>
      <c r="F397" s="3" t="s">
        <v>79</v>
      </c>
      <c r="G397" s="3" t="s">
        <v>488</v>
      </c>
      <c r="H397" s="2" t="s">
        <v>148</v>
      </c>
      <c r="I397" s="2" t="s">
        <v>1336</v>
      </c>
      <c r="J397" s="3" t="str">
        <f>HYPERLINK("https://www.boe.es/gazeta/dias/1811/03/26/pdfs/GEI-1811-42.pdf#page=8","Abrir facsímil")</f>
        <v>Abrir facsímil</v>
      </c>
      <c r="K397" s="3" t="s">
        <v>150</v>
      </c>
    </row>
    <row r="398" spans="1:11" ht="42" customHeight="1">
      <c r="A398" s="2" t="s">
        <v>1337</v>
      </c>
      <c r="B398" s="2" t="s">
        <v>1337</v>
      </c>
      <c r="C398" s="2" t="s">
        <v>17</v>
      </c>
      <c r="D398" s="2" t="s">
        <v>18</v>
      </c>
      <c r="E398" s="4">
        <v>-32414</v>
      </c>
      <c r="F398" s="3" t="s">
        <v>213</v>
      </c>
      <c r="G398" s="3" t="s">
        <v>91</v>
      </c>
      <c r="H398" s="2" t="s">
        <v>148</v>
      </c>
      <c r="I398" s="2" t="s">
        <v>1338</v>
      </c>
      <c r="J398" s="3" t="str">
        <f>HYPERLINK("https://www.boe.es/gazeta/dias/1811/04/02/pdfs/GEI-1811-45.pdf#page=2","Abrir facsímil")</f>
        <v>Abrir facsímil</v>
      </c>
      <c r="K398" s="3" t="s">
        <v>150</v>
      </c>
    </row>
    <row r="399" spans="1:11" ht="42" customHeight="1">
      <c r="A399" s="2" t="s">
        <v>1339</v>
      </c>
      <c r="B399" s="2" t="s">
        <v>1339</v>
      </c>
      <c r="C399" s="2" t="s">
        <v>367</v>
      </c>
      <c r="D399" s="2" t="s">
        <v>18</v>
      </c>
      <c r="E399" s="4">
        <v>-32414</v>
      </c>
      <c r="F399" s="3" t="s">
        <v>213</v>
      </c>
      <c r="G399" s="3" t="s">
        <v>20</v>
      </c>
      <c r="H399" s="2" t="s">
        <v>148</v>
      </c>
      <c r="I399" s="2" t="s">
        <v>1340</v>
      </c>
      <c r="J399" s="3" t="str">
        <f>HYPERLINK("https://www.boe.es/gazeta/dias/1811/04/02/pdfs/GEI-1811-45.pdf#page=3","Abrir facsímil")</f>
        <v>Abrir facsímil</v>
      </c>
      <c r="K399" s="3" t="s">
        <v>150</v>
      </c>
    </row>
    <row r="400" spans="1:11" ht="42" customHeight="1">
      <c r="A400" s="2" t="s">
        <v>1341</v>
      </c>
      <c r="B400" s="2" t="s">
        <v>1341</v>
      </c>
      <c r="C400" s="2" t="s">
        <v>104</v>
      </c>
      <c r="D400" s="2" t="s">
        <v>18</v>
      </c>
      <c r="E400" s="4">
        <v>-32141</v>
      </c>
      <c r="F400" s="3" t="s">
        <v>308</v>
      </c>
      <c r="G400" s="3" t="s">
        <v>309</v>
      </c>
      <c r="H400" s="2" t="s">
        <v>148</v>
      </c>
      <c r="I400" s="2" t="s">
        <v>1342</v>
      </c>
      <c r="J400" s="3" t="str">
        <f>HYPERLINK("https://www.boe.es/gazeta/dias/1811/12/31/pdfs/GEI-1811-169.pdf#page=3","Abrir facsímil")</f>
        <v>Abrir facsímil</v>
      </c>
      <c r="K400" s="3" t="s">
        <v>150</v>
      </c>
    </row>
    <row r="401" spans="1:11" ht="42" customHeight="1">
      <c r="A401" s="2" t="s">
        <v>1343</v>
      </c>
      <c r="B401" s="2" t="s">
        <v>1344</v>
      </c>
      <c r="C401" s="2" t="s">
        <v>26</v>
      </c>
      <c r="D401" s="2" t="s">
        <v>18</v>
      </c>
      <c r="E401" s="4">
        <v>-32379</v>
      </c>
      <c r="F401" s="3" t="s">
        <v>462</v>
      </c>
      <c r="G401" s="3" t="s">
        <v>463</v>
      </c>
      <c r="H401" s="2" t="s">
        <v>148</v>
      </c>
      <c r="I401" s="2" t="s">
        <v>1345</v>
      </c>
      <c r="J401" s="3" t="str">
        <f>HYPERLINK("https://www.boe.es/gazeta/dias/1811/05/07/pdfs/GEI-1811-60.pdf#page=8","Abrir facsímil")</f>
        <v>Abrir facsímil</v>
      </c>
      <c r="K401" s="3" t="s">
        <v>150</v>
      </c>
    </row>
    <row r="402" spans="1:11" ht="42" customHeight="1">
      <c r="A402" s="2" t="s">
        <v>1346</v>
      </c>
      <c r="B402" s="2" t="s">
        <v>1347</v>
      </c>
      <c r="C402" s="2" t="s">
        <v>26</v>
      </c>
      <c r="D402" s="2" t="s">
        <v>18</v>
      </c>
      <c r="E402" s="4">
        <v>-32249</v>
      </c>
      <c r="F402" s="3" t="s">
        <v>182</v>
      </c>
      <c r="G402" s="3" t="s">
        <v>183</v>
      </c>
      <c r="H402" s="2" t="s">
        <v>148</v>
      </c>
      <c r="I402" s="2" t="s">
        <v>1348</v>
      </c>
      <c r="J402" s="3" t="str">
        <f>HYPERLINK("https://www.boe.es/gazeta/dias/1811/09/14/pdfs/GMD-1811-257.pdf#page=4","Abrir facsímil")</f>
        <v>Abrir facsímil</v>
      </c>
      <c r="K402" s="3" t="s">
        <v>150</v>
      </c>
    </row>
    <row r="403" spans="1:11" ht="42" customHeight="1">
      <c r="A403" s="2" t="s">
        <v>1349</v>
      </c>
      <c r="B403" s="2" t="s">
        <v>1350</v>
      </c>
      <c r="C403" s="2" t="s">
        <v>17</v>
      </c>
      <c r="D403" s="2" t="s">
        <v>156</v>
      </c>
      <c r="E403" s="4">
        <v>-32217</v>
      </c>
      <c r="F403" s="3" t="s">
        <v>1351</v>
      </c>
      <c r="G403" s="3" t="s">
        <v>91</v>
      </c>
      <c r="H403" s="2" t="s">
        <v>148</v>
      </c>
      <c r="I403" s="2" t="s">
        <v>1352</v>
      </c>
      <c r="J403" s="3" t="str">
        <f>HYPERLINK("https://www.boe.es/gazeta/dias/1811/10/16/pdfs/GMD-1811-289.pdf#page=4","Abrir facsímil")</f>
        <v>Abrir facsímil</v>
      </c>
      <c r="K403" s="3" t="s">
        <v>150</v>
      </c>
    </row>
    <row r="404" spans="1:11" ht="42" customHeight="1">
      <c r="A404" s="2" t="s">
        <v>1353</v>
      </c>
      <c r="B404" s="2" t="s">
        <v>1354</v>
      </c>
      <c r="C404" s="2" t="s">
        <v>37</v>
      </c>
      <c r="D404" s="2" t="s">
        <v>18</v>
      </c>
      <c r="E404" s="4">
        <v>-32416</v>
      </c>
      <c r="F404" s="3" t="s">
        <v>954</v>
      </c>
      <c r="G404" s="3" t="s">
        <v>47</v>
      </c>
      <c r="H404" s="2" t="s">
        <v>148</v>
      </c>
      <c r="I404" s="2" t="s">
        <v>1355</v>
      </c>
      <c r="J404" s="3" t="str">
        <f>HYPERLINK("https://www.boe.es/gazeta/dias/1811/03/31/pdfs/GMD-1811-90.pdf#page=3","Abrir facsímil")</f>
        <v>Abrir facsímil</v>
      </c>
      <c r="K404" s="3" t="s">
        <v>150</v>
      </c>
    </row>
    <row r="405" spans="1:11" ht="42" customHeight="1">
      <c r="A405" s="2" t="s">
        <v>1356</v>
      </c>
      <c r="B405" s="2" t="s">
        <v>1357</v>
      </c>
      <c r="C405" s="2" t="s">
        <v>26</v>
      </c>
      <c r="D405" s="2" t="s">
        <v>18</v>
      </c>
      <c r="E405" s="4">
        <v>-32445</v>
      </c>
      <c r="F405" s="3" t="s">
        <v>880</v>
      </c>
      <c r="G405" s="3" t="s">
        <v>881</v>
      </c>
      <c r="H405" s="2" t="s">
        <v>148</v>
      </c>
      <c r="I405" s="2" t="s">
        <v>1358</v>
      </c>
      <c r="J405" s="3" t="str">
        <f>HYPERLINK("https://www.boe.es/gazeta/dias/1811/03/02/pdfs/GMD-1811-61.pdf#page=3","Abrir facsímil")</f>
        <v>Abrir facsímil</v>
      </c>
      <c r="K405" s="3" t="s">
        <v>150</v>
      </c>
    </row>
    <row r="406" spans="1:11" ht="42" customHeight="1">
      <c r="A406" s="2" t="s">
        <v>1359</v>
      </c>
      <c r="B406" s="2" t="s">
        <v>1360</v>
      </c>
      <c r="C406" s="2" t="s">
        <v>26</v>
      </c>
      <c r="D406" s="2" t="s">
        <v>18</v>
      </c>
      <c r="E406" s="4">
        <v>-32276</v>
      </c>
      <c r="F406" s="3" t="s">
        <v>1361</v>
      </c>
      <c r="G406" s="3" t="s">
        <v>183</v>
      </c>
      <c r="H406" s="2" t="s">
        <v>148</v>
      </c>
      <c r="I406" s="2" t="s">
        <v>1362</v>
      </c>
      <c r="J406" s="3" t="str">
        <f>HYPERLINK("https://www.boe.es/gazeta/dias/1811/08/18/pdfs/GMD-1811-230.pdf#page=4","Abrir facsímil")</f>
        <v>Abrir facsímil</v>
      </c>
      <c r="K406" s="3" t="s">
        <v>150</v>
      </c>
    </row>
    <row r="407" spans="1:11" ht="42" customHeight="1">
      <c r="A407" s="2" t="s">
        <v>1363</v>
      </c>
      <c r="B407" s="2" t="s">
        <v>1364</v>
      </c>
      <c r="C407" s="2" t="s">
        <v>17</v>
      </c>
      <c r="D407" s="2" t="s">
        <v>156</v>
      </c>
      <c r="E407" s="4">
        <v>-32333</v>
      </c>
      <c r="F407" s="3" t="s">
        <v>292</v>
      </c>
      <c r="G407" s="3" t="s">
        <v>293</v>
      </c>
      <c r="H407" s="2" t="s">
        <v>148</v>
      </c>
      <c r="I407" s="2" t="s">
        <v>1365</v>
      </c>
      <c r="J407" s="3" t="str">
        <f>HYPERLINK("https://www.boe.es/gazeta/dias/1811/06/22/pdfs/GEI-1811-83.pdf#page=8","Abrir facsímil")</f>
        <v>Abrir facsímil</v>
      </c>
      <c r="K407" s="3" t="s">
        <v>150</v>
      </c>
    </row>
    <row r="408" spans="1:11" ht="42" customHeight="1">
      <c r="A408" s="2" t="s">
        <v>1366</v>
      </c>
      <c r="B408" s="2" t="s">
        <v>1367</v>
      </c>
      <c r="C408" s="2" t="s">
        <v>17</v>
      </c>
      <c r="D408" s="2" t="s">
        <v>156</v>
      </c>
      <c r="E408" s="4">
        <v>-32225</v>
      </c>
      <c r="F408" s="3" t="s">
        <v>390</v>
      </c>
      <c r="G408" s="3" t="s">
        <v>1368</v>
      </c>
      <c r="H408" s="2" t="s">
        <v>148</v>
      </c>
      <c r="I408" s="2" t="s">
        <v>1369</v>
      </c>
      <c r="J408" s="3" t="str">
        <f>HYPERLINK("https://www.boe.es/gazeta/dias/1811/10/08/pdfs/GEI-1811-129.pdf#page=8","Abrir facsímil")</f>
        <v>Abrir facsímil</v>
      </c>
      <c r="K408" s="3" t="s">
        <v>150</v>
      </c>
    </row>
    <row r="409" spans="1:11" ht="42" customHeight="1">
      <c r="A409" s="2" t="s">
        <v>1370</v>
      </c>
      <c r="B409" s="2" t="s">
        <v>1371</v>
      </c>
      <c r="C409" s="2" t="s">
        <v>26</v>
      </c>
      <c r="D409" s="2" t="s">
        <v>18</v>
      </c>
      <c r="E409" s="4">
        <v>-32459</v>
      </c>
      <c r="F409" s="3" t="s">
        <v>1034</v>
      </c>
      <c r="G409" s="3" t="s">
        <v>510</v>
      </c>
      <c r="H409" s="2" t="s">
        <v>148</v>
      </c>
      <c r="I409" s="2" t="s">
        <v>1372</v>
      </c>
      <c r="J409" s="3" t="str">
        <f>HYPERLINK("https://www.boe.es/gazeta/dias/1811/02/16/pdfs/GEI-1811-21.pdf#page=8","Abrir facsímil")</f>
        <v>Abrir facsímil</v>
      </c>
      <c r="K409" s="3" t="s">
        <v>150</v>
      </c>
    </row>
    <row r="410" spans="1:11" ht="42" customHeight="1">
      <c r="A410" s="2" t="s">
        <v>1373</v>
      </c>
      <c r="B410" s="2" t="s">
        <v>1374</v>
      </c>
      <c r="C410" s="2" t="s">
        <v>26</v>
      </c>
      <c r="D410" s="2" t="s">
        <v>105</v>
      </c>
      <c r="E410" s="4">
        <v>-32249</v>
      </c>
      <c r="F410" s="3" t="s">
        <v>182</v>
      </c>
      <c r="G410" s="3" t="s">
        <v>183</v>
      </c>
      <c r="H410" s="2" t="s">
        <v>148</v>
      </c>
      <c r="I410" s="2" t="s">
        <v>1375</v>
      </c>
      <c r="J410" s="3" t="str">
        <f>HYPERLINK("https://www.boe.es/gazeta/dias/1811/09/14/pdfs/GMD-1811-257.pdf#page=4","Abrir facsímil")</f>
        <v>Abrir facsímil</v>
      </c>
      <c r="K410" s="3" t="s">
        <v>150</v>
      </c>
    </row>
    <row r="411" spans="1:11" ht="42" customHeight="1">
      <c r="A411" s="2" t="s">
        <v>1376</v>
      </c>
      <c r="B411" s="2" t="s">
        <v>1377</v>
      </c>
      <c r="C411" s="2" t="s">
        <v>26</v>
      </c>
      <c r="D411" s="2" t="s">
        <v>141</v>
      </c>
      <c r="E411" s="4">
        <v>-32249</v>
      </c>
      <c r="F411" s="3" t="s">
        <v>743</v>
      </c>
      <c r="G411" s="3" t="s">
        <v>1021</v>
      </c>
      <c r="H411" s="2" t="s">
        <v>148</v>
      </c>
      <c r="I411" s="2" t="s">
        <v>1378</v>
      </c>
      <c r="J411" s="3" t="str">
        <f>HYPERLINK("https://www.boe.es/gazeta/dias/1811/09/14/pdfs/GMD-C-1811-257.pdf#page=2","Abrir facsímil")</f>
        <v>Abrir facsímil</v>
      </c>
      <c r="K411" s="3" t="s">
        <v>150</v>
      </c>
    </row>
    <row r="412" spans="1:11" ht="42" customHeight="1">
      <c r="A412" s="2" t="s">
        <v>1379</v>
      </c>
      <c r="B412" s="2" t="s">
        <v>1380</v>
      </c>
      <c r="C412" s="2" t="s">
        <v>26</v>
      </c>
      <c r="D412" s="2" t="s">
        <v>105</v>
      </c>
      <c r="E412" s="4">
        <v>-32238</v>
      </c>
      <c r="F412" s="3" t="s">
        <v>166</v>
      </c>
      <c r="G412" s="3" t="s">
        <v>657</v>
      </c>
      <c r="H412" s="2" t="s">
        <v>148</v>
      </c>
      <c r="I412" s="2" t="s">
        <v>1381</v>
      </c>
      <c r="J412" s="3" t="str">
        <f>HYPERLINK("https://www.boe.es/gazeta/dias/1811/09/25/pdfs/GMD-C-1811-268.pdf#page=3","Abrir facsímil")</f>
        <v>Abrir facsímil</v>
      </c>
      <c r="K412" s="3" t="s">
        <v>150</v>
      </c>
    </row>
    <row r="413" spans="1:11" ht="42" customHeight="1">
      <c r="A413" s="2" t="s">
        <v>1382</v>
      </c>
      <c r="B413" s="2" t="s">
        <v>1382</v>
      </c>
      <c r="C413" s="2" t="s">
        <v>17</v>
      </c>
      <c r="D413" s="2" t="s">
        <v>204</v>
      </c>
      <c r="E413" s="4">
        <v>-32461</v>
      </c>
      <c r="F413" s="3" t="s">
        <v>1383</v>
      </c>
      <c r="G413" s="3" t="s">
        <v>1384</v>
      </c>
      <c r="H413" s="2" t="s">
        <v>148</v>
      </c>
      <c r="I413" s="2" t="s">
        <v>1385</v>
      </c>
      <c r="J413" s="3" t="str">
        <f>HYPERLINK("https://www.boe.es/gazeta/dias/1811/02/14/pdfs/GMD-1811-45.pdf#page=1","Abrir facsímil")</f>
        <v>Abrir facsímil</v>
      </c>
      <c r="K413" s="3" t="s">
        <v>150</v>
      </c>
    </row>
    <row r="414" spans="1:11" ht="42" customHeight="1">
      <c r="A414" s="2" t="s">
        <v>1386</v>
      </c>
      <c r="B414" s="2" t="s">
        <v>1387</v>
      </c>
      <c r="C414" s="2" t="s">
        <v>17</v>
      </c>
      <c r="D414" s="2" t="s">
        <v>18</v>
      </c>
      <c r="E414" s="4">
        <v>-32284</v>
      </c>
      <c r="F414" s="3" t="s">
        <v>170</v>
      </c>
      <c r="G414" s="3" t="s">
        <v>1388</v>
      </c>
      <c r="H414" s="2" t="s">
        <v>148</v>
      </c>
      <c r="I414" s="2" t="s">
        <v>1389</v>
      </c>
      <c r="J414" s="3" t="str">
        <f>HYPERLINK("https://www.boe.es/gazeta/dias/1811/08/10/pdfs/GEI-1811-104.pdf#page=8","Abrir facsímil")</f>
        <v>Abrir facsímil</v>
      </c>
      <c r="K414" s="3" t="s">
        <v>150</v>
      </c>
    </row>
    <row r="415" spans="1:11" ht="42" customHeight="1">
      <c r="A415" s="2" t="s">
        <v>1390</v>
      </c>
      <c r="B415" s="2" t="s">
        <v>1391</v>
      </c>
      <c r="C415" s="2" t="s">
        <v>26</v>
      </c>
      <c r="D415" s="2" t="s">
        <v>141</v>
      </c>
      <c r="E415" s="4">
        <v>-32249</v>
      </c>
      <c r="F415" s="3" t="s">
        <v>743</v>
      </c>
      <c r="G415" s="3" t="s">
        <v>468</v>
      </c>
      <c r="H415" s="2" t="s">
        <v>148</v>
      </c>
      <c r="I415" s="2" t="s">
        <v>1392</v>
      </c>
      <c r="J415" s="3" t="str">
        <f>HYPERLINK("https://www.boe.es/gazeta/dias/1811/09/14/pdfs/GMD-C-1811-257.pdf#page=1","Abrir facsímil")</f>
        <v>Abrir facsímil</v>
      </c>
      <c r="K415" s="3" t="s">
        <v>150</v>
      </c>
    </row>
    <row r="416" spans="1:11" ht="42" customHeight="1">
      <c r="A416" s="2" t="s">
        <v>1393</v>
      </c>
      <c r="B416" s="2" t="s">
        <v>1394</v>
      </c>
      <c r="C416" s="2" t="s">
        <v>26</v>
      </c>
      <c r="D416" s="2" t="s">
        <v>18</v>
      </c>
      <c r="E416" s="4">
        <v>-32170</v>
      </c>
      <c r="F416" s="3" t="s">
        <v>1183</v>
      </c>
      <c r="G416" s="3" t="s">
        <v>1184</v>
      </c>
      <c r="H416" s="2" t="s">
        <v>148</v>
      </c>
      <c r="I416" s="2" t="s">
        <v>1395</v>
      </c>
      <c r="J416" s="3" t="str">
        <f>HYPERLINK("https://www.boe.es/gazeta/dias/1811/12/02/pdfs/GMD-1811-336.pdf#page=4","Abrir facsímil")</f>
        <v>Abrir facsímil</v>
      </c>
      <c r="K416" s="3" t="s">
        <v>150</v>
      </c>
    </row>
    <row r="417" spans="1:11" ht="42" customHeight="1">
      <c r="A417" s="2" t="s">
        <v>1396</v>
      </c>
      <c r="B417" s="2" t="s">
        <v>1397</v>
      </c>
      <c r="C417" s="2" t="s">
        <v>26</v>
      </c>
      <c r="D417" s="2" t="s">
        <v>18</v>
      </c>
      <c r="E417" s="4">
        <v>-32158</v>
      </c>
      <c r="F417" s="3" t="s">
        <v>46</v>
      </c>
      <c r="G417" s="3" t="s">
        <v>47</v>
      </c>
      <c r="H417" s="2" t="s">
        <v>148</v>
      </c>
      <c r="I417" s="2" t="s">
        <v>1398</v>
      </c>
      <c r="J417" s="3" t="str">
        <f>HYPERLINK("https://www.boe.es/gazeta/dias/1811/12/14/pdfs/GEI-1811-162.pdf#page=7","Abrir facsímil")</f>
        <v>Abrir facsímil</v>
      </c>
      <c r="K417" s="3" t="s">
        <v>150</v>
      </c>
    </row>
    <row r="418" spans="1:11" ht="42" customHeight="1">
      <c r="A418" s="2" t="s">
        <v>1399</v>
      </c>
      <c r="B418" s="2" t="s">
        <v>1399</v>
      </c>
      <c r="C418" s="2" t="s">
        <v>66</v>
      </c>
      <c r="D418" s="2" t="s">
        <v>18</v>
      </c>
      <c r="E418" s="4">
        <v>-32153</v>
      </c>
      <c r="F418" s="3" t="s">
        <v>123</v>
      </c>
      <c r="G418" s="3" t="s">
        <v>288</v>
      </c>
      <c r="H418" s="2" t="s">
        <v>148</v>
      </c>
      <c r="I418" s="2" t="s">
        <v>1400</v>
      </c>
      <c r="J418" s="3" t="str">
        <f>HYPERLINK("https://www.boe.es/gazeta/dias/1811/12/19/pdfs/GMD-1811-353.pdf#page=4","Abrir facsímil")</f>
        <v>Abrir facsímil</v>
      </c>
      <c r="K418" s="3" t="s">
        <v>150</v>
      </c>
    </row>
    <row r="419" spans="1:11" ht="42" customHeight="1">
      <c r="A419" s="2" t="s">
        <v>1401</v>
      </c>
      <c r="B419" s="2" t="s">
        <v>1402</v>
      </c>
      <c r="C419" s="2" t="s">
        <v>26</v>
      </c>
      <c r="D419" s="2" t="s">
        <v>141</v>
      </c>
      <c r="E419" s="4">
        <v>-32396</v>
      </c>
      <c r="F419" s="3" t="s">
        <v>804</v>
      </c>
      <c r="G419" s="3" t="s">
        <v>805</v>
      </c>
      <c r="H419" s="2" t="s">
        <v>148</v>
      </c>
      <c r="I419" s="2" t="s">
        <v>1403</v>
      </c>
      <c r="J419" s="3" t="str">
        <f>HYPERLINK("https://www.boe.es/gazeta/dias/1811/04/20/pdfs/GEI-D-1811-53.pdf#page=4","Abrir facsímil")</f>
        <v>Abrir facsímil</v>
      </c>
      <c r="K419" s="3" t="s">
        <v>150</v>
      </c>
    </row>
    <row r="420" spans="1:11" ht="42" customHeight="1">
      <c r="A420" s="2" t="s">
        <v>1404</v>
      </c>
      <c r="B420" s="2" t="s">
        <v>1405</v>
      </c>
      <c r="C420" s="2" t="s">
        <v>26</v>
      </c>
      <c r="D420" s="2" t="s">
        <v>105</v>
      </c>
      <c r="E420" s="4">
        <v>-32326</v>
      </c>
      <c r="F420" s="3" t="s">
        <v>43</v>
      </c>
      <c r="G420" s="3" t="s">
        <v>44</v>
      </c>
      <c r="H420" s="2" t="s">
        <v>148</v>
      </c>
      <c r="I420" s="2" t="s">
        <v>1406</v>
      </c>
      <c r="J420" s="3" t="str">
        <f>HYPERLINK("https://www.boe.es/gazeta/dias/1811/06/29/pdfs/GEI-1811-86.pdf#page=6","Abrir facsímil")</f>
        <v>Abrir facsímil</v>
      </c>
      <c r="K420" s="3" t="s">
        <v>150</v>
      </c>
    </row>
    <row r="421" spans="1:11" ht="42" customHeight="1">
      <c r="A421" s="2" t="s">
        <v>1407</v>
      </c>
      <c r="B421" s="2" t="s">
        <v>1407</v>
      </c>
      <c r="C421" s="2" t="s">
        <v>17</v>
      </c>
      <c r="D421" s="2" t="s">
        <v>204</v>
      </c>
      <c r="E421" s="4">
        <v>-32404</v>
      </c>
      <c r="F421" s="3" t="s">
        <v>911</v>
      </c>
      <c r="G421" s="3" t="s">
        <v>468</v>
      </c>
      <c r="H421" s="2" t="s">
        <v>148</v>
      </c>
      <c r="I421" s="2" t="s">
        <v>1408</v>
      </c>
      <c r="J421" s="3" t="str">
        <f>HYPERLINK("https://www.boe.es/gazeta/dias/1811/04/12/pdfs/GMD-1811-102.pdf#page=3","Abrir facsímil")</f>
        <v>Abrir facsímil</v>
      </c>
      <c r="K421" s="3" t="s">
        <v>150</v>
      </c>
    </row>
    <row r="422" spans="1:11" ht="42" customHeight="1">
      <c r="A422" s="2" t="s">
        <v>1409</v>
      </c>
      <c r="B422" s="2" t="s">
        <v>1410</v>
      </c>
      <c r="C422" s="2" t="s">
        <v>17</v>
      </c>
      <c r="D422" s="2" t="s">
        <v>18</v>
      </c>
      <c r="E422" s="4">
        <v>-32472</v>
      </c>
      <c r="F422" s="3" t="s">
        <v>398</v>
      </c>
      <c r="G422" s="3" t="s">
        <v>115</v>
      </c>
      <c r="H422" s="2" t="s">
        <v>148</v>
      </c>
      <c r="I422" s="2" t="s">
        <v>1411</v>
      </c>
      <c r="J422" s="3" t="str">
        <f>HYPERLINK("https://www.boe.es/gazeta/dias/1811/02/03/pdfs/GMD-1811-34.pdf#page=3","Abrir facsímil")</f>
        <v>Abrir facsímil</v>
      </c>
      <c r="K422" s="3" t="s">
        <v>150</v>
      </c>
    </row>
    <row r="423" spans="1:11" ht="42" customHeight="1">
      <c r="A423" s="2" t="s">
        <v>1412</v>
      </c>
      <c r="B423" s="2" t="s">
        <v>1412</v>
      </c>
      <c r="C423" s="2" t="s">
        <v>17</v>
      </c>
      <c r="D423" s="2" t="s">
        <v>18</v>
      </c>
      <c r="E423" s="4">
        <v>-32405</v>
      </c>
      <c r="F423" s="3" t="s">
        <v>1413</v>
      </c>
      <c r="G423" s="3" t="s">
        <v>1414</v>
      </c>
      <c r="H423" s="2" t="s">
        <v>148</v>
      </c>
      <c r="I423" s="2" t="s">
        <v>1415</v>
      </c>
      <c r="J423" s="3" t="str">
        <f>HYPERLINK("https://www.boe.es/gazeta/dias/1811/04/11/pdfs/GEI-1811-49.pdf#page=1","Abrir facsímil")</f>
        <v>Abrir facsímil</v>
      </c>
      <c r="K423" s="3" t="s">
        <v>150</v>
      </c>
    </row>
    <row r="424" spans="1:11" ht="42" customHeight="1">
      <c r="A424" s="2" t="s">
        <v>1416</v>
      </c>
      <c r="B424" s="2" t="s">
        <v>1417</v>
      </c>
      <c r="C424" s="2" t="s">
        <v>17</v>
      </c>
      <c r="D424" s="2" t="s">
        <v>18</v>
      </c>
      <c r="E424" s="4">
        <v>-32416</v>
      </c>
      <c r="F424" s="3" t="s">
        <v>954</v>
      </c>
      <c r="G424" s="3" t="s">
        <v>47</v>
      </c>
      <c r="H424" s="2" t="s">
        <v>148</v>
      </c>
      <c r="I424" s="2" t="s">
        <v>1418</v>
      </c>
      <c r="J424" s="3" t="str">
        <f>HYPERLINK("https://www.boe.es/gazeta/dias/1811/03/31/pdfs/GMD-1811-90.pdf#page=3","Abrir facsímil")</f>
        <v>Abrir facsímil</v>
      </c>
      <c r="K424" s="3" t="s">
        <v>150</v>
      </c>
    </row>
    <row r="425" spans="1:11" ht="42" customHeight="1">
      <c r="A425" s="2" t="s">
        <v>1419</v>
      </c>
      <c r="B425" s="2" t="s">
        <v>1419</v>
      </c>
      <c r="C425" s="2" t="s">
        <v>84</v>
      </c>
      <c r="D425" s="2" t="s">
        <v>18</v>
      </c>
      <c r="E425" s="4">
        <v>-32286</v>
      </c>
      <c r="F425" s="3" t="s">
        <v>1420</v>
      </c>
      <c r="G425" s="3" t="s">
        <v>1421</v>
      </c>
      <c r="H425" s="2" t="s">
        <v>148</v>
      </c>
      <c r="I425" s="2" t="s">
        <v>1422</v>
      </c>
      <c r="J425" s="3" t="str">
        <f>HYPERLINK("https://www.boe.es/gazeta/dias/1811/08/08/pdfs/GMD-1811-220.pdf#page=4","Abrir facsímil")</f>
        <v>Abrir facsímil</v>
      </c>
      <c r="K425" s="3" t="s">
        <v>150</v>
      </c>
    </row>
    <row r="426" spans="1:11" ht="42" customHeight="1">
      <c r="A426" s="2" t="s">
        <v>1423</v>
      </c>
      <c r="B426" s="2" t="s">
        <v>1424</v>
      </c>
      <c r="C426" s="2" t="s">
        <v>26</v>
      </c>
      <c r="D426" s="2" t="s">
        <v>18</v>
      </c>
      <c r="E426" s="4">
        <v>-32186</v>
      </c>
      <c r="F426" s="3" t="s">
        <v>1425</v>
      </c>
      <c r="G426" s="3" t="s">
        <v>91</v>
      </c>
      <c r="H426" s="2" t="s">
        <v>148</v>
      </c>
      <c r="I426" s="2" t="s">
        <v>1426</v>
      </c>
      <c r="J426" s="3" t="str">
        <f>HYPERLINK("https://www.boe.es/gazeta/dias/1811/11/16/pdfs/GEI-1811-150.pdf#page=5","Abrir facsímil")</f>
        <v>Abrir facsímil</v>
      </c>
      <c r="K426" s="3" t="s">
        <v>150</v>
      </c>
    </row>
    <row r="427" spans="1:11" ht="42" customHeight="1">
      <c r="A427" s="2" t="s">
        <v>1427</v>
      </c>
      <c r="B427" s="2" t="s">
        <v>1428</v>
      </c>
      <c r="C427" s="2" t="s">
        <v>26</v>
      </c>
      <c r="D427" s="2" t="s">
        <v>18</v>
      </c>
      <c r="E427" s="4">
        <v>-32144</v>
      </c>
      <c r="F427" s="3" t="s">
        <v>1097</v>
      </c>
      <c r="G427" s="3" t="s">
        <v>476</v>
      </c>
      <c r="H427" s="2" t="s">
        <v>148</v>
      </c>
      <c r="I427" s="2" t="s">
        <v>1429</v>
      </c>
      <c r="J427" s="3" t="str">
        <f>HYPERLINK("https://www.boe.es/gazeta/dias/1811/12/28/pdfs/GEI-1811-168.pdf#page=7","Abrir facsímil")</f>
        <v>Abrir facsímil</v>
      </c>
      <c r="K427" s="3" t="s">
        <v>150</v>
      </c>
    </row>
    <row r="428" spans="1:11" ht="42" customHeight="1">
      <c r="A428" s="2" t="s">
        <v>1430</v>
      </c>
      <c r="B428" s="2" t="s">
        <v>1431</v>
      </c>
      <c r="C428" s="2" t="s">
        <v>26</v>
      </c>
      <c r="D428" s="2" t="s">
        <v>18</v>
      </c>
      <c r="E428" s="4">
        <v>-32470</v>
      </c>
      <c r="F428" s="3" t="s">
        <v>1432</v>
      </c>
      <c r="G428" s="3" t="s">
        <v>1433</v>
      </c>
      <c r="H428" s="2" t="s">
        <v>148</v>
      </c>
      <c r="I428" s="2" t="s">
        <v>1434</v>
      </c>
      <c r="J428" s="3" t="str">
        <f>HYPERLINK("https://www.boe.es/gazeta/dias/1811/02/05/pdfs/GEI-1811-16.pdf#page=4","Abrir facsímil")</f>
        <v>Abrir facsímil</v>
      </c>
      <c r="K428" s="3" t="s">
        <v>150</v>
      </c>
    </row>
    <row r="429" spans="1:11" ht="42" customHeight="1">
      <c r="A429" s="2" t="s">
        <v>1435</v>
      </c>
      <c r="B429" s="2" t="s">
        <v>1436</v>
      </c>
      <c r="C429" s="2" t="s">
        <v>104</v>
      </c>
      <c r="D429" s="2" t="s">
        <v>18</v>
      </c>
      <c r="E429" s="4">
        <v>-32487</v>
      </c>
      <c r="F429" s="3" t="s">
        <v>842</v>
      </c>
      <c r="G429" s="3" t="s">
        <v>162</v>
      </c>
      <c r="H429" s="2" t="s">
        <v>148</v>
      </c>
      <c r="I429" s="2" t="s">
        <v>1437</v>
      </c>
      <c r="J429" s="3" t="str">
        <f>HYPERLINK("https://www.boe.es/gazeta/dias/1811/01/19/pdfs/GEI-1811-9.pdf#page=7","Abrir facsímil")</f>
        <v>Abrir facsímil</v>
      </c>
      <c r="K429" s="3" t="s">
        <v>150</v>
      </c>
    </row>
    <row r="430" spans="1:11" ht="42" customHeight="1">
      <c r="A430" s="2" t="s">
        <v>1438</v>
      </c>
      <c r="B430" s="2" t="s">
        <v>1439</v>
      </c>
      <c r="C430" s="2" t="s">
        <v>26</v>
      </c>
      <c r="D430" s="2" t="s">
        <v>141</v>
      </c>
      <c r="E430" s="4">
        <v>-32365</v>
      </c>
      <c r="F430" s="3" t="s">
        <v>1304</v>
      </c>
      <c r="G430" s="3" t="s">
        <v>120</v>
      </c>
      <c r="H430" s="2" t="s">
        <v>148</v>
      </c>
      <c r="I430" s="2" t="s">
        <v>1440</v>
      </c>
      <c r="J430" s="3" t="str">
        <f>HYPERLINK("https://www.boe.es/gazeta/dias/1811/05/21/pdfs/GEI-D-1811-67.pdf#page=4","Abrir facsímil")</f>
        <v>Abrir facsímil</v>
      </c>
      <c r="K430" s="3" t="s">
        <v>150</v>
      </c>
    </row>
    <row r="431" spans="1:11" ht="42" customHeight="1">
      <c r="A431" s="2" t="s">
        <v>1441</v>
      </c>
      <c r="B431" s="2" t="s">
        <v>1442</v>
      </c>
      <c r="C431" s="2" t="s">
        <v>37</v>
      </c>
      <c r="D431" s="2" t="s">
        <v>141</v>
      </c>
      <c r="E431" s="4">
        <v>-32188</v>
      </c>
      <c r="F431" s="3" t="s">
        <v>505</v>
      </c>
      <c r="G431" s="3" t="s">
        <v>47</v>
      </c>
      <c r="H431" s="2" t="s">
        <v>148</v>
      </c>
      <c r="I431" s="2" t="s">
        <v>1443</v>
      </c>
      <c r="J431" s="3" t="str">
        <f>HYPERLINK("https://www.boe.es/gazeta/dias/1811/11/14/pdfs/GEI-D-1811-149.pdf#page=3","Abrir facsímil")</f>
        <v>Abrir facsímil</v>
      </c>
      <c r="K431" s="3" t="s">
        <v>150</v>
      </c>
    </row>
    <row r="432" spans="1:11" ht="42" customHeight="1">
      <c r="A432" s="2" t="s">
        <v>1444</v>
      </c>
      <c r="B432" s="2" t="s">
        <v>1445</v>
      </c>
      <c r="C432" s="2" t="s">
        <v>26</v>
      </c>
      <c r="D432" s="2" t="s">
        <v>18</v>
      </c>
      <c r="E432" s="4">
        <v>-32242</v>
      </c>
      <c r="F432" s="3" t="s">
        <v>1295</v>
      </c>
      <c r="G432" s="3" t="s">
        <v>1296</v>
      </c>
      <c r="H432" s="2" t="s">
        <v>148</v>
      </c>
      <c r="I432" s="2" t="s">
        <v>1446</v>
      </c>
      <c r="J432" s="3" t="str">
        <f>HYPERLINK("https://www.boe.es/gazeta/dias/1811/09/21/pdfs/GEI-1811-122.pdf#page=8","Abrir facsímil")</f>
        <v>Abrir facsímil</v>
      </c>
      <c r="K432" s="3" t="s">
        <v>150</v>
      </c>
    </row>
    <row r="433" spans="1:11" ht="42" customHeight="1">
      <c r="A433" s="2" t="s">
        <v>1447</v>
      </c>
      <c r="B433" s="2" t="s">
        <v>1448</v>
      </c>
      <c r="C433" s="2" t="s">
        <v>26</v>
      </c>
      <c r="D433" s="2" t="s">
        <v>18</v>
      </c>
      <c r="E433" s="4">
        <v>-32242</v>
      </c>
      <c r="F433" s="3" t="s">
        <v>1295</v>
      </c>
      <c r="G433" s="3" t="s">
        <v>1296</v>
      </c>
      <c r="H433" s="2" t="s">
        <v>148</v>
      </c>
      <c r="I433" s="2" t="s">
        <v>1449</v>
      </c>
      <c r="J433" s="3" t="str">
        <f>HYPERLINK("https://www.boe.es/gazeta/dias/1811/09/21/pdfs/GEI-1811-122.pdf#page=8","Abrir facsímil")</f>
        <v>Abrir facsímil</v>
      </c>
      <c r="K433" s="3" t="s">
        <v>150</v>
      </c>
    </row>
    <row r="434" spans="1:11" ht="42" customHeight="1">
      <c r="A434" s="2" t="s">
        <v>1450</v>
      </c>
      <c r="B434" s="2" t="s">
        <v>1450</v>
      </c>
      <c r="C434" s="2" t="s">
        <v>17</v>
      </c>
      <c r="D434" s="2" t="s">
        <v>18</v>
      </c>
      <c r="E434" s="4">
        <v>-32349</v>
      </c>
      <c r="F434" s="3" t="s">
        <v>239</v>
      </c>
      <c r="G434" s="3" t="s">
        <v>1451</v>
      </c>
      <c r="H434" s="2" t="s">
        <v>148</v>
      </c>
      <c r="I434" s="2" t="s">
        <v>1452</v>
      </c>
      <c r="J434" s="3" t="str">
        <f>HYPERLINK("https://www.boe.es/gazeta/dias/1811/06/06/pdfs/GEI-1811-76.pdf#page=8","Abrir facsímil")</f>
        <v>Abrir facsímil</v>
      </c>
      <c r="K434" s="3" t="s">
        <v>150</v>
      </c>
    </row>
    <row r="435" spans="1:11" ht="42" customHeight="1">
      <c r="A435" s="2" t="s">
        <v>1453</v>
      </c>
      <c r="B435" s="2" t="s">
        <v>1454</v>
      </c>
      <c r="C435" s="2" t="s">
        <v>26</v>
      </c>
      <c r="D435" s="2" t="s">
        <v>18</v>
      </c>
      <c r="E435" s="4">
        <v>-32143</v>
      </c>
      <c r="F435" s="3" t="s">
        <v>1455</v>
      </c>
      <c r="G435" s="3" t="s">
        <v>284</v>
      </c>
      <c r="H435" s="2" t="s">
        <v>148</v>
      </c>
      <c r="I435" s="2" t="s">
        <v>1456</v>
      </c>
      <c r="J435" s="3" t="str">
        <f>HYPERLINK("https://www.boe.es/gazeta/dias/1811/12/29/pdfs/GMD-1811-363.pdf#page=3","Abrir facsímil")</f>
        <v>Abrir facsímil</v>
      </c>
      <c r="K435" s="3" t="s">
        <v>150</v>
      </c>
    </row>
    <row r="436" spans="1:11" ht="42" customHeight="1">
      <c r="A436" s="2" t="s">
        <v>1457</v>
      </c>
      <c r="B436" s="2" t="s">
        <v>1458</v>
      </c>
      <c r="C436" s="2" t="s">
        <v>26</v>
      </c>
      <c r="D436" s="2" t="s">
        <v>18</v>
      </c>
      <c r="E436" s="4">
        <v>-32283</v>
      </c>
      <c r="F436" s="3" t="s">
        <v>90</v>
      </c>
      <c r="G436" s="3" t="s">
        <v>91</v>
      </c>
      <c r="H436" s="2" t="s">
        <v>148</v>
      </c>
      <c r="I436" s="2" t="s">
        <v>1459</v>
      </c>
      <c r="J436" s="3" t="str">
        <f>HYPERLINK("https://www.boe.es/gazeta/dias/1811/08/11/pdfs/GMD-1811-223.pdf#page=4","Abrir facsímil")</f>
        <v>Abrir facsímil</v>
      </c>
      <c r="K436" s="3" t="s">
        <v>150</v>
      </c>
    </row>
    <row r="437" spans="1:11" ht="42" customHeight="1">
      <c r="A437" s="2" t="s">
        <v>1460</v>
      </c>
      <c r="B437" s="2" t="s">
        <v>1461</v>
      </c>
      <c r="C437" s="2" t="s">
        <v>104</v>
      </c>
      <c r="D437" s="2" t="s">
        <v>18</v>
      </c>
      <c r="E437" s="4">
        <v>-32165</v>
      </c>
      <c r="F437" s="3" t="s">
        <v>1462</v>
      </c>
      <c r="G437" s="3" t="s">
        <v>1463</v>
      </c>
      <c r="H437" s="2" t="s">
        <v>148</v>
      </c>
      <c r="I437" s="2" t="s">
        <v>1464</v>
      </c>
      <c r="J437" s="3" t="str">
        <f>HYPERLINK("https://www.boe.es/gazeta/dias/1811/12/07/pdfs/GMD-1811-341.pdf#page=3","Abrir facsímil")</f>
        <v>Abrir facsímil</v>
      </c>
      <c r="K437" s="3" t="s">
        <v>150</v>
      </c>
    </row>
    <row r="438" spans="1:11" ht="42" customHeight="1">
      <c r="A438" s="2" t="s">
        <v>1460</v>
      </c>
      <c r="B438" s="2" t="s">
        <v>1461</v>
      </c>
      <c r="C438" s="2" t="s">
        <v>26</v>
      </c>
      <c r="D438" s="2" t="s">
        <v>18</v>
      </c>
      <c r="E438" s="4">
        <v>-32153</v>
      </c>
      <c r="F438" s="3" t="s">
        <v>123</v>
      </c>
      <c r="G438" s="3" t="s">
        <v>1067</v>
      </c>
      <c r="H438" s="2" t="s">
        <v>148</v>
      </c>
      <c r="I438" s="2" t="s">
        <v>1465</v>
      </c>
      <c r="J438" s="3" t="str">
        <f>HYPERLINK("https://www.boe.es/gazeta/dias/1811/12/19/pdfs/GMD-1811-353.pdf#page=5","Abrir facsímil")</f>
        <v>Abrir facsímil</v>
      </c>
      <c r="K438" s="3" t="s">
        <v>150</v>
      </c>
    </row>
    <row r="439" spans="1:11" ht="42" customHeight="1">
      <c r="A439" s="2" t="s">
        <v>1466</v>
      </c>
      <c r="B439" s="2" t="s">
        <v>1467</v>
      </c>
      <c r="C439" s="2" t="s">
        <v>26</v>
      </c>
      <c r="D439" s="2" t="s">
        <v>141</v>
      </c>
      <c r="E439" s="4">
        <v>-32238</v>
      </c>
      <c r="F439" s="3" t="s">
        <v>166</v>
      </c>
      <c r="G439" s="3" t="s">
        <v>178</v>
      </c>
      <c r="H439" s="2" t="s">
        <v>148</v>
      </c>
      <c r="I439" s="2" t="s">
        <v>1468</v>
      </c>
      <c r="J439" s="3" t="str">
        <f>HYPERLINK("https://www.boe.es/gazeta/dias/1811/09/25/pdfs/GMD-C-1811-268.pdf#page=4","Abrir facsímil")</f>
        <v>Abrir facsímil</v>
      </c>
      <c r="K439" s="3" t="s">
        <v>150</v>
      </c>
    </row>
    <row r="440" spans="1:11" ht="42" customHeight="1">
      <c r="A440" s="2" t="s">
        <v>1469</v>
      </c>
      <c r="B440" s="2" t="s">
        <v>1470</v>
      </c>
      <c r="C440" s="2" t="s">
        <v>17</v>
      </c>
      <c r="D440" s="2" t="s">
        <v>156</v>
      </c>
      <c r="E440" s="4">
        <v>-32333</v>
      </c>
      <c r="F440" s="3" t="s">
        <v>292</v>
      </c>
      <c r="G440" s="3" t="s">
        <v>293</v>
      </c>
      <c r="H440" s="2" t="s">
        <v>148</v>
      </c>
      <c r="I440" s="2" t="s">
        <v>1471</v>
      </c>
      <c r="J440" s="3" t="str">
        <f>HYPERLINK("https://www.boe.es/gazeta/dias/1811/06/22/pdfs/GEI-1811-83.pdf#page=8","Abrir facsímil")</f>
        <v>Abrir facsímil</v>
      </c>
      <c r="K440" s="3" t="s">
        <v>150</v>
      </c>
    </row>
    <row r="441" spans="1:11" ht="42" customHeight="1">
      <c r="A441" s="2" t="s">
        <v>1472</v>
      </c>
      <c r="B441" s="2" t="s">
        <v>1473</v>
      </c>
      <c r="C441" s="2" t="s">
        <v>17</v>
      </c>
      <c r="D441" s="2" t="s">
        <v>105</v>
      </c>
      <c r="E441" s="4">
        <v>-32342</v>
      </c>
      <c r="F441" s="3" t="s">
        <v>1474</v>
      </c>
      <c r="G441" s="3" t="s">
        <v>44</v>
      </c>
      <c r="H441" s="2" t="s">
        <v>148</v>
      </c>
      <c r="I441" s="2" t="s">
        <v>1475</v>
      </c>
      <c r="J441" s="3" t="str">
        <f>HYPERLINK("https://www.boe.es/gazeta/dias/1811/06/13/pdfs/GEI-1811-79.pdf#page=8","Abrir facsímil")</f>
        <v>Abrir facsímil</v>
      </c>
      <c r="K441" s="3" t="s">
        <v>150</v>
      </c>
    </row>
    <row r="442" spans="1:11" ht="42" customHeight="1">
      <c r="A442" s="2" t="s">
        <v>1476</v>
      </c>
      <c r="B442" s="2" t="s">
        <v>1477</v>
      </c>
      <c r="C442" s="2" t="s">
        <v>17</v>
      </c>
      <c r="D442" s="2" t="s">
        <v>18</v>
      </c>
      <c r="E442" s="4">
        <v>-32424</v>
      </c>
      <c r="F442" s="3" t="s">
        <v>1028</v>
      </c>
      <c r="G442" s="3" t="s">
        <v>1478</v>
      </c>
      <c r="H442" s="2" t="s">
        <v>21</v>
      </c>
      <c r="I442" s="2" t="s">
        <v>1479</v>
      </c>
      <c r="J442" s="3" t="str">
        <f>HYPERLINK("https://www.boe.es/gazeta/dias/1811/03/23/pdfs/GEI-1811-41.pdf#page=4","Abrir facsímil")</f>
        <v>Abrir facsímil</v>
      </c>
      <c r="K442" s="3" t="s">
        <v>23</v>
      </c>
    </row>
    <row r="443" spans="1:11" ht="42" customHeight="1">
      <c r="A443" s="2" t="s">
        <v>1480</v>
      </c>
      <c r="B443" s="2" t="s">
        <v>1481</v>
      </c>
      <c r="C443" s="2" t="s">
        <v>17</v>
      </c>
      <c r="D443" s="2" t="s">
        <v>156</v>
      </c>
      <c r="E443" s="4">
        <v>-32323</v>
      </c>
      <c r="F443" s="3" t="s">
        <v>322</v>
      </c>
      <c r="G443" s="3" t="s">
        <v>1482</v>
      </c>
      <c r="H443" s="2" t="s">
        <v>21</v>
      </c>
      <c r="I443" s="2" t="s">
        <v>1483</v>
      </c>
      <c r="J443" s="3" t="str">
        <f>HYPERLINK("https://www.boe.es/gazeta/dias/1811/07/02/pdfs/GEI-1811-87.pdf#page=3","Abrir facsímil")</f>
        <v>Abrir facsímil</v>
      </c>
      <c r="K443" s="3" t="s">
        <v>23</v>
      </c>
    </row>
    <row r="444" spans="1:11" ht="42" customHeight="1">
      <c r="A444" s="2" t="s">
        <v>1484</v>
      </c>
      <c r="B444" s="2" t="s">
        <v>1485</v>
      </c>
      <c r="C444" s="2" t="s">
        <v>26</v>
      </c>
      <c r="D444" s="2" t="s">
        <v>18</v>
      </c>
      <c r="E444" s="4">
        <v>-32379</v>
      </c>
      <c r="F444" s="3" t="s">
        <v>462</v>
      </c>
      <c r="G444" s="3" t="s">
        <v>463</v>
      </c>
      <c r="H444" s="2" t="s">
        <v>148</v>
      </c>
      <c r="I444" s="2" t="s">
        <v>1486</v>
      </c>
      <c r="J444" s="3" t="str">
        <f>HYPERLINK("https://www.boe.es/gazeta/dias/1811/05/07/pdfs/GEI-1811-60.pdf#page=8","Abrir facsímil")</f>
        <v>Abrir facsímil</v>
      </c>
      <c r="K444" s="3" t="s">
        <v>150</v>
      </c>
    </row>
    <row r="445" spans="1:11" ht="42" customHeight="1">
      <c r="A445" s="2" t="s">
        <v>1487</v>
      </c>
      <c r="B445" s="2" t="s">
        <v>1488</v>
      </c>
      <c r="C445" s="2" t="s">
        <v>17</v>
      </c>
      <c r="D445" s="2" t="s">
        <v>18</v>
      </c>
      <c r="E445" s="4">
        <v>-32340</v>
      </c>
      <c r="F445" s="3" t="s">
        <v>565</v>
      </c>
      <c r="G445" s="3" t="s">
        <v>1489</v>
      </c>
      <c r="H445" s="2" t="s">
        <v>148</v>
      </c>
      <c r="I445" s="2" t="s">
        <v>1490</v>
      </c>
      <c r="J445" s="3" t="str">
        <f>HYPERLINK("https://www.boe.es/gazeta/dias/1811/06/15/pdfs/GEI-1811-80.pdf#page=4","Abrir facsímil")</f>
        <v>Abrir facsímil</v>
      </c>
      <c r="K445" s="3" t="s">
        <v>150</v>
      </c>
    </row>
    <row r="446" spans="1:11" ht="42" customHeight="1">
      <c r="A446" s="2" t="s">
        <v>1491</v>
      </c>
      <c r="B446" s="2" t="s">
        <v>1491</v>
      </c>
      <c r="C446" s="2" t="s">
        <v>37</v>
      </c>
      <c r="D446" s="2" t="s">
        <v>18</v>
      </c>
      <c r="E446" s="4">
        <v>-32424</v>
      </c>
      <c r="F446" s="3" t="s">
        <v>772</v>
      </c>
      <c r="G446" s="3" t="s">
        <v>47</v>
      </c>
      <c r="H446" s="2" t="s">
        <v>148</v>
      </c>
      <c r="I446" s="2" t="s">
        <v>1492</v>
      </c>
      <c r="J446" s="3" t="str">
        <f>HYPERLINK("https://www.boe.es/gazeta/dias/1811/03/23/pdfs/GMD-1811-82.pdf#page=1","Abrir facsímil")</f>
        <v>Abrir facsímil</v>
      </c>
      <c r="K446" s="3" t="s">
        <v>150</v>
      </c>
    </row>
    <row r="447" spans="1:11" ht="42" customHeight="1">
      <c r="A447" s="2" t="s">
        <v>1493</v>
      </c>
      <c r="B447" s="2" t="s">
        <v>1494</v>
      </c>
      <c r="C447" s="2" t="s">
        <v>37</v>
      </c>
      <c r="D447" s="2" t="s">
        <v>18</v>
      </c>
      <c r="E447" s="4">
        <v>-32433</v>
      </c>
      <c r="F447" s="3" t="s">
        <v>209</v>
      </c>
      <c r="G447" s="3" t="s">
        <v>488</v>
      </c>
      <c r="H447" s="2" t="s">
        <v>148</v>
      </c>
      <c r="I447" s="2" t="s">
        <v>1495</v>
      </c>
      <c r="J447" s="3" t="str">
        <f>HYPERLINK("https://www.boe.es/gazeta/dias/1811/03/14/pdfs/GMD-1811-73.pdf#page=2","Abrir facsímil")</f>
        <v>Abrir facsímil</v>
      </c>
      <c r="K447" s="3" t="s">
        <v>150</v>
      </c>
    </row>
    <row r="448" spans="1:11" ht="42" customHeight="1">
      <c r="A448" s="2" t="s">
        <v>1496</v>
      </c>
      <c r="B448" s="2" t="s">
        <v>1497</v>
      </c>
      <c r="C448" s="2" t="s">
        <v>17</v>
      </c>
      <c r="D448" s="2" t="s">
        <v>18</v>
      </c>
      <c r="E448" s="4">
        <v>-32230</v>
      </c>
      <c r="F448" s="3" t="s">
        <v>625</v>
      </c>
      <c r="G448" s="3" t="s">
        <v>1258</v>
      </c>
      <c r="H448" s="2" t="s">
        <v>148</v>
      </c>
      <c r="I448" s="2" t="s">
        <v>1498</v>
      </c>
      <c r="J448" s="3" t="str">
        <f>HYPERLINK("https://www.boe.es/gazeta/dias/1811/10/03/pdfs/GEI-1811-127.pdf#page=8","Abrir facsímil")</f>
        <v>Abrir facsímil</v>
      </c>
      <c r="K448" s="3" t="s">
        <v>150</v>
      </c>
    </row>
    <row r="449" spans="1:11" ht="42" customHeight="1">
      <c r="A449" s="2" t="s">
        <v>1496</v>
      </c>
      <c r="B449" s="2" t="s">
        <v>1497</v>
      </c>
      <c r="C449" s="2" t="s">
        <v>17</v>
      </c>
      <c r="D449" s="2" t="s">
        <v>18</v>
      </c>
      <c r="E449" s="4">
        <v>-32200</v>
      </c>
      <c r="F449" s="3" t="s">
        <v>109</v>
      </c>
      <c r="G449" s="3" t="s">
        <v>586</v>
      </c>
      <c r="H449" s="2" t="s">
        <v>148</v>
      </c>
      <c r="I449" s="2" t="s">
        <v>1499</v>
      </c>
      <c r="J449" s="3" t="str">
        <f>HYPERLINK("https://www.boe.es/gazeta/dias/1811/11/02/pdfs/GEI-1811-141.pdf#page=8","Abrir facsímil")</f>
        <v>Abrir facsímil</v>
      </c>
      <c r="K449" s="3" t="s">
        <v>150</v>
      </c>
    </row>
    <row r="450" spans="1:11" ht="42" customHeight="1">
      <c r="A450" s="2" t="s">
        <v>1500</v>
      </c>
      <c r="B450" s="2" t="s">
        <v>1501</v>
      </c>
      <c r="C450" s="2" t="s">
        <v>17</v>
      </c>
      <c r="D450" s="2" t="s">
        <v>18</v>
      </c>
      <c r="E450" s="4">
        <v>-32438</v>
      </c>
      <c r="F450" s="3" t="s">
        <v>114</v>
      </c>
      <c r="G450" s="3" t="s">
        <v>115</v>
      </c>
      <c r="H450" s="2" t="s">
        <v>21</v>
      </c>
      <c r="I450" s="2" t="s">
        <v>1502</v>
      </c>
      <c r="J450" s="3" t="str">
        <f>HYPERLINK("https://www.boe.es/gazeta/dias/1811/03/09/pdfs/GEI-1811-33.pdf#page=3","Abrir facsímil")</f>
        <v>Abrir facsímil</v>
      </c>
      <c r="K450" s="3" t="s">
        <v>23</v>
      </c>
    </row>
    <row r="451" spans="1:11" ht="42" customHeight="1">
      <c r="A451" s="2" t="s">
        <v>1503</v>
      </c>
      <c r="B451" s="2" t="s">
        <v>1504</v>
      </c>
      <c r="C451" s="2" t="s">
        <v>17</v>
      </c>
      <c r="D451" s="2" t="s">
        <v>105</v>
      </c>
      <c r="E451" s="4">
        <v>-32281</v>
      </c>
      <c r="F451" s="3" t="s">
        <v>982</v>
      </c>
      <c r="G451" s="3" t="s">
        <v>1505</v>
      </c>
      <c r="H451" s="2" t="s">
        <v>148</v>
      </c>
      <c r="I451" s="2" t="s">
        <v>1506</v>
      </c>
      <c r="J451" s="3" t="str">
        <f>HYPERLINK("https://www.boe.es/gazeta/dias/1811/08/13/pdfs/GEI-1811-105.pdf#page=8","Abrir facsímil")</f>
        <v>Abrir facsímil</v>
      </c>
      <c r="K451" s="3" t="s">
        <v>150</v>
      </c>
    </row>
    <row r="452" spans="1:11" ht="42" customHeight="1">
      <c r="A452" s="2" t="s">
        <v>1507</v>
      </c>
      <c r="B452" s="2" t="s">
        <v>1507</v>
      </c>
      <c r="C452" s="2" t="s">
        <v>17</v>
      </c>
      <c r="D452" s="2" t="s">
        <v>18</v>
      </c>
      <c r="E452" s="4">
        <v>-32372</v>
      </c>
      <c r="F452" s="3" t="s">
        <v>1508</v>
      </c>
      <c r="G452" s="3" t="s">
        <v>1509</v>
      </c>
      <c r="H452" s="2" t="s">
        <v>148</v>
      </c>
      <c r="I452" s="2" t="s">
        <v>1510</v>
      </c>
      <c r="J452" s="3" t="str">
        <f>HYPERLINK("https://www.boe.es/gazeta/dias/1811/05/14/pdfs/GMD-1811-134.pdf#page=1","Abrir facsímil")</f>
        <v>Abrir facsímil</v>
      </c>
      <c r="K452" s="3" t="s">
        <v>150</v>
      </c>
    </row>
    <row r="453" spans="1:11" ht="42" customHeight="1">
      <c r="A453" s="2" t="s">
        <v>1511</v>
      </c>
      <c r="B453" s="2" t="s">
        <v>1511</v>
      </c>
      <c r="C453" s="2" t="s">
        <v>17</v>
      </c>
      <c r="D453" s="2" t="s">
        <v>18</v>
      </c>
      <c r="E453" s="4">
        <v>-32492</v>
      </c>
      <c r="F453" s="3" t="s">
        <v>1512</v>
      </c>
      <c r="G453" s="3" t="s">
        <v>846</v>
      </c>
      <c r="H453" s="2" t="s">
        <v>148</v>
      </c>
      <c r="I453" s="2" t="s">
        <v>1513</v>
      </c>
      <c r="J453" s="3" t="str">
        <f>HYPERLINK("https://www.boe.es/gazeta/dias/1811/01/14/pdfs/GMD-1811-14.pdf#page=1","Abrir facsímil")</f>
        <v>Abrir facsímil</v>
      </c>
      <c r="K453" s="3" t="s">
        <v>150</v>
      </c>
    </row>
    <row r="454" spans="1:11" ht="42" customHeight="1">
      <c r="A454" s="2" t="s">
        <v>1511</v>
      </c>
      <c r="B454" s="2" t="s">
        <v>1511</v>
      </c>
      <c r="C454" s="2" t="s">
        <v>17</v>
      </c>
      <c r="D454" s="2" t="s">
        <v>18</v>
      </c>
      <c r="E454" s="4">
        <v>-32466</v>
      </c>
      <c r="F454" s="3" t="s">
        <v>1514</v>
      </c>
      <c r="G454" s="3" t="s">
        <v>115</v>
      </c>
      <c r="H454" s="2" t="s">
        <v>148</v>
      </c>
      <c r="I454" s="2" t="s">
        <v>1515</v>
      </c>
      <c r="J454" s="3" t="str">
        <f>HYPERLINK("https://www.boe.es/gazeta/dias/1811/02/09/pdfs/GEI-1811-18.pdf#page=3","Abrir facsímil")</f>
        <v>Abrir facsímil</v>
      </c>
      <c r="K454" s="3" t="s">
        <v>150</v>
      </c>
    </row>
    <row r="455" spans="1:11" ht="42" customHeight="1">
      <c r="A455" s="2" t="s">
        <v>1511</v>
      </c>
      <c r="B455" s="2" t="s">
        <v>1511</v>
      </c>
      <c r="C455" s="2" t="s">
        <v>37</v>
      </c>
      <c r="D455" s="2" t="s">
        <v>18</v>
      </c>
      <c r="E455" s="4">
        <v>-32375</v>
      </c>
      <c r="F455" s="3" t="s">
        <v>1516</v>
      </c>
      <c r="G455" s="3" t="s">
        <v>1463</v>
      </c>
      <c r="H455" s="2" t="s">
        <v>148</v>
      </c>
      <c r="I455" s="2" t="s">
        <v>1517</v>
      </c>
      <c r="J455" s="3" t="str">
        <f>HYPERLINK("https://www.boe.es/gazeta/dias/1811/05/11/pdfs/GMD-1811-131.pdf#page=3","Abrir facsímil")</f>
        <v>Abrir facsímil</v>
      </c>
      <c r="K455" s="3" t="s">
        <v>150</v>
      </c>
    </row>
    <row r="456" spans="1:11" ht="42" customHeight="1">
      <c r="A456" s="2" t="s">
        <v>1511</v>
      </c>
      <c r="B456" s="2" t="s">
        <v>1511</v>
      </c>
      <c r="C456" s="2" t="s">
        <v>17</v>
      </c>
      <c r="D456" s="2" t="s">
        <v>18</v>
      </c>
      <c r="E456" s="4">
        <v>-32371</v>
      </c>
      <c r="F456" s="3" t="s">
        <v>1518</v>
      </c>
      <c r="G456" s="3" t="s">
        <v>1519</v>
      </c>
      <c r="H456" s="2" t="s">
        <v>148</v>
      </c>
      <c r="I456" s="2" t="s">
        <v>1520</v>
      </c>
      <c r="J456" s="3" t="str">
        <f>HYPERLINK("https://www.boe.es/gazeta/dias/1811/05/15/pdfs/GMD-1811-135.pdf#page=1","Abrir facsímil")</f>
        <v>Abrir facsímil</v>
      </c>
      <c r="K456" s="3" t="s">
        <v>150</v>
      </c>
    </row>
    <row r="457" spans="1:11" ht="42" customHeight="1">
      <c r="A457" s="2" t="s">
        <v>1521</v>
      </c>
      <c r="B457" s="2" t="s">
        <v>1521</v>
      </c>
      <c r="C457" s="2" t="s">
        <v>17</v>
      </c>
      <c r="D457" s="2" t="s">
        <v>18</v>
      </c>
      <c r="E457" s="4">
        <v>-32443</v>
      </c>
      <c r="F457" s="3" t="s">
        <v>1522</v>
      </c>
      <c r="G457" s="3" t="s">
        <v>178</v>
      </c>
      <c r="H457" s="2" t="s">
        <v>148</v>
      </c>
      <c r="I457" s="2" t="s">
        <v>1523</v>
      </c>
      <c r="J457" s="3" t="str">
        <f>HYPERLINK("https://www.boe.es/gazeta/dias/1811/03/04/pdfs/GMD-1811-63.pdf#page=3","Abrir facsímil")</f>
        <v>Abrir facsímil</v>
      </c>
      <c r="K457" s="3" t="s">
        <v>150</v>
      </c>
    </row>
    <row r="458" spans="1:11" ht="42" customHeight="1">
      <c r="A458" s="2" t="s">
        <v>1524</v>
      </c>
      <c r="B458" s="2" t="s">
        <v>1525</v>
      </c>
      <c r="C458" s="2" t="s">
        <v>26</v>
      </c>
      <c r="D458" s="2" t="s">
        <v>18</v>
      </c>
      <c r="E458" s="4">
        <v>-32505</v>
      </c>
      <c r="F458" s="3" t="s">
        <v>661</v>
      </c>
      <c r="G458" s="3" t="s">
        <v>530</v>
      </c>
      <c r="H458" s="2" t="s">
        <v>148</v>
      </c>
      <c r="I458" s="2" t="s">
        <v>1526</v>
      </c>
      <c r="J458" s="3" t="str">
        <f>HYPERLINK("https://www.boe.es/gazeta/dias/1811/01/01/pdfs/GMD-1811-1.pdf#page=3","Abrir facsímil")</f>
        <v>Abrir facsímil</v>
      </c>
      <c r="K458" s="3" t="s">
        <v>150</v>
      </c>
    </row>
    <row r="459" spans="1:11" ht="42" customHeight="1">
      <c r="A459" s="2" t="s">
        <v>1524</v>
      </c>
      <c r="B459" s="2" t="s">
        <v>1525</v>
      </c>
      <c r="C459" s="2" t="s">
        <v>367</v>
      </c>
      <c r="D459" s="2" t="s">
        <v>141</v>
      </c>
      <c r="E459" s="4">
        <v>-32249</v>
      </c>
      <c r="F459" s="3" t="s">
        <v>743</v>
      </c>
      <c r="G459" s="3" t="s">
        <v>1021</v>
      </c>
      <c r="H459" s="2" t="s">
        <v>148</v>
      </c>
      <c r="I459" s="2" t="s">
        <v>1527</v>
      </c>
      <c r="J459" s="3" t="str">
        <f>HYPERLINK("https://www.boe.es/gazeta/dias/1811/09/14/pdfs/GMD-C-1811-257.pdf#page=2","Abrir facsímil")</f>
        <v>Abrir facsímil</v>
      </c>
      <c r="K459" s="3" t="s">
        <v>150</v>
      </c>
    </row>
    <row r="460" spans="1:11" ht="42" customHeight="1">
      <c r="A460" s="2" t="s">
        <v>1524</v>
      </c>
      <c r="B460" s="2" t="s">
        <v>1525</v>
      </c>
      <c r="C460" s="2" t="s">
        <v>26</v>
      </c>
      <c r="D460" s="2" t="s">
        <v>105</v>
      </c>
      <c r="E460" s="4">
        <v>-32153</v>
      </c>
      <c r="F460" s="3" t="s">
        <v>123</v>
      </c>
      <c r="G460" s="3" t="s">
        <v>288</v>
      </c>
      <c r="H460" s="2" t="s">
        <v>148</v>
      </c>
      <c r="I460" s="2" t="s">
        <v>1528</v>
      </c>
      <c r="J460" s="3" t="str">
        <f>HYPERLINK("https://www.boe.es/gazeta/dias/1811/12/19/pdfs/GMD-1811-353.pdf#page=4","Abrir facsímil")</f>
        <v>Abrir facsímil</v>
      </c>
      <c r="K460" s="3" t="s">
        <v>150</v>
      </c>
    </row>
    <row r="461" spans="1:11" ht="42" customHeight="1">
      <c r="A461" s="2" t="s">
        <v>1529</v>
      </c>
      <c r="B461" s="2" t="s">
        <v>1530</v>
      </c>
      <c r="C461" s="2" t="s">
        <v>26</v>
      </c>
      <c r="D461" s="2" t="s">
        <v>18</v>
      </c>
      <c r="E461" s="4">
        <v>-32153</v>
      </c>
      <c r="F461" s="3" t="s">
        <v>123</v>
      </c>
      <c r="G461" s="3" t="s">
        <v>1067</v>
      </c>
      <c r="H461" s="2" t="s">
        <v>148</v>
      </c>
      <c r="I461" s="2" t="s">
        <v>1531</v>
      </c>
      <c r="J461" s="3" t="str">
        <f>HYPERLINK("https://www.boe.es/gazeta/dias/1811/12/19/pdfs/GMD-1811-353.pdf#page=5","Abrir facsímil")</f>
        <v>Abrir facsímil</v>
      </c>
      <c r="K461" s="3" t="s">
        <v>150</v>
      </c>
    </row>
    <row r="462" spans="1:11" ht="42" customHeight="1">
      <c r="A462" s="2" t="s">
        <v>1532</v>
      </c>
      <c r="B462" s="2" t="s">
        <v>1533</v>
      </c>
      <c r="C462" s="2" t="s">
        <v>37</v>
      </c>
      <c r="D462" s="2" t="s">
        <v>18</v>
      </c>
      <c r="E462" s="4">
        <v>-32463</v>
      </c>
      <c r="F462" s="3" t="s">
        <v>734</v>
      </c>
      <c r="G462" s="3" t="s">
        <v>735</v>
      </c>
      <c r="H462" s="2" t="s">
        <v>148</v>
      </c>
      <c r="I462" s="2" t="s">
        <v>1534</v>
      </c>
      <c r="J462" s="3" t="str">
        <f>HYPERLINK("https://www.boe.es/gazeta/dias/1811/02/12/pdfs/GEI-1811-19.pdf#page=8","Abrir facsímil")</f>
        <v>Abrir facsímil</v>
      </c>
      <c r="K462" s="3" t="s">
        <v>150</v>
      </c>
    </row>
    <row r="463" spans="1:11" ht="42" customHeight="1">
      <c r="A463" s="2" t="s">
        <v>1535</v>
      </c>
      <c r="B463" s="2" t="s">
        <v>1536</v>
      </c>
      <c r="C463" s="2" t="s">
        <v>26</v>
      </c>
      <c r="D463" s="2" t="s">
        <v>18</v>
      </c>
      <c r="E463" s="4">
        <v>-32172</v>
      </c>
      <c r="F463" s="3" t="s">
        <v>300</v>
      </c>
      <c r="G463" s="3" t="s">
        <v>305</v>
      </c>
      <c r="H463" s="2" t="s">
        <v>148</v>
      </c>
      <c r="I463" s="2" t="s">
        <v>1537</v>
      </c>
      <c r="J463" s="3" t="str">
        <f>HYPERLINK("https://www.boe.es/gazeta/dias/1811/11/30/pdfs/GMD-1811-334.pdf#page=3","Abrir facsímil")</f>
        <v>Abrir facsímil</v>
      </c>
      <c r="K463" s="3" t="s">
        <v>150</v>
      </c>
    </row>
    <row r="464" spans="1:11" ht="42" customHeight="1">
      <c r="A464" s="2" t="s">
        <v>1538</v>
      </c>
      <c r="B464" s="2" t="s">
        <v>1539</v>
      </c>
      <c r="C464" s="2" t="s">
        <v>26</v>
      </c>
      <c r="D464" s="2" t="s">
        <v>141</v>
      </c>
      <c r="E464" s="4">
        <v>-32249</v>
      </c>
      <c r="F464" s="3" t="s">
        <v>743</v>
      </c>
      <c r="G464" s="3" t="s">
        <v>1021</v>
      </c>
      <c r="H464" s="2" t="s">
        <v>148</v>
      </c>
      <c r="I464" s="2" t="s">
        <v>1540</v>
      </c>
      <c r="J464" s="3" t="str">
        <f>HYPERLINK("https://www.boe.es/gazeta/dias/1811/09/14/pdfs/GMD-C-1811-257.pdf#page=2","Abrir facsímil")</f>
        <v>Abrir facsímil</v>
      </c>
      <c r="K464" s="3" t="s">
        <v>150</v>
      </c>
    </row>
    <row r="465" spans="1:11" ht="42" customHeight="1">
      <c r="A465" s="2" t="s">
        <v>1541</v>
      </c>
      <c r="B465" s="2" t="s">
        <v>1541</v>
      </c>
      <c r="C465" s="2" t="s">
        <v>17</v>
      </c>
      <c r="D465" s="2" t="s">
        <v>18</v>
      </c>
      <c r="E465" s="4">
        <v>-32239</v>
      </c>
      <c r="F465" s="3" t="s">
        <v>1225</v>
      </c>
      <c r="G465" s="3" t="s">
        <v>1226</v>
      </c>
      <c r="H465" s="2" t="s">
        <v>148</v>
      </c>
      <c r="I465" s="2" t="s">
        <v>1542</v>
      </c>
      <c r="J465" s="3" t="str">
        <f>HYPERLINK("https://www.boe.es/gazeta/dias/1811/09/24/pdfs/GEI-1811-123.pdf#page=3","Abrir facsímil")</f>
        <v>Abrir facsímil</v>
      </c>
      <c r="K465" s="3" t="s">
        <v>150</v>
      </c>
    </row>
    <row r="466" spans="1:11" ht="42" customHeight="1">
      <c r="A466" s="2" t="s">
        <v>1543</v>
      </c>
      <c r="B466" s="2" t="s">
        <v>1544</v>
      </c>
      <c r="C466" s="2" t="s">
        <v>26</v>
      </c>
      <c r="D466" s="2" t="s">
        <v>18</v>
      </c>
      <c r="E466" s="4">
        <v>-32242</v>
      </c>
      <c r="F466" s="3" t="s">
        <v>1295</v>
      </c>
      <c r="G466" s="3" t="s">
        <v>1296</v>
      </c>
      <c r="H466" s="2" t="s">
        <v>148</v>
      </c>
      <c r="I466" s="2" t="s">
        <v>1545</v>
      </c>
      <c r="J466" s="3" t="str">
        <f>HYPERLINK("https://www.boe.es/gazeta/dias/1811/09/21/pdfs/GEI-1811-122.pdf#page=8","Abrir facsímil")</f>
        <v>Abrir facsímil</v>
      </c>
      <c r="K466" s="3" t="s">
        <v>150</v>
      </c>
    </row>
    <row r="467" spans="1:11" ht="42" customHeight="1">
      <c r="A467" s="2" t="s">
        <v>1546</v>
      </c>
      <c r="B467" s="2" t="s">
        <v>1547</v>
      </c>
      <c r="C467" s="2" t="s">
        <v>26</v>
      </c>
      <c r="D467" s="2" t="s">
        <v>105</v>
      </c>
      <c r="E467" s="4">
        <v>-32344</v>
      </c>
      <c r="F467" s="3" t="s">
        <v>1548</v>
      </c>
      <c r="G467" s="3" t="s">
        <v>44</v>
      </c>
      <c r="H467" s="2" t="s">
        <v>148</v>
      </c>
      <c r="I467" s="2" t="s">
        <v>1549</v>
      </c>
      <c r="J467" s="3" t="str">
        <f>HYPERLINK("https://www.boe.es/gazeta/dias/1811/06/11/pdfs/GEI-D-1811-78.pdf#page=3","Abrir facsímil")</f>
        <v>Abrir facsímil</v>
      </c>
      <c r="K467" s="3" t="s">
        <v>150</v>
      </c>
    </row>
    <row r="468" spans="1:11" ht="42" customHeight="1">
      <c r="A468" s="2" t="s">
        <v>1546</v>
      </c>
      <c r="B468" s="2" t="s">
        <v>1547</v>
      </c>
      <c r="C468" s="2" t="s">
        <v>104</v>
      </c>
      <c r="D468" s="2" t="s">
        <v>18</v>
      </c>
      <c r="E468" s="4">
        <v>-32181</v>
      </c>
      <c r="F468" s="3" t="s">
        <v>1169</v>
      </c>
      <c r="G468" s="3" t="s">
        <v>1170</v>
      </c>
      <c r="H468" s="2" t="s">
        <v>148</v>
      </c>
      <c r="I468" s="2" t="s">
        <v>1550</v>
      </c>
      <c r="J468" s="3" t="str">
        <f>HYPERLINK("https://www.boe.es/gazeta/dias/1811/11/21/pdfs/GMD-1811-325.pdf#page=4","Abrir facsímil")</f>
        <v>Abrir facsímil</v>
      </c>
      <c r="K468" s="3" t="s">
        <v>150</v>
      </c>
    </row>
    <row r="469" spans="1:11" ht="42" customHeight="1">
      <c r="A469" s="2" t="s">
        <v>1546</v>
      </c>
      <c r="B469" s="2" t="s">
        <v>1547</v>
      </c>
      <c r="C469" s="2" t="s">
        <v>17</v>
      </c>
      <c r="D469" s="2" t="s">
        <v>18</v>
      </c>
      <c r="E469" s="4">
        <v>-32172</v>
      </c>
      <c r="F469" s="3" t="s">
        <v>707</v>
      </c>
      <c r="G469" s="3" t="s">
        <v>1551</v>
      </c>
      <c r="H469" s="2" t="s">
        <v>148</v>
      </c>
      <c r="I469" s="2" t="s">
        <v>1552</v>
      </c>
      <c r="J469" s="3" t="str">
        <f>HYPERLINK("https://www.boe.es/gazeta/dias/1811/11/30/pdfs/GEI-1811-156.pdf#page=5","Abrir facsímil")</f>
        <v>Abrir facsímil</v>
      </c>
      <c r="K469" s="3" t="s">
        <v>150</v>
      </c>
    </row>
    <row r="470" spans="1:11" ht="42" customHeight="1">
      <c r="A470" s="2" t="s">
        <v>1553</v>
      </c>
      <c r="B470" s="2" t="s">
        <v>1554</v>
      </c>
      <c r="C470" s="2" t="s">
        <v>17</v>
      </c>
      <c r="D470" s="2" t="s">
        <v>18</v>
      </c>
      <c r="E470" s="4">
        <v>-32470</v>
      </c>
      <c r="F470" s="3" t="s">
        <v>1432</v>
      </c>
      <c r="G470" s="3" t="s">
        <v>1433</v>
      </c>
      <c r="H470" s="2" t="s">
        <v>148</v>
      </c>
      <c r="I470" s="2" t="s">
        <v>1555</v>
      </c>
      <c r="J470" s="3" t="str">
        <f>HYPERLINK("https://www.boe.es/gazeta/dias/1811/02/05/pdfs/GEI-1811-16.pdf#page=4","Abrir facsímil")</f>
        <v>Abrir facsímil</v>
      </c>
      <c r="K470" s="3" t="s">
        <v>150</v>
      </c>
    </row>
    <row r="471" spans="1:11" ht="42" customHeight="1">
      <c r="A471" s="2" t="s">
        <v>1556</v>
      </c>
      <c r="B471" s="2" t="s">
        <v>1557</v>
      </c>
      <c r="C471" s="2" t="s">
        <v>26</v>
      </c>
      <c r="D471" s="2" t="s">
        <v>18</v>
      </c>
      <c r="E471" s="4">
        <v>-32505</v>
      </c>
      <c r="F471" s="3" t="s">
        <v>475</v>
      </c>
      <c r="G471" s="3" t="s">
        <v>755</v>
      </c>
      <c r="H471" s="2" t="s">
        <v>148</v>
      </c>
      <c r="I471" s="2" t="s">
        <v>1558</v>
      </c>
      <c r="J471" s="3" t="str">
        <f>HYPERLINK("https://www.boe.es/gazeta/dias/1811/01/01/pdfs/GEI-1811-1.pdf#page=8","Abrir facsímil")</f>
        <v>Abrir facsímil</v>
      </c>
      <c r="K471" s="3" t="s">
        <v>150</v>
      </c>
    </row>
    <row r="472" spans="1:11" ht="42" customHeight="1">
      <c r="A472" s="2" t="s">
        <v>1559</v>
      </c>
      <c r="B472" s="2" t="s">
        <v>1560</v>
      </c>
      <c r="C472" s="2" t="s">
        <v>17</v>
      </c>
      <c r="D472" s="2" t="s">
        <v>18</v>
      </c>
      <c r="E472" s="4">
        <v>-32368</v>
      </c>
      <c r="F472" s="3" t="s">
        <v>1561</v>
      </c>
      <c r="G472" s="3" t="s">
        <v>57</v>
      </c>
      <c r="H472" s="2" t="s">
        <v>148</v>
      </c>
      <c r="I472" s="2" t="s">
        <v>1562</v>
      </c>
      <c r="J472" s="3" t="str">
        <f>HYPERLINK("https://www.boe.es/gazeta/dias/1811/05/18/pdfs/GMD-1811-138.pdf#page=2","Abrir facsímil")</f>
        <v>Abrir facsímil</v>
      </c>
      <c r="K472" s="3" t="s">
        <v>150</v>
      </c>
    </row>
    <row r="473" spans="1:11" ht="42" customHeight="1">
      <c r="A473" s="2" t="s">
        <v>1563</v>
      </c>
      <c r="B473" s="2" t="s">
        <v>1564</v>
      </c>
      <c r="C473" s="2" t="s">
        <v>26</v>
      </c>
      <c r="D473" s="2" t="s">
        <v>18</v>
      </c>
      <c r="E473" s="4">
        <v>-32207</v>
      </c>
      <c r="F473" s="3" t="s">
        <v>152</v>
      </c>
      <c r="G473" s="3" t="s">
        <v>1565</v>
      </c>
      <c r="H473" s="2" t="s">
        <v>148</v>
      </c>
      <c r="I473" s="2" t="s">
        <v>1566</v>
      </c>
      <c r="J473" s="3" t="str">
        <f>HYPERLINK("https://www.boe.es/gazeta/dias/1811/10/26/pdfs/GEI-1811-138.pdf#page=8","Abrir facsímil")</f>
        <v>Abrir facsímil</v>
      </c>
      <c r="K473" s="3" t="s">
        <v>150</v>
      </c>
    </row>
    <row r="474" spans="1:11" ht="42" customHeight="1">
      <c r="A474" s="2" t="s">
        <v>1567</v>
      </c>
      <c r="B474" s="2" t="s">
        <v>1567</v>
      </c>
      <c r="C474" s="2" t="s">
        <v>17</v>
      </c>
      <c r="D474" s="2" t="s">
        <v>18</v>
      </c>
      <c r="E474" s="4">
        <v>-32492</v>
      </c>
      <c r="F474" s="3" t="s">
        <v>1512</v>
      </c>
      <c r="G474" s="3" t="s">
        <v>846</v>
      </c>
      <c r="H474" s="2" t="s">
        <v>148</v>
      </c>
      <c r="I474" s="2" t="s">
        <v>1568</v>
      </c>
      <c r="J474" s="3" t="str">
        <f>HYPERLINK("https://www.boe.es/gazeta/dias/1811/01/14/pdfs/GMD-1811-14.pdf#page=1","Abrir facsímil")</f>
        <v>Abrir facsímil</v>
      </c>
      <c r="K474" s="3" t="s">
        <v>150</v>
      </c>
    </row>
    <row r="475" spans="1:11" ht="42" customHeight="1">
      <c r="A475" s="2" t="s">
        <v>1569</v>
      </c>
      <c r="B475" s="2" t="s">
        <v>1570</v>
      </c>
      <c r="C475" s="2" t="s">
        <v>26</v>
      </c>
      <c r="D475" s="2" t="s">
        <v>18</v>
      </c>
      <c r="E475" s="4">
        <v>-32471</v>
      </c>
      <c r="F475" s="3" t="s">
        <v>1571</v>
      </c>
      <c r="G475" s="3" t="s">
        <v>530</v>
      </c>
      <c r="H475" s="2" t="s">
        <v>148</v>
      </c>
      <c r="I475" s="2" t="s">
        <v>1572</v>
      </c>
      <c r="J475" s="3" t="str">
        <f>HYPERLINK("https://www.boe.es/gazeta/dias/1811/02/04/pdfs/GMD-1811-35.pdf#page=3","Abrir facsímil")</f>
        <v>Abrir facsímil</v>
      </c>
      <c r="K475" s="3" t="s">
        <v>150</v>
      </c>
    </row>
    <row r="476" spans="1:11" ht="42" customHeight="1">
      <c r="A476" s="2" t="s">
        <v>1573</v>
      </c>
      <c r="B476" s="2" t="s">
        <v>1574</v>
      </c>
      <c r="C476" s="2" t="s">
        <v>17</v>
      </c>
      <c r="D476" s="2" t="s">
        <v>156</v>
      </c>
      <c r="E476" s="4">
        <v>-32305</v>
      </c>
      <c r="F476" s="3" t="s">
        <v>1575</v>
      </c>
      <c r="G476" s="3" t="s">
        <v>1576</v>
      </c>
      <c r="H476" s="2" t="s">
        <v>148</v>
      </c>
      <c r="I476" s="2" t="s">
        <v>1577</v>
      </c>
      <c r="J476" s="3" t="str">
        <f>HYPERLINK("https://www.boe.es/gazeta/dias/1811/07/20/pdfs/GEI-1811-95.pdf#page=6","Abrir facsímil")</f>
        <v>Abrir facsímil</v>
      </c>
      <c r="K476" s="3" t="s">
        <v>150</v>
      </c>
    </row>
    <row r="477" spans="1:11" ht="42" customHeight="1">
      <c r="A477" s="2" t="s">
        <v>1578</v>
      </c>
      <c r="B477" s="2" t="s">
        <v>1579</v>
      </c>
      <c r="C477" s="2" t="s">
        <v>26</v>
      </c>
      <c r="D477" s="2" t="s">
        <v>18</v>
      </c>
      <c r="E477" s="4">
        <v>-32172</v>
      </c>
      <c r="F477" s="3" t="s">
        <v>300</v>
      </c>
      <c r="G477" s="3" t="s">
        <v>305</v>
      </c>
      <c r="H477" s="2" t="s">
        <v>148</v>
      </c>
      <c r="I477" s="2" t="s">
        <v>1580</v>
      </c>
      <c r="J477" s="3" t="str">
        <f>HYPERLINK("https://www.boe.es/gazeta/dias/1811/11/30/pdfs/GMD-1811-334.pdf#page=3","Abrir facsímil")</f>
        <v>Abrir facsímil</v>
      </c>
      <c r="K477" s="3" t="s">
        <v>150</v>
      </c>
    </row>
    <row r="478" spans="1:11" ht="42" customHeight="1">
      <c r="A478" s="2" t="s">
        <v>1581</v>
      </c>
      <c r="B478" s="2" t="s">
        <v>1582</v>
      </c>
      <c r="C478" s="2" t="s">
        <v>26</v>
      </c>
      <c r="D478" s="2" t="s">
        <v>18</v>
      </c>
      <c r="E478" s="4">
        <v>-32241</v>
      </c>
      <c r="F478" s="3" t="s">
        <v>514</v>
      </c>
      <c r="G478" s="3" t="s">
        <v>515</v>
      </c>
      <c r="H478" s="2" t="s">
        <v>148</v>
      </c>
      <c r="I478" s="2" t="s">
        <v>1583</v>
      </c>
      <c r="J478" s="3" t="str">
        <f>HYPERLINK("https://www.boe.es/gazeta/dias/1811/09/22/pdfs/GMD-1811-265.pdf#page=4","Abrir facsímil")</f>
        <v>Abrir facsímil</v>
      </c>
      <c r="K478" s="3" t="s">
        <v>150</v>
      </c>
    </row>
    <row r="479" spans="1:11" ht="42" customHeight="1">
      <c r="A479" s="2" t="s">
        <v>1584</v>
      </c>
      <c r="B479" s="2" t="s">
        <v>1585</v>
      </c>
      <c r="C479" s="2" t="s">
        <v>26</v>
      </c>
      <c r="D479" s="2" t="s">
        <v>141</v>
      </c>
      <c r="E479" s="4">
        <v>-32238</v>
      </c>
      <c r="F479" s="3" t="s">
        <v>166</v>
      </c>
      <c r="G479" s="3" t="s">
        <v>657</v>
      </c>
      <c r="H479" s="2" t="s">
        <v>148</v>
      </c>
      <c r="I479" s="2" t="s">
        <v>1586</v>
      </c>
      <c r="J479" s="3" t="str">
        <f>HYPERLINK("https://www.boe.es/gazeta/dias/1811/09/25/pdfs/GMD-C-1811-268.pdf#page=3","Abrir facsímil")</f>
        <v>Abrir facsímil</v>
      </c>
      <c r="K479" s="3" t="s">
        <v>150</v>
      </c>
    </row>
    <row r="480" spans="1:11" ht="42" customHeight="1">
      <c r="A480" s="2" t="s">
        <v>1587</v>
      </c>
      <c r="B480" s="2" t="s">
        <v>1588</v>
      </c>
      <c r="C480" s="2" t="s">
        <v>104</v>
      </c>
      <c r="D480" s="2" t="s">
        <v>18</v>
      </c>
      <c r="E480" s="4">
        <v>-32281</v>
      </c>
      <c r="F480" s="3" t="s">
        <v>982</v>
      </c>
      <c r="G480" s="3" t="s">
        <v>983</v>
      </c>
      <c r="H480" s="2" t="s">
        <v>148</v>
      </c>
      <c r="I480" s="2" t="s">
        <v>1589</v>
      </c>
      <c r="J480" s="3" t="str">
        <f>HYPERLINK("https://www.boe.es/gazeta/dias/1811/08/13/pdfs/GEI-1811-105.pdf#page=4","Abrir facsímil")</f>
        <v>Abrir facsímil</v>
      </c>
      <c r="K480" s="3" t="s">
        <v>150</v>
      </c>
    </row>
    <row r="481" spans="1:11" ht="42" customHeight="1">
      <c r="A481" s="2" t="s">
        <v>1590</v>
      </c>
      <c r="B481" s="2" t="s">
        <v>1590</v>
      </c>
      <c r="C481" s="2" t="s">
        <v>17</v>
      </c>
      <c r="D481" s="2" t="s">
        <v>18</v>
      </c>
      <c r="E481" s="4">
        <v>-32167</v>
      </c>
      <c r="F481" s="3" t="s">
        <v>1591</v>
      </c>
      <c r="G481" s="3" t="s">
        <v>162</v>
      </c>
      <c r="H481" s="2" t="s">
        <v>148</v>
      </c>
      <c r="I481" s="2" t="s">
        <v>1592</v>
      </c>
      <c r="J481" s="3" t="str">
        <f>HYPERLINK("https://www.boe.es/gazeta/dias/1811/12/05/pdfs/GMD-1811-339.pdf#page=1","Abrir facsímil")</f>
        <v>Abrir facsímil</v>
      </c>
      <c r="K481" s="3" t="s">
        <v>150</v>
      </c>
    </row>
    <row r="482" spans="1:11" ht="42" customHeight="1">
      <c r="A482" s="2" t="s">
        <v>1593</v>
      </c>
      <c r="B482" s="2" t="s">
        <v>1594</v>
      </c>
      <c r="C482" s="2" t="s">
        <v>17</v>
      </c>
      <c r="D482" s="2" t="s">
        <v>156</v>
      </c>
      <c r="E482" s="4">
        <v>-32319</v>
      </c>
      <c r="F482" s="3" t="s">
        <v>907</v>
      </c>
      <c r="G482" s="3" t="s">
        <v>134</v>
      </c>
      <c r="H482" s="2" t="s">
        <v>148</v>
      </c>
      <c r="I482" s="2" t="s">
        <v>1595</v>
      </c>
      <c r="J482" s="3" t="str">
        <f>HYPERLINK("https://www.boe.es/gazeta/dias/1811/07/06/pdfs/GEI-D-1811-89.pdf#page=4","Abrir facsímil")</f>
        <v>Abrir facsímil</v>
      </c>
      <c r="K482" s="3" t="s">
        <v>150</v>
      </c>
    </row>
    <row r="483" spans="1:11" ht="42" customHeight="1">
      <c r="A483" s="2" t="s">
        <v>1596</v>
      </c>
      <c r="B483" s="2" t="s">
        <v>1597</v>
      </c>
      <c r="C483" s="2" t="s">
        <v>17</v>
      </c>
      <c r="D483" s="2" t="s">
        <v>18</v>
      </c>
      <c r="E483" s="4">
        <v>-32251</v>
      </c>
      <c r="F483" s="3" t="s">
        <v>726</v>
      </c>
      <c r="G483" s="3" t="s">
        <v>727</v>
      </c>
      <c r="H483" s="2" t="s">
        <v>148</v>
      </c>
      <c r="I483" s="2" t="s">
        <v>1598</v>
      </c>
      <c r="J483" s="3" t="str">
        <f>HYPERLINK("https://www.boe.es/gazeta/dias/1811/09/12/pdfs/GEI-1811-118.pdf#page=8","Abrir facsímil")</f>
        <v>Abrir facsímil</v>
      </c>
      <c r="K483" s="3" t="s">
        <v>150</v>
      </c>
    </row>
    <row r="484" spans="1:11" ht="42" customHeight="1">
      <c r="A484" s="2" t="s">
        <v>1599</v>
      </c>
      <c r="B484" s="2" t="s">
        <v>1600</v>
      </c>
      <c r="C484" s="2" t="s">
        <v>26</v>
      </c>
      <c r="D484" s="2" t="s">
        <v>18</v>
      </c>
      <c r="E484" s="4">
        <v>-32239</v>
      </c>
      <c r="F484" s="3" t="s">
        <v>1225</v>
      </c>
      <c r="G484" s="3" t="s">
        <v>1601</v>
      </c>
      <c r="H484" s="2" t="s">
        <v>148</v>
      </c>
      <c r="I484" s="2" t="s">
        <v>1602</v>
      </c>
      <c r="J484" s="3" t="str">
        <f>HYPERLINK("https://www.boe.es/gazeta/dias/1811/09/24/pdfs/GEI-1811-123.pdf#page=8","Abrir facsímil")</f>
        <v>Abrir facsímil</v>
      </c>
      <c r="K484" s="3" t="s">
        <v>150</v>
      </c>
    </row>
    <row r="485" spans="1:11" ht="42" customHeight="1">
      <c r="A485" s="2" t="s">
        <v>1603</v>
      </c>
      <c r="B485" s="2" t="s">
        <v>1603</v>
      </c>
      <c r="C485" s="2" t="s">
        <v>17</v>
      </c>
      <c r="D485" s="2" t="s">
        <v>18</v>
      </c>
      <c r="E485" s="4">
        <v>-32396</v>
      </c>
      <c r="F485" s="3" t="s">
        <v>1267</v>
      </c>
      <c r="G485" s="3" t="s">
        <v>382</v>
      </c>
      <c r="H485" s="2" t="s">
        <v>148</v>
      </c>
      <c r="I485" s="2" t="s">
        <v>1604</v>
      </c>
      <c r="J485" s="3" t="str">
        <f>HYPERLINK("https://www.boe.es/gazeta/dias/1811/04/20/pdfs/GMD-1811-110.pdf#page=2","Abrir facsímil")</f>
        <v>Abrir facsímil</v>
      </c>
      <c r="K485" s="3" t="s">
        <v>150</v>
      </c>
    </row>
    <row r="486" spans="1:11" ht="42" customHeight="1">
      <c r="A486" s="2" t="s">
        <v>1605</v>
      </c>
      <c r="B486" s="2" t="s">
        <v>1606</v>
      </c>
      <c r="C486" s="2" t="s">
        <v>26</v>
      </c>
      <c r="D486" s="2" t="s">
        <v>18</v>
      </c>
      <c r="E486" s="4">
        <v>-32375</v>
      </c>
      <c r="F486" s="3" t="s">
        <v>1209</v>
      </c>
      <c r="G486" s="3" t="s">
        <v>440</v>
      </c>
      <c r="H486" s="2" t="s">
        <v>148</v>
      </c>
      <c r="I486" s="2" t="s">
        <v>1607</v>
      </c>
      <c r="J486" s="3" t="str">
        <f>HYPERLINK("https://www.boe.es/gazeta/dias/1811/05/11/pdfs/GEI-1811-62.pdf#page=6","Abrir facsímil")</f>
        <v>Abrir facsímil</v>
      </c>
      <c r="K486" s="3" t="s">
        <v>150</v>
      </c>
    </row>
    <row r="487" spans="1:11" ht="42" customHeight="1">
      <c r="A487" s="2" t="s">
        <v>1608</v>
      </c>
      <c r="B487" s="2" t="s">
        <v>1609</v>
      </c>
      <c r="C487" s="2" t="s">
        <v>17</v>
      </c>
      <c r="D487" s="2" t="s">
        <v>18</v>
      </c>
      <c r="E487" s="4">
        <v>-32230</v>
      </c>
      <c r="F487" s="3" t="s">
        <v>625</v>
      </c>
      <c r="G487" s="3" t="s">
        <v>1258</v>
      </c>
      <c r="H487" s="2" t="s">
        <v>148</v>
      </c>
      <c r="I487" s="2" t="s">
        <v>1610</v>
      </c>
      <c r="J487" s="3" t="str">
        <f>HYPERLINK("https://www.boe.es/gazeta/dias/1811/10/03/pdfs/GEI-1811-127.pdf#page=8","Abrir facsímil")</f>
        <v>Abrir facsímil</v>
      </c>
      <c r="K487" s="3" t="s">
        <v>150</v>
      </c>
    </row>
    <row r="488" spans="1:11" ht="42" customHeight="1">
      <c r="A488" s="2" t="s">
        <v>1611</v>
      </c>
      <c r="B488" s="2" t="s">
        <v>1612</v>
      </c>
      <c r="C488" s="2" t="s">
        <v>17</v>
      </c>
      <c r="D488" s="2" t="s">
        <v>18</v>
      </c>
      <c r="E488" s="4">
        <v>-32298</v>
      </c>
      <c r="F488" s="3" t="s">
        <v>133</v>
      </c>
      <c r="G488" s="3" t="s">
        <v>134</v>
      </c>
      <c r="H488" s="2" t="s">
        <v>148</v>
      </c>
      <c r="I488" s="2" t="s">
        <v>1613</v>
      </c>
      <c r="J488" s="3" t="str">
        <f>HYPERLINK("https://www.boe.es/gazeta/dias/1811/07/27/pdfs/GEI-1811-98.pdf#page=7","Abrir facsímil")</f>
        <v>Abrir facsímil</v>
      </c>
      <c r="K488" s="3" t="s">
        <v>150</v>
      </c>
    </row>
    <row r="489" spans="1:11" ht="42" customHeight="1">
      <c r="A489" s="2" t="s">
        <v>1614</v>
      </c>
      <c r="B489" s="2" t="s">
        <v>1615</v>
      </c>
      <c r="C489" s="2" t="s">
        <v>17</v>
      </c>
      <c r="D489" s="2" t="s">
        <v>18</v>
      </c>
      <c r="E489" s="4">
        <v>-32148</v>
      </c>
      <c r="F489" s="3" t="s">
        <v>1616</v>
      </c>
      <c r="G489" s="3" t="s">
        <v>1617</v>
      </c>
      <c r="H489" s="2" t="s">
        <v>148</v>
      </c>
      <c r="I489" s="2" t="s">
        <v>1618</v>
      </c>
      <c r="J489" s="3" t="str">
        <f>HYPERLINK("https://www.boe.es/gazeta/dias/1811/12/24/pdfs/GEI-1811-166.pdf#page=8","Abrir facsímil")</f>
        <v>Abrir facsímil</v>
      </c>
      <c r="K489" s="3" t="s">
        <v>150</v>
      </c>
    </row>
    <row r="490" spans="1:11" ht="42" customHeight="1">
      <c r="A490" s="2" t="s">
        <v>1619</v>
      </c>
      <c r="B490" s="2" t="s">
        <v>1620</v>
      </c>
      <c r="C490" s="2" t="s">
        <v>17</v>
      </c>
      <c r="D490" s="2" t="s">
        <v>18</v>
      </c>
      <c r="E490" s="4">
        <v>-32144</v>
      </c>
      <c r="F490" s="3" t="s">
        <v>1097</v>
      </c>
      <c r="G490" s="3" t="s">
        <v>561</v>
      </c>
      <c r="H490" s="2" t="s">
        <v>21</v>
      </c>
      <c r="I490" s="2" t="s">
        <v>1621</v>
      </c>
      <c r="J490" s="3" t="str">
        <f>HYPERLINK("https://www.boe.es/gazeta/dias/1811/12/28/pdfs/GEI-1811-168.pdf#page=5","Abrir facsímil")</f>
        <v>Abrir facsímil</v>
      </c>
      <c r="K490" s="3" t="s">
        <v>23</v>
      </c>
    </row>
    <row r="491" spans="1:11" ht="42" customHeight="1">
      <c r="A491" s="2" t="s">
        <v>1622</v>
      </c>
      <c r="B491" s="2" t="s">
        <v>1622</v>
      </c>
      <c r="C491" s="2" t="s">
        <v>17</v>
      </c>
      <c r="D491" s="2" t="s">
        <v>156</v>
      </c>
      <c r="E491" s="4">
        <v>-32405</v>
      </c>
      <c r="F491" s="3" t="s">
        <v>1413</v>
      </c>
      <c r="G491" s="3" t="s">
        <v>1623</v>
      </c>
      <c r="H491" s="2" t="s">
        <v>148</v>
      </c>
      <c r="I491" s="2" t="s">
        <v>1624</v>
      </c>
      <c r="J491" s="3" t="str">
        <f>HYPERLINK("https://www.boe.es/gazeta/dias/1811/04/11/pdfs/GEI-1811-49.pdf#page=3","Abrir facsímil")</f>
        <v>Abrir facsímil</v>
      </c>
      <c r="K491" s="3" t="s">
        <v>150</v>
      </c>
    </row>
    <row r="492" spans="1:11" ht="42" customHeight="1">
      <c r="A492" s="2" t="s">
        <v>1625</v>
      </c>
      <c r="B492" s="2" t="s">
        <v>1625</v>
      </c>
      <c r="C492" s="2" t="s">
        <v>104</v>
      </c>
      <c r="D492" s="2" t="s">
        <v>105</v>
      </c>
      <c r="E492" s="4">
        <v>-32452</v>
      </c>
      <c r="F492" s="3" t="s">
        <v>106</v>
      </c>
      <c r="G492" s="3" t="s">
        <v>107</v>
      </c>
      <c r="H492" s="2" t="s">
        <v>148</v>
      </c>
      <c r="I492" s="2" t="s">
        <v>1626</v>
      </c>
      <c r="J492" s="3" t="str">
        <f>HYPERLINK("https://www.boe.es/gazeta/dias/1811/02/23/pdfs/GEI-1811-24.pdf#page=6","Abrir facsímil")</f>
        <v>Abrir facsímil</v>
      </c>
      <c r="K492" s="3" t="s">
        <v>150</v>
      </c>
    </row>
    <row r="493" spans="1:11" ht="42" customHeight="1">
      <c r="A493" s="2" t="s">
        <v>1627</v>
      </c>
      <c r="B493" s="2" t="s">
        <v>1628</v>
      </c>
      <c r="C493" s="2" t="s">
        <v>26</v>
      </c>
      <c r="D493" s="2" t="s">
        <v>18</v>
      </c>
      <c r="E493" s="4">
        <v>-32200</v>
      </c>
      <c r="F493" s="3" t="s">
        <v>109</v>
      </c>
      <c r="G493" s="3" t="s">
        <v>268</v>
      </c>
      <c r="H493" s="2" t="s">
        <v>148</v>
      </c>
      <c r="I493" s="2" t="s">
        <v>1629</v>
      </c>
      <c r="J493" s="3" t="str">
        <f>HYPERLINK("https://www.boe.es/gazeta/dias/1811/11/02/pdfs/GEI-1811-141.pdf#page=7","Abrir facsímil")</f>
        <v>Abrir facsímil</v>
      </c>
      <c r="K493" s="3" t="s">
        <v>150</v>
      </c>
    </row>
    <row r="494" spans="1:11" ht="42" customHeight="1">
      <c r="A494" s="2" t="s">
        <v>1630</v>
      </c>
      <c r="B494" s="2" t="s">
        <v>1631</v>
      </c>
      <c r="C494" s="2" t="s">
        <v>122</v>
      </c>
      <c r="D494" s="2" t="s">
        <v>105</v>
      </c>
      <c r="E494" s="4">
        <v>-32428</v>
      </c>
      <c r="F494" s="3" t="s">
        <v>351</v>
      </c>
      <c r="G494" s="3" t="s">
        <v>57</v>
      </c>
      <c r="H494" s="2" t="s">
        <v>148</v>
      </c>
      <c r="I494" s="2" t="s">
        <v>1632</v>
      </c>
      <c r="J494" s="3" t="str">
        <f>HYPERLINK("https://www.boe.es/gazeta/dias/1811/03/19/pdfs/GMD-1811-78.pdf#page=2","Abrir facsímil")</f>
        <v>Abrir facsímil</v>
      </c>
      <c r="K494" s="3" t="s">
        <v>150</v>
      </c>
    </row>
    <row r="495" spans="1:11" ht="42" customHeight="1">
      <c r="A495" s="2" t="s">
        <v>1633</v>
      </c>
      <c r="B495" s="2" t="s">
        <v>1633</v>
      </c>
      <c r="C495" s="2" t="s">
        <v>17</v>
      </c>
      <c r="D495" s="2" t="s">
        <v>18</v>
      </c>
      <c r="E495" s="4">
        <v>-32202</v>
      </c>
      <c r="F495" s="3" t="s">
        <v>1634</v>
      </c>
      <c r="G495" s="3" t="s">
        <v>248</v>
      </c>
      <c r="H495" s="2" t="s">
        <v>148</v>
      </c>
      <c r="I495" s="2" t="s">
        <v>1635</v>
      </c>
      <c r="J495" s="3" t="str">
        <f>HYPERLINK("https://www.boe.es/gazeta/dias/1811/10/31/pdfs/GMD-1811-304.pdf#page=1","Abrir facsímil")</f>
        <v>Abrir facsímil</v>
      </c>
      <c r="K495" s="3" t="s">
        <v>150</v>
      </c>
    </row>
    <row r="496" spans="1:11" ht="42" customHeight="1">
      <c r="A496" s="2" t="s">
        <v>1636</v>
      </c>
      <c r="B496" s="2" t="s">
        <v>1636</v>
      </c>
      <c r="C496" s="2" t="s">
        <v>17</v>
      </c>
      <c r="D496" s="2" t="s">
        <v>18</v>
      </c>
      <c r="E496" s="4">
        <v>-32323</v>
      </c>
      <c r="F496" s="3" t="s">
        <v>322</v>
      </c>
      <c r="G496" s="3" t="s">
        <v>1463</v>
      </c>
      <c r="H496" s="2" t="s">
        <v>148</v>
      </c>
      <c r="I496" s="2" t="s">
        <v>1637</v>
      </c>
      <c r="J496" s="3" t="str">
        <f>HYPERLINK("https://www.boe.es/gazeta/dias/1811/07/02/pdfs/GEI-1811-87.pdf#page=2","Abrir facsímil")</f>
        <v>Abrir facsímil</v>
      </c>
      <c r="K496" s="3" t="s">
        <v>150</v>
      </c>
    </row>
    <row r="497" spans="1:11" ht="42" customHeight="1">
      <c r="A497" s="2" t="s">
        <v>1638</v>
      </c>
      <c r="B497" s="2" t="s">
        <v>1638</v>
      </c>
      <c r="C497" s="2" t="s">
        <v>17</v>
      </c>
      <c r="D497" s="2" t="s">
        <v>156</v>
      </c>
      <c r="E497" s="4">
        <v>-32188</v>
      </c>
      <c r="F497" s="3" t="s">
        <v>74</v>
      </c>
      <c r="G497" s="3" t="s">
        <v>488</v>
      </c>
      <c r="H497" s="2" t="s">
        <v>148</v>
      </c>
      <c r="I497" s="2" t="s">
        <v>1639</v>
      </c>
      <c r="J497" s="3" t="str">
        <f>HYPERLINK("https://www.boe.es/gazeta/dias/1811/11/14/pdfs/GEI-1811-149.pdf#page=2","Abrir facsímil")</f>
        <v>Abrir facsímil</v>
      </c>
      <c r="K497" s="3" t="s">
        <v>150</v>
      </c>
    </row>
    <row r="498" spans="1:11" ht="42" customHeight="1">
      <c r="A498" s="2" t="s">
        <v>1640</v>
      </c>
      <c r="B498" s="2" t="s">
        <v>1641</v>
      </c>
      <c r="C498" s="2" t="s">
        <v>17</v>
      </c>
      <c r="D498" s="2" t="s">
        <v>105</v>
      </c>
      <c r="E498" s="4">
        <v>-32148</v>
      </c>
      <c r="F498" s="3" t="s">
        <v>1616</v>
      </c>
      <c r="G498" s="3" t="s">
        <v>515</v>
      </c>
      <c r="H498" s="2" t="s">
        <v>148</v>
      </c>
      <c r="I498" s="2" t="s">
        <v>1642</v>
      </c>
      <c r="J498" s="3" t="str">
        <f>HYPERLINK("https://www.boe.es/gazeta/dias/1811/12/24/pdfs/GEI-1811-166.pdf#page=7","Abrir facsímil")</f>
        <v>Abrir facsímil</v>
      </c>
      <c r="K498" s="3" t="s">
        <v>150</v>
      </c>
    </row>
    <row r="499" spans="1:11" ht="42" customHeight="1">
      <c r="A499" s="2" t="s">
        <v>1643</v>
      </c>
      <c r="B499" s="2" t="s">
        <v>1644</v>
      </c>
      <c r="C499" s="2" t="s">
        <v>17</v>
      </c>
      <c r="D499" s="2" t="s">
        <v>18</v>
      </c>
      <c r="E499" s="4">
        <v>-32363</v>
      </c>
      <c r="F499" s="3" t="s">
        <v>1645</v>
      </c>
      <c r="G499" s="3" t="s">
        <v>1646</v>
      </c>
      <c r="H499" s="2" t="s">
        <v>148</v>
      </c>
      <c r="I499" s="2" t="s">
        <v>1647</v>
      </c>
      <c r="J499" s="3" t="str">
        <f>HYPERLINK("https://www.boe.es/gazeta/dias/1811/05/23/pdfs/GEI-1811-68.pdf#page=8","Abrir facsímil")</f>
        <v>Abrir facsímil</v>
      </c>
      <c r="K499" s="3" t="s">
        <v>150</v>
      </c>
    </row>
    <row r="500" spans="1:11" ht="42" customHeight="1">
      <c r="A500" s="2" t="s">
        <v>1648</v>
      </c>
      <c r="B500" s="2" t="s">
        <v>1649</v>
      </c>
      <c r="C500" s="2" t="s">
        <v>17</v>
      </c>
      <c r="D500" s="2" t="s">
        <v>18</v>
      </c>
      <c r="E500" s="4">
        <v>-32421</v>
      </c>
      <c r="F500" s="3" t="s">
        <v>79</v>
      </c>
      <c r="G500" s="3" t="s">
        <v>488</v>
      </c>
      <c r="H500" s="2" t="s">
        <v>148</v>
      </c>
      <c r="I500" s="2" t="s">
        <v>1650</v>
      </c>
      <c r="J500" s="3" t="str">
        <f>HYPERLINK("https://www.boe.es/gazeta/dias/1811/03/26/pdfs/GEI-1811-42.pdf#page=8","Abrir facsímil")</f>
        <v>Abrir facsímil</v>
      </c>
      <c r="K500" s="3" t="s">
        <v>150</v>
      </c>
    </row>
    <row r="501" spans="1:11" ht="42" customHeight="1">
      <c r="A501" s="2" t="s">
        <v>1651</v>
      </c>
      <c r="B501" s="2" t="s">
        <v>1652</v>
      </c>
      <c r="C501" s="2" t="s">
        <v>26</v>
      </c>
      <c r="D501" s="2" t="s">
        <v>18</v>
      </c>
      <c r="E501" s="4">
        <v>-32328</v>
      </c>
      <c r="F501" s="3" t="s">
        <v>1653</v>
      </c>
      <c r="G501" s="3" t="s">
        <v>1654</v>
      </c>
      <c r="H501" s="2" t="s">
        <v>148</v>
      </c>
      <c r="I501" s="2" t="s">
        <v>1655</v>
      </c>
      <c r="J501" s="3" t="str">
        <f>HYPERLINK("https://www.boe.es/gazeta/dias/1811/06/27/pdfs/GEI-1811-85.pdf#page=8","Abrir facsímil")</f>
        <v>Abrir facsímil</v>
      </c>
      <c r="K501" s="3" t="s">
        <v>150</v>
      </c>
    </row>
    <row r="502" spans="1:11" ht="42" customHeight="1">
      <c r="A502" s="2" t="s">
        <v>1656</v>
      </c>
      <c r="B502" s="2" t="s">
        <v>1657</v>
      </c>
      <c r="C502" s="2" t="s">
        <v>26</v>
      </c>
      <c r="D502" s="2" t="s">
        <v>18</v>
      </c>
      <c r="E502" s="4">
        <v>-32235</v>
      </c>
      <c r="F502" s="3" t="s">
        <v>190</v>
      </c>
      <c r="G502" s="3" t="s">
        <v>188</v>
      </c>
      <c r="H502" s="2" t="s">
        <v>148</v>
      </c>
      <c r="I502" s="2" t="s">
        <v>1658</v>
      </c>
      <c r="J502" s="3" t="str">
        <f>HYPERLINK("https://www.boe.es/gazeta/dias/1811/09/28/pdfs/GEI-1811-125.pdf#page=8","Abrir facsímil")</f>
        <v>Abrir facsímil</v>
      </c>
      <c r="K502" s="3" t="s">
        <v>150</v>
      </c>
    </row>
    <row r="503" spans="1:11" ht="42" customHeight="1">
      <c r="A503" s="2" t="s">
        <v>1659</v>
      </c>
      <c r="B503" s="2" t="s">
        <v>1660</v>
      </c>
      <c r="C503" s="2" t="s">
        <v>367</v>
      </c>
      <c r="D503" s="2" t="s">
        <v>105</v>
      </c>
      <c r="E503" s="4">
        <v>-32492</v>
      </c>
      <c r="F503" s="3" t="s">
        <v>1512</v>
      </c>
      <c r="G503" s="3" t="s">
        <v>183</v>
      </c>
      <c r="H503" s="2" t="s">
        <v>148</v>
      </c>
      <c r="I503" s="2" t="s">
        <v>1661</v>
      </c>
      <c r="J503" s="3" t="str">
        <f>HYPERLINK("https://www.boe.es/gazeta/dias/1811/01/14/pdfs/GMD-1811-14.pdf#page=4","Abrir facsímil")</f>
        <v>Abrir facsímil</v>
      </c>
      <c r="K503" s="3" t="s">
        <v>150</v>
      </c>
    </row>
    <row r="504" spans="1:11" ht="42" customHeight="1">
      <c r="A504" s="2" t="s">
        <v>1662</v>
      </c>
      <c r="B504" s="2" t="s">
        <v>1663</v>
      </c>
      <c r="C504" s="2" t="s">
        <v>841</v>
      </c>
      <c r="D504" s="2" t="s">
        <v>18</v>
      </c>
      <c r="E504" s="4">
        <v>-32379</v>
      </c>
      <c r="F504" s="3" t="s">
        <v>462</v>
      </c>
      <c r="G504" s="3" t="s">
        <v>463</v>
      </c>
      <c r="H504" s="2" t="s">
        <v>148</v>
      </c>
      <c r="I504" s="2" t="s">
        <v>1664</v>
      </c>
      <c r="J504" s="3" t="str">
        <f>HYPERLINK("https://www.boe.es/gazeta/dias/1811/05/07/pdfs/GEI-1811-60.pdf#page=8","Abrir facsímil")</f>
        <v>Abrir facsímil</v>
      </c>
      <c r="K504" s="3" t="s">
        <v>150</v>
      </c>
    </row>
    <row r="505" spans="1:11" ht="42" customHeight="1">
      <c r="A505" s="2" t="s">
        <v>1665</v>
      </c>
      <c r="B505" s="2" t="s">
        <v>1665</v>
      </c>
      <c r="C505" s="2" t="s">
        <v>26</v>
      </c>
      <c r="D505" s="2" t="s">
        <v>18</v>
      </c>
      <c r="E505" s="4">
        <v>-32248</v>
      </c>
      <c r="F505" s="3" t="s">
        <v>622</v>
      </c>
      <c r="G505" s="3" t="s">
        <v>115</v>
      </c>
      <c r="H505" s="2" t="s">
        <v>148</v>
      </c>
      <c r="I505" s="2" t="s">
        <v>1666</v>
      </c>
      <c r="J505" s="3" t="str">
        <f>HYPERLINK("https://www.boe.es/gazeta/dias/1811/09/15/pdfs/GMD-1811-258.pdf#page=3","Abrir facsímil")</f>
        <v>Abrir facsímil</v>
      </c>
      <c r="K505" s="3" t="s">
        <v>150</v>
      </c>
    </row>
    <row r="506" spans="1:11" ht="42" customHeight="1">
      <c r="A506" s="2" t="s">
        <v>1667</v>
      </c>
      <c r="B506" s="2" t="s">
        <v>1668</v>
      </c>
      <c r="C506" s="2" t="s">
        <v>26</v>
      </c>
      <c r="D506" s="2" t="s">
        <v>18</v>
      </c>
      <c r="E506" s="4">
        <v>-32237</v>
      </c>
      <c r="F506" s="3" t="s">
        <v>717</v>
      </c>
      <c r="G506" s="3" t="s">
        <v>718</v>
      </c>
      <c r="H506" s="2" t="s">
        <v>148</v>
      </c>
      <c r="I506" s="2" t="s">
        <v>1669</v>
      </c>
      <c r="J506" s="3" t="str">
        <f>HYPERLINK("https://www.boe.es/gazeta/dias/1811/09/26/pdfs/GEI-1811-124.pdf#page=5","Abrir facsímil")</f>
        <v>Abrir facsímil</v>
      </c>
      <c r="K506" s="3" t="s">
        <v>150</v>
      </c>
    </row>
    <row r="507" spans="1:11" ht="42" customHeight="1">
      <c r="A507" s="2" t="s">
        <v>1670</v>
      </c>
      <c r="B507" s="2" t="s">
        <v>1670</v>
      </c>
      <c r="C507" s="2" t="s">
        <v>26</v>
      </c>
      <c r="D507" s="2" t="s">
        <v>18</v>
      </c>
      <c r="E507" s="4">
        <v>-32175</v>
      </c>
      <c r="F507" s="3" t="s">
        <v>1671</v>
      </c>
      <c r="G507" s="3" t="s">
        <v>91</v>
      </c>
      <c r="H507" s="2" t="s">
        <v>148</v>
      </c>
      <c r="I507" s="2" t="s">
        <v>1672</v>
      </c>
      <c r="J507" s="3" t="str">
        <f>HYPERLINK("https://www.boe.es/gazeta/dias/1811/11/27/pdfs/GMD-1811-331.pdf#page=3","Abrir facsímil")</f>
        <v>Abrir facsímil</v>
      </c>
      <c r="K507" s="3" t="s">
        <v>150</v>
      </c>
    </row>
    <row r="508" spans="1:11" ht="42" customHeight="1">
      <c r="A508" s="2" t="s">
        <v>1670</v>
      </c>
      <c r="B508" s="2" t="s">
        <v>1670</v>
      </c>
      <c r="C508" s="2" t="s">
        <v>26</v>
      </c>
      <c r="D508" s="2" t="s">
        <v>18</v>
      </c>
      <c r="E508" s="4">
        <v>-32152</v>
      </c>
      <c r="F508" s="3" t="s">
        <v>1673</v>
      </c>
      <c r="G508" s="3" t="s">
        <v>57</v>
      </c>
      <c r="H508" s="2" t="s">
        <v>148</v>
      </c>
      <c r="I508" s="2" t="s">
        <v>1674</v>
      </c>
      <c r="J508" s="3" t="str">
        <f>HYPERLINK("https://www.boe.es/gazeta/dias/1811/12/20/pdfs/GMD-1811-354.pdf#page=2","Abrir facsímil")</f>
        <v>Abrir facsímil</v>
      </c>
      <c r="K508" s="3" t="s">
        <v>150</v>
      </c>
    </row>
    <row r="509" spans="1:11" ht="42" customHeight="1">
      <c r="A509" s="2" t="s">
        <v>1675</v>
      </c>
      <c r="B509" s="2" t="s">
        <v>1675</v>
      </c>
      <c r="C509" s="2" t="s">
        <v>17</v>
      </c>
      <c r="D509" s="2" t="s">
        <v>156</v>
      </c>
      <c r="E509" s="4">
        <v>-32279</v>
      </c>
      <c r="F509" s="3" t="s">
        <v>540</v>
      </c>
      <c r="G509" s="3" t="s">
        <v>91</v>
      </c>
      <c r="H509" s="2" t="s">
        <v>148</v>
      </c>
      <c r="I509" s="2" t="s">
        <v>1676</v>
      </c>
      <c r="J509" s="3" t="str">
        <f>HYPERLINK("https://www.boe.es/gazeta/dias/1811/08/15/pdfs/GMD-1811-227.pdf#page=3","Abrir facsímil")</f>
        <v>Abrir facsímil</v>
      </c>
      <c r="K509" s="3" t="s">
        <v>150</v>
      </c>
    </row>
    <row r="510" spans="1:11" ht="42" customHeight="1">
      <c r="A510" s="2" t="s">
        <v>1677</v>
      </c>
      <c r="B510" s="2" t="s">
        <v>1678</v>
      </c>
      <c r="C510" s="2" t="s">
        <v>26</v>
      </c>
      <c r="D510" s="2" t="s">
        <v>18</v>
      </c>
      <c r="E510" s="4">
        <v>-32501</v>
      </c>
      <c r="F510" s="3" t="s">
        <v>1679</v>
      </c>
      <c r="G510" s="3" t="s">
        <v>248</v>
      </c>
      <c r="H510" s="2" t="s">
        <v>148</v>
      </c>
      <c r="I510" s="2" t="s">
        <v>1680</v>
      </c>
      <c r="J510" s="3" t="str">
        <f>HYPERLINK("https://www.boe.es/gazeta/dias/1811/01/05/pdfs/GMD-1811-5.pdf#page=1","Abrir facsímil")</f>
        <v>Abrir facsímil</v>
      </c>
      <c r="K510" s="3" t="s">
        <v>150</v>
      </c>
    </row>
    <row r="511" spans="1:11" ht="42" customHeight="1">
      <c r="A511" s="2" t="s">
        <v>1677</v>
      </c>
      <c r="B511" s="2" t="s">
        <v>1678</v>
      </c>
      <c r="C511" s="2" t="s">
        <v>122</v>
      </c>
      <c r="D511" s="2" t="s">
        <v>105</v>
      </c>
      <c r="E511" s="4">
        <v>-32495</v>
      </c>
      <c r="F511" s="3" t="s">
        <v>1681</v>
      </c>
      <c r="G511" s="3" t="s">
        <v>39</v>
      </c>
      <c r="H511" s="2" t="s">
        <v>148</v>
      </c>
      <c r="I511" s="2" t="s">
        <v>1682</v>
      </c>
      <c r="J511" s="3" t="str">
        <f>HYPERLINK("https://www.boe.es/gazeta/dias/1811/01/11/pdfs/GMD-1811-11.pdf#page=1","Abrir facsímil")</f>
        <v>Abrir facsímil</v>
      </c>
      <c r="K511" s="3" t="s">
        <v>150</v>
      </c>
    </row>
    <row r="512" spans="1:11" ht="42" customHeight="1">
      <c r="A512" s="2" t="s">
        <v>1683</v>
      </c>
      <c r="B512" s="2" t="s">
        <v>1684</v>
      </c>
      <c r="C512" s="2" t="s">
        <v>104</v>
      </c>
      <c r="D512" s="2" t="s">
        <v>18</v>
      </c>
      <c r="E512" s="4">
        <v>-32499</v>
      </c>
      <c r="F512" s="3" t="s">
        <v>1685</v>
      </c>
      <c r="G512" s="3" t="s">
        <v>468</v>
      </c>
      <c r="H512" s="2" t="s">
        <v>148</v>
      </c>
      <c r="I512" s="2" t="s">
        <v>1686</v>
      </c>
      <c r="J512" s="3" t="str">
        <f>HYPERLINK("https://www.boe.es/gazeta/dias/1811/01/07/pdfs/GMD-1811-7.pdf#page=1","Abrir facsímil")</f>
        <v>Abrir facsímil</v>
      </c>
      <c r="K512" s="3" t="s">
        <v>150</v>
      </c>
    </row>
    <row r="513" spans="1:11" ht="42" customHeight="1">
      <c r="A513" s="2" t="s">
        <v>1683</v>
      </c>
      <c r="B513" s="2" t="s">
        <v>1684</v>
      </c>
      <c r="C513" s="2" t="s">
        <v>26</v>
      </c>
      <c r="D513" s="2" t="s">
        <v>18</v>
      </c>
      <c r="E513" s="4">
        <v>-32481</v>
      </c>
      <c r="F513" s="3" t="s">
        <v>1687</v>
      </c>
      <c r="G513" s="3" t="s">
        <v>1688</v>
      </c>
      <c r="H513" s="2" t="s">
        <v>148</v>
      </c>
      <c r="I513" s="2" t="s">
        <v>1689</v>
      </c>
      <c r="J513" s="3" t="str">
        <f>HYPERLINK("https://www.boe.es/gazeta/dias/1811/01/25/pdfs/GMD-1811-25.pdf#page=1","Abrir facsímil")</f>
        <v>Abrir facsímil</v>
      </c>
      <c r="K513" s="3" t="s">
        <v>150</v>
      </c>
    </row>
    <row r="514" spans="1:11" ht="42" customHeight="1">
      <c r="A514" s="2" t="s">
        <v>1690</v>
      </c>
      <c r="B514" s="2" t="s">
        <v>1691</v>
      </c>
      <c r="C514" s="2" t="s">
        <v>26</v>
      </c>
      <c r="D514" s="2" t="s">
        <v>18</v>
      </c>
      <c r="E514" s="4">
        <v>-32375</v>
      </c>
      <c r="F514" s="3" t="s">
        <v>1209</v>
      </c>
      <c r="G514" s="3" t="s">
        <v>440</v>
      </c>
      <c r="H514" s="2" t="s">
        <v>148</v>
      </c>
      <c r="I514" s="2" t="s">
        <v>1692</v>
      </c>
      <c r="J514" s="3" t="str">
        <f>HYPERLINK("https://www.boe.es/gazeta/dias/1811/05/11/pdfs/GEI-1811-62.pdf#page=6","Abrir facsímil")</f>
        <v>Abrir facsímil</v>
      </c>
      <c r="K514" s="3" t="s">
        <v>150</v>
      </c>
    </row>
    <row r="515" spans="1:11" ht="42" customHeight="1">
      <c r="A515" s="2" t="s">
        <v>1693</v>
      </c>
      <c r="B515" s="2" t="s">
        <v>1693</v>
      </c>
      <c r="C515" s="2" t="s">
        <v>17</v>
      </c>
      <c r="D515" s="2" t="s">
        <v>156</v>
      </c>
      <c r="E515" s="4">
        <v>-32261</v>
      </c>
      <c r="F515" s="3" t="s">
        <v>1694</v>
      </c>
      <c r="G515" s="3" t="s">
        <v>1695</v>
      </c>
      <c r="H515" s="2" t="s">
        <v>148</v>
      </c>
      <c r="I515" s="2" t="s">
        <v>1696</v>
      </c>
      <c r="J515" s="3" t="str">
        <f>HYPERLINK("https://www.boe.es/gazeta/dias/1811/09/02/pdfs/GMD-1811-245.pdf#page=3","Abrir facsímil")</f>
        <v>Abrir facsímil</v>
      </c>
      <c r="K515" s="3" t="s">
        <v>150</v>
      </c>
    </row>
    <row r="516" spans="1:11" ht="42" customHeight="1">
      <c r="A516" s="2" t="s">
        <v>1697</v>
      </c>
      <c r="B516" s="2" t="s">
        <v>1697</v>
      </c>
      <c r="C516" s="2" t="s">
        <v>17</v>
      </c>
      <c r="D516" s="2" t="s">
        <v>156</v>
      </c>
      <c r="E516" s="4">
        <v>-32381</v>
      </c>
      <c r="F516" s="3" t="s">
        <v>1698</v>
      </c>
      <c r="G516" s="3" t="s">
        <v>134</v>
      </c>
      <c r="H516" s="2" t="s">
        <v>148</v>
      </c>
      <c r="I516" s="2" t="s">
        <v>1699</v>
      </c>
      <c r="J516" s="3" t="str">
        <f>HYPERLINK("https://www.boe.es/gazeta/dias/1811/05/05/pdfs/GMD-1811-125.pdf#page=3","Abrir facsímil")</f>
        <v>Abrir facsímil</v>
      </c>
      <c r="K516" s="3" t="s">
        <v>150</v>
      </c>
    </row>
    <row r="517" spans="1:11" ht="42" customHeight="1">
      <c r="A517" s="2" t="s">
        <v>1700</v>
      </c>
      <c r="B517" s="2" t="s">
        <v>1701</v>
      </c>
      <c r="C517" s="2" t="s">
        <v>17</v>
      </c>
      <c r="D517" s="2" t="s">
        <v>18</v>
      </c>
      <c r="E517" s="4">
        <v>-32169</v>
      </c>
      <c r="F517" s="3" t="s">
        <v>1702</v>
      </c>
      <c r="G517" s="3" t="s">
        <v>1703</v>
      </c>
      <c r="H517" s="2" t="s">
        <v>148</v>
      </c>
      <c r="I517" s="2" t="s">
        <v>1704</v>
      </c>
      <c r="J517" s="3" t="str">
        <f>HYPERLINK("https://www.boe.es/gazeta/dias/1811/12/03/pdfs/GEI-1811-157.pdf#page=4","Abrir facsímil")</f>
        <v>Abrir facsímil</v>
      </c>
      <c r="K517" s="3" t="s">
        <v>150</v>
      </c>
    </row>
    <row r="518" spans="1:11" ht="42" customHeight="1">
      <c r="A518" s="2" t="s">
        <v>1705</v>
      </c>
      <c r="B518" s="2" t="s">
        <v>1706</v>
      </c>
      <c r="C518" s="2" t="s">
        <v>26</v>
      </c>
      <c r="D518" s="2" t="s">
        <v>18</v>
      </c>
      <c r="E518" s="4">
        <v>-32433</v>
      </c>
      <c r="F518" s="3" t="s">
        <v>209</v>
      </c>
      <c r="G518" s="3" t="s">
        <v>488</v>
      </c>
      <c r="H518" s="2" t="s">
        <v>148</v>
      </c>
      <c r="I518" s="2" t="s">
        <v>1707</v>
      </c>
      <c r="J518" s="3" t="str">
        <f>HYPERLINK("https://www.boe.es/gazeta/dias/1811/03/14/pdfs/GMD-1811-73.pdf#page=2","Abrir facsímil")</f>
        <v>Abrir facsímil</v>
      </c>
      <c r="K518" s="3" t="s">
        <v>150</v>
      </c>
    </row>
    <row r="519" spans="1:11" ht="42" customHeight="1">
      <c r="A519" s="2" t="s">
        <v>1708</v>
      </c>
      <c r="B519" s="2" t="s">
        <v>1708</v>
      </c>
      <c r="C519" s="2" t="s">
        <v>26</v>
      </c>
      <c r="D519" s="2" t="s">
        <v>18</v>
      </c>
      <c r="E519" s="4">
        <v>-32394</v>
      </c>
      <c r="F519" s="3" t="s">
        <v>1709</v>
      </c>
      <c r="G519" s="3" t="s">
        <v>1710</v>
      </c>
      <c r="H519" s="2" t="s">
        <v>148</v>
      </c>
      <c r="I519" s="2" t="s">
        <v>1711</v>
      </c>
      <c r="J519" s="3" t="str">
        <f>HYPERLINK("https://www.boe.es/gazeta/dias/1811/04/22/pdfs/GMD-1811-112.pdf#page=1","Abrir facsímil")</f>
        <v>Abrir facsímil</v>
      </c>
      <c r="K519" s="3" t="s">
        <v>150</v>
      </c>
    </row>
    <row r="520" spans="1:11" ht="42" customHeight="1">
      <c r="A520" s="2" t="s">
        <v>1712</v>
      </c>
      <c r="B520" s="2" t="s">
        <v>1712</v>
      </c>
      <c r="C520" s="2" t="s">
        <v>17</v>
      </c>
      <c r="D520" s="2" t="s">
        <v>141</v>
      </c>
      <c r="E520" s="4">
        <v>-32330</v>
      </c>
      <c r="F520" s="3" t="s">
        <v>1713</v>
      </c>
      <c r="G520" s="3" t="s">
        <v>91</v>
      </c>
      <c r="H520" s="2" t="s">
        <v>148</v>
      </c>
      <c r="I520" s="2" t="s">
        <v>1714</v>
      </c>
      <c r="J520" s="3" t="str">
        <f>HYPERLINK("https://www.boe.es/gazeta/dias/1811/06/25/pdfs/GEI-D-1811-84.pdf#page=8","Abrir facsímil")</f>
        <v>Abrir facsímil</v>
      </c>
      <c r="K520" s="3" t="s">
        <v>150</v>
      </c>
    </row>
    <row r="521" spans="1:11" ht="42" customHeight="1">
      <c r="A521" s="2" t="s">
        <v>1715</v>
      </c>
      <c r="B521" s="2" t="s">
        <v>1716</v>
      </c>
      <c r="C521" s="2" t="s">
        <v>26</v>
      </c>
      <c r="D521" s="2" t="s">
        <v>18</v>
      </c>
      <c r="E521" s="4">
        <v>-32463</v>
      </c>
      <c r="F521" s="3" t="s">
        <v>734</v>
      </c>
      <c r="G521" s="3" t="s">
        <v>735</v>
      </c>
      <c r="H521" s="2" t="s">
        <v>148</v>
      </c>
      <c r="I521" s="2" t="s">
        <v>1717</v>
      </c>
      <c r="J521" s="3" t="str">
        <f>HYPERLINK("https://www.boe.es/gazeta/dias/1811/02/12/pdfs/GEI-1811-19.pdf#page=8","Abrir facsímil")</f>
        <v>Abrir facsímil</v>
      </c>
      <c r="K521" s="3" t="s">
        <v>150</v>
      </c>
    </row>
    <row r="522" spans="1:11" ht="42" customHeight="1">
      <c r="A522" s="2" t="s">
        <v>1718</v>
      </c>
      <c r="B522" s="2" t="s">
        <v>1718</v>
      </c>
      <c r="C522" s="2" t="s">
        <v>17</v>
      </c>
      <c r="D522" s="2" t="s">
        <v>18</v>
      </c>
      <c r="E522" s="4">
        <v>-32153</v>
      </c>
      <c r="F522" s="3" t="s">
        <v>123</v>
      </c>
      <c r="G522" s="3" t="s">
        <v>20</v>
      </c>
      <c r="H522" s="2" t="s">
        <v>148</v>
      </c>
      <c r="I522" s="2" t="s">
        <v>1719</v>
      </c>
      <c r="J522" s="3" t="str">
        <f>HYPERLINK("https://www.boe.es/gazeta/dias/1811/12/19/pdfs/GMD-1811-353.pdf#page=3","Abrir facsímil")</f>
        <v>Abrir facsímil</v>
      </c>
      <c r="K522" s="3" t="s">
        <v>150</v>
      </c>
    </row>
    <row r="523" spans="1:11" ht="42" customHeight="1">
      <c r="A523" s="2" t="s">
        <v>1720</v>
      </c>
      <c r="B523" s="2" t="s">
        <v>1721</v>
      </c>
      <c r="C523" s="2" t="s">
        <v>17</v>
      </c>
      <c r="D523" s="2" t="s">
        <v>156</v>
      </c>
      <c r="E523" s="4">
        <v>-32291</v>
      </c>
      <c r="F523" s="3" t="s">
        <v>712</v>
      </c>
      <c r="G523" s="3" t="s">
        <v>1722</v>
      </c>
      <c r="H523" s="2" t="s">
        <v>148</v>
      </c>
      <c r="I523" s="2" t="s">
        <v>1723</v>
      </c>
      <c r="J523" s="3" t="str">
        <f>HYPERLINK("https://www.boe.es/gazeta/dias/1811/08/03/pdfs/GEI-1811-101.pdf#page=8","Abrir facsímil")</f>
        <v>Abrir facsímil</v>
      </c>
      <c r="K523" s="3" t="s">
        <v>150</v>
      </c>
    </row>
    <row r="524" spans="1:11" ht="42" customHeight="1">
      <c r="A524" s="2" t="s">
        <v>1724</v>
      </c>
      <c r="B524" s="2" t="s">
        <v>1724</v>
      </c>
      <c r="C524" s="2" t="s">
        <v>17</v>
      </c>
      <c r="D524" s="2" t="s">
        <v>18</v>
      </c>
      <c r="E524" s="4">
        <v>-32207</v>
      </c>
      <c r="F524" s="3" t="s">
        <v>152</v>
      </c>
      <c r="G524" s="3" t="s">
        <v>153</v>
      </c>
      <c r="H524" s="2" t="s">
        <v>148</v>
      </c>
      <c r="I524" s="2" t="s">
        <v>1725</v>
      </c>
      <c r="J524" s="3" t="str">
        <f>HYPERLINK("https://www.boe.es/gazeta/dias/1811/10/26/pdfs/GEI-1811-138.pdf#page=2","Abrir facsímil")</f>
        <v>Abrir facsímil</v>
      </c>
      <c r="K524" s="3" t="s">
        <v>150</v>
      </c>
    </row>
    <row r="525" spans="1:11" ht="42" customHeight="1">
      <c r="A525" s="2" t="s">
        <v>1726</v>
      </c>
      <c r="B525" s="2" t="s">
        <v>1727</v>
      </c>
      <c r="C525" s="2" t="s">
        <v>26</v>
      </c>
      <c r="D525" s="2" t="s">
        <v>18</v>
      </c>
      <c r="E525" s="4">
        <v>-32286</v>
      </c>
      <c r="F525" s="3" t="s">
        <v>754</v>
      </c>
      <c r="G525" s="3" t="s">
        <v>1728</v>
      </c>
      <c r="H525" s="2" t="s">
        <v>148</v>
      </c>
      <c r="I525" s="2" t="s">
        <v>1729</v>
      </c>
      <c r="J525" s="3" t="str">
        <f>HYPERLINK("https://www.boe.es/gazeta/dias/1811/08/08/pdfs/GEI-1811-103.pdf#page=8","Abrir facsímil")</f>
        <v>Abrir facsímil</v>
      </c>
      <c r="K525" s="3" t="s">
        <v>150</v>
      </c>
    </row>
    <row r="526" spans="1:11" ht="42" customHeight="1">
      <c r="A526" s="2" t="s">
        <v>1730</v>
      </c>
      <c r="B526" s="2" t="s">
        <v>1730</v>
      </c>
      <c r="C526" s="2" t="s">
        <v>17</v>
      </c>
      <c r="D526" s="2" t="s">
        <v>156</v>
      </c>
      <c r="E526" s="4">
        <v>-32433</v>
      </c>
      <c r="F526" s="3" t="s">
        <v>676</v>
      </c>
      <c r="G526" s="3" t="s">
        <v>679</v>
      </c>
      <c r="H526" s="2" t="s">
        <v>148</v>
      </c>
      <c r="I526" s="2" t="s">
        <v>1731</v>
      </c>
      <c r="J526" s="3" t="str">
        <f>HYPERLINK("https://www.boe.es/gazeta/dias/1811/03/14/pdfs/GEI-1811-37.pdf#page=7","Abrir facsímil")</f>
        <v>Abrir facsímil</v>
      </c>
      <c r="K526" s="3" t="s">
        <v>150</v>
      </c>
    </row>
    <row r="527" spans="1:11" ht="42" customHeight="1">
      <c r="A527" s="2" t="s">
        <v>1732</v>
      </c>
      <c r="B527" s="2" t="s">
        <v>1732</v>
      </c>
      <c r="C527" s="2" t="s">
        <v>17</v>
      </c>
      <c r="D527" s="2" t="s">
        <v>156</v>
      </c>
      <c r="E527" s="4">
        <v>-32442</v>
      </c>
      <c r="F527" s="3" t="s">
        <v>1733</v>
      </c>
      <c r="G527" s="3" t="s">
        <v>248</v>
      </c>
      <c r="H527" s="2" t="s">
        <v>148</v>
      </c>
      <c r="I527" s="2" t="s">
        <v>1734</v>
      </c>
      <c r="J527" s="3" t="str">
        <f>HYPERLINK("https://www.boe.es/gazeta/dias/1811/03/05/pdfs/GEI-1811-30E.pdf#page=3","Abrir facsímil")</f>
        <v>Abrir facsímil</v>
      </c>
      <c r="K527" s="3" t="s">
        <v>150</v>
      </c>
    </row>
    <row r="528" spans="1:11" ht="42" customHeight="1">
      <c r="A528" s="2" t="s">
        <v>1735</v>
      </c>
      <c r="B528" s="2" t="s">
        <v>1736</v>
      </c>
      <c r="C528" s="2" t="s">
        <v>26</v>
      </c>
      <c r="D528" s="2" t="s">
        <v>18</v>
      </c>
      <c r="E528" s="4">
        <v>-32210</v>
      </c>
      <c r="F528" s="3" t="s">
        <v>1737</v>
      </c>
      <c r="G528" s="3" t="s">
        <v>248</v>
      </c>
      <c r="H528" s="2" t="s">
        <v>148</v>
      </c>
      <c r="I528" s="2" t="s">
        <v>1738</v>
      </c>
      <c r="J528" s="3" t="str">
        <f>HYPERLINK("https://www.boe.es/gazeta/dias/1811/10/23/pdfs/GMD-1811-296.pdf#page=5","Abrir facsímil")</f>
        <v>Abrir facsímil</v>
      </c>
      <c r="K528" s="3" t="s">
        <v>150</v>
      </c>
    </row>
    <row r="529" spans="1:11" ht="42" customHeight="1">
      <c r="A529" s="2" t="s">
        <v>1739</v>
      </c>
      <c r="B529" s="2" t="s">
        <v>1740</v>
      </c>
      <c r="C529" s="2" t="s">
        <v>66</v>
      </c>
      <c r="D529" s="2" t="s">
        <v>18</v>
      </c>
      <c r="E529" s="4">
        <v>-32218</v>
      </c>
      <c r="F529" s="3" t="s">
        <v>938</v>
      </c>
      <c r="G529" s="3" t="s">
        <v>939</v>
      </c>
      <c r="H529" s="2" t="s">
        <v>148</v>
      </c>
      <c r="I529" s="2" t="s">
        <v>1741</v>
      </c>
      <c r="J529" s="3" t="str">
        <f>HYPERLINK("https://www.boe.es/gazeta/dias/1811/10/15/pdfs/GEI-1811-133.pdf#page=8","Abrir facsímil")</f>
        <v>Abrir facsímil</v>
      </c>
      <c r="K529" s="3" t="s">
        <v>150</v>
      </c>
    </row>
    <row r="530" spans="1:11" ht="42" customHeight="1">
      <c r="A530" s="2" t="s">
        <v>1742</v>
      </c>
      <c r="B530" s="2" t="s">
        <v>1743</v>
      </c>
      <c r="C530" s="2" t="s">
        <v>26</v>
      </c>
      <c r="D530" s="2" t="s">
        <v>141</v>
      </c>
      <c r="E530" s="4">
        <v>-32188</v>
      </c>
      <c r="F530" s="3" t="s">
        <v>505</v>
      </c>
      <c r="G530" s="3" t="s">
        <v>162</v>
      </c>
      <c r="H530" s="2" t="s">
        <v>148</v>
      </c>
      <c r="I530" s="2" t="s">
        <v>1744</v>
      </c>
      <c r="J530" s="3" t="str">
        <f>HYPERLINK("https://www.boe.es/gazeta/dias/1811/11/14/pdfs/GEI-D-1811-149.pdf#page=4","Abrir facsímil")</f>
        <v>Abrir facsímil</v>
      </c>
      <c r="K530" s="3" t="s">
        <v>150</v>
      </c>
    </row>
    <row r="531" spans="1:11" ht="42" customHeight="1">
      <c r="A531" s="2" t="s">
        <v>1745</v>
      </c>
      <c r="B531" s="2" t="s">
        <v>1746</v>
      </c>
      <c r="C531" s="2" t="s">
        <v>17</v>
      </c>
      <c r="D531" s="2" t="s">
        <v>18</v>
      </c>
      <c r="E531" s="4">
        <v>-32230</v>
      </c>
      <c r="F531" s="3" t="s">
        <v>625</v>
      </c>
      <c r="G531" s="3" t="s">
        <v>1258</v>
      </c>
      <c r="H531" s="2" t="s">
        <v>148</v>
      </c>
      <c r="I531" s="2" t="s">
        <v>1747</v>
      </c>
      <c r="J531" s="3" t="str">
        <f>HYPERLINK("https://www.boe.es/gazeta/dias/1811/10/03/pdfs/GEI-1811-127.pdf#page=8","Abrir facsímil")</f>
        <v>Abrir facsímil</v>
      </c>
      <c r="K531" s="3" t="s">
        <v>150</v>
      </c>
    </row>
    <row r="532" spans="1:11" ht="42" customHeight="1">
      <c r="A532" s="2" t="s">
        <v>1748</v>
      </c>
      <c r="B532" s="2" t="s">
        <v>1749</v>
      </c>
      <c r="C532" s="2" t="s">
        <v>17</v>
      </c>
      <c r="D532" s="2" t="s">
        <v>18</v>
      </c>
      <c r="E532" s="4">
        <v>-32260</v>
      </c>
      <c r="F532" s="3" t="s">
        <v>27</v>
      </c>
      <c r="G532" s="3" t="s">
        <v>183</v>
      </c>
      <c r="H532" s="2" t="s">
        <v>148</v>
      </c>
      <c r="I532" s="2" t="s">
        <v>1750</v>
      </c>
      <c r="J532" s="3" t="str">
        <f>HYPERLINK("https://www.boe.es/gazeta/dias/1811/09/03/pdfs/GEI-1811-114.pdf#page=4","Abrir facsímil")</f>
        <v>Abrir facsímil</v>
      </c>
      <c r="K532" s="3" t="s">
        <v>150</v>
      </c>
    </row>
    <row r="533" spans="1:11" ht="42" customHeight="1">
      <c r="A533" s="2" t="s">
        <v>1751</v>
      </c>
      <c r="B533" s="2" t="s">
        <v>1752</v>
      </c>
      <c r="C533" s="2" t="s">
        <v>17</v>
      </c>
      <c r="D533" s="2" t="s">
        <v>18</v>
      </c>
      <c r="E533" s="4">
        <v>-32214</v>
      </c>
      <c r="F533" s="3" t="s">
        <v>1753</v>
      </c>
      <c r="G533" s="3" t="s">
        <v>20</v>
      </c>
      <c r="H533" s="2" t="s">
        <v>148</v>
      </c>
      <c r="I533" s="2" t="s">
        <v>1754</v>
      </c>
      <c r="J533" s="3" t="str">
        <f>HYPERLINK("https://www.boe.es/gazeta/dias/1811/10/19/pdfs/GEI-1811-135.pdf#page=8","Abrir facsímil")</f>
        <v>Abrir facsímil</v>
      </c>
      <c r="K533" s="3" t="s">
        <v>150</v>
      </c>
    </row>
    <row r="534" spans="1:11" ht="42" customHeight="1">
      <c r="A534" s="2" t="s">
        <v>1755</v>
      </c>
      <c r="B534" s="2" t="s">
        <v>1756</v>
      </c>
      <c r="C534" s="2" t="s">
        <v>26</v>
      </c>
      <c r="D534" s="2" t="s">
        <v>18</v>
      </c>
      <c r="E534" s="4">
        <v>-32291</v>
      </c>
      <c r="F534" s="3" t="s">
        <v>712</v>
      </c>
      <c r="G534" s="3" t="s">
        <v>1757</v>
      </c>
      <c r="H534" s="2" t="s">
        <v>148</v>
      </c>
      <c r="I534" s="2" t="s">
        <v>1758</v>
      </c>
      <c r="J534" s="3" t="str">
        <f>HYPERLINK("https://www.boe.es/gazeta/dias/1811/08/03/pdfs/GEI-1811-101.pdf#page=7","Abrir facsímil")</f>
        <v>Abrir facsímil</v>
      </c>
      <c r="K534" s="3" t="s">
        <v>150</v>
      </c>
    </row>
    <row r="535" spans="1:11" ht="42" customHeight="1">
      <c r="A535" s="2" t="s">
        <v>1759</v>
      </c>
      <c r="B535" s="2" t="s">
        <v>1760</v>
      </c>
      <c r="C535" s="2" t="s">
        <v>104</v>
      </c>
      <c r="D535" s="2" t="s">
        <v>18</v>
      </c>
      <c r="E535" s="4">
        <v>-32305</v>
      </c>
      <c r="F535" s="3" t="s">
        <v>1575</v>
      </c>
      <c r="G535" s="3" t="s">
        <v>1761</v>
      </c>
      <c r="H535" s="2" t="s">
        <v>148</v>
      </c>
      <c r="I535" s="2" t="s">
        <v>1762</v>
      </c>
      <c r="J535" s="3" t="str">
        <f>HYPERLINK("https://www.boe.es/gazeta/dias/1811/07/20/pdfs/GEI-1811-95.pdf#page=4","Abrir facsímil")</f>
        <v>Abrir facsímil</v>
      </c>
      <c r="K535" s="3" t="s">
        <v>150</v>
      </c>
    </row>
    <row r="536" spans="1:11" ht="42" customHeight="1">
      <c r="A536" s="2" t="s">
        <v>1763</v>
      </c>
      <c r="B536" s="2" t="s">
        <v>1764</v>
      </c>
      <c r="C536" s="2" t="s">
        <v>26</v>
      </c>
      <c r="D536" s="2" t="s">
        <v>105</v>
      </c>
      <c r="E536" s="4">
        <v>-32277</v>
      </c>
      <c r="F536" s="3" t="s">
        <v>1765</v>
      </c>
      <c r="G536" s="3" t="s">
        <v>1766</v>
      </c>
      <c r="H536" s="2" t="s">
        <v>148</v>
      </c>
      <c r="I536" s="2" t="s">
        <v>1767</v>
      </c>
      <c r="J536" s="3" t="str">
        <f>HYPERLINK("https://www.boe.es/gazeta/dias/1811/08/17/pdfs/GEI-1811-107.pdf#page=7","Abrir facsímil")</f>
        <v>Abrir facsímil</v>
      </c>
      <c r="K536" s="3" t="s">
        <v>150</v>
      </c>
    </row>
    <row r="537" spans="1:11" ht="42" customHeight="1">
      <c r="A537" s="2" t="s">
        <v>1768</v>
      </c>
      <c r="B537" s="2" t="s">
        <v>1769</v>
      </c>
      <c r="C537" s="2" t="s">
        <v>17</v>
      </c>
      <c r="D537" s="2" t="s">
        <v>156</v>
      </c>
      <c r="E537" s="4">
        <v>-32172</v>
      </c>
      <c r="F537" s="3" t="s">
        <v>707</v>
      </c>
      <c r="G537" s="3" t="s">
        <v>1770</v>
      </c>
      <c r="H537" s="2" t="s">
        <v>148</v>
      </c>
      <c r="I537" s="2" t="s">
        <v>1771</v>
      </c>
      <c r="J537" s="3" t="str">
        <f>HYPERLINK("https://www.boe.es/gazeta/dias/1811/11/30/pdfs/GEI-1811-156.pdf#page=8","Abrir facsímil")</f>
        <v>Abrir facsímil</v>
      </c>
      <c r="K537" s="3" t="s">
        <v>150</v>
      </c>
    </row>
    <row r="538" spans="1:11" ht="42" customHeight="1">
      <c r="A538" s="2" t="s">
        <v>1772</v>
      </c>
      <c r="B538" s="2" t="s">
        <v>1772</v>
      </c>
      <c r="C538" s="2" t="s">
        <v>17</v>
      </c>
      <c r="D538" s="2" t="s">
        <v>18</v>
      </c>
      <c r="E538" s="4">
        <v>-32260</v>
      </c>
      <c r="F538" s="3" t="s">
        <v>1773</v>
      </c>
      <c r="G538" s="3" t="s">
        <v>57</v>
      </c>
      <c r="H538" s="2" t="s">
        <v>148</v>
      </c>
      <c r="I538" s="2" t="s">
        <v>1774</v>
      </c>
      <c r="J538" s="3" t="str">
        <f>HYPERLINK("https://www.boe.es/gazeta/dias/1811/09/03/pdfs/GMD-1811-246.pdf#page=2","Abrir facsímil")</f>
        <v>Abrir facsímil</v>
      </c>
      <c r="K538" s="3" t="s">
        <v>150</v>
      </c>
    </row>
    <row r="539" spans="1:11" ht="42" customHeight="1">
      <c r="A539" s="2" t="s">
        <v>1772</v>
      </c>
      <c r="B539" s="2" t="s">
        <v>1772</v>
      </c>
      <c r="C539" s="2" t="s">
        <v>17</v>
      </c>
      <c r="D539" s="2" t="s">
        <v>18</v>
      </c>
      <c r="E539" s="4">
        <v>-32187</v>
      </c>
      <c r="F539" s="3" t="s">
        <v>1775</v>
      </c>
      <c r="G539" s="3" t="s">
        <v>657</v>
      </c>
      <c r="H539" s="2" t="s">
        <v>148</v>
      </c>
      <c r="I539" s="2" t="s">
        <v>1776</v>
      </c>
      <c r="J539" s="3" t="str">
        <f>HYPERLINK("https://www.boe.es/gazeta/dias/1811/11/15/pdfs/GMD-1811-319.pdf#page=4","Abrir facsímil")</f>
        <v>Abrir facsímil</v>
      </c>
      <c r="K539" s="3" t="s">
        <v>150</v>
      </c>
    </row>
    <row r="540" spans="1:11" ht="42" customHeight="1">
      <c r="A540" s="2" t="s">
        <v>1777</v>
      </c>
      <c r="B540" s="2" t="s">
        <v>1778</v>
      </c>
      <c r="C540" s="2" t="s">
        <v>17</v>
      </c>
      <c r="D540" s="2" t="s">
        <v>141</v>
      </c>
      <c r="E540" s="4">
        <v>-32209</v>
      </c>
      <c r="F540" s="3" t="s">
        <v>1779</v>
      </c>
      <c r="G540" s="3" t="s">
        <v>1780</v>
      </c>
      <c r="H540" s="2" t="s">
        <v>148</v>
      </c>
      <c r="I540" s="2" t="s">
        <v>1781</v>
      </c>
      <c r="J540" s="3" t="str">
        <f>HYPERLINK("https://www.boe.es/gazeta/dias/1811/10/24/pdfs/GEI-D-1811-137.pdf#page=2","Abrir facsímil")</f>
        <v>Abrir facsímil</v>
      </c>
      <c r="K540" s="3" t="s">
        <v>150</v>
      </c>
    </row>
    <row r="541" spans="1:11" ht="42" customHeight="1">
      <c r="A541" s="2" t="s">
        <v>1782</v>
      </c>
      <c r="B541" s="2" t="s">
        <v>1783</v>
      </c>
      <c r="C541" s="2" t="s">
        <v>84</v>
      </c>
      <c r="D541" s="2" t="s">
        <v>18</v>
      </c>
      <c r="E541" s="4">
        <v>-32406</v>
      </c>
      <c r="F541" s="3" t="s">
        <v>535</v>
      </c>
      <c r="G541" s="3" t="s">
        <v>1784</v>
      </c>
      <c r="H541" s="2" t="s">
        <v>21</v>
      </c>
      <c r="I541" s="2" t="s">
        <v>1785</v>
      </c>
      <c r="J541" s="3" t="str">
        <f>HYPERLINK("https://www.boe.es/gazeta/dias/1811/04/10/pdfs/GMD-1811-100.pdf#page=4","Abrir facsímil")</f>
        <v>Abrir facsímil</v>
      </c>
      <c r="K541" s="3" t="s">
        <v>23</v>
      </c>
    </row>
    <row r="542" spans="1:11" ht="42" customHeight="1">
      <c r="A542" s="2" t="s">
        <v>1786</v>
      </c>
      <c r="B542" s="2" t="s">
        <v>1787</v>
      </c>
      <c r="C542" s="2" t="s">
        <v>17</v>
      </c>
      <c r="D542" s="2" t="s">
        <v>18</v>
      </c>
      <c r="E542" s="4">
        <v>-32223</v>
      </c>
      <c r="F542" s="3" t="s">
        <v>1788</v>
      </c>
      <c r="G542" s="3" t="s">
        <v>1789</v>
      </c>
      <c r="H542" s="2" t="s">
        <v>21</v>
      </c>
      <c r="I542" s="2" t="s">
        <v>1790</v>
      </c>
      <c r="J542" s="3" t="str">
        <f>HYPERLINK("https://www.boe.es/gazeta/dias/1811/10/10/pdfs/GEI-1811-130.pdf#page=8","Abrir facsímil")</f>
        <v>Abrir facsímil</v>
      </c>
      <c r="K542" s="3" t="s">
        <v>23</v>
      </c>
    </row>
    <row r="543" spans="1:11" ht="42" customHeight="1">
      <c r="A543" s="2" t="s">
        <v>1791</v>
      </c>
      <c r="B543" s="2" t="s">
        <v>1792</v>
      </c>
      <c r="C543" s="2" t="s">
        <v>17</v>
      </c>
      <c r="D543" s="2" t="s">
        <v>18</v>
      </c>
      <c r="E543" s="4">
        <v>-32414</v>
      </c>
      <c r="F543" s="3" t="s">
        <v>213</v>
      </c>
      <c r="G543" s="3" t="s">
        <v>91</v>
      </c>
      <c r="H543" s="2" t="s">
        <v>21</v>
      </c>
      <c r="I543" s="2" t="s">
        <v>1793</v>
      </c>
      <c r="J543" s="3" t="str">
        <f>HYPERLINK("https://www.boe.es/gazeta/dias/1811/04/02/pdfs/GEI-1811-45.pdf#page=2","Abrir facsímil")</f>
        <v>Abrir facsímil</v>
      </c>
      <c r="K543" s="3" t="s">
        <v>23</v>
      </c>
    </row>
    <row r="544" spans="1:11" ht="42" customHeight="1">
      <c r="A544" s="2" t="s">
        <v>1794</v>
      </c>
      <c r="B544" s="2" t="s">
        <v>1795</v>
      </c>
      <c r="C544" s="2" t="s">
        <v>26</v>
      </c>
      <c r="D544" s="2" t="s">
        <v>18</v>
      </c>
      <c r="E544" s="4">
        <v>-32160</v>
      </c>
      <c r="F544" s="3" t="s">
        <v>1013</v>
      </c>
      <c r="G544" s="3" t="s">
        <v>20</v>
      </c>
      <c r="H544" s="2" t="s">
        <v>21</v>
      </c>
      <c r="I544" s="2" t="s">
        <v>1796</v>
      </c>
      <c r="J544" s="3" t="str">
        <f>HYPERLINK("https://www.boe.es/gazeta/dias/1811/12/12/pdfs/GEI-1811-161.pdf#page=6","Abrir facsímil")</f>
        <v>Abrir facsímil</v>
      </c>
      <c r="K544" s="3" t="s">
        <v>23</v>
      </c>
    </row>
    <row r="545" spans="1:11" ht="42" customHeight="1">
      <c r="A545" s="2" t="s">
        <v>1797</v>
      </c>
      <c r="B545" s="2" t="s">
        <v>1798</v>
      </c>
      <c r="C545" s="2" t="s">
        <v>26</v>
      </c>
      <c r="D545" s="2" t="s">
        <v>18</v>
      </c>
      <c r="E545" s="4">
        <v>-32179</v>
      </c>
      <c r="F545" s="3" t="s">
        <v>614</v>
      </c>
      <c r="G545" s="3" t="s">
        <v>331</v>
      </c>
      <c r="H545" s="2" t="s">
        <v>21</v>
      </c>
      <c r="I545" s="2" t="s">
        <v>1799</v>
      </c>
      <c r="J545" s="3" t="str">
        <f>HYPERLINK("https://www.boe.es/gazeta/dias/1811/11/23/pdfs/GEI-1811-153.pdf#page=2","Abrir facsímil")</f>
        <v>Abrir facsímil</v>
      </c>
      <c r="K545" s="3" t="s">
        <v>23</v>
      </c>
    </row>
    <row r="546" spans="1:11" ht="42" customHeight="1">
      <c r="A546" s="2" t="s">
        <v>1797</v>
      </c>
      <c r="B546" s="2" t="s">
        <v>1798</v>
      </c>
      <c r="C546" s="2" t="s">
        <v>26</v>
      </c>
      <c r="D546" s="2" t="s">
        <v>18</v>
      </c>
      <c r="E546" s="4">
        <v>-32155</v>
      </c>
      <c r="F546" s="3" t="s">
        <v>263</v>
      </c>
      <c r="G546" s="3" t="s">
        <v>1800</v>
      </c>
      <c r="H546" s="2" t="s">
        <v>21</v>
      </c>
      <c r="I546" s="2" t="s">
        <v>1801</v>
      </c>
      <c r="J546" s="3" t="str">
        <f>HYPERLINK("https://www.boe.es/gazeta/dias/1811/12/17/pdfs/GEI-1811-163.pdf#page=7","Abrir facsímil")</f>
        <v>Abrir facsímil</v>
      </c>
      <c r="K546" s="3" t="s">
        <v>23</v>
      </c>
    </row>
    <row r="547" spans="1:11" ht="42" customHeight="1">
      <c r="A547" s="2" t="s">
        <v>1802</v>
      </c>
      <c r="B547" s="2" t="s">
        <v>1803</v>
      </c>
      <c r="C547" s="2" t="s">
        <v>17</v>
      </c>
      <c r="D547" s="2" t="s">
        <v>156</v>
      </c>
      <c r="E547" s="4">
        <v>-32414</v>
      </c>
      <c r="F547" s="3" t="s">
        <v>213</v>
      </c>
      <c r="G547" s="3" t="s">
        <v>214</v>
      </c>
      <c r="H547" s="2" t="s">
        <v>21</v>
      </c>
      <c r="I547" s="2" t="s">
        <v>1804</v>
      </c>
      <c r="J547" s="3" t="str">
        <f>HYPERLINK("https://www.boe.es/gazeta/dias/1811/04/02/pdfs/GEI-1811-45.pdf#page=6","Abrir facsímil")</f>
        <v>Abrir facsímil</v>
      </c>
      <c r="K547" s="3" t="s">
        <v>23</v>
      </c>
    </row>
    <row r="548" spans="1:11" ht="42" customHeight="1">
      <c r="A548" s="2" t="s">
        <v>1802</v>
      </c>
      <c r="B548" s="2" t="s">
        <v>1803</v>
      </c>
      <c r="C548" s="2" t="s">
        <v>26</v>
      </c>
      <c r="D548" s="2" t="s">
        <v>18</v>
      </c>
      <c r="E548" s="4">
        <v>-32300</v>
      </c>
      <c r="F548" s="3" t="s">
        <v>61</v>
      </c>
      <c r="G548" s="3" t="s">
        <v>62</v>
      </c>
      <c r="H548" s="2" t="s">
        <v>21</v>
      </c>
      <c r="I548" s="2" t="s">
        <v>1805</v>
      </c>
      <c r="J548" s="3" t="str">
        <f>HYPERLINK("https://www.boe.es/gazeta/dias/1811/07/25/pdfs/GEI-1811-97.pdf#page=5","Abrir facsímil")</f>
        <v>Abrir facsímil</v>
      </c>
      <c r="K548" s="3" t="s">
        <v>23</v>
      </c>
    </row>
    <row r="549" spans="1:11" ht="42" customHeight="1">
      <c r="A549" s="2" t="s">
        <v>1802</v>
      </c>
      <c r="B549" s="2" t="s">
        <v>1803</v>
      </c>
      <c r="C549" s="2" t="s">
        <v>26</v>
      </c>
      <c r="D549" s="2" t="s">
        <v>141</v>
      </c>
      <c r="E549" s="4">
        <v>-32188</v>
      </c>
      <c r="F549" s="3" t="s">
        <v>505</v>
      </c>
      <c r="G549" s="3" t="s">
        <v>47</v>
      </c>
      <c r="H549" s="2" t="s">
        <v>21</v>
      </c>
      <c r="I549" s="2" t="s">
        <v>1806</v>
      </c>
      <c r="J549" s="3" t="str">
        <f>HYPERLINK("https://www.boe.es/gazeta/dias/1811/11/14/pdfs/GEI-D-1811-149.pdf#page=3","Abrir facsímil")</f>
        <v>Abrir facsímil</v>
      </c>
      <c r="K549" s="3" t="s">
        <v>23</v>
      </c>
    </row>
    <row r="550" spans="1:11" ht="42" customHeight="1">
      <c r="A550" s="2" t="s">
        <v>1802</v>
      </c>
      <c r="B550" s="2" t="s">
        <v>1803</v>
      </c>
      <c r="C550" s="2" t="s">
        <v>17</v>
      </c>
      <c r="D550" s="2" t="s">
        <v>18</v>
      </c>
      <c r="E550" s="4">
        <v>-32155</v>
      </c>
      <c r="F550" s="3" t="s">
        <v>263</v>
      </c>
      <c r="G550" s="3" t="s">
        <v>264</v>
      </c>
      <c r="H550" s="2" t="s">
        <v>21</v>
      </c>
      <c r="I550" s="2" t="s">
        <v>1807</v>
      </c>
      <c r="J550" s="3" t="str">
        <f>HYPERLINK("https://www.boe.es/gazeta/dias/1811/12/17/pdfs/GEI-1811-163.pdf#page=8","Abrir facsímil")</f>
        <v>Abrir facsímil</v>
      </c>
      <c r="K550" s="3" t="s">
        <v>23</v>
      </c>
    </row>
    <row r="551" spans="1:11" ht="42" customHeight="1">
      <c r="A551" s="2" t="s">
        <v>1808</v>
      </c>
      <c r="B551" s="2" t="s">
        <v>1809</v>
      </c>
      <c r="C551" s="2" t="s">
        <v>26</v>
      </c>
      <c r="D551" s="2" t="s">
        <v>18</v>
      </c>
      <c r="E551" s="4">
        <v>-32302</v>
      </c>
      <c r="F551" s="3" t="s">
        <v>864</v>
      </c>
      <c r="G551" s="3" t="s">
        <v>248</v>
      </c>
      <c r="H551" s="2" t="s">
        <v>21</v>
      </c>
      <c r="I551" s="2" t="s">
        <v>1810</v>
      </c>
      <c r="J551" s="3" t="str">
        <f>HYPERLINK("https://www.boe.es/gazeta/dias/1811/07/23/pdfs/GEI-1811-96.pdf#page=3","Abrir facsímil")</f>
        <v>Abrir facsímil</v>
      </c>
      <c r="K551" s="3" t="s">
        <v>23</v>
      </c>
    </row>
    <row r="552" spans="1:11" ht="42" customHeight="1">
      <c r="A552" s="2" t="s">
        <v>1811</v>
      </c>
      <c r="B552" s="2" t="s">
        <v>1812</v>
      </c>
      <c r="C552" s="2" t="s">
        <v>26</v>
      </c>
      <c r="D552" s="2" t="s">
        <v>18</v>
      </c>
      <c r="E552" s="4">
        <v>-32144</v>
      </c>
      <c r="F552" s="3" t="s">
        <v>1097</v>
      </c>
      <c r="G552" s="3" t="s">
        <v>1098</v>
      </c>
      <c r="H552" s="2" t="s">
        <v>21</v>
      </c>
      <c r="I552" s="2" t="s">
        <v>1813</v>
      </c>
      <c r="J552" s="3" t="str">
        <f>HYPERLINK("https://www.boe.es/gazeta/dias/1811/12/28/pdfs/GEI-1811-168.pdf#page=8","Abrir facsímil")</f>
        <v>Abrir facsímil</v>
      </c>
      <c r="K552" s="3" t="s">
        <v>23</v>
      </c>
    </row>
    <row r="553" spans="1:11" ht="42" customHeight="1">
      <c r="A553" s="2" t="s">
        <v>1814</v>
      </c>
      <c r="B553" s="2" t="s">
        <v>1815</v>
      </c>
      <c r="C553" s="2" t="s">
        <v>37</v>
      </c>
      <c r="D553" s="2" t="s">
        <v>156</v>
      </c>
      <c r="E553" s="4">
        <v>-32232</v>
      </c>
      <c r="F553" s="3" t="s">
        <v>1816</v>
      </c>
      <c r="G553" s="3" t="s">
        <v>1817</v>
      </c>
      <c r="H553" s="2" t="s">
        <v>21</v>
      </c>
      <c r="I553" s="2" t="s">
        <v>1818</v>
      </c>
      <c r="J553" s="3" t="str">
        <f>HYPERLINK("https://www.boe.es/gazeta/dias/1811/10/01/pdfs/GEI-1811-126.pdf#page=8","Abrir facsímil")</f>
        <v>Abrir facsímil</v>
      </c>
      <c r="K553" s="3" t="s">
        <v>23</v>
      </c>
    </row>
    <row r="554" spans="1:11" ht="42" customHeight="1">
      <c r="A554" s="2" t="s">
        <v>1819</v>
      </c>
      <c r="B554" s="2" t="s">
        <v>1820</v>
      </c>
      <c r="C554" s="2" t="s">
        <v>17</v>
      </c>
      <c r="D554" s="2" t="s">
        <v>156</v>
      </c>
      <c r="E554" s="4">
        <v>-32333</v>
      </c>
      <c r="F554" s="3" t="s">
        <v>292</v>
      </c>
      <c r="G554" s="3" t="s">
        <v>178</v>
      </c>
      <c r="H554" s="2" t="s">
        <v>21</v>
      </c>
      <c r="I554" s="2" t="s">
        <v>1821</v>
      </c>
      <c r="J554" s="3" t="str">
        <f>HYPERLINK("https://www.boe.es/gazeta/dias/1811/06/22/pdfs/GEI-1811-83.pdf#page=4","Abrir facsímil")</f>
        <v>Abrir facsímil</v>
      </c>
      <c r="K554" s="3" t="s">
        <v>23</v>
      </c>
    </row>
    <row r="555" spans="1:11" ht="42" customHeight="1">
      <c r="A555" s="2" t="s">
        <v>1822</v>
      </c>
      <c r="B555" s="2" t="s">
        <v>1823</v>
      </c>
      <c r="C555" s="2" t="s">
        <v>26</v>
      </c>
      <c r="D555" s="2" t="s">
        <v>18</v>
      </c>
      <c r="E555" s="4">
        <v>-32330</v>
      </c>
      <c r="F555" s="3" t="s">
        <v>1824</v>
      </c>
      <c r="G555" s="3" t="s">
        <v>1825</v>
      </c>
      <c r="H555" s="2" t="s">
        <v>21</v>
      </c>
      <c r="I555" s="2" t="s">
        <v>1826</v>
      </c>
      <c r="J555" s="3" t="str">
        <f>HYPERLINK("https://www.boe.es/gazeta/dias/1811/06/25/pdfs/GEI-1811-84.pdf#page=6","Abrir facsímil")</f>
        <v>Abrir facsímil</v>
      </c>
      <c r="K555" s="3" t="s">
        <v>23</v>
      </c>
    </row>
    <row r="556" spans="1:11" ht="42" customHeight="1">
      <c r="A556" s="2" t="s">
        <v>1827</v>
      </c>
      <c r="B556" s="2" t="s">
        <v>1828</v>
      </c>
      <c r="C556" s="2" t="s">
        <v>17</v>
      </c>
      <c r="D556" s="2" t="s">
        <v>156</v>
      </c>
      <c r="E556" s="4">
        <v>-32321</v>
      </c>
      <c r="F556" s="3" t="s">
        <v>1829</v>
      </c>
      <c r="G556" s="3" t="s">
        <v>1830</v>
      </c>
      <c r="H556" s="2" t="s">
        <v>21</v>
      </c>
      <c r="I556" s="2" t="s">
        <v>1831</v>
      </c>
      <c r="J556" s="3" t="str">
        <f>HYPERLINK("https://www.boe.es/gazeta/dias/1811/07/04/pdfs/GEI-1811-88.pdf#page=3","Abrir facsímil")</f>
        <v>Abrir facsímil</v>
      </c>
      <c r="K556" s="3" t="s">
        <v>23</v>
      </c>
    </row>
    <row r="557" spans="1:11" ht="42" customHeight="1">
      <c r="A557" s="2" t="s">
        <v>1827</v>
      </c>
      <c r="B557" s="2" t="s">
        <v>1828</v>
      </c>
      <c r="C557" s="2" t="s">
        <v>17</v>
      </c>
      <c r="D557" s="2" t="s">
        <v>18</v>
      </c>
      <c r="E557" s="4">
        <v>-32321</v>
      </c>
      <c r="F557" s="3" t="s">
        <v>1829</v>
      </c>
      <c r="G557" s="3" t="s">
        <v>1832</v>
      </c>
      <c r="H557" s="2" t="s">
        <v>21</v>
      </c>
      <c r="I557" s="2" t="s">
        <v>1833</v>
      </c>
      <c r="J557" s="3" t="str">
        <f>HYPERLINK("https://www.boe.es/gazeta/dias/1811/07/04/pdfs/GEI-1811-88.pdf#page=4","Abrir facsímil")</f>
        <v>Abrir facsímil</v>
      </c>
      <c r="K557" s="3" t="s">
        <v>23</v>
      </c>
    </row>
    <row r="558" spans="1:11" ht="42" customHeight="1">
      <c r="A558" s="2" t="s">
        <v>1834</v>
      </c>
      <c r="B558" s="2" t="s">
        <v>1835</v>
      </c>
      <c r="C558" s="2" t="s">
        <v>26</v>
      </c>
      <c r="D558" s="2" t="s">
        <v>18</v>
      </c>
      <c r="E558" s="4">
        <v>-32438</v>
      </c>
      <c r="F558" s="3" t="s">
        <v>114</v>
      </c>
      <c r="G558" s="3" t="s">
        <v>115</v>
      </c>
      <c r="H558" s="2" t="s">
        <v>21</v>
      </c>
      <c r="I558" s="2" t="s">
        <v>1836</v>
      </c>
      <c r="J558" s="3" t="str">
        <f>HYPERLINK("https://www.boe.es/gazeta/dias/1811/03/09/pdfs/GEI-1811-33.pdf#page=3","Abrir facsímil")</f>
        <v>Abrir facsímil</v>
      </c>
      <c r="K558" s="3" t="s">
        <v>23</v>
      </c>
    </row>
    <row r="559" spans="1:11" ht="42" customHeight="1">
      <c r="A559" s="2" t="s">
        <v>1837</v>
      </c>
      <c r="B559" s="2" t="s">
        <v>1838</v>
      </c>
      <c r="C559" s="2" t="s">
        <v>37</v>
      </c>
      <c r="D559" s="2" t="s">
        <v>141</v>
      </c>
      <c r="E559" s="4">
        <v>-32188</v>
      </c>
      <c r="F559" s="3" t="s">
        <v>505</v>
      </c>
      <c r="G559" s="3" t="s">
        <v>47</v>
      </c>
      <c r="H559" s="2" t="s">
        <v>148</v>
      </c>
      <c r="I559" s="2" t="s">
        <v>1839</v>
      </c>
      <c r="J559" s="3" t="str">
        <f>HYPERLINK("https://www.boe.es/gazeta/dias/1811/11/14/pdfs/GEI-D-1811-149.pdf#page=3","Abrir facsímil")</f>
        <v>Abrir facsímil</v>
      </c>
      <c r="K559" s="3" t="s">
        <v>150</v>
      </c>
    </row>
    <row r="560" spans="1:11" ht="42" customHeight="1">
      <c r="A560" s="2" t="s">
        <v>1840</v>
      </c>
      <c r="B560" s="2" t="s">
        <v>1840</v>
      </c>
      <c r="C560" s="2" t="s">
        <v>17</v>
      </c>
      <c r="D560" s="2" t="s">
        <v>18</v>
      </c>
      <c r="E560" s="4">
        <v>-32349</v>
      </c>
      <c r="F560" s="3" t="s">
        <v>239</v>
      </c>
      <c r="G560" s="3" t="s">
        <v>1841</v>
      </c>
      <c r="H560" s="2" t="s">
        <v>148</v>
      </c>
      <c r="I560" s="2" t="s">
        <v>1842</v>
      </c>
      <c r="J560" s="3" t="str">
        <f>HYPERLINK("https://www.boe.es/gazeta/dias/1811/06/06/pdfs/GEI-1811-76.pdf#page=3","Abrir facsímil")</f>
        <v>Abrir facsímil</v>
      </c>
      <c r="K560" s="3" t="s">
        <v>150</v>
      </c>
    </row>
    <row r="561" spans="1:11" ht="42" customHeight="1">
      <c r="A561" s="2" t="s">
        <v>1843</v>
      </c>
      <c r="B561" s="2" t="s">
        <v>1843</v>
      </c>
      <c r="C561" s="2" t="s">
        <v>17</v>
      </c>
      <c r="D561" s="2" t="s">
        <v>18</v>
      </c>
      <c r="E561" s="4">
        <v>-32456</v>
      </c>
      <c r="F561" s="3" t="s">
        <v>1261</v>
      </c>
      <c r="G561" s="3" t="s">
        <v>1844</v>
      </c>
      <c r="H561" s="2" t="s">
        <v>148</v>
      </c>
      <c r="I561" s="2" t="s">
        <v>1845</v>
      </c>
      <c r="J561" s="3" t="str">
        <f>HYPERLINK("https://www.boe.es/gazeta/dias/1811/02/19/pdfs/GEI-1811-22.pdf#page=1","Abrir facsímil")</f>
        <v>Abrir facsímil</v>
      </c>
      <c r="K561" s="3" t="s">
        <v>150</v>
      </c>
    </row>
    <row r="562" spans="1:11" ht="42" customHeight="1">
      <c r="A562" s="2" t="s">
        <v>1846</v>
      </c>
      <c r="B562" s="2" t="s">
        <v>1847</v>
      </c>
      <c r="C562" s="2" t="s">
        <v>26</v>
      </c>
      <c r="D562" s="2" t="s">
        <v>18</v>
      </c>
      <c r="E562" s="4">
        <v>-32342</v>
      </c>
      <c r="F562" s="3" t="s">
        <v>1474</v>
      </c>
      <c r="G562" s="3" t="s">
        <v>44</v>
      </c>
      <c r="H562" s="2" t="s">
        <v>148</v>
      </c>
      <c r="I562" s="2" t="s">
        <v>1848</v>
      </c>
      <c r="J562" s="3" t="str">
        <f>HYPERLINK("https://www.boe.es/gazeta/dias/1811/06/13/pdfs/GEI-1811-79.pdf#page=8","Abrir facsímil")</f>
        <v>Abrir facsímil</v>
      </c>
      <c r="K562" s="3" t="s">
        <v>150</v>
      </c>
    </row>
    <row r="563" spans="1:11" ht="42" customHeight="1">
      <c r="A563" s="2" t="s">
        <v>1849</v>
      </c>
      <c r="B563" s="2" t="s">
        <v>1850</v>
      </c>
      <c r="C563" s="2" t="s">
        <v>17</v>
      </c>
      <c r="D563" s="2" t="s">
        <v>18</v>
      </c>
      <c r="E563" s="4">
        <v>-32300</v>
      </c>
      <c r="F563" s="3" t="s">
        <v>61</v>
      </c>
      <c r="G563" s="3" t="s">
        <v>62</v>
      </c>
      <c r="H563" s="2" t="s">
        <v>148</v>
      </c>
      <c r="I563" s="2" t="s">
        <v>1851</v>
      </c>
      <c r="J563" s="3" t="str">
        <f>HYPERLINK("https://www.boe.es/gazeta/dias/1811/07/25/pdfs/GEI-1811-97.pdf#page=5","Abrir facsímil")</f>
        <v>Abrir facsímil</v>
      </c>
      <c r="K563" s="3" t="s">
        <v>150</v>
      </c>
    </row>
    <row r="564" spans="1:11" ht="42" customHeight="1">
      <c r="A564" s="2" t="s">
        <v>1852</v>
      </c>
      <c r="B564" s="2" t="s">
        <v>1852</v>
      </c>
      <c r="C564" s="2" t="s">
        <v>37</v>
      </c>
      <c r="D564" s="2" t="s">
        <v>18</v>
      </c>
      <c r="E564" s="4">
        <v>-32339</v>
      </c>
      <c r="F564" s="3" t="s">
        <v>1853</v>
      </c>
      <c r="G564" s="3" t="s">
        <v>468</v>
      </c>
      <c r="H564" s="2" t="s">
        <v>148</v>
      </c>
      <c r="I564" s="2" t="s">
        <v>1854</v>
      </c>
      <c r="J564" s="3" t="str">
        <f>HYPERLINK("https://www.boe.es/gazeta/dias/1811/06/16/pdfs/GMD-1811-167.pdf#page=1","Abrir facsímil")</f>
        <v>Abrir facsímil</v>
      </c>
      <c r="K564" s="3" t="s">
        <v>150</v>
      </c>
    </row>
    <row r="565" spans="1:11" ht="42" customHeight="1">
      <c r="A565" s="2" t="s">
        <v>1855</v>
      </c>
      <c r="B565" s="2" t="s">
        <v>1855</v>
      </c>
      <c r="C565" s="2" t="s">
        <v>26</v>
      </c>
      <c r="D565" s="2" t="s">
        <v>18</v>
      </c>
      <c r="E565" s="4">
        <v>-32283</v>
      </c>
      <c r="F565" s="3" t="s">
        <v>90</v>
      </c>
      <c r="G565" s="3" t="s">
        <v>1856</v>
      </c>
      <c r="H565" s="2" t="s">
        <v>148</v>
      </c>
      <c r="I565" s="2" t="s">
        <v>1857</v>
      </c>
      <c r="J565" s="3" t="str">
        <f>HYPERLINK("https://www.boe.es/gazeta/dias/1811/08/11/pdfs/GMD-1811-223.pdf#page=1","Abrir facsímil")</f>
        <v>Abrir facsímil</v>
      </c>
      <c r="K565" s="3" t="s">
        <v>150</v>
      </c>
    </row>
    <row r="566" spans="1:11" ht="42" customHeight="1">
      <c r="A566" s="2" t="s">
        <v>1858</v>
      </c>
      <c r="B566" s="2" t="s">
        <v>1859</v>
      </c>
      <c r="C566" s="2" t="s">
        <v>26</v>
      </c>
      <c r="D566" s="2" t="s">
        <v>141</v>
      </c>
      <c r="E566" s="4">
        <v>-32238</v>
      </c>
      <c r="F566" s="3" t="s">
        <v>166</v>
      </c>
      <c r="G566" s="3" t="s">
        <v>129</v>
      </c>
      <c r="H566" s="2" t="s">
        <v>148</v>
      </c>
      <c r="I566" s="2" t="s">
        <v>1860</v>
      </c>
      <c r="J566" s="3" t="str">
        <f>HYPERLINK("https://www.boe.es/gazeta/dias/1811/09/25/pdfs/GMD-C-1811-268.pdf#page=1","Abrir facsímil")</f>
        <v>Abrir facsímil</v>
      </c>
      <c r="K566" s="3" t="s">
        <v>150</v>
      </c>
    </row>
    <row r="567" spans="1:11" ht="42" customHeight="1">
      <c r="A567" s="2" t="s">
        <v>1858</v>
      </c>
      <c r="B567" s="2" t="s">
        <v>1859</v>
      </c>
      <c r="C567" s="2" t="s">
        <v>26</v>
      </c>
      <c r="D567" s="2" t="s">
        <v>18</v>
      </c>
      <c r="E567" s="4">
        <v>-32188</v>
      </c>
      <c r="F567" s="3" t="s">
        <v>356</v>
      </c>
      <c r="G567" s="3" t="s">
        <v>468</v>
      </c>
      <c r="H567" s="2" t="s">
        <v>148</v>
      </c>
      <c r="I567" s="2" t="s">
        <v>1861</v>
      </c>
      <c r="J567" s="3" t="str">
        <f>HYPERLINK("https://www.boe.es/gazeta/dias/1811/11/14/pdfs/GMD-1811-318.pdf#page=6","Abrir facsímil")</f>
        <v>Abrir facsímil</v>
      </c>
      <c r="K567" s="3" t="s">
        <v>150</v>
      </c>
    </row>
    <row r="568" spans="1:11" ht="42" customHeight="1">
      <c r="A568" s="2" t="s">
        <v>1858</v>
      </c>
      <c r="B568" s="2" t="s">
        <v>1859</v>
      </c>
      <c r="C568" s="2" t="s">
        <v>17</v>
      </c>
      <c r="D568" s="2" t="s">
        <v>18</v>
      </c>
      <c r="E568" s="4">
        <v>-32153</v>
      </c>
      <c r="F568" s="3" t="s">
        <v>123</v>
      </c>
      <c r="G568" s="3" t="s">
        <v>288</v>
      </c>
      <c r="H568" s="2" t="s">
        <v>148</v>
      </c>
      <c r="I568" s="2" t="s">
        <v>1862</v>
      </c>
      <c r="J568" s="3" t="str">
        <f>HYPERLINK("https://www.boe.es/gazeta/dias/1811/12/19/pdfs/GMD-1811-353.pdf#page=4","Abrir facsímil")</f>
        <v>Abrir facsímil</v>
      </c>
      <c r="K568" s="3" t="s">
        <v>150</v>
      </c>
    </row>
    <row r="569" spans="1:11" ht="42" customHeight="1">
      <c r="A569" s="2" t="s">
        <v>1863</v>
      </c>
      <c r="B569" s="2" t="s">
        <v>1864</v>
      </c>
      <c r="C569" s="2" t="s">
        <v>26</v>
      </c>
      <c r="D569" s="2" t="s">
        <v>18</v>
      </c>
      <c r="E569" s="4">
        <v>-32153</v>
      </c>
      <c r="F569" s="3" t="s">
        <v>123</v>
      </c>
      <c r="G569" s="3" t="s">
        <v>1067</v>
      </c>
      <c r="H569" s="2" t="s">
        <v>148</v>
      </c>
      <c r="I569" s="2" t="s">
        <v>1865</v>
      </c>
      <c r="J569" s="3" t="str">
        <f>HYPERLINK("https://www.boe.es/gazeta/dias/1811/12/19/pdfs/GMD-1811-353.pdf#page=5","Abrir facsímil")</f>
        <v>Abrir facsímil</v>
      </c>
      <c r="K569" s="3" t="s">
        <v>150</v>
      </c>
    </row>
    <row r="570" spans="1:11" ht="42" customHeight="1">
      <c r="A570" s="2" t="s">
        <v>1866</v>
      </c>
      <c r="B570" s="2" t="s">
        <v>1867</v>
      </c>
      <c r="C570" s="2" t="s">
        <v>37</v>
      </c>
      <c r="D570" s="2" t="s">
        <v>105</v>
      </c>
      <c r="E570" s="4">
        <v>-32281</v>
      </c>
      <c r="F570" s="3" t="s">
        <v>982</v>
      </c>
      <c r="G570" s="3" t="s">
        <v>1505</v>
      </c>
      <c r="H570" s="2" t="s">
        <v>148</v>
      </c>
      <c r="I570" s="2" t="s">
        <v>1868</v>
      </c>
      <c r="J570" s="3" t="str">
        <f>HYPERLINK("https://www.boe.es/gazeta/dias/1811/08/13/pdfs/GEI-1811-105.pdf#page=8","Abrir facsímil")</f>
        <v>Abrir facsímil</v>
      </c>
      <c r="K570" s="3" t="s">
        <v>150</v>
      </c>
    </row>
    <row r="571" spans="1:11" ht="42" customHeight="1">
      <c r="A571" s="2" t="s">
        <v>1869</v>
      </c>
      <c r="B571" s="2" t="s">
        <v>1870</v>
      </c>
      <c r="C571" s="2" t="s">
        <v>26</v>
      </c>
      <c r="D571" s="2" t="s">
        <v>18</v>
      </c>
      <c r="E571" s="4">
        <v>-32379</v>
      </c>
      <c r="F571" s="3" t="s">
        <v>462</v>
      </c>
      <c r="G571" s="3" t="s">
        <v>463</v>
      </c>
      <c r="H571" s="2" t="s">
        <v>148</v>
      </c>
      <c r="I571" s="2" t="s">
        <v>1871</v>
      </c>
      <c r="J571" s="3" t="str">
        <f>HYPERLINK("https://www.boe.es/gazeta/dias/1811/05/07/pdfs/GEI-1811-60.pdf#page=8","Abrir facsímil")</f>
        <v>Abrir facsímil</v>
      </c>
      <c r="K571" s="3" t="s">
        <v>150</v>
      </c>
    </row>
    <row r="572" spans="1:11" ht="42" customHeight="1">
      <c r="A572" s="2" t="s">
        <v>1872</v>
      </c>
      <c r="B572" s="2" t="s">
        <v>1873</v>
      </c>
      <c r="C572" s="2" t="s">
        <v>26</v>
      </c>
      <c r="D572" s="2" t="s">
        <v>204</v>
      </c>
      <c r="E572" s="4">
        <v>-32416</v>
      </c>
      <c r="F572" s="3" t="s">
        <v>954</v>
      </c>
      <c r="G572" s="3" t="s">
        <v>47</v>
      </c>
      <c r="H572" s="2" t="s">
        <v>148</v>
      </c>
      <c r="I572" s="2" t="s">
        <v>1874</v>
      </c>
      <c r="J572" s="3" t="str">
        <f>HYPERLINK("https://www.boe.es/gazeta/dias/1811/03/31/pdfs/GMD-1811-90.pdf#page=3","Abrir facsímil")</f>
        <v>Abrir facsímil</v>
      </c>
      <c r="K572" s="3" t="s">
        <v>150</v>
      </c>
    </row>
    <row r="573" spans="1:11" ht="42" customHeight="1">
      <c r="A573" s="2" t="s">
        <v>1875</v>
      </c>
      <c r="B573" s="2" t="s">
        <v>1876</v>
      </c>
      <c r="C573" s="2" t="s">
        <v>26</v>
      </c>
      <c r="D573" s="2" t="s">
        <v>18</v>
      </c>
      <c r="E573" s="4">
        <v>-32501</v>
      </c>
      <c r="F573" s="3" t="s">
        <v>509</v>
      </c>
      <c r="G573" s="3" t="s">
        <v>510</v>
      </c>
      <c r="H573" s="2" t="s">
        <v>148</v>
      </c>
      <c r="I573" s="2" t="s">
        <v>1877</v>
      </c>
      <c r="J573" s="3" t="str">
        <f>HYPERLINK("https://www.boe.es/gazeta/dias/1811/01/05/pdfs/GEI-1811-3.pdf#page=8","Abrir facsímil")</f>
        <v>Abrir facsímil</v>
      </c>
      <c r="K573" s="3" t="s">
        <v>150</v>
      </c>
    </row>
    <row r="574" spans="1:11" ht="42" customHeight="1">
      <c r="A574" s="2" t="s">
        <v>1878</v>
      </c>
      <c r="B574" s="2" t="s">
        <v>1878</v>
      </c>
      <c r="C574" s="2" t="s">
        <v>367</v>
      </c>
      <c r="D574" s="2" t="s">
        <v>18</v>
      </c>
      <c r="E574" s="4">
        <v>-32232</v>
      </c>
      <c r="F574" s="3" t="s">
        <v>1879</v>
      </c>
      <c r="G574" s="3" t="s">
        <v>120</v>
      </c>
      <c r="H574" s="2" t="s">
        <v>148</v>
      </c>
      <c r="I574" s="2" t="s">
        <v>1880</v>
      </c>
      <c r="J574" s="3" t="str">
        <f>HYPERLINK("https://www.boe.es/gazeta/dias/1811/10/01/pdfs/GMD-1811-274.pdf#page=1","Abrir facsímil")</f>
        <v>Abrir facsímil</v>
      </c>
      <c r="K574" s="3" t="s">
        <v>150</v>
      </c>
    </row>
    <row r="575" spans="1:11" ht="42" customHeight="1">
      <c r="A575" s="2" t="s">
        <v>1881</v>
      </c>
      <c r="B575" s="2" t="s">
        <v>1882</v>
      </c>
      <c r="C575" s="2" t="s">
        <v>17</v>
      </c>
      <c r="D575" s="2" t="s">
        <v>18</v>
      </c>
      <c r="E575" s="4">
        <v>-32438</v>
      </c>
      <c r="F575" s="3" t="s">
        <v>114</v>
      </c>
      <c r="G575" s="3" t="s">
        <v>331</v>
      </c>
      <c r="H575" s="2" t="s">
        <v>148</v>
      </c>
      <c r="I575" s="2" t="s">
        <v>1883</v>
      </c>
      <c r="J575" s="3" t="str">
        <f>HYPERLINK("https://www.boe.es/gazeta/dias/1811/03/09/pdfs/GEI-1811-33.pdf#page=5","Abrir facsímil")</f>
        <v>Abrir facsímil</v>
      </c>
      <c r="K575" s="3" t="s">
        <v>150</v>
      </c>
    </row>
    <row r="576" spans="1:11" ht="42" customHeight="1">
      <c r="A576" s="2" t="s">
        <v>1884</v>
      </c>
      <c r="B576" s="2" t="s">
        <v>1885</v>
      </c>
      <c r="C576" s="2" t="s">
        <v>26</v>
      </c>
      <c r="D576" s="2" t="s">
        <v>18</v>
      </c>
      <c r="E576" s="4">
        <v>-32172</v>
      </c>
      <c r="F576" s="3" t="s">
        <v>300</v>
      </c>
      <c r="G576" s="3" t="s">
        <v>301</v>
      </c>
      <c r="H576" s="2" t="s">
        <v>148</v>
      </c>
      <c r="I576" s="2" t="s">
        <v>1886</v>
      </c>
      <c r="J576" s="3" t="str">
        <f>HYPERLINK("https://www.boe.es/gazeta/dias/1811/11/30/pdfs/GMD-1811-334.pdf#page=4","Abrir facsímil")</f>
        <v>Abrir facsímil</v>
      </c>
      <c r="K576" s="3" t="s">
        <v>150</v>
      </c>
    </row>
    <row r="577" spans="1:11" ht="42" customHeight="1">
      <c r="A577" s="2" t="s">
        <v>1887</v>
      </c>
      <c r="B577" s="2" t="s">
        <v>1888</v>
      </c>
      <c r="C577" s="2" t="s">
        <v>26</v>
      </c>
      <c r="D577" s="2" t="s">
        <v>141</v>
      </c>
      <c r="E577" s="4">
        <v>-32396</v>
      </c>
      <c r="F577" s="3" t="s">
        <v>804</v>
      </c>
      <c r="G577" s="3" t="s">
        <v>805</v>
      </c>
      <c r="H577" s="2" t="s">
        <v>148</v>
      </c>
      <c r="I577" s="2" t="s">
        <v>1889</v>
      </c>
      <c r="J577" s="3" t="str">
        <f>HYPERLINK("https://www.boe.es/gazeta/dias/1811/04/20/pdfs/GEI-D-1811-53.pdf#page=4","Abrir facsímil")</f>
        <v>Abrir facsímil</v>
      </c>
      <c r="K577" s="3" t="s">
        <v>150</v>
      </c>
    </row>
    <row r="578" spans="1:11" ht="42" customHeight="1">
      <c r="A578" s="2" t="s">
        <v>1890</v>
      </c>
      <c r="B578" s="2" t="s">
        <v>1891</v>
      </c>
      <c r="C578" s="2" t="s">
        <v>841</v>
      </c>
      <c r="D578" s="2" t="s">
        <v>18</v>
      </c>
      <c r="E578" s="4">
        <v>-32505</v>
      </c>
      <c r="F578" s="3" t="s">
        <v>475</v>
      </c>
      <c r="G578" s="3" t="s">
        <v>476</v>
      </c>
      <c r="H578" s="2" t="s">
        <v>148</v>
      </c>
      <c r="I578" s="2" t="s">
        <v>1892</v>
      </c>
      <c r="J578" s="3" t="str">
        <f>HYPERLINK("https://www.boe.es/gazeta/dias/1811/01/01/pdfs/GEI-1811-1.pdf#page=7","Abrir facsímil")</f>
        <v>Abrir facsímil</v>
      </c>
      <c r="K578" s="3" t="s">
        <v>150</v>
      </c>
    </row>
    <row r="579" spans="1:11" ht="42" customHeight="1">
      <c r="A579" s="2" t="s">
        <v>1890</v>
      </c>
      <c r="B579" s="2" t="s">
        <v>1891</v>
      </c>
      <c r="C579" s="2" t="s">
        <v>26</v>
      </c>
      <c r="D579" s="2" t="s">
        <v>18</v>
      </c>
      <c r="E579" s="4">
        <v>-32505</v>
      </c>
      <c r="F579" s="3" t="s">
        <v>475</v>
      </c>
      <c r="G579" s="3" t="s">
        <v>755</v>
      </c>
      <c r="H579" s="2" t="s">
        <v>148</v>
      </c>
      <c r="I579" s="2" t="s">
        <v>1893</v>
      </c>
      <c r="J579" s="3" t="str">
        <f>HYPERLINK("https://www.boe.es/gazeta/dias/1811/01/01/pdfs/GEI-1811-1.pdf#page=8","Abrir facsímil")</f>
        <v>Abrir facsímil</v>
      </c>
      <c r="K579" s="3" t="s">
        <v>150</v>
      </c>
    </row>
    <row r="580" spans="1:11" ht="42" customHeight="1">
      <c r="A580" s="2" t="s">
        <v>1894</v>
      </c>
      <c r="B580" s="2" t="s">
        <v>1895</v>
      </c>
      <c r="C580" s="2" t="s">
        <v>17</v>
      </c>
      <c r="D580" s="2" t="s">
        <v>18</v>
      </c>
      <c r="E580" s="4">
        <v>-32476</v>
      </c>
      <c r="F580" s="3" t="s">
        <v>1896</v>
      </c>
      <c r="G580" s="3" t="s">
        <v>1897</v>
      </c>
      <c r="H580" s="2" t="s">
        <v>148</v>
      </c>
      <c r="I580" s="2" t="s">
        <v>1898</v>
      </c>
      <c r="J580" s="3" t="str">
        <f>HYPERLINK("https://www.boe.es/gazeta/dias/1811/01/30/pdfs/GMD-1811-30.pdf#page=2","Abrir facsímil")</f>
        <v>Abrir facsímil</v>
      </c>
      <c r="K580" s="3" t="s">
        <v>150</v>
      </c>
    </row>
    <row r="581" spans="1:11" ht="42" customHeight="1">
      <c r="A581" s="2" t="s">
        <v>1899</v>
      </c>
      <c r="B581" s="2" t="s">
        <v>1900</v>
      </c>
      <c r="C581" s="2" t="s">
        <v>26</v>
      </c>
      <c r="D581" s="2" t="s">
        <v>18</v>
      </c>
      <c r="E581" s="4">
        <v>-32246</v>
      </c>
      <c r="F581" s="3" t="s">
        <v>1901</v>
      </c>
      <c r="G581" s="3" t="s">
        <v>1902</v>
      </c>
      <c r="H581" s="2" t="s">
        <v>148</v>
      </c>
      <c r="I581" s="2" t="s">
        <v>1903</v>
      </c>
      <c r="J581" s="3" t="str">
        <f>HYPERLINK("https://www.boe.es/gazeta/dias/1811/09/17/pdfs/GMD-1811-260.pdf#page=2","Abrir facsímil")</f>
        <v>Abrir facsímil</v>
      </c>
      <c r="K581" s="3" t="s">
        <v>150</v>
      </c>
    </row>
    <row r="582" spans="1:11" ht="42" customHeight="1">
      <c r="A582" s="2" t="s">
        <v>1904</v>
      </c>
      <c r="B582" s="2" t="s">
        <v>1904</v>
      </c>
      <c r="C582" s="2" t="s">
        <v>17</v>
      </c>
      <c r="D582" s="2" t="s">
        <v>204</v>
      </c>
      <c r="E582" s="4">
        <v>-32325</v>
      </c>
      <c r="F582" s="3" t="s">
        <v>552</v>
      </c>
      <c r="G582" s="3" t="s">
        <v>515</v>
      </c>
      <c r="H582" s="2" t="s">
        <v>148</v>
      </c>
      <c r="I582" s="2" t="s">
        <v>1905</v>
      </c>
      <c r="J582" s="3" t="str">
        <f>HYPERLINK("https://www.boe.es/gazeta/dias/1811/06/30/pdfs/GMD-1811-181.pdf#page=2","Abrir facsímil")</f>
        <v>Abrir facsímil</v>
      </c>
      <c r="K582" s="3" t="s">
        <v>150</v>
      </c>
    </row>
    <row r="583" spans="1:11" ht="42" customHeight="1">
      <c r="A583" s="2" t="s">
        <v>1906</v>
      </c>
      <c r="B583" s="2" t="s">
        <v>1907</v>
      </c>
      <c r="C583" s="2" t="s">
        <v>17</v>
      </c>
      <c r="D583" s="2" t="s">
        <v>156</v>
      </c>
      <c r="E583" s="4">
        <v>-32223</v>
      </c>
      <c r="F583" s="3" t="s">
        <v>1788</v>
      </c>
      <c r="G583" s="3" t="s">
        <v>1908</v>
      </c>
      <c r="H583" s="2" t="s">
        <v>148</v>
      </c>
      <c r="I583" s="2" t="s">
        <v>1909</v>
      </c>
      <c r="J583" s="3" t="str">
        <f>HYPERLINK("https://www.boe.es/gazeta/dias/1811/10/10/pdfs/GEI-1811-130.pdf#page=1","Abrir facsímil")</f>
        <v>Abrir facsímil</v>
      </c>
      <c r="K583" s="3" t="s">
        <v>150</v>
      </c>
    </row>
    <row r="584" spans="1:11" ht="42" customHeight="1">
      <c r="A584" s="2" t="s">
        <v>1910</v>
      </c>
      <c r="B584" s="2" t="s">
        <v>1910</v>
      </c>
      <c r="C584" s="2" t="s">
        <v>17</v>
      </c>
      <c r="D584" s="2" t="s">
        <v>18</v>
      </c>
      <c r="E584" s="4">
        <v>-32347</v>
      </c>
      <c r="F584" s="3" t="s">
        <v>1911</v>
      </c>
      <c r="G584" s="3" t="s">
        <v>1912</v>
      </c>
      <c r="H584" s="2" t="s">
        <v>148</v>
      </c>
      <c r="I584" s="2" t="s">
        <v>1913</v>
      </c>
      <c r="J584" s="3" t="str">
        <f>HYPERLINK("https://www.boe.es/gazeta/dias/1811/06/08/pdfs/GEI-1811-77.pdf#page=5","Abrir facsímil")</f>
        <v>Abrir facsímil</v>
      </c>
      <c r="K584" s="3" t="s">
        <v>150</v>
      </c>
    </row>
    <row r="585" spans="1:11" ht="42" customHeight="1">
      <c r="A585" s="2" t="s">
        <v>1914</v>
      </c>
      <c r="B585" s="2" t="s">
        <v>1914</v>
      </c>
      <c r="C585" s="2" t="s">
        <v>17</v>
      </c>
      <c r="D585" s="2" t="s">
        <v>156</v>
      </c>
      <c r="E585" s="4">
        <v>-32403</v>
      </c>
      <c r="F585" s="3" t="s">
        <v>1915</v>
      </c>
      <c r="G585" s="3" t="s">
        <v>1916</v>
      </c>
      <c r="H585" s="2" t="s">
        <v>148</v>
      </c>
      <c r="I585" s="2" t="s">
        <v>1917</v>
      </c>
      <c r="J585" s="3" t="str">
        <f>HYPERLINK("https://www.boe.es/gazeta/dias/1811/04/13/pdfs/GEI-1811-50.pdf#page=5","Abrir facsímil")</f>
        <v>Abrir facsímil</v>
      </c>
      <c r="K585" s="3" t="s">
        <v>150</v>
      </c>
    </row>
    <row r="586" spans="1:11" ht="42" customHeight="1">
      <c r="A586" s="2" t="s">
        <v>1918</v>
      </c>
      <c r="B586" s="2" t="s">
        <v>1919</v>
      </c>
      <c r="C586" s="2" t="s">
        <v>26</v>
      </c>
      <c r="D586" s="2" t="s">
        <v>18</v>
      </c>
      <c r="E586" s="4">
        <v>-32288</v>
      </c>
      <c r="F586" s="3" t="s">
        <v>95</v>
      </c>
      <c r="G586" s="3" t="s">
        <v>47</v>
      </c>
      <c r="H586" s="2" t="s">
        <v>148</v>
      </c>
      <c r="I586" s="2" t="s">
        <v>1920</v>
      </c>
      <c r="J586" s="3" t="str">
        <f>HYPERLINK("https://www.boe.es/gazeta/dias/1811/08/06/pdfs/GEI-1811-102.pdf#page=8","Abrir facsímil")</f>
        <v>Abrir facsímil</v>
      </c>
      <c r="K586" s="3" t="s">
        <v>150</v>
      </c>
    </row>
    <row r="587" spans="1:11" ht="42" customHeight="1">
      <c r="A587" s="2" t="s">
        <v>1921</v>
      </c>
      <c r="B587" s="2" t="s">
        <v>1921</v>
      </c>
      <c r="C587" s="2" t="s">
        <v>26</v>
      </c>
      <c r="D587" s="2" t="s">
        <v>18</v>
      </c>
      <c r="E587" s="4">
        <v>-32147</v>
      </c>
      <c r="F587" s="3" t="s">
        <v>1922</v>
      </c>
      <c r="G587" s="3" t="s">
        <v>1923</v>
      </c>
      <c r="H587" s="2" t="s">
        <v>148</v>
      </c>
      <c r="I587" s="2" t="s">
        <v>1924</v>
      </c>
      <c r="J587" s="3" t="str">
        <f>HYPERLINK("https://www.boe.es/gazeta/dias/1811/12/25/pdfs/GMD-1811-359.pdf#page=4","Abrir facsímil")</f>
        <v>Abrir facsímil</v>
      </c>
      <c r="K587" s="3" t="s">
        <v>150</v>
      </c>
    </row>
    <row r="588" spans="1:11" ht="42" customHeight="1">
      <c r="A588" s="2" t="s">
        <v>1925</v>
      </c>
      <c r="B588" s="2" t="s">
        <v>1925</v>
      </c>
      <c r="C588" s="2" t="s">
        <v>17</v>
      </c>
      <c r="D588" s="2" t="s">
        <v>156</v>
      </c>
      <c r="E588" s="4">
        <v>-32505</v>
      </c>
      <c r="F588" s="3" t="s">
        <v>475</v>
      </c>
      <c r="G588" s="3" t="s">
        <v>44</v>
      </c>
      <c r="H588" s="2" t="s">
        <v>148</v>
      </c>
      <c r="I588" s="2" t="s">
        <v>1926</v>
      </c>
      <c r="J588" s="3" t="str">
        <f>HYPERLINK("https://www.boe.es/gazeta/dias/1811/01/01/pdfs/GEI-1811-1.pdf#page=6","Abrir facsímil")</f>
        <v>Abrir facsímil</v>
      </c>
      <c r="K588" s="3" t="s">
        <v>150</v>
      </c>
    </row>
    <row r="589" spans="1:11" ht="42" customHeight="1">
      <c r="A589" s="2" t="s">
        <v>1925</v>
      </c>
      <c r="B589" s="2" t="s">
        <v>1925</v>
      </c>
      <c r="C589" s="2" t="s">
        <v>17</v>
      </c>
      <c r="D589" s="2" t="s">
        <v>156</v>
      </c>
      <c r="E589" s="4">
        <v>-32496</v>
      </c>
      <c r="F589" s="3" t="s">
        <v>1927</v>
      </c>
      <c r="G589" s="3" t="s">
        <v>1928</v>
      </c>
      <c r="H589" s="2" t="s">
        <v>148</v>
      </c>
      <c r="I589" s="2" t="s">
        <v>1929</v>
      </c>
      <c r="J589" s="3" t="str">
        <f>HYPERLINK("https://www.boe.es/gazeta/dias/1811/01/10/pdfs/GEI-1811-5.pdf#page=6","Abrir facsímil")</f>
        <v>Abrir facsímil</v>
      </c>
      <c r="K589" s="3" t="s">
        <v>150</v>
      </c>
    </row>
    <row r="590" spans="1:11" ht="42" customHeight="1">
      <c r="A590" s="2" t="s">
        <v>1925</v>
      </c>
      <c r="B590" s="2" t="s">
        <v>1925</v>
      </c>
      <c r="C590" s="2" t="s">
        <v>17</v>
      </c>
      <c r="D590" s="2" t="s">
        <v>156</v>
      </c>
      <c r="E590" s="4">
        <v>-32487</v>
      </c>
      <c r="F590" s="3" t="s">
        <v>842</v>
      </c>
      <c r="G590" s="3" t="s">
        <v>1930</v>
      </c>
      <c r="H590" s="2" t="s">
        <v>148</v>
      </c>
      <c r="I590" s="2" t="s">
        <v>1931</v>
      </c>
      <c r="J590" s="3" t="str">
        <f>HYPERLINK("https://www.boe.es/gazeta/dias/1811/01/19/pdfs/GEI-1811-9.pdf#page=3","Abrir facsímil")</f>
        <v>Abrir facsímil</v>
      </c>
      <c r="K590" s="3" t="s">
        <v>150</v>
      </c>
    </row>
    <row r="591" spans="1:11" ht="42" customHeight="1">
      <c r="A591" s="2" t="s">
        <v>1925</v>
      </c>
      <c r="B591" s="2" t="s">
        <v>1925</v>
      </c>
      <c r="C591" s="2" t="s">
        <v>37</v>
      </c>
      <c r="D591" s="2" t="s">
        <v>156</v>
      </c>
      <c r="E591" s="4">
        <v>-32434</v>
      </c>
      <c r="F591" s="3" t="s">
        <v>1932</v>
      </c>
      <c r="G591" s="3" t="s">
        <v>305</v>
      </c>
      <c r="H591" s="2" t="s">
        <v>148</v>
      </c>
      <c r="I591" s="2" t="s">
        <v>1933</v>
      </c>
      <c r="J591" s="3" t="str">
        <f>HYPERLINK("https://www.boe.es/gazeta/dias/1811/03/13/pdfs/GMD-1811-72.pdf#page=1","Abrir facsímil")</f>
        <v>Abrir facsímil</v>
      </c>
      <c r="K591" s="3" t="s">
        <v>150</v>
      </c>
    </row>
    <row r="592" spans="1:11" ht="42" customHeight="1">
      <c r="A592" s="2" t="s">
        <v>1925</v>
      </c>
      <c r="B592" s="2" t="s">
        <v>1925</v>
      </c>
      <c r="C592" s="2" t="s">
        <v>17</v>
      </c>
      <c r="D592" s="2" t="s">
        <v>18</v>
      </c>
      <c r="E592" s="4">
        <v>-32386</v>
      </c>
      <c r="F592" s="3" t="s">
        <v>1934</v>
      </c>
      <c r="G592" s="3" t="s">
        <v>1930</v>
      </c>
      <c r="H592" s="2" t="s">
        <v>148</v>
      </c>
      <c r="I592" s="2" t="s">
        <v>1935</v>
      </c>
      <c r="J592" s="3" t="str">
        <f>HYPERLINK("https://www.boe.es/gazeta/dias/1811/04/30/pdfs/GEI-1811-57.pdf#page=7","Abrir facsímil")</f>
        <v>Abrir facsímil</v>
      </c>
      <c r="K592" s="3" t="s">
        <v>150</v>
      </c>
    </row>
    <row r="593" spans="1:11" ht="42" customHeight="1">
      <c r="A593" s="2" t="s">
        <v>1925</v>
      </c>
      <c r="B593" s="2" t="s">
        <v>1925</v>
      </c>
      <c r="C593" s="2" t="s">
        <v>17</v>
      </c>
      <c r="D593" s="2" t="s">
        <v>18</v>
      </c>
      <c r="E593" s="4">
        <v>-32197</v>
      </c>
      <c r="F593" s="3" t="s">
        <v>687</v>
      </c>
      <c r="G593" s="3" t="s">
        <v>178</v>
      </c>
      <c r="H593" s="2" t="s">
        <v>148</v>
      </c>
      <c r="I593" s="2" t="s">
        <v>1936</v>
      </c>
      <c r="J593" s="3" t="str">
        <f>HYPERLINK("https://www.boe.es/gazeta/dias/1811/11/05/pdfs/GEI-1811-143.pdf#page=6","Abrir facsímil")</f>
        <v>Abrir facsímil</v>
      </c>
      <c r="K593" s="3" t="s">
        <v>150</v>
      </c>
    </row>
    <row r="594" spans="1:11" ht="42" customHeight="1">
      <c r="A594" s="2" t="s">
        <v>1937</v>
      </c>
      <c r="B594" s="2" t="s">
        <v>1938</v>
      </c>
      <c r="C594" s="2" t="s">
        <v>26</v>
      </c>
      <c r="D594" s="2" t="s">
        <v>18</v>
      </c>
      <c r="E594" s="4">
        <v>-32412</v>
      </c>
      <c r="F594" s="3" t="s">
        <v>998</v>
      </c>
      <c r="G594" s="3" t="s">
        <v>1939</v>
      </c>
      <c r="H594" s="2" t="s">
        <v>148</v>
      </c>
      <c r="I594" s="2" t="s">
        <v>1940</v>
      </c>
      <c r="J594" s="3" t="str">
        <f>HYPERLINK("https://www.boe.es/gazeta/dias/1811/04/04/pdfs/GEI-1811-46.pdf#page=4","Abrir facsímil")</f>
        <v>Abrir facsímil</v>
      </c>
      <c r="K594" s="3" t="s">
        <v>150</v>
      </c>
    </row>
    <row r="595" spans="1:11" ht="42" customHeight="1">
      <c r="A595" s="2" t="s">
        <v>1941</v>
      </c>
      <c r="B595" s="2" t="s">
        <v>1942</v>
      </c>
      <c r="C595" s="2" t="s">
        <v>841</v>
      </c>
      <c r="D595" s="2" t="s">
        <v>18</v>
      </c>
      <c r="E595" s="4">
        <v>-32379</v>
      </c>
      <c r="F595" s="3" t="s">
        <v>462</v>
      </c>
      <c r="G595" s="3" t="s">
        <v>463</v>
      </c>
      <c r="H595" s="2" t="s">
        <v>148</v>
      </c>
      <c r="I595" s="2" t="s">
        <v>1943</v>
      </c>
      <c r="J595" s="3" t="str">
        <f>HYPERLINK("https://www.boe.es/gazeta/dias/1811/05/07/pdfs/GEI-1811-60.pdf#page=8","Abrir facsímil")</f>
        <v>Abrir facsímil</v>
      </c>
      <c r="K595" s="3" t="s">
        <v>150</v>
      </c>
    </row>
    <row r="596" spans="1:11" ht="42" customHeight="1">
      <c r="A596" s="2" t="s">
        <v>1944</v>
      </c>
      <c r="B596" s="2" t="s">
        <v>1944</v>
      </c>
      <c r="C596" s="2" t="s">
        <v>17</v>
      </c>
      <c r="D596" s="2" t="s">
        <v>156</v>
      </c>
      <c r="E596" s="4">
        <v>-32155</v>
      </c>
      <c r="F596" s="3" t="s">
        <v>263</v>
      </c>
      <c r="G596" s="3" t="s">
        <v>1945</v>
      </c>
      <c r="H596" s="2" t="s">
        <v>148</v>
      </c>
      <c r="I596" s="2" t="s">
        <v>1946</v>
      </c>
      <c r="J596" s="3" t="str">
        <f>HYPERLINK("https://www.boe.es/gazeta/dias/1811/12/17/pdfs/GEI-1811-163.pdf#page=6","Abrir facsímil")</f>
        <v>Abrir facsímil</v>
      </c>
      <c r="K596" s="3" t="s">
        <v>150</v>
      </c>
    </row>
    <row r="597" spans="1:11" ht="42" customHeight="1">
      <c r="A597" s="2" t="s">
        <v>1947</v>
      </c>
      <c r="B597" s="2" t="s">
        <v>1948</v>
      </c>
      <c r="C597" s="2" t="s">
        <v>26</v>
      </c>
      <c r="D597" s="2" t="s">
        <v>18</v>
      </c>
      <c r="E597" s="4">
        <v>-32249</v>
      </c>
      <c r="F597" s="3" t="s">
        <v>182</v>
      </c>
      <c r="G597" s="3" t="s">
        <v>183</v>
      </c>
      <c r="H597" s="2" t="s">
        <v>148</v>
      </c>
      <c r="I597" s="2" t="s">
        <v>1949</v>
      </c>
      <c r="J597" s="3" t="str">
        <f>HYPERLINK("https://www.boe.es/gazeta/dias/1811/09/14/pdfs/GMD-1811-257.pdf#page=4","Abrir facsímil")</f>
        <v>Abrir facsímil</v>
      </c>
      <c r="K597" s="3" t="s">
        <v>150</v>
      </c>
    </row>
    <row r="598" spans="1:11" ht="42" customHeight="1">
      <c r="A598" s="2" t="s">
        <v>1950</v>
      </c>
      <c r="B598" s="2" t="s">
        <v>1950</v>
      </c>
      <c r="C598" s="2" t="s">
        <v>17</v>
      </c>
      <c r="D598" s="2" t="s">
        <v>156</v>
      </c>
      <c r="E598" s="4">
        <v>-32169</v>
      </c>
      <c r="F598" s="3" t="s">
        <v>1702</v>
      </c>
      <c r="G598" s="3" t="s">
        <v>1951</v>
      </c>
      <c r="H598" s="2" t="s">
        <v>148</v>
      </c>
      <c r="I598" s="2" t="s">
        <v>1952</v>
      </c>
      <c r="J598" s="3" t="str">
        <f>HYPERLINK("https://www.boe.es/gazeta/dias/1811/12/03/pdfs/GEI-1811-157.pdf#page=7","Abrir facsímil")</f>
        <v>Abrir facsímil</v>
      </c>
      <c r="K598" s="3" t="s">
        <v>150</v>
      </c>
    </row>
    <row r="599" spans="1:11" ht="42" customHeight="1">
      <c r="A599" s="2" t="s">
        <v>1953</v>
      </c>
      <c r="B599" s="2" t="s">
        <v>1953</v>
      </c>
      <c r="C599" s="2" t="s">
        <v>17</v>
      </c>
      <c r="D599" s="2" t="s">
        <v>156</v>
      </c>
      <c r="E599" s="4">
        <v>-32496</v>
      </c>
      <c r="F599" s="3" t="s">
        <v>1927</v>
      </c>
      <c r="G599" s="3" t="s">
        <v>39</v>
      </c>
      <c r="H599" s="2" t="s">
        <v>148</v>
      </c>
      <c r="I599" s="2" t="s">
        <v>1954</v>
      </c>
      <c r="J599" s="3" t="str">
        <f>HYPERLINK("https://www.boe.es/gazeta/dias/1811/01/10/pdfs/GEI-1811-5.pdf#page=1","Abrir facsímil")</f>
        <v>Abrir facsímil</v>
      </c>
      <c r="K599" s="3" t="s">
        <v>150</v>
      </c>
    </row>
    <row r="600" spans="1:11" ht="42" customHeight="1">
      <c r="A600" s="2" t="s">
        <v>1953</v>
      </c>
      <c r="B600" s="2" t="s">
        <v>1953</v>
      </c>
      <c r="C600" s="2" t="s">
        <v>17</v>
      </c>
      <c r="D600" s="2" t="s">
        <v>18</v>
      </c>
      <c r="E600" s="4">
        <v>-32487</v>
      </c>
      <c r="F600" s="3" t="s">
        <v>842</v>
      </c>
      <c r="G600" s="3" t="s">
        <v>1930</v>
      </c>
      <c r="H600" s="2" t="s">
        <v>148</v>
      </c>
      <c r="I600" s="2" t="s">
        <v>1955</v>
      </c>
      <c r="J600" s="3" t="str">
        <f>HYPERLINK("https://www.boe.es/gazeta/dias/1811/01/19/pdfs/GEI-1811-9.pdf#page=3","Abrir facsímil")</f>
        <v>Abrir facsímil</v>
      </c>
      <c r="K600" s="3" t="s">
        <v>150</v>
      </c>
    </row>
    <row r="601" spans="1:11" ht="42" customHeight="1">
      <c r="A601" s="2" t="s">
        <v>1953</v>
      </c>
      <c r="B601" s="2" t="s">
        <v>1953</v>
      </c>
      <c r="C601" s="2" t="s">
        <v>17</v>
      </c>
      <c r="D601" s="2" t="s">
        <v>18</v>
      </c>
      <c r="E601" s="4">
        <v>-32487</v>
      </c>
      <c r="F601" s="3" t="s">
        <v>842</v>
      </c>
      <c r="G601" s="3" t="s">
        <v>162</v>
      </c>
      <c r="H601" s="2" t="s">
        <v>148</v>
      </c>
      <c r="I601" s="2" t="s">
        <v>1956</v>
      </c>
      <c r="J601" s="3" t="str">
        <f>HYPERLINK("https://www.boe.es/gazeta/dias/1811/01/19/pdfs/GEI-1811-9.pdf#page=4","Abrir facsímil")</f>
        <v>Abrir facsímil</v>
      </c>
      <c r="K601" s="3" t="s">
        <v>150</v>
      </c>
    </row>
    <row r="602" spans="1:11" ht="42" customHeight="1">
      <c r="A602" s="2" t="s">
        <v>1953</v>
      </c>
      <c r="B602" s="2" t="s">
        <v>1953</v>
      </c>
      <c r="C602" s="2" t="s">
        <v>17</v>
      </c>
      <c r="D602" s="2" t="s">
        <v>18</v>
      </c>
      <c r="E602" s="4">
        <v>-32484</v>
      </c>
      <c r="F602" s="3" t="s">
        <v>467</v>
      </c>
      <c r="G602" s="3" t="s">
        <v>1957</v>
      </c>
      <c r="H602" s="2" t="s">
        <v>148</v>
      </c>
      <c r="I602" s="2" t="s">
        <v>1958</v>
      </c>
      <c r="J602" s="3" t="str">
        <f>HYPERLINK("https://www.boe.es/gazeta/dias/1811/01/22/pdfs/GEI-1811-10.pdf#page=6","Abrir facsímil")</f>
        <v>Abrir facsímil</v>
      </c>
      <c r="K602" s="3" t="s">
        <v>150</v>
      </c>
    </row>
    <row r="603" spans="1:11" ht="42" customHeight="1">
      <c r="A603" s="2" t="s">
        <v>1953</v>
      </c>
      <c r="B603" s="2" t="s">
        <v>1953</v>
      </c>
      <c r="C603" s="2" t="s">
        <v>17</v>
      </c>
      <c r="D603" s="2" t="s">
        <v>18</v>
      </c>
      <c r="E603" s="4">
        <v>-32484</v>
      </c>
      <c r="F603" s="3" t="s">
        <v>467</v>
      </c>
      <c r="G603" s="3" t="s">
        <v>1912</v>
      </c>
      <c r="H603" s="2" t="s">
        <v>148</v>
      </c>
      <c r="I603" s="2" t="s">
        <v>1959</v>
      </c>
      <c r="J603" s="3" t="str">
        <f>HYPERLINK("https://www.boe.es/gazeta/dias/1811/01/22/pdfs/GEI-1811-10.pdf#page=7","Abrir facsímil")</f>
        <v>Abrir facsímil</v>
      </c>
      <c r="K603" s="3" t="s">
        <v>150</v>
      </c>
    </row>
    <row r="604" spans="1:11" ht="42" customHeight="1">
      <c r="A604" s="2" t="s">
        <v>1953</v>
      </c>
      <c r="B604" s="2" t="s">
        <v>1953</v>
      </c>
      <c r="C604" s="2" t="s">
        <v>17</v>
      </c>
      <c r="D604" s="2" t="s">
        <v>18</v>
      </c>
      <c r="E604" s="4">
        <v>-32482</v>
      </c>
      <c r="F604" s="3" t="s">
        <v>924</v>
      </c>
      <c r="G604" s="3" t="s">
        <v>846</v>
      </c>
      <c r="H604" s="2" t="s">
        <v>148</v>
      </c>
      <c r="I604" s="2" t="s">
        <v>1960</v>
      </c>
      <c r="J604" s="3" t="str">
        <f>HYPERLINK("https://www.boe.es/gazeta/dias/1811/01/24/pdfs/GEI-1811-11.pdf#page=8","Abrir facsímil")</f>
        <v>Abrir facsímil</v>
      </c>
      <c r="K604" s="3" t="s">
        <v>150</v>
      </c>
    </row>
    <row r="605" spans="1:11" ht="42" customHeight="1">
      <c r="A605" s="2" t="s">
        <v>1953</v>
      </c>
      <c r="B605" s="2" t="s">
        <v>1953</v>
      </c>
      <c r="C605" s="2" t="s">
        <v>17</v>
      </c>
      <c r="D605" s="2" t="s">
        <v>156</v>
      </c>
      <c r="E605" s="4">
        <v>-32463</v>
      </c>
      <c r="F605" s="3" t="s">
        <v>734</v>
      </c>
      <c r="G605" s="3" t="s">
        <v>1961</v>
      </c>
      <c r="H605" s="2" t="s">
        <v>148</v>
      </c>
      <c r="I605" s="2" t="s">
        <v>1962</v>
      </c>
      <c r="J605" s="3" t="str">
        <f>HYPERLINK("https://www.boe.es/gazeta/dias/1811/02/12/pdfs/GEI-1811-19.pdf#page=5","Abrir facsímil")</f>
        <v>Abrir facsímil</v>
      </c>
      <c r="K605" s="3" t="s">
        <v>150</v>
      </c>
    </row>
    <row r="606" spans="1:11" ht="42" customHeight="1">
      <c r="A606" s="2" t="s">
        <v>1953</v>
      </c>
      <c r="B606" s="2" t="s">
        <v>1953</v>
      </c>
      <c r="C606" s="2" t="s">
        <v>17</v>
      </c>
      <c r="D606" s="2" t="s">
        <v>105</v>
      </c>
      <c r="E606" s="4">
        <v>-32456</v>
      </c>
      <c r="F606" s="3" t="s">
        <v>1261</v>
      </c>
      <c r="G606" s="3" t="s">
        <v>1963</v>
      </c>
      <c r="H606" s="2" t="s">
        <v>148</v>
      </c>
      <c r="I606" s="2" t="s">
        <v>1964</v>
      </c>
      <c r="J606" s="3" t="str">
        <f>HYPERLINK("https://www.boe.es/gazeta/dias/1811/02/19/pdfs/GEI-1811-22.pdf#page=2","Abrir facsímil")</f>
        <v>Abrir facsímil</v>
      </c>
      <c r="K606" s="3" t="s">
        <v>150</v>
      </c>
    </row>
    <row r="607" spans="1:11" ht="42" customHeight="1">
      <c r="A607" s="2" t="s">
        <v>1953</v>
      </c>
      <c r="B607" s="2" t="s">
        <v>1953</v>
      </c>
      <c r="C607" s="2" t="s">
        <v>17</v>
      </c>
      <c r="D607" s="2" t="s">
        <v>18</v>
      </c>
      <c r="E607" s="4">
        <v>-32456</v>
      </c>
      <c r="F607" s="3" t="s">
        <v>1261</v>
      </c>
      <c r="G607" s="3" t="s">
        <v>1965</v>
      </c>
      <c r="H607" s="2" t="s">
        <v>148</v>
      </c>
      <c r="I607" s="2" t="s">
        <v>1966</v>
      </c>
      <c r="J607" s="3" t="str">
        <f>HYPERLINK("https://www.boe.es/gazeta/dias/1811/02/19/pdfs/GEI-1811-22.pdf#page=3","Abrir facsímil")</f>
        <v>Abrir facsímil</v>
      </c>
      <c r="K607" s="3" t="s">
        <v>150</v>
      </c>
    </row>
    <row r="608" spans="1:11" ht="42" customHeight="1">
      <c r="A608" s="2" t="s">
        <v>1953</v>
      </c>
      <c r="B608" s="2" t="s">
        <v>1953</v>
      </c>
      <c r="C608" s="2" t="s">
        <v>17</v>
      </c>
      <c r="D608" s="2" t="s">
        <v>18</v>
      </c>
      <c r="E608" s="4">
        <v>-32452</v>
      </c>
      <c r="F608" s="3" t="s">
        <v>106</v>
      </c>
      <c r="G608" s="3" t="s">
        <v>107</v>
      </c>
      <c r="H608" s="2" t="s">
        <v>148</v>
      </c>
      <c r="I608" s="2" t="s">
        <v>1967</v>
      </c>
      <c r="J608" s="3" t="str">
        <f>HYPERLINK("https://www.boe.es/gazeta/dias/1811/02/23/pdfs/GEI-1811-24.pdf#page=6","Abrir facsímil")</f>
        <v>Abrir facsímil</v>
      </c>
      <c r="K608" s="3" t="s">
        <v>150</v>
      </c>
    </row>
    <row r="609" spans="1:11" ht="42" customHeight="1">
      <c r="A609" s="2" t="s">
        <v>1953</v>
      </c>
      <c r="B609" s="2" t="s">
        <v>1953</v>
      </c>
      <c r="C609" s="2" t="s">
        <v>17</v>
      </c>
      <c r="D609" s="2" t="s">
        <v>105</v>
      </c>
      <c r="E609" s="4">
        <v>-32442</v>
      </c>
      <c r="F609" s="3" t="s">
        <v>634</v>
      </c>
      <c r="G609" s="3" t="s">
        <v>20</v>
      </c>
      <c r="H609" s="2" t="s">
        <v>148</v>
      </c>
      <c r="I609" s="2" t="s">
        <v>1968</v>
      </c>
      <c r="J609" s="3" t="str">
        <f>HYPERLINK("https://www.boe.es/gazeta/dias/1811/03/05/pdfs/GEI-1811-29.pdf#page=8","Abrir facsímil")</f>
        <v>Abrir facsímil</v>
      </c>
      <c r="K609" s="3" t="s">
        <v>150</v>
      </c>
    </row>
    <row r="610" spans="1:11" ht="42" customHeight="1">
      <c r="A610" s="2" t="s">
        <v>1953</v>
      </c>
      <c r="B610" s="2" t="s">
        <v>1953</v>
      </c>
      <c r="C610" s="2" t="s">
        <v>17</v>
      </c>
      <c r="D610" s="2" t="s">
        <v>18</v>
      </c>
      <c r="E610" s="4">
        <v>-32438</v>
      </c>
      <c r="F610" s="3" t="s">
        <v>114</v>
      </c>
      <c r="G610" s="3" t="s">
        <v>20</v>
      </c>
      <c r="H610" s="2" t="s">
        <v>148</v>
      </c>
      <c r="I610" s="2" t="s">
        <v>1969</v>
      </c>
      <c r="J610" s="3" t="str">
        <f>HYPERLINK("https://www.boe.es/gazeta/dias/1811/03/09/pdfs/GEI-1811-33.pdf#page=8","Abrir facsímil")</f>
        <v>Abrir facsímil</v>
      </c>
      <c r="K610" s="3" t="s">
        <v>150</v>
      </c>
    </row>
    <row r="611" spans="1:11" ht="42" customHeight="1">
      <c r="A611" s="2" t="s">
        <v>1953</v>
      </c>
      <c r="B611" s="2" t="s">
        <v>1953</v>
      </c>
      <c r="C611" s="2" t="s">
        <v>17</v>
      </c>
      <c r="D611" s="2" t="s">
        <v>105</v>
      </c>
      <c r="E611" s="4">
        <v>-32438</v>
      </c>
      <c r="F611" s="3" t="s">
        <v>1970</v>
      </c>
      <c r="G611" s="3" t="s">
        <v>115</v>
      </c>
      <c r="H611" s="2" t="s">
        <v>148</v>
      </c>
      <c r="I611" s="2" t="s">
        <v>1971</v>
      </c>
      <c r="J611" s="3" t="str">
        <f>HYPERLINK("https://www.boe.es/gazeta/dias/1811/03/09/pdfs/GEI-1811-34E.pdf#page=3","Abrir facsímil")</f>
        <v>Abrir facsímil</v>
      </c>
      <c r="K611" s="3" t="s">
        <v>150</v>
      </c>
    </row>
    <row r="612" spans="1:11" ht="42" customHeight="1">
      <c r="A612" s="2" t="s">
        <v>1953</v>
      </c>
      <c r="B612" s="2" t="s">
        <v>1953</v>
      </c>
      <c r="C612" s="2" t="s">
        <v>17</v>
      </c>
      <c r="D612" s="2" t="s">
        <v>156</v>
      </c>
      <c r="E612" s="4">
        <v>-32436</v>
      </c>
      <c r="F612" s="3" t="s">
        <v>1972</v>
      </c>
      <c r="G612" s="3" t="s">
        <v>20</v>
      </c>
      <c r="H612" s="2" t="s">
        <v>148</v>
      </c>
      <c r="I612" s="2" t="s">
        <v>1973</v>
      </c>
      <c r="J612" s="3" t="str">
        <f>HYPERLINK("https://www.boe.es/gazeta/dias/1811/03/11/pdfs/GMD-1811-70.pdf#page=2","Abrir facsímil")</f>
        <v>Abrir facsímil</v>
      </c>
      <c r="K612" s="3" t="s">
        <v>150</v>
      </c>
    </row>
    <row r="613" spans="1:11" ht="42" customHeight="1">
      <c r="A613" s="2" t="s">
        <v>1953</v>
      </c>
      <c r="B613" s="2" t="s">
        <v>1953</v>
      </c>
      <c r="C613" s="2" t="s">
        <v>17</v>
      </c>
      <c r="D613" s="2" t="s">
        <v>18</v>
      </c>
      <c r="E613" s="4">
        <v>-32428</v>
      </c>
      <c r="F613" s="3" t="s">
        <v>1974</v>
      </c>
      <c r="G613" s="3" t="s">
        <v>1975</v>
      </c>
      <c r="H613" s="2" t="s">
        <v>148</v>
      </c>
      <c r="I613" s="2" t="s">
        <v>1976</v>
      </c>
      <c r="J613" s="3" t="str">
        <f>HYPERLINK("https://www.boe.es/gazeta/dias/1811/03/19/pdfs/GEI-1811-39.pdf#page=4","Abrir facsímil")</f>
        <v>Abrir facsímil</v>
      </c>
      <c r="K613" s="3" t="s">
        <v>150</v>
      </c>
    </row>
    <row r="614" spans="1:11" ht="42" customHeight="1">
      <c r="A614" s="2" t="s">
        <v>1953</v>
      </c>
      <c r="B614" s="2" t="s">
        <v>1953</v>
      </c>
      <c r="C614" s="2" t="s">
        <v>17</v>
      </c>
      <c r="D614" s="2" t="s">
        <v>18</v>
      </c>
      <c r="E614" s="4">
        <v>-32428</v>
      </c>
      <c r="F614" s="3" t="s">
        <v>1974</v>
      </c>
      <c r="G614" s="3" t="s">
        <v>1977</v>
      </c>
      <c r="H614" s="2" t="s">
        <v>148</v>
      </c>
      <c r="I614" s="2" t="s">
        <v>1978</v>
      </c>
      <c r="J614" s="3" t="str">
        <f>HYPERLINK("https://www.boe.es/gazeta/dias/1811/03/19/pdfs/GEI-1811-39.pdf#page=5","Abrir facsímil")</f>
        <v>Abrir facsímil</v>
      </c>
      <c r="K614" s="3" t="s">
        <v>150</v>
      </c>
    </row>
    <row r="615" spans="1:11" ht="42" customHeight="1">
      <c r="A615" s="2" t="s">
        <v>1953</v>
      </c>
      <c r="B615" s="2" t="s">
        <v>1953</v>
      </c>
      <c r="C615" s="2" t="s">
        <v>17</v>
      </c>
      <c r="D615" s="2" t="s">
        <v>18</v>
      </c>
      <c r="E615" s="4">
        <v>-32414</v>
      </c>
      <c r="F615" s="3" t="s">
        <v>213</v>
      </c>
      <c r="G615" s="3" t="s">
        <v>214</v>
      </c>
      <c r="H615" s="2" t="s">
        <v>148</v>
      </c>
      <c r="I615" s="2" t="s">
        <v>1979</v>
      </c>
      <c r="J615" s="3" t="str">
        <f>HYPERLINK("https://www.boe.es/gazeta/dias/1811/04/02/pdfs/GEI-1811-45.pdf#page=6","Abrir facsímil")</f>
        <v>Abrir facsímil</v>
      </c>
      <c r="K615" s="3" t="s">
        <v>150</v>
      </c>
    </row>
    <row r="616" spans="1:11" ht="42" customHeight="1">
      <c r="A616" s="2" t="s">
        <v>1953</v>
      </c>
      <c r="B616" s="2" t="s">
        <v>1953</v>
      </c>
      <c r="C616" s="2" t="s">
        <v>17</v>
      </c>
      <c r="D616" s="2" t="s">
        <v>105</v>
      </c>
      <c r="E616" s="4">
        <v>-32386</v>
      </c>
      <c r="F616" s="3" t="s">
        <v>1934</v>
      </c>
      <c r="G616" s="3" t="s">
        <v>1930</v>
      </c>
      <c r="H616" s="2" t="s">
        <v>148</v>
      </c>
      <c r="I616" s="2" t="s">
        <v>1980</v>
      </c>
      <c r="J616" s="3" t="str">
        <f>HYPERLINK("https://www.boe.es/gazeta/dias/1811/04/30/pdfs/GEI-1811-57.pdf#page=7","Abrir facsímil")</f>
        <v>Abrir facsímil</v>
      </c>
      <c r="K616" s="3" t="s">
        <v>150</v>
      </c>
    </row>
    <row r="617" spans="1:11" ht="42" customHeight="1">
      <c r="A617" s="2" t="s">
        <v>1953</v>
      </c>
      <c r="B617" s="2" t="s">
        <v>1953</v>
      </c>
      <c r="C617" s="2" t="s">
        <v>17</v>
      </c>
      <c r="D617" s="2" t="s">
        <v>18</v>
      </c>
      <c r="E617" s="4">
        <v>-32386</v>
      </c>
      <c r="F617" s="3" t="s">
        <v>1934</v>
      </c>
      <c r="G617" s="3" t="s">
        <v>134</v>
      </c>
      <c r="H617" s="2" t="s">
        <v>148</v>
      </c>
      <c r="I617" s="2" t="s">
        <v>1981</v>
      </c>
      <c r="J617" s="3" t="str">
        <f>HYPERLINK("https://www.boe.es/gazeta/dias/1811/04/30/pdfs/GEI-1811-57.pdf#page=8","Abrir facsímil")</f>
        <v>Abrir facsímil</v>
      </c>
      <c r="K617" s="3" t="s">
        <v>150</v>
      </c>
    </row>
    <row r="618" spans="1:11" ht="42" customHeight="1">
      <c r="A618" s="2" t="s">
        <v>1953</v>
      </c>
      <c r="B618" s="2" t="s">
        <v>1953</v>
      </c>
      <c r="C618" s="2" t="s">
        <v>17</v>
      </c>
      <c r="D618" s="2" t="s">
        <v>18</v>
      </c>
      <c r="E618" s="4">
        <v>-32384</v>
      </c>
      <c r="F618" s="3" t="s">
        <v>338</v>
      </c>
      <c r="G618" s="3" t="s">
        <v>62</v>
      </c>
      <c r="H618" s="2" t="s">
        <v>148</v>
      </c>
      <c r="I618" s="2" t="s">
        <v>1982</v>
      </c>
      <c r="J618" s="3" t="str">
        <f>HYPERLINK("https://www.boe.es/gazeta/dias/1811/05/02/pdfs/GEI-1811-58.pdf#page=5","Abrir facsímil")</f>
        <v>Abrir facsímil</v>
      </c>
      <c r="K618" s="3" t="s">
        <v>150</v>
      </c>
    </row>
    <row r="619" spans="1:11" ht="42" customHeight="1">
      <c r="A619" s="2" t="s">
        <v>1953</v>
      </c>
      <c r="B619" s="2" t="s">
        <v>1953</v>
      </c>
      <c r="C619" s="2" t="s">
        <v>17</v>
      </c>
      <c r="D619" s="2" t="s">
        <v>156</v>
      </c>
      <c r="E619" s="4">
        <v>-32384</v>
      </c>
      <c r="F619" s="3" t="s">
        <v>338</v>
      </c>
      <c r="G619" s="3" t="s">
        <v>339</v>
      </c>
      <c r="H619" s="2" t="s">
        <v>148</v>
      </c>
      <c r="I619" s="2" t="s">
        <v>1983</v>
      </c>
      <c r="J619" s="3" t="str">
        <f>HYPERLINK("https://www.boe.es/gazeta/dias/1811/05/02/pdfs/GEI-1811-58.pdf#page=8","Abrir facsímil")</f>
        <v>Abrir facsímil</v>
      </c>
      <c r="K619" s="3" t="s">
        <v>150</v>
      </c>
    </row>
    <row r="620" spans="1:11" ht="42" customHeight="1">
      <c r="A620" s="2" t="s">
        <v>1953</v>
      </c>
      <c r="B620" s="2" t="s">
        <v>1953</v>
      </c>
      <c r="C620" s="2" t="s">
        <v>17</v>
      </c>
      <c r="D620" s="2" t="s">
        <v>18</v>
      </c>
      <c r="E620" s="4">
        <v>-32375</v>
      </c>
      <c r="F620" s="3" t="s">
        <v>1209</v>
      </c>
      <c r="G620" s="3" t="s">
        <v>1984</v>
      </c>
      <c r="H620" s="2" t="s">
        <v>148</v>
      </c>
      <c r="I620" s="2" t="s">
        <v>1985</v>
      </c>
      <c r="J620" s="3" t="str">
        <f>HYPERLINK("https://www.boe.es/gazeta/dias/1811/05/11/pdfs/GEI-1811-62.pdf#page=8","Abrir facsímil")</f>
        <v>Abrir facsímil</v>
      </c>
      <c r="K620" s="3" t="s">
        <v>150</v>
      </c>
    </row>
    <row r="621" spans="1:11" ht="42" customHeight="1">
      <c r="A621" s="2" t="s">
        <v>1953</v>
      </c>
      <c r="B621" s="2" t="s">
        <v>1953</v>
      </c>
      <c r="C621" s="2" t="s">
        <v>17</v>
      </c>
      <c r="D621" s="2" t="s">
        <v>156</v>
      </c>
      <c r="E621" s="4">
        <v>-32366</v>
      </c>
      <c r="F621" s="3" t="s">
        <v>1986</v>
      </c>
      <c r="G621" s="3" t="s">
        <v>39</v>
      </c>
      <c r="H621" s="2" t="s">
        <v>148</v>
      </c>
      <c r="I621" s="2" t="s">
        <v>1987</v>
      </c>
      <c r="J621" s="3" t="str">
        <f>HYPERLINK("https://www.boe.es/gazeta/dias/1811/05/20/pdfs/GEI-1811-66E.pdf#page=1","Abrir facsímil")</f>
        <v>Abrir facsímil</v>
      </c>
      <c r="K621" s="3" t="s">
        <v>150</v>
      </c>
    </row>
    <row r="622" spans="1:11" ht="42" customHeight="1">
      <c r="A622" s="2" t="s">
        <v>1953</v>
      </c>
      <c r="B622" s="2" t="s">
        <v>1953</v>
      </c>
      <c r="C622" s="2" t="s">
        <v>17</v>
      </c>
      <c r="D622" s="2" t="s">
        <v>156</v>
      </c>
      <c r="E622" s="4">
        <v>-32365</v>
      </c>
      <c r="F622" s="3" t="s">
        <v>119</v>
      </c>
      <c r="G622" s="3" t="s">
        <v>1988</v>
      </c>
      <c r="H622" s="2" t="s">
        <v>148</v>
      </c>
      <c r="I622" s="2" t="s">
        <v>1989</v>
      </c>
      <c r="J622" s="3" t="str">
        <f>HYPERLINK("https://www.boe.es/gazeta/dias/1811/05/21/pdfs/GEI-1811-67.pdf#page=8","Abrir facsímil")</f>
        <v>Abrir facsímil</v>
      </c>
      <c r="K622" s="3" t="s">
        <v>150</v>
      </c>
    </row>
    <row r="623" spans="1:11" ht="42" customHeight="1">
      <c r="A623" s="2" t="s">
        <v>1953</v>
      </c>
      <c r="B623" s="2" t="s">
        <v>1953</v>
      </c>
      <c r="C623" s="2" t="s">
        <v>17</v>
      </c>
      <c r="D623" s="2" t="s">
        <v>105</v>
      </c>
      <c r="E623" s="4">
        <v>-32362</v>
      </c>
      <c r="F623" s="3" t="s">
        <v>1990</v>
      </c>
      <c r="G623" s="3" t="s">
        <v>47</v>
      </c>
      <c r="H623" s="2" t="s">
        <v>148</v>
      </c>
      <c r="I623" s="2" t="s">
        <v>1991</v>
      </c>
      <c r="J623" s="3" t="str">
        <f>HYPERLINK("https://www.boe.es/gazeta/dias/1811/05/24/pdfs/GEI-1811-70E.pdf#page=5","Abrir facsímil")</f>
        <v>Abrir facsímil</v>
      </c>
      <c r="K623" s="3" t="s">
        <v>150</v>
      </c>
    </row>
    <row r="624" spans="1:11" ht="42" customHeight="1">
      <c r="A624" s="2" t="s">
        <v>1953</v>
      </c>
      <c r="B624" s="2" t="s">
        <v>1953</v>
      </c>
      <c r="C624" s="2" t="s">
        <v>17</v>
      </c>
      <c r="D624" s="2" t="s">
        <v>156</v>
      </c>
      <c r="E624" s="4">
        <v>-32356</v>
      </c>
      <c r="F624" s="3" t="s">
        <v>1992</v>
      </c>
      <c r="G624" s="3" t="s">
        <v>1993</v>
      </c>
      <c r="H624" s="2" t="s">
        <v>148</v>
      </c>
      <c r="I624" s="2" t="s">
        <v>1994</v>
      </c>
      <c r="J624" s="3" t="str">
        <f>HYPERLINK("https://www.boe.es/gazeta/dias/1811/05/30/pdfs/GEI-1811-73.pdf#page=7","Abrir facsímil")</f>
        <v>Abrir facsímil</v>
      </c>
      <c r="K624" s="3" t="s">
        <v>150</v>
      </c>
    </row>
    <row r="625" spans="1:11" ht="42" customHeight="1">
      <c r="A625" s="2" t="s">
        <v>1953</v>
      </c>
      <c r="B625" s="2" t="s">
        <v>1953</v>
      </c>
      <c r="C625" s="2" t="s">
        <v>17</v>
      </c>
      <c r="D625" s="2" t="s">
        <v>156</v>
      </c>
      <c r="E625" s="4">
        <v>-32349</v>
      </c>
      <c r="F625" s="3" t="s">
        <v>239</v>
      </c>
      <c r="G625" s="3" t="s">
        <v>1995</v>
      </c>
      <c r="H625" s="2" t="s">
        <v>148</v>
      </c>
      <c r="I625" s="2" t="s">
        <v>1996</v>
      </c>
      <c r="J625" s="3" t="str">
        <f>HYPERLINK("https://www.boe.es/gazeta/dias/1811/06/06/pdfs/GEI-1811-76.pdf#page=7","Abrir facsímil")</f>
        <v>Abrir facsímil</v>
      </c>
      <c r="K625" s="3" t="s">
        <v>150</v>
      </c>
    </row>
    <row r="626" spans="1:11" ht="42" customHeight="1">
      <c r="A626" s="2" t="s">
        <v>1953</v>
      </c>
      <c r="B626" s="2" t="s">
        <v>1953</v>
      </c>
      <c r="C626" s="2" t="s">
        <v>17</v>
      </c>
      <c r="D626" s="2" t="s">
        <v>18</v>
      </c>
      <c r="E626" s="4">
        <v>-32330</v>
      </c>
      <c r="F626" s="3" t="s">
        <v>1997</v>
      </c>
      <c r="G626" s="3" t="s">
        <v>1463</v>
      </c>
      <c r="H626" s="2" t="s">
        <v>148</v>
      </c>
      <c r="I626" s="2" t="s">
        <v>1998</v>
      </c>
      <c r="J626" s="3" t="str">
        <f>HYPERLINK("https://www.boe.es/gazeta/dias/1811/06/25/pdfs/GMD-1811-176.pdf#page=3","Abrir facsímil")</f>
        <v>Abrir facsímil</v>
      </c>
      <c r="K626" s="3" t="s">
        <v>150</v>
      </c>
    </row>
    <row r="627" spans="1:11" ht="42" customHeight="1">
      <c r="A627" s="2" t="s">
        <v>1953</v>
      </c>
      <c r="B627" s="2" t="s">
        <v>1953</v>
      </c>
      <c r="C627" s="2" t="s">
        <v>17</v>
      </c>
      <c r="D627" s="2" t="s">
        <v>105</v>
      </c>
      <c r="E627" s="4">
        <v>-32291</v>
      </c>
      <c r="F627" s="3" t="s">
        <v>712</v>
      </c>
      <c r="G627" s="3" t="s">
        <v>468</v>
      </c>
      <c r="H627" s="2" t="s">
        <v>148</v>
      </c>
      <c r="I627" s="2" t="s">
        <v>1999</v>
      </c>
      <c r="J627" s="3" t="str">
        <f>HYPERLINK("https://www.boe.es/gazeta/dias/1811/08/03/pdfs/GEI-1811-101.pdf#page=1","Abrir facsímil")</f>
        <v>Abrir facsímil</v>
      </c>
      <c r="K627" s="3" t="s">
        <v>150</v>
      </c>
    </row>
    <row r="628" spans="1:11" ht="42" customHeight="1">
      <c r="A628" s="2" t="s">
        <v>1953</v>
      </c>
      <c r="B628" s="2" t="s">
        <v>1953</v>
      </c>
      <c r="C628" s="2" t="s">
        <v>17</v>
      </c>
      <c r="D628" s="2" t="s">
        <v>156</v>
      </c>
      <c r="E628" s="4">
        <v>-32283</v>
      </c>
      <c r="F628" s="3" t="s">
        <v>90</v>
      </c>
      <c r="G628" s="3" t="s">
        <v>515</v>
      </c>
      <c r="H628" s="2" t="s">
        <v>148</v>
      </c>
      <c r="I628" s="2" t="s">
        <v>2000</v>
      </c>
      <c r="J628" s="3" t="str">
        <f>HYPERLINK("https://www.boe.es/gazeta/dias/1811/08/11/pdfs/GMD-1811-223.pdf#page=3","Abrir facsímil")</f>
        <v>Abrir facsímil</v>
      </c>
      <c r="K628" s="3" t="s">
        <v>150</v>
      </c>
    </row>
    <row r="629" spans="1:11" ht="42" customHeight="1">
      <c r="A629" s="2" t="s">
        <v>1953</v>
      </c>
      <c r="B629" s="2" t="s">
        <v>1953</v>
      </c>
      <c r="C629" s="2" t="s">
        <v>17</v>
      </c>
      <c r="D629" s="2" t="s">
        <v>156</v>
      </c>
      <c r="E629" s="4">
        <v>-32267</v>
      </c>
      <c r="F629" s="3" t="s">
        <v>1045</v>
      </c>
      <c r="G629" s="3" t="s">
        <v>178</v>
      </c>
      <c r="H629" s="2" t="s">
        <v>148</v>
      </c>
      <c r="I629" s="2" t="s">
        <v>2001</v>
      </c>
      <c r="J629" s="3" t="str">
        <f>HYPERLINK("https://www.boe.es/gazeta/dias/1811/08/27/pdfs/GEI-1811-111.pdf#page=5","Abrir facsímil")</f>
        <v>Abrir facsímil</v>
      </c>
      <c r="K629" s="3" t="s">
        <v>150</v>
      </c>
    </row>
    <row r="630" spans="1:11" ht="42" customHeight="1">
      <c r="A630" s="2" t="s">
        <v>1953</v>
      </c>
      <c r="B630" s="2" t="s">
        <v>1953</v>
      </c>
      <c r="C630" s="2" t="s">
        <v>17</v>
      </c>
      <c r="D630" s="2" t="s">
        <v>156</v>
      </c>
      <c r="E630" s="4">
        <v>-32235</v>
      </c>
      <c r="F630" s="3" t="s">
        <v>190</v>
      </c>
      <c r="G630" s="3" t="s">
        <v>2002</v>
      </c>
      <c r="H630" s="2" t="s">
        <v>148</v>
      </c>
      <c r="I630" s="2" t="s">
        <v>2003</v>
      </c>
      <c r="J630" s="3" t="str">
        <f>HYPERLINK("https://www.boe.es/gazeta/dias/1811/09/28/pdfs/GEI-1811-125.pdf#page=2","Abrir facsímil")</f>
        <v>Abrir facsímil</v>
      </c>
      <c r="K630" s="3" t="s">
        <v>150</v>
      </c>
    </row>
    <row r="631" spans="1:11" ht="42" customHeight="1">
      <c r="A631" s="2" t="s">
        <v>1953</v>
      </c>
      <c r="B631" s="2" t="s">
        <v>1953</v>
      </c>
      <c r="C631" s="2" t="s">
        <v>17</v>
      </c>
      <c r="D631" s="2" t="s">
        <v>105</v>
      </c>
      <c r="E631" s="4">
        <v>-32232</v>
      </c>
      <c r="F631" s="3" t="s">
        <v>1816</v>
      </c>
      <c r="G631" s="3" t="s">
        <v>162</v>
      </c>
      <c r="H631" s="2" t="s">
        <v>148</v>
      </c>
      <c r="I631" s="2" t="s">
        <v>2004</v>
      </c>
      <c r="J631" s="3" t="str">
        <f>HYPERLINK("https://www.boe.es/gazeta/dias/1811/10/01/pdfs/GEI-1811-126.pdf#page=5","Abrir facsímil")</f>
        <v>Abrir facsímil</v>
      </c>
      <c r="K631" s="3" t="s">
        <v>150</v>
      </c>
    </row>
    <row r="632" spans="1:11" ht="42" customHeight="1">
      <c r="A632" s="2" t="s">
        <v>1953</v>
      </c>
      <c r="B632" s="2" t="s">
        <v>1953</v>
      </c>
      <c r="C632" s="2" t="s">
        <v>17</v>
      </c>
      <c r="D632" s="2" t="s">
        <v>105</v>
      </c>
      <c r="E632" s="4">
        <v>-32230</v>
      </c>
      <c r="F632" s="3" t="s">
        <v>625</v>
      </c>
      <c r="G632" s="3" t="s">
        <v>2005</v>
      </c>
      <c r="H632" s="2" t="s">
        <v>148</v>
      </c>
      <c r="I632" s="2" t="s">
        <v>2006</v>
      </c>
      <c r="J632" s="3" t="str">
        <f>HYPERLINK("https://www.boe.es/gazeta/dias/1811/10/03/pdfs/GEI-1811-127.pdf#page=6","Abrir facsímil")</f>
        <v>Abrir facsímil</v>
      </c>
      <c r="K632" s="3" t="s">
        <v>150</v>
      </c>
    </row>
    <row r="633" spans="1:11" ht="42" customHeight="1">
      <c r="A633" s="2" t="s">
        <v>1953</v>
      </c>
      <c r="B633" s="2" t="s">
        <v>1953</v>
      </c>
      <c r="C633" s="2" t="s">
        <v>17</v>
      </c>
      <c r="D633" s="2" t="s">
        <v>18</v>
      </c>
      <c r="E633" s="4">
        <v>-32225</v>
      </c>
      <c r="F633" s="3" t="s">
        <v>390</v>
      </c>
      <c r="G633" s="3" t="s">
        <v>44</v>
      </c>
      <c r="H633" s="2" t="s">
        <v>148</v>
      </c>
      <c r="I633" s="2" t="s">
        <v>2007</v>
      </c>
      <c r="J633" s="3" t="str">
        <f>HYPERLINK("https://www.boe.es/gazeta/dias/1811/10/08/pdfs/GEI-1811-129.pdf#page=2","Abrir facsímil")</f>
        <v>Abrir facsímil</v>
      </c>
      <c r="K633" s="3" t="s">
        <v>150</v>
      </c>
    </row>
    <row r="634" spans="1:11" ht="42" customHeight="1">
      <c r="A634" s="2" t="s">
        <v>1953</v>
      </c>
      <c r="B634" s="2" t="s">
        <v>1953</v>
      </c>
      <c r="C634" s="2" t="s">
        <v>17</v>
      </c>
      <c r="D634" s="2" t="s">
        <v>156</v>
      </c>
      <c r="E634" s="4">
        <v>-32211</v>
      </c>
      <c r="F634" s="3" t="s">
        <v>1074</v>
      </c>
      <c r="G634" s="3" t="s">
        <v>2008</v>
      </c>
      <c r="H634" s="2" t="s">
        <v>148</v>
      </c>
      <c r="I634" s="2" t="s">
        <v>2009</v>
      </c>
      <c r="J634" s="3" t="str">
        <f>HYPERLINK("https://www.boe.es/gazeta/dias/1811/10/22/pdfs/GEI-1811-136.pdf#page=3","Abrir facsímil")</f>
        <v>Abrir facsímil</v>
      </c>
      <c r="K634" s="3" t="s">
        <v>150</v>
      </c>
    </row>
    <row r="635" spans="1:11" ht="42" customHeight="1">
      <c r="A635" s="2" t="s">
        <v>1953</v>
      </c>
      <c r="B635" s="2" t="s">
        <v>1953</v>
      </c>
      <c r="C635" s="2" t="s">
        <v>17</v>
      </c>
      <c r="D635" s="2" t="s">
        <v>18</v>
      </c>
      <c r="E635" s="4">
        <v>-32204</v>
      </c>
      <c r="F635" s="3" t="s">
        <v>1053</v>
      </c>
      <c r="G635" s="3" t="s">
        <v>1963</v>
      </c>
      <c r="H635" s="2" t="s">
        <v>148</v>
      </c>
      <c r="I635" s="2" t="s">
        <v>2010</v>
      </c>
      <c r="J635" s="3" t="str">
        <f>HYPERLINK("https://www.boe.es/gazeta/dias/1811/10/29/pdfs/GEI-1811-139.pdf#page=6","Abrir facsímil")</f>
        <v>Abrir facsímil</v>
      </c>
      <c r="K635" s="3" t="s">
        <v>150</v>
      </c>
    </row>
    <row r="636" spans="1:11" ht="42" customHeight="1">
      <c r="A636" s="2" t="s">
        <v>1953</v>
      </c>
      <c r="B636" s="2" t="s">
        <v>1953</v>
      </c>
      <c r="C636" s="2" t="s">
        <v>17</v>
      </c>
      <c r="D636" s="2" t="s">
        <v>18</v>
      </c>
      <c r="E636" s="4">
        <v>-32193</v>
      </c>
      <c r="F636" s="3" t="s">
        <v>1037</v>
      </c>
      <c r="G636" s="3" t="s">
        <v>44</v>
      </c>
      <c r="H636" s="2" t="s">
        <v>148</v>
      </c>
      <c r="I636" s="2" t="s">
        <v>2011</v>
      </c>
      <c r="J636" s="3" t="str">
        <f>HYPERLINK("https://www.boe.es/gazeta/dias/1811/11/09/pdfs/GEI-1811-145.pdf#page=4","Abrir facsímil")</f>
        <v>Abrir facsímil</v>
      </c>
      <c r="K636" s="3" t="s">
        <v>150</v>
      </c>
    </row>
    <row r="637" spans="1:11" ht="42" customHeight="1">
      <c r="A637" s="2" t="s">
        <v>1953</v>
      </c>
      <c r="B637" s="2" t="s">
        <v>1953</v>
      </c>
      <c r="C637" s="2" t="s">
        <v>17</v>
      </c>
      <c r="D637" s="2" t="s">
        <v>18</v>
      </c>
      <c r="E637" s="4">
        <v>-32169</v>
      </c>
      <c r="F637" s="3" t="s">
        <v>1702</v>
      </c>
      <c r="G637" s="3" t="s">
        <v>2012</v>
      </c>
      <c r="H637" s="2" t="s">
        <v>148</v>
      </c>
      <c r="I637" s="2" t="s">
        <v>2013</v>
      </c>
      <c r="J637" s="3" t="str">
        <f>HYPERLINK("https://www.boe.es/gazeta/dias/1811/12/03/pdfs/GEI-1811-157.pdf#page=6","Abrir facsímil")</f>
        <v>Abrir facsímil</v>
      </c>
      <c r="K637" s="3" t="s">
        <v>150</v>
      </c>
    </row>
    <row r="638" spans="1:11" ht="42" customHeight="1">
      <c r="A638" s="2" t="s">
        <v>1953</v>
      </c>
      <c r="B638" s="2" t="s">
        <v>1953</v>
      </c>
      <c r="C638" s="2" t="s">
        <v>17</v>
      </c>
      <c r="D638" s="2" t="s">
        <v>18</v>
      </c>
      <c r="E638" s="4">
        <v>-32158</v>
      </c>
      <c r="F638" s="3" t="s">
        <v>2014</v>
      </c>
      <c r="G638" s="3" t="s">
        <v>20</v>
      </c>
      <c r="H638" s="2" t="s">
        <v>148</v>
      </c>
      <c r="I638" s="2" t="s">
        <v>2015</v>
      </c>
      <c r="J638" s="3" t="str">
        <f>HYPERLINK("https://www.boe.es/gazeta/dias/1811/12/14/pdfs/GMD-1811-348.pdf#page=1","Abrir facsímil")</f>
        <v>Abrir facsímil</v>
      </c>
      <c r="K638" s="3" t="s">
        <v>150</v>
      </c>
    </row>
    <row r="639" spans="1:11" ht="42" customHeight="1">
      <c r="A639" s="2" t="s">
        <v>2016</v>
      </c>
      <c r="B639" s="2" t="s">
        <v>2017</v>
      </c>
      <c r="C639" s="2" t="s">
        <v>17</v>
      </c>
      <c r="D639" s="2" t="s">
        <v>18</v>
      </c>
      <c r="E639" s="4">
        <v>-32228</v>
      </c>
      <c r="F639" s="3" t="s">
        <v>372</v>
      </c>
      <c r="G639" s="3" t="s">
        <v>373</v>
      </c>
      <c r="H639" s="2" t="s">
        <v>148</v>
      </c>
      <c r="I639" s="2" t="s">
        <v>2018</v>
      </c>
      <c r="J639" s="3" t="str">
        <f>HYPERLINK("https://www.boe.es/gazeta/dias/1811/10/05/pdfs/GEI-1811-128.pdf#page=7","Abrir facsímil")</f>
        <v>Abrir facsímil</v>
      </c>
      <c r="K639" s="3" t="s">
        <v>150</v>
      </c>
    </row>
    <row r="640" spans="1:11" ht="42" customHeight="1">
      <c r="A640" s="2" t="s">
        <v>2016</v>
      </c>
      <c r="B640" s="2" t="s">
        <v>2017</v>
      </c>
      <c r="C640" s="2" t="s">
        <v>26</v>
      </c>
      <c r="D640" s="2" t="s">
        <v>18</v>
      </c>
      <c r="E640" s="4">
        <v>-32144</v>
      </c>
      <c r="F640" s="3" t="s">
        <v>1097</v>
      </c>
      <c r="G640" s="3" t="s">
        <v>2019</v>
      </c>
      <c r="H640" s="2" t="s">
        <v>148</v>
      </c>
      <c r="I640" s="2" t="s">
        <v>2020</v>
      </c>
      <c r="J640" s="3" t="str">
        <f>HYPERLINK("https://www.boe.es/gazeta/dias/1811/12/28/pdfs/GEI-1811-168.pdf#page=3","Abrir facsímil")</f>
        <v>Abrir facsímil</v>
      </c>
      <c r="K640" s="3" t="s">
        <v>150</v>
      </c>
    </row>
    <row r="641" spans="1:11" ht="42" customHeight="1">
      <c r="A641" s="2" t="s">
        <v>2016</v>
      </c>
      <c r="B641" s="2" t="s">
        <v>2017</v>
      </c>
      <c r="C641" s="2" t="s">
        <v>17</v>
      </c>
      <c r="D641" s="2" t="s">
        <v>156</v>
      </c>
      <c r="E641" s="4">
        <v>-32144</v>
      </c>
      <c r="F641" s="3" t="s">
        <v>1097</v>
      </c>
      <c r="G641" s="3" t="s">
        <v>183</v>
      </c>
      <c r="H641" s="2" t="s">
        <v>148</v>
      </c>
      <c r="I641" s="2" t="s">
        <v>2021</v>
      </c>
      <c r="J641" s="3" t="str">
        <f>HYPERLINK("https://www.boe.es/gazeta/dias/1811/12/28/pdfs/GEI-1811-168.pdf#page=4","Abrir facsímil")</f>
        <v>Abrir facsímil</v>
      </c>
      <c r="K641" s="3" t="s">
        <v>150</v>
      </c>
    </row>
    <row r="642" spans="1:11" ht="42" customHeight="1">
      <c r="A642" s="2" t="s">
        <v>2022</v>
      </c>
      <c r="B642" s="2" t="s">
        <v>2023</v>
      </c>
      <c r="C642" s="2" t="s">
        <v>26</v>
      </c>
      <c r="D642" s="2" t="s">
        <v>141</v>
      </c>
      <c r="E642" s="4">
        <v>-32280</v>
      </c>
      <c r="F642" s="3" t="s">
        <v>142</v>
      </c>
      <c r="G642" s="3" t="s">
        <v>597</v>
      </c>
      <c r="H642" s="2" t="s">
        <v>148</v>
      </c>
      <c r="I642" s="2" t="s">
        <v>2024</v>
      </c>
      <c r="J642" s="3" t="str">
        <f>HYPERLINK("https://www.boe.es/gazeta/dias/1811/08/14/pdfs/GMD-C-1811-226.pdf#page=2","Abrir facsímil")</f>
        <v>Abrir facsímil</v>
      </c>
      <c r="K642" s="3" t="s">
        <v>150</v>
      </c>
    </row>
    <row r="643" spans="1:11" ht="42" customHeight="1">
      <c r="A643" s="2" t="s">
        <v>2025</v>
      </c>
      <c r="B643" s="2" t="s">
        <v>2026</v>
      </c>
      <c r="C643" s="2" t="s">
        <v>26</v>
      </c>
      <c r="D643" s="2" t="s">
        <v>141</v>
      </c>
      <c r="E643" s="4">
        <v>-32238</v>
      </c>
      <c r="F643" s="3" t="s">
        <v>166</v>
      </c>
      <c r="G643" s="3" t="s">
        <v>39</v>
      </c>
      <c r="H643" s="2" t="s">
        <v>148</v>
      </c>
      <c r="I643" s="2" t="s">
        <v>2027</v>
      </c>
      <c r="J643" s="3" t="str">
        <f>HYPERLINK("https://www.boe.es/gazeta/dias/1811/09/25/pdfs/GMD-C-1811-268.pdf#page=2","Abrir facsímil")</f>
        <v>Abrir facsímil</v>
      </c>
      <c r="K643" s="3" t="s">
        <v>150</v>
      </c>
    </row>
    <row r="644" spans="1:11" ht="42" customHeight="1">
      <c r="A644" s="2" t="s">
        <v>2028</v>
      </c>
      <c r="B644" s="2" t="s">
        <v>2029</v>
      </c>
      <c r="C644" s="2" t="s">
        <v>367</v>
      </c>
      <c r="D644" s="2" t="s">
        <v>141</v>
      </c>
      <c r="E644" s="4">
        <v>-32249</v>
      </c>
      <c r="F644" s="3" t="s">
        <v>743</v>
      </c>
      <c r="G644" s="3" t="s">
        <v>1021</v>
      </c>
      <c r="H644" s="2" t="s">
        <v>148</v>
      </c>
      <c r="I644" s="2" t="s">
        <v>2030</v>
      </c>
      <c r="J644" s="3" t="str">
        <f>HYPERLINK("https://www.boe.es/gazeta/dias/1811/09/14/pdfs/GMD-C-1811-257.pdf#page=2","Abrir facsímil")</f>
        <v>Abrir facsímil</v>
      </c>
      <c r="K644" s="3" t="s">
        <v>150</v>
      </c>
    </row>
    <row r="645" spans="1:11" ht="42" customHeight="1">
      <c r="A645" s="2" t="s">
        <v>2031</v>
      </c>
      <c r="B645" s="2" t="s">
        <v>2031</v>
      </c>
      <c r="C645" s="2" t="s">
        <v>17</v>
      </c>
      <c r="D645" s="2" t="s">
        <v>156</v>
      </c>
      <c r="E645" s="4">
        <v>-32445</v>
      </c>
      <c r="F645" s="3" t="s">
        <v>2032</v>
      </c>
      <c r="G645" s="3" t="s">
        <v>1930</v>
      </c>
      <c r="H645" s="2" t="s">
        <v>148</v>
      </c>
      <c r="I645" s="2" t="s">
        <v>2033</v>
      </c>
      <c r="J645" s="3" t="str">
        <f>HYPERLINK("https://www.boe.es/gazeta/dias/1811/03/02/pdfs/GEI-1811-27.pdf#page=2","Abrir facsímil")</f>
        <v>Abrir facsímil</v>
      </c>
      <c r="K645" s="3" t="s">
        <v>150</v>
      </c>
    </row>
    <row r="646" spans="1:11" ht="42" customHeight="1">
      <c r="A646" s="2" t="s">
        <v>2034</v>
      </c>
      <c r="B646" s="2" t="s">
        <v>2034</v>
      </c>
      <c r="C646" s="2" t="s">
        <v>17</v>
      </c>
      <c r="D646" s="2" t="s">
        <v>18</v>
      </c>
      <c r="E646" s="4">
        <v>-32319</v>
      </c>
      <c r="F646" s="3" t="s">
        <v>2035</v>
      </c>
      <c r="G646" s="3" t="s">
        <v>47</v>
      </c>
      <c r="H646" s="2" t="s">
        <v>148</v>
      </c>
      <c r="I646" s="2" t="s">
        <v>2036</v>
      </c>
      <c r="J646" s="3" t="str">
        <f>HYPERLINK("https://www.boe.es/gazeta/dias/1811/07/06/pdfs/GMD-1811-187.pdf#page=3","Abrir facsímil")</f>
        <v>Abrir facsímil</v>
      </c>
      <c r="K646" s="3" t="s">
        <v>150</v>
      </c>
    </row>
    <row r="647" spans="1:11" ht="42" customHeight="1">
      <c r="A647" s="2" t="s">
        <v>2037</v>
      </c>
      <c r="B647" s="2" t="s">
        <v>2038</v>
      </c>
      <c r="C647" s="2" t="s">
        <v>26</v>
      </c>
      <c r="D647" s="2" t="s">
        <v>18</v>
      </c>
      <c r="E647" s="4">
        <v>-32200</v>
      </c>
      <c r="F647" s="3" t="s">
        <v>109</v>
      </c>
      <c r="G647" s="3" t="s">
        <v>268</v>
      </c>
      <c r="H647" s="2" t="s">
        <v>148</v>
      </c>
      <c r="I647" s="2" t="s">
        <v>2039</v>
      </c>
      <c r="J647" s="3" t="str">
        <f>HYPERLINK("https://www.boe.es/gazeta/dias/1811/11/02/pdfs/GEI-1811-141.pdf#page=7","Abrir facsímil")</f>
        <v>Abrir facsímil</v>
      </c>
      <c r="K647" s="3" t="s">
        <v>150</v>
      </c>
    </row>
    <row r="648" spans="1:11" ht="42" customHeight="1">
      <c r="A648" s="2" t="s">
        <v>2040</v>
      </c>
      <c r="B648" s="2" t="s">
        <v>2041</v>
      </c>
      <c r="C648" s="2" t="s">
        <v>26</v>
      </c>
      <c r="D648" s="2" t="s">
        <v>18</v>
      </c>
      <c r="E648" s="4">
        <v>-32505</v>
      </c>
      <c r="F648" s="3" t="s">
        <v>475</v>
      </c>
      <c r="G648" s="3" t="s">
        <v>476</v>
      </c>
      <c r="H648" s="2" t="s">
        <v>148</v>
      </c>
      <c r="I648" s="2" t="s">
        <v>2042</v>
      </c>
      <c r="J648" s="3" t="str">
        <f>HYPERLINK("https://www.boe.es/gazeta/dias/1811/01/01/pdfs/GEI-1811-1.pdf#page=7","Abrir facsímil")</f>
        <v>Abrir facsímil</v>
      </c>
      <c r="K648" s="3" t="s">
        <v>150</v>
      </c>
    </row>
    <row r="649" spans="1:11" ht="42" customHeight="1">
      <c r="A649" s="2" t="s">
        <v>2043</v>
      </c>
      <c r="B649" s="2" t="s">
        <v>2043</v>
      </c>
      <c r="C649" s="2" t="s">
        <v>17</v>
      </c>
      <c r="D649" s="2" t="s">
        <v>18</v>
      </c>
      <c r="E649" s="4">
        <v>-32230</v>
      </c>
      <c r="F649" s="3" t="s">
        <v>625</v>
      </c>
      <c r="G649" s="3" t="s">
        <v>626</v>
      </c>
      <c r="H649" s="2" t="s">
        <v>148</v>
      </c>
      <c r="I649" s="2" t="s">
        <v>2044</v>
      </c>
      <c r="J649" s="3" t="str">
        <f>HYPERLINK("https://www.boe.es/gazeta/dias/1811/10/03/pdfs/GEI-1811-127.pdf#page=3","Abrir facsímil")</f>
        <v>Abrir facsímil</v>
      </c>
      <c r="K649" s="3" t="s">
        <v>150</v>
      </c>
    </row>
    <row r="650" spans="1:11" ht="42" customHeight="1">
      <c r="A650" s="2" t="s">
        <v>2045</v>
      </c>
      <c r="B650" s="2" t="s">
        <v>2046</v>
      </c>
      <c r="C650" s="2" t="s">
        <v>26</v>
      </c>
      <c r="D650" s="2" t="s">
        <v>18</v>
      </c>
      <c r="E650" s="4">
        <v>-32223</v>
      </c>
      <c r="F650" s="3" t="s">
        <v>1788</v>
      </c>
      <c r="G650" s="3" t="s">
        <v>2047</v>
      </c>
      <c r="H650" s="2" t="s">
        <v>21</v>
      </c>
      <c r="I650" s="2" t="s">
        <v>2048</v>
      </c>
      <c r="J650" s="3" t="str">
        <f>HYPERLINK("https://www.boe.es/gazeta/dias/1811/10/10/pdfs/GEI-1811-130.pdf#page=5","Abrir facsímil")</f>
        <v>Abrir facsímil</v>
      </c>
      <c r="K650" s="3" t="s">
        <v>23</v>
      </c>
    </row>
    <row r="651" spans="1:11" ht="42" customHeight="1">
      <c r="A651" s="2" t="s">
        <v>2049</v>
      </c>
      <c r="B651" s="2" t="s">
        <v>2050</v>
      </c>
      <c r="C651" s="2" t="s">
        <v>26</v>
      </c>
      <c r="D651" s="2" t="s">
        <v>141</v>
      </c>
      <c r="E651" s="4">
        <v>-32314</v>
      </c>
      <c r="F651" s="3" t="s">
        <v>2051</v>
      </c>
      <c r="G651" s="3" t="s">
        <v>468</v>
      </c>
      <c r="H651" s="2" t="s">
        <v>148</v>
      </c>
      <c r="I651" s="2" t="s">
        <v>2052</v>
      </c>
      <c r="J651" s="3" t="str">
        <f>HYPERLINK("https://www.boe.es/gazeta/dias/1811/07/11/pdfs/GMD-C-1811-192.pdf#page=1","Abrir facsímil")</f>
        <v>Abrir facsímil</v>
      </c>
      <c r="K651" s="3" t="s">
        <v>150</v>
      </c>
    </row>
    <row r="652" spans="1:11" ht="42" customHeight="1">
      <c r="A652" s="2" t="s">
        <v>2053</v>
      </c>
      <c r="B652" s="2" t="s">
        <v>2053</v>
      </c>
      <c r="C652" s="2" t="s">
        <v>26</v>
      </c>
      <c r="D652" s="2" t="s">
        <v>141</v>
      </c>
      <c r="E652" s="4">
        <v>-32355</v>
      </c>
      <c r="F652" s="3" t="s">
        <v>537</v>
      </c>
      <c r="G652" s="3" t="s">
        <v>44</v>
      </c>
      <c r="H652" s="2" t="s">
        <v>148</v>
      </c>
      <c r="I652" s="2" t="s">
        <v>2054</v>
      </c>
      <c r="J652" s="3" t="str">
        <f>HYPERLINK("https://www.boe.es/gazeta/dias/1811/05/31/pdfs/GMD-C-1811-151.pdf#page=8","Abrir facsímil")</f>
        <v>Abrir facsímil</v>
      </c>
      <c r="K652" s="3" t="s">
        <v>150</v>
      </c>
    </row>
    <row r="653" spans="1:11" ht="42" customHeight="1">
      <c r="A653" s="2" t="s">
        <v>2053</v>
      </c>
      <c r="B653" s="2" t="s">
        <v>2053</v>
      </c>
      <c r="C653" s="2" t="s">
        <v>104</v>
      </c>
      <c r="D653" s="2" t="s">
        <v>204</v>
      </c>
      <c r="E653" s="4">
        <v>-32328</v>
      </c>
      <c r="F653" s="3" t="s">
        <v>2055</v>
      </c>
      <c r="G653" s="3" t="s">
        <v>2056</v>
      </c>
      <c r="H653" s="2" t="s">
        <v>148</v>
      </c>
      <c r="I653" s="2" t="s">
        <v>2057</v>
      </c>
      <c r="J653" s="3" t="str">
        <f>HYPERLINK("https://www.boe.es/gazeta/dias/1811/06/27/pdfs/GMD-1811-178.pdf#page=1","Abrir facsímil")</f>
        <v>Abrir facsímil</v>
      </c>
      <c r="K653" s="3" t="s">
        <v>150</v>
      </c>
    </row>
    <row r="654" spans="1:11" ht="42" customHeight="1">
      <c r="A654" s="2" t="s">
        <v>2053</v>
      </c>
      <c r="B654" s="2" t="s">
        <v>2053</v>
      </c>
      <c r="C654" s="2" t="s">
        <v>17</v>
      </c>
      <c r="D654" s="2" t="s">
        <v>18</v>
      </c>
      <c r="E654" s="4">
        <v>-32187</v>
      </c>
      <c r="F654" s="3" t="s">
        <v>1775</v>
      </c>
      <c r="G654" s="3" t="s">
        <v>47</v>
      </c>
      <c r="H654" s="2" t="s">
        <v>148</v>
      </c>
      <c r="I654" s="2" t="s">
        <v>2058</v>
      </c>
      <c r="J654" s="3" t="str">
        <f>HYPERLINK("https://www.boe.es/gazeta/dias/1811/11/15/pdfs/GMD-1811-319.pdf#page=3","Abrir facsímil")</f>
        <v>Abrir facsímil</v>
      </c>
      <c r="K654" s="3" t="s">
        <v>150</v>
      </c>
    </row>
    <row r="655" spans="1:11" ht="42" customHeight="1">
      <c r="A655" s="2" t="s">
        <v>2059</v>
      </c>
      <c r="B655" s="2" t="s">
        <v>2060</v>
      </c>
      <c r="C655" s="2" t="s">
        <v>26</v>
      </c>
      <c r="D655" s="2" t="s">
        <v>18</v>
      </c>
      <c r="E655" s="4">
        <v>-32452</v>
      </c>
      <c r="F655" s="3" t="s">
        <v>106</v>
      </c>
      <c r="G655" s="3" t="s">
        <v>20</v>
      </c>
      <c r="H655" s="2" t="s">
        <v>148</v>
      </c>
      <c r="I655" s="2" t="s">
        <v>2061</v>
      </c>
      <c r="J655" s="3" t="str">
        <f>HYPERLINK("https://www.boe.es/gazeta/dias/1811/02/23/pdfs/GEI-1811-24.pdf#page=8","Abrir facsímil")</f>
        <v>Abrir facsímil</v>
      </c>
      <c r="K655" s="3" t="s">
        <v>150</v>
      </c>
    </row>
    <row r="656" spans="1:11" ht="42" customHeight="1">
      <c r="A656" s="2" t="s">
        <v>2062</v>
      </c>
      <c r="B656" s="2" t="s">
        <v>2062</v>
      </c>
      <c r="C656" s="2" t="s">
        <v>17</v>
      </c>
      <c r="D656" s="2" t="s">
        <v>18</v>
      </c>
      <c r="E656" s="4">
        <v>-32475</v>
      </c>
      <c r="F656" s="3" t="s">
        <v>259</v>
      </c>
      <c r="G656" s="3" t="s">
        <v>115</v>
      </c>
      <c r="H656" s="2" t="s">
        <v>148</v>
      </c>
      <c r="I656" s="2" t="s">
        <v>2063</v>
      </c>
      <c r="J656" s="3" t="str">
        <f>HYPERLINK("https://www.boe.es/gazeta/dias/1811/01/31/pdfs/GMD-1811-31.pdf#page=3","Abrir facsímil")</f>
        <v>Abrir facsímil</v>
      </c>
      <c r="K656" s="3" t="s">
        <v>150</v>
      </c>
    </row>
    <row r="657" spans="1:11" ht="42" customHeight="1">
      <c r="A657" s="2" t="s">
        <v>2064</v>
      </c>
      <c r="B657" s="2" t="s">
        <v>2064</v>
      </c>
      <c r="C657" s="2" t="s">
        <v>17</v>
      </c>
      <c r="D657" s="2" t="s">
        <v>18</v>
      </c>
      <c r="E657" s="4">
        <v>-32321</v>
      </c>
      <c r="F657" s="3" t="s">
        <v>1829</v>
      </c>
      <c r="G657" s="3" t="s">
        <v>2065</v>
      </c>
      <c r="H657" s="2" t="s">
        <v>148</v>
      </c>
      <c r="I657" s="2" t="s">
        <v>2066</v>
      </c>
      <c r="J657" s="3" t="str">
        <f>HYPERLINK("https://www.boe.es/gazeta/dias/1811/07/04/pdfs/GEI-1811-88.pdf#page=8","Abrir facsímil")</f>
        <v>Abrir facsímil</v>
      </c>
      <c r="K657" s="3" t="s">
        <v>150</v>
      </c>
    </row>
    <row r="658" spans="1:11" ht="42" customHeight="1">
      <c r="A658" s="2" t="s">
        <v>2067</v>
      </c>
      <c r="B658" s="2" t="s">
        <v>2067</v>
      </c>
      <c r="C658" s="2" t="s">
        <v>37</v>
      </c>
      <c r="D658" s="2" t="s">
        <v>18</v>
      </c>
      <c r="E658" s="4">
        <v>-32321</v>
      </c>
      <c r="F658" s="3" t="s">
        <v>1829</v>
      </c>
      <c r="G658" s="3" t="s">
        <v>2065</v>
      </c>
      <c r="H658" s="2" t="s">
        <v>148</v>
      </c>
      <c r="I658" s="2" t="s">
        <v>2068</v>
      </c>
      <c r="J658" s="3" t="str">
        <f>HYPERLINK("https://www.boe.es/gazeta/dias/1811/07/04/pdfs/GEI-1811-88.pdf#page=8","Abrir facsímil")</f>
        <v>Abrir facsímil</v>
      </c>
      <c r="K658" s="3" t="s">
        <v>150</v>
      </c>
    </row>
    <row r="659" spans="1:11" ht="42" customHeight="1">
      <c r="A659" s="2" t="s">
        <v>2067</v>
      </c>
      <c r="B659" s="2" t="s">
        <v>2067</v>
      </c>
      <c r="C659" s="2" t="s">
        <v>17</v>
      </c>
      <c r="D659" s="2" t="s">
        <v>156</v>
      </c>
      <c r="E659" s="4">
        <v>-32162</v>
      </c>
      <c r="F659" s="3" t="s">
        <v>317</v>
      </c>
      <c r="G659" s="3" t="s">
        <v>2069</v>
      </c>
      <c r="H659" s="2" t="s">
        <v>148</v>
      </c>
      <c r="I659" s="2" t="s">
        <v>2070</v>
      </c>
      <c r="J659" s="3" t="str">
        <f>HYPERLINK("https://www.boe.es/gazeta/dias/1811/12/10/pdfs/GEI-1811-160.pdf#page=5","Abrir facsímil")</f>
        <v>Abrir facsímil</v>
      </c>
      <c r="K659" s="3" t="s">
        <v>150</v>
      </c>
    </row>
    <row r="660" spans="1:11" ht="42" customHeight="1">
      <c r="A660" s="2" t="s">
        <v>2071</v>
      </c>
      <c r="B660" s="2" t="s">
        <v>2072</v>
      </c>
      <c r="C660" s="2" t="s">
        <v>17</v>
      </c>
      <c r="D660" s="2" t="s">
        <v>156</v>
      </c>
      <c r="E660" s="4">
        <v>-32489</v>
      </c>
      <c r="F660" s="3" t="s">
        <v>2073</v>
      </c>
      <c r="G660" s="3" t="s">
        <v>44</v>
      </c>
      <c r="H660" s="2" t="s">
        <v>148</v>
      </c>
      <c r="I660" s="2" t="s">
        <v>2074</v>
      </c>
      <c r="J660" s="3" t="str">
        <f>HYPERLINK("https://www.boe.es/gazeta/dias/1811/01/17/pdfs/GEI-1811-8.pdf#page=8","Abrir facsímil")</f>
        <v>Abrir facsímil</v>
      </c>
      <c r="K660" s="3" t="s">
        <v>150</v>
      </c>
    </row>
    <row r="661" spans="1:11" ht="42" customHeight="1">
      <c r="A661" s="2" t="s">
        <v>2075</v>
      </c>
      <c r="B661" s="2" t="s">
        <v>2076</v>
      </c>
      <c r="C661" s="2" t="s">
        <v>26</v>
      </c>
      <c r="D661" s="2" t="s">
        <v>18</v>
      </c>
      <c r="E661" s="4">
        <v>-32421</v>
      </c>
      <c r="F661" s="3" t="s">
        <v>79</v>
      </c>
      <c r="G661" s="3" t="s">
        <v>488</v>
      </c>
      <c r="H661" s="2" t="s">
        <v>148</v>
      </c>
      <c r="I661" s="2" t="s">
        <v>2077</v>
      </c>
      <c r="J661" s="3" t="str">
        <f>HYPERLINK("https://www.boe.es/gazeta/dias/1811/03/26/pdfs/GEI-1811-42.pdf#page=8","Abrir facsímil")</f>
        <v>Abrir facsímil</v>
      </c>
      <c r="K661" s="3" t="s">
        <v>150</v>
      </c>
    </row>
    <row r="662" spans="1:11" ht="42" customHeight="1">
      <c r="A662" s="2" t="s">
        <v>2078</v>
      </c>
      <c r="B662" s="2" t="s">
        <v>2079</v>
      </c>
      <c r="C662" s="2" t="s">
        <v>26</v>
      </c>
      <c r="D662" s="2" t="s">
        <v>18</v>
      </c>
      <c r="E662" s="4">
        <v>-32270</v>
      </c>
      <c r="F662" s="3" t="s">
        <v>431</v>
      </c>
      <c r="G662" s="3" t="s">
        <v>2080</v>
      </c>
      <c r="H662" s="2" t="s">
        <v>148</v>
      </c>
      <c r="I662" s="2" t="s">
        <v>2081</v>
      </c>
      <c r="J662" s="3" t="str">
        <f>HYPERLINK("https://www.boe.es/gazeta/dias/1811/08/24/pdfs/GEI-1811-110.pdf#page=5","Abrir facsímil")</f>
        <v>Abrir facsímil</v>
      </c>
      <c r="K662" s="3" t="s">
        <v>150</v>
      </c>
    </row>
    <row r="663" spans="1:11" ht="42" customHeight="1">
      <c r="A663" s="2" t="s">
        <v>2082</v>
      </c>
      <c r="B663" s="2" t="s">
        <v>2083</v>
      </c>
      <c r="C663" s="2" t="s">
        <v>26</v>
      </c>
      <c r="D663" s="2" t="s">
        <v>18</v>
      </c>
      <c r="E663" s="4">
        <v>-32379</v>
      </c>
      <c r="F663" s="3" t="s">
        <v>462</v>
      </c>
      <c r="G663" s="3" t="s">
        <v>463</v>
      </c>
      <c r="H663" s="2" t="s">
        <v>148</v>
      </c>
      <c r="I663" s="2" t="s">
        <v>2084</v>
      </c>
      <c r="J663" s="3" t="str">
        <f>HYPERLINK("https://www.boe.es/gazeta/dias/1811/05/07/pdfs/GEI-1811-60.pdf#page=8","Abrir facsímil")</f>
        <v>Abrir facsímil</v>
      </c>
      <c r="K663" s="3" t="s">
        <v>150</v>
      </c>
    </row>
    <row r="664" spans="1:11" ht="42" customHeight="1">
      <c r="A664" s="2" t="s">
        <v>2085</v>
      </c>
      <c r="B664" s="2" t="s">
        <v>2086</v>
      </c>
      <c r="C664" s="2" t="s">
        <v>26</v>
      </c>
      <c r="D664" s="2" t="s">
        <v>18</v>
      </c>
      <c r="E664" s="4">
        <v>-32200</v>
      </c>
      <c r="F664" s="3" t="s">
        <v>109</v>
      </c>
      <c r="G664" s="3" t="s">
        <v>110</v>
      </c>
      <c r="H664" s="2" t="s">
        <v>148</v>
      </c>
      <c r="I664" s="2" t="s">
        <v>2087</v>
      </c>
      <c r="J664" s="3" t="str">
        <f>HYPERLINK("https://www.boe.es/gazeta/dias/1811/11/02/pdfs/GEI-1811-141.pdf#page=6","Abrir facsímil")</f>
        <v>Abrir facsímil</v>
      </c>
      <c r="K664" s="3" t="s">
        <v>150</v>
      </c>
    </row>
    <row r="665" spans="1:11" ht="42" customHeight="1">
      <c r="A665" s="2" t="s">
        <v>2088</v>
      </c>
      <c r="B665" s="2" t="s">
        <v>2089</v>
      </c>
      <c r="C665" s="2" t="s">
        <v>17</v>
      </c>
      <c r="D665" s="2" t="s">
        <v>18</v>
      </c>
      <c r="E665" s="4">
        <v>-32188</v>
      </c>
      <c r="F665" s="3" t="s">
        <v>356</v>
      </c>
      <c r="G665" s="3" t="s">
        <v>248</v>
      </c>
      <c r="H665" s="2" t="s">
        <v>148</v>
      </c>
      <c r="I665" s="2" t="s">
        <v>2090</v>
      </c>
      <c r="J665" s="3" t="str">
        <f>HYPERLINK("https://www.boe.es/gazeta/dias/1811/11/14/pdfs/GMD-1811-318.pdf#page=5","Abrir facsímil")</f>
        <v>Abrir facsímil</v>
      </c>
      <c r="K665" s="3" t="s">
        <v>150</v>
      </c>
    </row>
    <row r="666" spans="1:11" ht="42" customHeight="1">
      <c r="A666" s="2" t="s">
        <v>2091</v>
      </c>
      <c r="B666" s="2" t="s">
        <v>2091</v>
      </c>
      <c r="C666" s="2" t="s">
        <v>26</v>
      </c>
      <c r="D666" s="2" t="s">
        <v>105</v>
      </c>
      <c r="E666" s="4">
        <v>-32195</v>
      </c>
      <c r="F666" s="3" t="s">
        <v>439</v>
      </c>
      <c r="G666" s="3" t="s">
        <v>2092</v>
      </c>
      <c r="H666" s="2" t="s">
        <v>148</v>
      </c>
      <c r="I666" s="2" t="s">
        <v>2093</v>
      </c>
      <c r="J666" s="3" t="str">
        <f>HYPERLINK("https://www.boe.es/gazeta/dias/1811/11/07/pdfs/GEI-1811-144.pdf#page=7","Abrir facsímil")</f>
        <v>Abrir facsímil</v>
      </c>
      <c r="K666" s="3" t="s">
        <v>150</v>
      </c>
    </row>
    <row r="667" spans="1:11" ht="42" customHeight="1">
      <c r="A667" s="2" t="s">
        <v>2094</v>
      </c>
      <c r="B667" s="2" t="s">
        <v>2095</v>
      </c>
      <c r="C667" s="2" t="s">
        <v>17</v>
      </c>
      <c r="D667" s="2" t="s">
        <v>18</v>
      </c>
      <c r="E667" s="4">
        <v>-32284</v>
      </c>
      <c r="F667" s="3" t="s">
        <v>170</v>
      </c>
      <c r="G667" s="3" t="s">
        <v>1388</v>
      </c>
      <c r="H667" s="2" t="s">
        <v>148</v>
      </c>
      <c r="I667" s="2" t="s">
        <v>2096</v>
      </c>
      <c r="J667" s="3" t="str">
        <f>HYPERLINK("https://www.boe.es/gazeta/dias/1811/08/10/pdfs/GEI-1811-104.pdf#page=8","Abrir facsímil")</f>
        <v>Abrir facsímil</v>
      </c>
      <c r="K667" s="3" t="s">
        <v>150</v>
      </c>
    </row>
    <row r="668" spans="1:11" ht="42" customHeight="1">
      <c r="A668" s="2" t="s">
        <v>2097</v>
      </c>
      <c r="B668" s="2" t="s">
        <v>2097</v>
      </c>
      <c r="C668" s="2" t="s">
        <v>26</v>
      </c>
      <c r="D668" s="2" t="s">
        <v>18</v>
      </c>
      <c r="E668" s="4">
        <v>-32470</v>
      </c>
      <c r="F668" s="3" t="s">
        <v>1432</v>
      </c>
      <c r="G668" s="3" t="s">
        <v>2098</v>
      </c>
      <c r="H668" s="2" t="s">
        <v>148</v>
      </c>
      <c r="I668" s="2" t="s">
        <v>2099</v>
      </c>
      <c r="J668" s="3" t="str">
        <f>HYPERLINK("https://www.boe.es/gazeta/dias/1811/02/05/pdfs/GEI-1811-16.pdf#page=2","Abrir facsímil")</f>
        <v>Abrir facsímil</v>
      </c>
      <c r="K668" s="3" t="s">
        <v>150</v>
      </c>
    </row>
    <row r="669" spans="1:11" ht="42" customHeight="1">
      <c r="A669" s="2" t="s">
        <v>2100</v>
      </c>
      <c r="B669" s="2" t="s">
        <v>2100</v>
      </c>
      <c r="C669" s="2" t="s">
        <v>84</v>
      </c>
      <c r="D669" s="2" t="s">
        <v>18</v>
      </c>
      <c r="E669" s="4">
        <v>-32459</v>
      </c>
      <c r="F669" s="3" t="s">
        <v>1034</v>
      </c>
      <c r="G669" s="3" t="s">
        <v>2101</v>
      </c>
      <c r="H669" s="2" t="s">
        <v>148</v>
      </c>
      <c r="I669" s="2" t="s">
        <v>2102</v>
      </c>
      <c r="J669" s="3" t="str">
        <f>HYPERLINK("https://www.boe.es/gazeta/dias/1811/02/16/pdfs/GEI-1811-21.pdf#page=4","Abrir facsímil")</f>
        <v>Abrir facsímil</v>
      </c>
      <c r="K669" s="3" t="s">
        <v>150</v>
      </c>
    </row>
    <row r="670" spans="1:11" ht="42" customHeight="1">
      <c r="A670" s="2" t="s">
        <v>2103</v>
      </c>
      <c r="B670" s="2" t="s">
        <v>2103</v>
      </c>
      <c r="C670" s="2" t="s">
        <v>17</v>
      </c>
      <c r="D670" s="2" t="s">
        <v>105</v>
      </c>
      <c r="E670" s="4">
        <v>-32185</v>
      </c>
      <c r="F670" s="3" t="s">
        <v>1329</v>
      </c>
      <c r="G670" s="3" t="s">
        <v>115</v>
      </c>
      <c r="H670" s="2" t="s">
        <v>148</v>
      </c>
      <c r="I670" s="2" t="s">
        <v>2104</v>
      </c>
      <c r="J670" s="3" t="str">
        <f>HYPERLINK("https://www.boe.es/gazeta/dias/1811/11/17/pdfs/GMD-1811-321.pdf#page=3","Abrir facsímil")</f>
        <v>Abrir facsímil</v>
      </c>
      <c r="K670" s="3" t="s">
        <v>150</v>
      </c>
    </row>
    <row r="671" spans="1:11" ht="42" customHeight="1">
      <c r="A671" s="2" t="s">
        <v>2105</v>
      </c>
      <c r="B671" s="2" t="s">
        <v>2105</v>
      </c>
      <c r="C671" s="2" t="s">
        <v>17</v>
      </c>
      <c r="D671" s="2" t="s">
        <v>156</v>
      </c>
      <c r="E671" s="4">
        <v>-32485</v>
      </c>
      <c r="F671" s="3" t="s">
        <v>2106</v>
      </c>
      <c r="G671" s="3" t="s">
        <v>530</v>
      </c>
      <c r="H671" s="2" t="s">
        <v>148</v>
      </c>
      <c r="I671" s="2" t="s">
        <v>2107</v>
      </c>
      <c r="J671" s="3" t="str">
        <f>HYPERLINK("https://www.boe.es/gazeta/dias/1811/01/21/pdfs/GMD-1811-21.pdf#page=1","Abrir facsímil")</f>
        <v>Abrir facsímil</v>
      </c>
      <c r="K671" s="3" t="s">
        <v>150</v>
      </c>
    </row>
    <row r="672" spans="1:11" ht="42" customHeight="1">
      <c r="A672" s="2" t="s">
        <v>2108</v>
      </c>
      <c r="B672" s="2" t="s">
        <v>2109</v>
      </c>
      <c r="C672" s="2" t="s">
        <v>26</v>
      </c>
      <c r="D672" s="2" t="s">
        <v>204</v>
      </c>
      <c r="E672" s="4">
        <v>-32487</v>
      </c>
      <c r="F672" s="3" t="s">
        <v>842</v>
      </c>
      <c r="G672" s="3" t="s">
        <v>162</v>
      </c>
      <c r="H672" s="2" t="s">
        <v>148</v>
      </c>
      <c r="I672" s="2" t="s">
        <v>2110</v>
      </c>
      <c r="J672" s="3" t="str">
        <f>HYPERLINK("https://www.boe.es/gazeta/dias/1811/01/19/pdfs/GEI-1811-9.pdf#page=7","Abrir facsímil")</f>
        <v>Abrir facsímil</v>
      </c>
      <c r="K672" s="3" t="s">
        <v>150</v>
      </c>
    </row>
    <row r="673" spans="1:11" ht="42" customHeight="1">
      <c r="A673" s="2" t="s">
        <v>2111</v>
      </c>
      <c r="B673" s="2" t="s">
        <v>2112</v>
      </c>
      <c r="C673" s="2" t="s">
        <v>26</v>
      </c>
      <c r="D673" s="2" t="s">
        <v>18</v>
      </c>
      <c r="E673" s="4">
        <v>-32438</v>
      </c>
      <c r="F673" s="3" t="s">
        <v>114</v>
      </c>
      <c r="G673" s="3" t="s">
        <v>115</v>
      </c>
      <c r="H673" s="2" t="s">
        <v>21</v>
      </c>
      <c r="I673" s="2" t="s">
        <v>2113</v>
      </c>
      <c r="J673" s="3" t="str">
        <f>HYPERLINK("https://www.boe.es/gazeta/dias/1811/03/09/pdfs/GEI-1811-33.pdf#page=3","Abrir facsímil")</f>
        <v>Abrir facsímil</v>
      </c>
      <c r="K673" s="3" t="s">
        <v>23</v>
      </c>
    </row>
    <row r="674" spans="1:11" ht="42" customHeight="1">
      <c r="A674" s="2" t="s">
        <v>2114</v>
      </c>
      <c r="B674" s="2" t="s">
        <v>2114</v>
      </c>
      <c r="C674" s="2" t="s">
        <v>17</v>
      </c>
      <c r="D674" s="2" t="s">
        <v>156</v>
      </c>
      <c r="E674" s="4">
        <v>-32147</v>
      </c>
      <c r="F674" s="3" t="s">
        <v>1922</v>
      </c>
      <c r="G674" s="3" t="s">
        <v>1923</v>
      </c>
      <c r="H674" s="2" t="s">
        <v>148</v>
      </c>
      <c r="I674" s="2" t="s">
        <v>2115</v>
      </c>
      <c r="J674" s="3" t="str">
        <f>HYPERLINK("https://www.boe.es/gazeta/dias/1811/12/25/pdfs/GMD-1811-359.pdf#page=4","Abrir facsímil")</f>
        <v>Abrir facsímil</v>
      </c>
      <c r="K674" s="3" t="s">
        <v>150</v>
      </c>
    </row>
    <row r="675" spans="1:11" ht="42" customHeight="1">
      <c r="A675" s="2" t="s">
        <v>2116</v>
      </c>
      <c r="B675" s="2" t="s">
        <v>2117</v>
      </c>
      <c r="C675" s="2" t="s">
        <v>26</v>
      </c>
      <c r="D675" s="2" t="s">
        <v>18</v>
      </c>
      <c r="E675" s="4">
        <v>-32295</v>
      </c>
      <c r="F675" s="3" t="s">
        <v>279</v>
      </c>
      <c r="G675" s="3" t="s">
        <v>44</v>
      </c>
      <c r="H675" s="2" t="s">
        <v>148</v>
      </c>
      <c r="I675" s="2" t="s">
        <v>2118</v>
      </c>
      <c r="J675" s="3" t="str">
        <f>HYPERLINK("https://www.boe.es/gazeta/dias/1811/07/30/pdfs/GEI-1811-99.pdf#page=8","Abrir facsímil")</f>
        <v>Abrir facsímil</v>
      </c>
      <c r="K675" s="3" t="s">
        <v>150</v>
      </c>
    </row>
    <row r="676" spans="1:11" ht="42" customHeight="1">
      <c r="A676" s="2" t="s">
        <v>2119</v>
      </c>
      <c r="B676" s="2" t="s">
        <v>2120</v>
      </c>
      <c r="C676" s="2" t="s">
        <v>26</v>
      </c>
      <c r="D676" s="2" t="s">
        <v>18</v>
      </c>
      <c r="E676" s="4">
        <v>-32340</v>
      </c>
      <c r="F676" s="3" t="s">
        <v>565</v>
      </c>
      <c r="G676" s="3" t="s">
        <v>91</v>
      </c>
      <c r="H676" s="2" t="s">
        <v>148</v>
      </c>
      <c r="I676" s="2" t="s">
        <v>2121</v>
      </c>
      <c r="J676" s="3" t="str">
        <f>HYPERLINK("https://www.boe.es/gazeta/dias/1811/06/15/pdfs/GEI-1811-80.pdf#page=8","Abrir facsímil")</f>
        <v>Abrir facsímil</v>
      </c>
      <c r="K676" s="3" t="s">
        <v>150</v>
      </c>
    </row>
    <row r="677" spans="1:11" ht="42" customHeight="1">
      <c r="A677" s="2" t="s">
        <v>2122</v>
      </c>
      <c r="B677" s="2" t="s">
        <v>2123</v>
      </c>
      <c r="C677" s="2" t="s">
        <v>17</v>
      </c>
      <c r="D677" s="2" t="s">
        <v>18</v>
      </c>
      <c r="E677" s="4">
        <v>-32299</v>
      </c>
      <c r="F677" s="3" t="s">
        <v>2124</v>
      </c>
      <c r="G677" s="3" t="s">
        <v>20</v>
      </c>
      <c r="H677" s="2" t="s">
        <v>148</v>
      </c>
      <c r="I677" s="2" t="s">
        <v>2125</v>
      </c>
      <c r="J677" s="3" t="str">
        <f>HYPERLINK("https://www.boe.es/gazeta/dias/1811/07/26/pdfs/GMD-1811-207.pdf#page=3","Abrir facsímil")</f>
        <v>Abrir facsímil</v>
      </c>
      <c r="K677" s="3" t="s">
        <v>150</v>
      </c>
    </row>
    <row r="678" spans="1:11" ht="42" customHeight="1">
      <c r="A678" s="2" t="s">
        <v>2126</v>
      </c>
      <c r="B678" s="2" t="s">
        <v>2127</v>
      </c>
      <c r="C678" s="2" t="s">
        <v>17</v>
      </c>
      <c r="D678" s="2" t="s">
        <v>18</v>
      </c>
      <c r="E678" s="4">
        <v>-32260</v>
      </c>
      <c r="F678" s="3" t="s">
        <v>27</v>
      </c>
      <c r="G678" s="3" t="s">
        <v>183</v>
      </c>
      <c r="H678" s="2" t="s">
        <v>148</v>
      </c>
      <c r="I678" s="2" t="s">
        <v>2128</v>
      </c>
      <c r="J678" s="3" t="str">
        <f>HYPERLINK("https://www.boe.es/gazeta/dias/1811/09/03/pdfs/GEI-1811-114.pdf#page=4","Abrir facsímil")</f>
        <v>Abrir facsímil</v>
      </c>
      <c r="K678" s="3" t="s">
        <v>150</v>
      </c>
    </row>
    <row r="679" spans="1:11" ht="42" customHeight="1">
      <c r="A679" s="2" t="s">
        <v>2129</v>
      </c>
      <c r="B679" s="2" t="s">
        <v>2130</v>
      </c>
      <c r="C679" s="2" t="s">
        <v>367</v>
      </c>
      <c r="D679" s="2" t="s">
        <v>18</v>
      </c>
      <c r="E679" s="4">
        <v>-32141</v>
      </c>
      <c r="F679" s="3" t="s">
        <v>327</v>
      </c>
      <c r="G679" s="3" t="s">
        <v>20</v>
      </c>
      <c r="H679" s="2" t="s">
        <v>148</v>
      </c>
      <c r="I679" s="2" t="s">
        <v>2131</v>
      </c>
      <c r="J679" s="3" t="str">
        <f>HYPERLINK("https://www.boe.es/gazeta/dias/1811/12/31/pdfs/GMD-1811-365.pdf#page=4","Abrir facsímil")</f>
        <v>Abrir facsímil</v>
      </c>
      <c r="K679" s="3" t="s">
        <v>150</v>
      </c>
    </row>
    <row r="680" spans="1:11" ht="42" customHeight="1">
      <c r="A680" s="2" t="s">
        <v>2132</v>
      </c>
      <c r="B680" s="2" t="s">
        <v>2133</v>
      </c>
      <c r="C680" s="2" t="s">
        <v>17</v>
      </c>
      <c r="D680" s="2" t="s">
        <v>156</v>
      </c>
      <c r="E680" s="4">
        <v>-32496</v>
      </c>
      <c r="F680" s="3" t="s">
        <v>1927</v>
      </c>
      <c r="G680" s="3" t="s">
        <v>480</v>
      </c>
      <c r="H680" s="2" t="s">
        <v>148</v>
      </c>
      <c r="I680" s="2" t="s">
        <v>2134</v>
      </c>
      <c r="J680" s="3" t="str">
        <f>HYPERLINK("https://www.boe.es/gazeta/dias/1811/01/10/pdfs/GEI-1811-5.pdf#page=4","Abrir facsímil")</f>
        <v>Abrir facsímil</v>
      </c>
      <c r="K680" s="3" t="s">
        <v>150</v>
      </c>
    </row>
    <row r="681" spans="1:11" ht="42" customHeight="1">
      <c r="A681" s="2" t="s">
        <v>2135</v>
      </c>
      <c r="B681" s="2" t="s">
        <v>2136</v>
      </c>
      <c r="C681" s="2" t="s">
        <v>17</v>
      </c>
      <c r="D681" s="2" t="s">
        <v>18</v>
      </c>
      <c r="E681" s="4">
        <v>-32487</v>
      </c>
      <c r="F681" s="3" t="s">
        <v>842</v>
      </c>
      <c r="G681" s="3" t="s">
        <v>440</v>
      </c>
      <c r="H681" s="2" t="s">
        <v>148</v>
      </c>
      <c r="I681" s="2" t="s">
        <v>2137</v>
      </c>
      <c r="J681" s="3" t="str">
        <f>HYPERLINK("https://www.boe.es/gazeta/dias/1811/01/19/pdfs/GEI-1811-9.pdf#page=2","Abrir facsímil")</f>
        <v>Abrir facsímil</v>
      </c>
      <c r="K681" s="3" t="s">
        <v>150</v>
      </c>
    </row>
    <row r="682" spans="1:11" ht="42" customHeight="1">
      <c r="A682" s="2" t="s">
        <v>2138</v>
      </c>
      <c r="B682" s="2" t="s">
        <v>2139</v>
      </c>
      <c r="C682" s="2" t="s">
        <v>104</v>
      </c>
      <c r="D682" s="2" t="s">
        <v>204</v>
      </c>
      <c r="E682" s="4">
        <v>-32489</v>
      </c>
      <c r="F682" s="3" t="s">
        <v>722</v>
      </c>
      <c r="G682" s="3" t="s">
        <v>468</v>
      </c>
      <c r="H682" s="2" t="s">
        <v>148</v>
      </c>
      <c r="I682" s="2" t="s">
        <v>2140</v>
      </c>
      <c r="J682" s="3" t="str">
        <f>HYPERLINK("https://www.boe.es/gazeta/dias/1811/01/17/pdfs/GMD-1811-17.pdf#page=4","Abrir facsímil")</f>
        <v>Abrir facsímil</v>
      </c>
      <c r="K682" s="3" t="s">
        <v>150</v>
      </c>
    </row>
    <row r="683" spans="1:11" ht="42" customHeight="1">
      <c r="A683" s="2" t="s">
        <v>2141</v>
      </c>
      <c r="B683" s="2" t="s">
        <v>2142</v>
      </c>
      <c r="C683" s="2" t="s">
        <v>37</v>
      </c>
      <c r="D683" s="2" t="s">
        <v>18</v>
      </c>
      <c r="E683" s="4">
        <v>-32192</v>
      </c>
      <c r="F683" s="3" t="s">
        <v>673</v>
      </c>
      <c r="G683" s="3" t="s">
        <v>305</v>
      </c>
      <c r="H683" s="2" t="s">
        <v>148</v>
      </c>
      <c r="I683" s="2" t="s">
        <v>2143</v>
      </c>
      <c r="J683" s="3" t="str">
        <f>HYPERLINK("https://www.boe.es/gazeta/dias/1811/11/10/pdfs/GMD-1811-314.pdf#page=4","Abrir facsímil")</f>
        <v>Abrir facsímil</v>
      </c>
      <c r="K683" s="3" t="s">
        <v>150</v>
      </c>
    </row>
    <row r="684" spans="1:11" ht="42" customHeight="1">
      <c r="A684" s="2" t="s">
        <v>2144</v>
      </c>
      <c r="B684" s="2" t="s">
        <v>2145</v>
      </c>
      <c r="C684" s="2" t="s">
        <v>17</v>
      </c>
      <c r="D684" s="2" t="s">
        <v>18</v>
      </c>
      <c r="E684" s="4">
        <v>-32246</v>
      </c>
      <c r="F684" s="3" t="s">
        <v>19</v>
      </c>
      <c r="G684" s="3" t="s">
        <v>2146</v>
      </c>
      <c r="H684" s="2" t="s">
        <v>148</v>
      </c>
      <c r="I684" s="2" t="s">
        <v>2147</v>
      </c>
      <c r="J684" s="3" t="str">
        <f>HYPERLINK("https://www.boe.es/gazeta/dias/1811/09/17/pdfs/GEI-1811-120.pdf#page=14","Abrir facsímil")</f>
        <v>Abrir facsímil</v>
      </c>
      <c r="K684" s="3" t="s">
        <v>150</v>
      </c>
    </row>
    <row r="685" spans="1:11" ht="42" customHeight="1">
      <c r="A685" s="2" t="s">
        <v>2148</v>
      </c>
      <c r="B685" s="2" t="s">
        <v>2149</v>
      </c>
      <c r="C685" s="2" t="s">
        <v>17</v>
      </c>
      <c r="D685" s="2" t="s">
        <v>105</v>
      </c>
      <c r="E685" s="4">
        <v>-32249</v>
      </c>
      <c r="F685" s="3" t="s">
        <v>182</v>
      </c>
      <c r="G685" s="3" t="s">
        <v>183</v>
      </c>
      <c r="H685" s="2" t="s">
        <v>148</v>
      </c>
      <c r="I685" s="2" t="s">
        <v>2150</v>
      </c>
      <c r="J685" s="3" t="str">
        <f>HYPERLINK("https://www.boe.es/gazeta/dias/1811/09/14/pdfs/GMD-1811-257.pdf#page=4","Abrir facsímil")</f>
        <v>Abrir facsímil</v>
      </c>
      <c r="K685" s="3" t="s">
        <v>150</v>
      </c>
    </row>
    <row r="686" spans="1:11" ht="42" customHeight="1">
      <c r="A686" s="2" t="s">
        <v>2148</v>
      </c>
      <c r="B686" s="2" t="s">
        <v>2149</v>
      </c>
      <c r="C686" s="2" t="s">
        <v>26</v>
      </c>
      <c r="D686" s="2" t="s">
        <v>105</v>
      </c>
      <c r="E686" s="4">
        <v>-32204</v>
      </c>
      <c r="F686" s="3" t="s">
        <v>177</v>
      </c>
      <c r="G686" s="3" t="s">
        <v>178</v>
      </c>
      <c r="H686" s="2" t="s">
        <v>148</v>
      </c>
      <c r="I686" s="2" t="s">
        <v>2151</v>
      </c>
      <c r="J686" s="3" t="str">
        <f>HYPERLINK("https://www.boe.es/gazeta/dias/1811/10/29/pdfs/GMD-1811-302.pdf#page=4","Abrir facsímil")</f>
        <v>Abrir facsímil</v>
      </c>
      <c r="K686" s="3" t="s">
        <v>150</v>
      </c>
    </row>
    <row r="687" spans="1:11" ht="42" customHeight="1">
      <c r="A687" s="2" t="s">
        <v>2152</v>
      </c>
      <c r="B687" s="2" t="s">
        <v>2153</v>
      </c>
      <c r="C687" s="2" t="s">
        <v>26</v>
      </c>
      <c r="D687" s="2" t="s">
        <v>18</v>
      </c>
      <c r="E687" s="4">
        <v>-32505</v>
      </c>
      <c r="F687" s="3" t="s">
        <v>475</v>
      </c>
      <c r="G687" s="3" t="s">
        <v>755</v>
      </c>
      <c r="H687" s="2" t="s">
        <v>148</v>
      </c>
      <c r="I687" s="2" t="s">
        <v>2154</v>
      </c>
      <c r="J687" s="3" t="str">
        <f>HYPERLINK("https://www.boe.es/gazeta/dias/1811/01/01/pdfs/GEI-1811-1.pdf#page=8","Abrir facsímil")</f>
        <v>Abrir facsímil</v>
      </c>
      <c r="K687" s="3" t="s">
        <v>150</v>
      </c>
    </row>
    <row r="688" spans="1:11" ht="42" customHeight="1">
      <c r="A688" s="2" t="s">
        <v>2155</v>
      </c>
      <c r="B688" s="2" t="s">
        <v>2156</v>
      </c>
      <c r="C688" s="2" t="s">
        <v>26</v>
      </c>
      <c r="D688" s="2" t="s">
        <v>18</v>
      </c>
      <c r="E688" s="4">
        <v>-32501</v>
      </c>
      <c r="F688" s="3" t="s">
        <v>509</v>
      </c>
      <c r="G688" s="3" t="s">
        <v>510</v>
      </c>
      <c r="H688" s="2" t="s">
        <v>148</v>
      </c>
      <c r="I688" s="2" t="s">
        <v>2157</v>
      </c>
      <c r="J688" s="3" t="str">
        <f>HYPERLINK("https://www.boe.es/gazeta/dias/1811/01/05/pdfs/GEI-1811-3.pdf#page=8","Abrir facsímil")</f>
        <v>Abrir facsímil</v>
      </c>
      <c r="K688" s="3" t="s">
        <v>150</v>
      </c>
    </row>
    <row r="689" spans="1:11" ht="42" customHeight="1">
      <c r="A689" s="2" t="s">
        <v>2158</v>
      </c>
      <c r="B689" s="2" t="s">
        <v>2159</v>
      </c>
      <c r="C689" s="2" t="s">
        <v>17</v>
      </c>
      <c r="D689" s="2" t="s">
        <v>156</v>
      </c>
      <c r="E689" s="4">
        <v>-32151</v>
      </c>
      <c r="F689" s="3" t="s">
        <v>2160</v>
      </c>
      <c r="G689" s="3" t="s">
        <v>1710</v>
      </c>
      <c r="H689" s="2" t="s">
        <v>148</v>
      </c>
      <c r="I689" s="2" t="s">
        <v>2161</v>
      </c>
      <c r="J689" s="3" t="str">
        <f>HYPERLINK("https://www.boe.es/gazeta/dias/1811/12/21/pdfs/GMD-1811-355.pdf#page=4","Abrir facsímil")</f>
        <v>Abrir facsímil</v>
      </c>
      <c r="K689" s="3" t="s">
        <v>150</v>
      </c>
    </row>
    <row r="690" spans="1:11" ht="42" customHeight="1">
      <c r="A690" s="2" t="s">
        <v>2162</v>
      </c>
      <c r="B690" s="2" t="s">
        <v>2162</v>
      </c>
      <c r="C690" s="2" t="s">
        <v>17</v>
      </c>
      <c r="D690" s="2" t="s">
        <v>18</v>
      </c>
      <c r="E690" s="4">
        <v>-32351</v>
      </c>
      <c r="F690" s="3" t="s">
        <v>2163</v>
      </c>
      <c r="G690" s="3" t="s">
        <v>2164</v>
      </c>
      <c r="H690" s="2" t="s">
        <v>148</v>
      </c>
      <c r="I690" s="2" t="s">
        <v>2165</v>
      </c>
      <c r="J690" s="3" t="str">
        <f>HYPERLINK("https://www.boe.es/gazeta/dias/1811/06/04/pdfs/GEI-1811-75.pdf#page=7","Abrir facsímil")</f>
        <v>Abrir facsímil</v>
      </c>
      <c r="K690" s="3" t="s">
        <v>150</v>
      </c>
    </row>
    <row r="691" spans="1:11" ht="42" customHeight="1">
      <c r="A691" s="2" t="s">
        <v>2166</v>
      </c>
      <c r="B691" s="2" t="s">
        <v>2167</v>
      </c>
      <c r="C691" s="2" t="s">
        <v>26</v>
      </c>
      <c r="D691" s="2" t="s">
        <v>18</v>
      </c>
      <c r="E691" s="4">
        <v>-32503</v>
      </c>
      <c r="F691" s="3" t="s">
        <v>487</v>
      </c>
      <c r="G691" s="3" t="s">
        <v>1930</v>
      </c>
      <c r="H691" s="2" t="s">
        <v>148</v>
      </c>
      <c r="I691" s="2" t="s">
        <v>2168</v>
      </c>
      <c r="J691" s="3" t="str">
        <f>HYPERLINK("https://www.boe.es/gazeta/dias/1811/01/03/pdfs/GEI-1811-2.pdf#page=8","Abrir facsímil")</f>
        <v>Abrir facsímil</v>
      </c>
      <c r="K691" s="3" t="s">
        <v>150</v>
      </c>
    </row>
    <row r="692" spans="1:11" ht="42" customHeight="1">
      <c r="A692" s="2" t="s">
        <v>2169</v>
      </c>
      <c r="B692" s="2" t="s">
        <v>2170</v>
      </c>
      <c r="C692" s="2" t="s">
        <v>17</v>
      </c>
      <c r="D692" s="2" t="s">
        <v>156</v>
      </c>
      <c r="E692" s="4">
        <v>-32489</v>
      </c>
      <c r="F692" s="3" t="s">
        <v>2073</v>
      </c>
      <c r="G692" s="3" t="s">
        <v>44</v>
      </c>
      <c r="H692" s="2" t="s">
        <v>148</v>
      </c>
      <c r="I692" s="2" t="s">
        <v>2171</v>
      </c>
      <c r="J692" s="3" t="str">
        <f>HYPERLINK("https://www.boe.es/gazeta/dias/1811/01/17/pdfs/GEI-1811-8.pdf#page=8","Abrir facsímil")</f>
        <v>Abrir facsímil</v>
      </c>
      <c r="K692" s="3" t="s">
        <v>150</v>
      </c>
    </row>
    <row r="693" spans="1:11" ht="42" customHeight="1">
      <c r="A693" s="2" t="s">
        <v>2172</v>
      </c>
      <c r="B693" s="2" t="s">
        <v>2173</v>
      </c>
      <c r="C693" s="2" t="s">
        <v>367</v>
      </c>
      <c r="D693" s="2" t="s">
        <v>18</v>
      </c>
      <c r="E693" s="4">
        <v>-32297</v>
      </c>
      <c r="F693" s="3" t="s">
        <v>2174</v>
      </c>
      <c r="G693" s="3" t="s">
        <v>183</v>
      </c>
      <c r="H693" s="2" t="s">
        <v>148</v>
      </c>
      <c r="I693" s="2" t="s">
        <v>2175</v>
      </c>
      <c r="J693" s="3" t="str">
        <f>HYPERLINK("https://www.boe.es/gazeta/dias/1811/07/28/pdfs/GMD-1811-209.pdf#page=4","Abrir facsímil")</f>
        <v>Abrir facsímil</v>
      </c>
      <c r="K693" s="3" t="s">
        <v>150</v>
      </c>
    </row>
    <row r="694" spans="1:11" ht="42" customHeight="1">
      <c r="A694" s="2" t="s">
        <v>2176</v>
      </c>
      <c r="B694" s="2" t="s">
        <v>2177</v>
      </c>
      <c r="C694" s="2" t="s">
        <v>26</v>
      </c>
      <c r="D694" s="2" t="s">
        <v>18</v>
      </c>
      <c r="E694" s="4">
        <v>-32472</v>
      </c>
      <c r="F694" s="3" t="s">
        <v>398</v>
      </c>
      <c r="G694" s="3" t="s">
        <v>382</v>
      </c>
      <c r="H694" s="2" t="s">
        <v>148</v>
      </c>
      <c r="I694" s="2" t="s">
        <v>2178</v>
      </c>
      <c r="J694" s="3" t="str">
        <f>HYPERLINK("https://www.boe.es/gazeta/dias/1811/02/03/pdfs/GMD-1811-34.pdf#page=2","Abrir facsímil")</f>
        <v>Abrir facsímil</v>
      </c>
      <c r="K694" s="3" t="s">
        <v>150</v>
      </c>
    </row>
    <row r="695" spans="1:11" ht="42" customHeight="1">
      <c r="A695" s="2" t="s">
        <v>2179</v>
      </c>
      <c r="B695" s="2" t="s">
        <v>2180</v>
      </c>
      <c r="C695" s="2" t="s">
        <v>26</v>
      </c>
      <c r="D695" s="2" t="s">
        <v>18</v>
      </c>
      <c r="E695" s="4">
        <v>-32153</v>
      </c>
      <c r="F695" s="3" t="s">
        <v>235</v>
      </c>
      <c r="G695" s="3" t="s">
        <v>2181</v>
      </c>
      <c r="H695" s="2" t="s">
        <v>148</v>
      </c>
      <c r="I695" s="2" t="s">
        <v>2182</v>
      </c>
      <c r="J695" s="3" t="str">
        <f>HYPERLINK("https://www.boe.es/gazeta/dias/1811/12/19/pdfs/GEI-1811-164.pdf#page=8","Abrir facsímil")</f>
        <v>Abrir facsímil</v>
      </c>
      <c r="K695" s="3" t="s">
        <v>150</v>
      </c>
    </row>
    <row r="696" spans="1:11" ht="42" customHeight="1">
      <c r="A696" s="2" t="s">
        <v>2183</v>
      </c>
      <c r="B696" s="2" t="s">
        <v>2184</v>
      </c>
      <c r="C696" s="2" t="s">
        <v>122</v>
      </c>
      <c r="D696" s="2" t="s">
        <v>18</v>
      </c>
      <c r="E696" s="4">
        <v>-32421</v>
      </c>
      <c r="F696" s="3" t="s">
        <v>79</v>
      </c>
      <c r="G696" s="3" t="s">
        <v>80</v>
      </c>
      <c r="H696" s="2" t="s">
        <v>148</v>
      </c>
      <c r="I696" s="2" t="s">
        <v>2185</v>
      </c>
      <c r="J696" s="3" t="str">
        <f>HYPERLINK("https://www.boe.es/gazeta/dias/1811/03/26/pdfs/GEI-1811-42.pdf#page=7","Abrir facsímil")</f>
        <v>Abrir facsímil</v>
      </c>
      <c r="K696" s="3" t="s">
        <v>150</v>
      </c>
    </row>
    <row r="697" spans="1:11" ht="42" customHeight="1">
      <c r="A697" s="2" t="s">
        <v>2186</v>
      </c>
      <c r="B697" s="2" t="s">
        <v>2187</v>
      </c>
      <c r="C697" s="2" t="s">
        <v>37</v>
      </c>
      <c r="D697" s="2" t="s">
        <v>528</v>
      </c>
      <c r="E697" s="4">
        <v>-32219</v>
      </c>
      <c r="F697" s="3" t="s">
        <v>529</v>
      </c>
      <c r="G697" s="3" t="s">
        <v>530</v>
      </c>
      <c r="H697" s="2" t="s">
        <v>21</v>
      </c>
      <c r="I697" s="2" t="s">
        <v>2188</v>
      </c>
      <c r="J697" s="3" t="str">
        <f>HYPERLINK("https://www.boe.es/gazeta/dias/1811/10/14/pdfs/GEI-1811-132E.pdf#page=4","Abrir facsímil")</f>
        <v>Abrir facsímil</v>
      </c>
      <c r="K697" s="3" t="s">
        <v>23</v>
      </c>
    </row>
    <row r="698" spans="1:11" ht="42" customHeight="1">
      <c r="A698" s="2" t="s">
        <v>2189</v>
      </c>
      <c r="B698" s="2" t="s">
        <v>2190</v>
      </c>
      <c r="C698" s="2" t="s">
        <v>104</v>
      </c>
      <c r="D698" s="2" t="s">
        <v>528</v>
      </c>
      <c r="E698" s="4">
        <v>-32219</v>
      </c>
      <c r="F698" s="3" t="s">
        <v>529</v>
      </c>
      <c r="G698" s="3" t="s">
        <v>530</v>
      </c>
      <c r="H698" s="2" t="s">
        <v>148</v>
      </c>
      <c r="I698" s="2" t="s">
        <v>2191</v>
      </c>
      <c r="J698" s="3" t="str">
        <f>HYPERLINK("https://www.boe.es/gazeta/dias/1811/10/14/pdfs/GEI-1811-132E.pdf#page=4","Abrir facsímil")</f>
        <v>Abrir facsímil</v>
      </c>
      <c r="K698" s="3" t="s">
        <v>150</v>
      </c>
    </row>
    <row r="699" spans="1:11" ht="42" customHeight="1">
      <c r="A699" s="2" t="s">
        <v>2192</v>
      </c>
      <c r="B699" s="2" t="s">
        <v>2193</v>
      </c>
      <c r="C699" s="2" t="s">
        <v>17</v>
      </c>
      <c r="D699" s="2" t="s">
        <v>18</v>
      </c>
      <c r="E699" s="4">
        <v>-32202</v>
      </c>
      <c r="F699" s="3" t="s">
        <v>2194</v>
      </c>
      <c r="G699" s="3" t="s">
        <v>510</v>
      </c>
      <c r="H699" s="2" t="s">
        <v>148</v>
      </c>
      <c r="I699" s="2" t="s">
        <v>2195</v>
      </c>
      <c r="J699" s="3" t="str">
        <f>HYPERLINK("https://www.boe.es/gazeta/dias/1811/10/31/pdfs/GEI-1811-140.pdf#page=8","Abrir facsímil")</f>
        <v>Abrir facsímil</v>
      </c>
      <c r="K699" s="3" t="s">
        <v>150</v>
      </c>
    </row>
    <row r="700" spans="1:11" ht="42" customHeight="1">
      <c r="A700" s="2" t="s">
        <v>2192</v>
      </c>
      <c r="B700" s="2" t="s">
        <v>2193</v>
      </c>
      <c r="C700" s="2" t="s">
        <v>17</v>
      </c>
      <c r="D700" s="2" t="s">
        <v>105</v>
      </c>
      <c r="E700" s="4">
        <v>-32188</v>
      </c>
      <c r="F700" s="3" t="s">
        <v>74</v>
      </c>
      <c r="G700" s="3" t="s">
        <v>2196</v>
      </c>
      <c r="H700" s="2" t="s">
        <v>148</v>
      </c>
      <c r="I700" s="2" t="s">
        <v>2197</v>
      </c>
      <c r="J700" s="3" t="str">
        <f>HYPERLINK("https://www.boe.es/gazeta/dias/1811/11/14/pdfs/GEI-1811-149.pdf#page=7","Abrir facsímil")</f>
        <v>Abrir facsímil</v>
      </c>
      <c r="K700" s="3" t="s">
        <v>150</v>
      </c>
    </row>
    <row r="701" spans="1:11" ht="42" customHeight="1">
      <c r="A701" s="2" t="s">
        <v>2198</v>
      </c>
      <c r="B701" s="2" t="s">
        <v>2199</v>
      </c>
      <c r="C701" s="2" t="s">
        <v>26</v>
      </c>
      <c r="D701" s="2" t="s">
        <v>141</v>
      </c>
      <c r="E701" s="4">
        <v>-32280</v>
      </c>
      <c r="F701" s="3" t="s">
        <v>142</v>
      </c>
      <c r="G701" s="3" t="s">
        <v>597</v>
      </c>
      <c r="H701" s="2" t="s">
        <v>148</v>
      </c>
      <c r="I701" s="2" t="s">
        <v>2200</v>
      </c>
      <c r="J701" s="3" t="str">
        <f>HYPERLINK("https://www.boe.es/gazeta/dias/1811/08/14/pdfs/GMD-C-1811-226.pdf#page=2","Abrir facsímil")</f>
        <v>Abrir facsímil</v>
      </c>
      <c r="K701" s="3" t="s">
        <v>150</v>
      </c>
    </row>
    <row r="702" spans="1:11" ht="42" customHeight="1">
      <c r="A702" s="2" t="s">
        <v>2201</v>
      </c>
      <c r="B702" s="2" t="s">
        <v>2202</v>
      </c>
      <c r="C702" s="2" t="s">
        <v>122</v>
      </c>
      <c r="D702" s="2" t="s">
        <v>141</v>
      </c>
      <c r="E702" s="4">
        <v>-32238</v>
      </c>
      <c r="F702" s="3" t="s">
        <v>166</v>
      </c>
      <c r="G702" s="3" t="s">
        <v>39</v>
      </c>
      <c r="H702" s="2" t="s">
        <v>148</v>
      </c>
      <c r="I702" s="2" t="s">
        <v>2203</v>
      </c>
      <c r="J702" s="3" t="str">
        <f>HYPERLINK("https://www.boe.es/gazeta/dias/1811/09/25/pdfs/GMD-C-1811-268.pdf#page=2","Abrir facsímil")</f>
        <v>Abrir facsímil</v>
      </c>
      <c r="K702" s="3" t="s">
        <v>150</v>
      </c>
    </row>
    <row r="703" spans="1:11" ht="42" customHeight="1">
      <c r="A703" s="2" t="s">
        <v>2204</v>
      </c>
      <c r="B703" s="2" t="s">
        <v>2204</v>
      </c>
      <c r="C703" s="2" t="s">
        <v>17</v>
      </c>
      <c r="D703" s="2" t="s">
        <v>18</v>
      </c>
      <c r="E703" s="4">
        <v>-32144</v>
      </c>
      <c r="F703" s="3" t="s">
        <v>1097</v>
      </c>
      <c r="G703" s="3" t="s">
        <v>91</v>
      </c>
      <c r="H703" s="2" t="s">
        <v>148</v>
      </c>
      <c r="I703" s="2" t="s">
        <v>2205</v>
      </c>
      <c r="J703" s="3" t="str">
        <f>HYPERLINK("https://www.boe.es/gazeta/dias/1811/12/28/pdfs/GEI-1811-168.pdf#page=2","Abrir facsímil")</f>
        <v>Abrir facsímil</v>
      </c>
      <c r="K703" s="3" t="s">
        <v>150</v>
      </c>
    </row>
    <row r="704" spans="1:11" ht="42" customHeight="1">
      <c r="A704" s="2" t="s">
        <v>2206</v>
      </c>
      <c r="B704" s="2" t="s">
        <v>2206</v>
      </c>
      <c r="C704" s="2" t="s">
        <v>17</v>
      </c>
      <c r="D704" s="2" t="s">
        <v>156</v>
      </c>
      <c r="E704" s="4">
        <v>-32144</v>
      </c>
      <c r="F704" s="3" t="s">
        <v>1097</v>
      </c>
      <c r="G704" s="3" t="s">
        <v>2019</v>
      </c>
      <c r="H704" s="2" t="s">
        <v>148</v>
      </c>
      <c r="I704" s="2" t="s">
        <v>2207</v>
      </c>
      <c r="J704" s="3" t="str">
        <f>HYPERLINK("https://www.boe.es/gazeta/dias/1811/12/28/pdfs/GEI-1811-168.pdf#page=3","Abrir facsímil")</f>
        <v>Abrir facsímil</v>
      </c>
      <c r="K704" s="3" t="s">
        <v>150</v>
      </c>
    </row>
    <row r="705" spans="1:11" ht="42" customHeight="1">
      <c r="A705" s="2" t="s">
        <v>2208</v>
      </c>
      <c r="B705" s="2" t="s">
        <v>2209</v>
      </c>
      <c r="C705" s="2" t="s">
        <v>26</v>
      </c>
      <c r="D705" s="2" t="s">
        <v>105</v>
      </c>
      <c r="E705" s="4">
        <v>-32235</v>
      </c>
      <c r="F705" s="3" t="s">
        <v>190</v>
      </c>
      <c r="G705" s="3" t="s">
        <v>188</v>
      </c>
      <c r="H705" s="2" t="s">
        <v>148</v>
      </c>
      <c r="I705" s="2" t="s">
        <v>2210</v>
      </c>
      <c r="J705" s="3" t="str">
        <f>HYPERLINK("https://www.boe.es/gazeta/dias/1811/09/28/pdfs/GEI-1811-125.pdf#page=8","Abrir facsímil")</f>
        <v>Abrir facsímil</v>
      </c>
      <c r="K705" s="3" t="s">
        <v>150</v>
      </c>
    </row>
    <row r="706" spans="1:11" ht="42" customHeight="1">
      <c r="A706" s="2" t="s">
        <v>2211</v>
      </c>
      <c r="B706" s="2" t="s">
        <v>2212</v>
      </c>
      <c r="C706" s="2" t="s">
        <v>26</v>
      </c>
      <c r="D706" s="2" t="s">
        <v>18</v>
      </c>
      <c r="E706" s="4">
        <v>-32361</v>
      </c>
      <c r="F706" s="3" t="s">
        <v>1104</v>
      </c>
      <c r="G706" s="3" t="s">
        <v>2213</v>
      </c>
      <c r="H706" s="2" t="s">
        <v>148</v>
      </c>
      <c r="I706" s="2" t="s">
        <v>2214</v>
      </c>
      <c r="J706" s="3" t="str">
        <f>HYPERLINK("https://www.boe.es/gazeta/dias/1811/05/25/pdfs/GEI-1811-71.pdf#page=8","Abrir facsímil")</f>
        <v>Abrir facsímil</v>
      </c>
      <c r="K706" s="3" t="s">
        <v>150</v>
      </c>
    </row>
    <row r="707" spans="1:11" ht="42" customHeight="1">
      <c r="A707" s="2" t="s">
        <v>2215</v>
      </c>
      <c r="B707" s="2" t="s">
        <v>2216</v>
      </c>
      <c r="C707" s="2" t="s">
        <v>26</v>
      </c>
      <c r="D707" s="2" t="s">
        <v>18</v>
      </c>
      <c r="E707" s="4">
        <v>-32249</v>
      </c>
      <c r="F707" s="3" t="s">
        <v>182</v>
      </c>
      <c r="G707" s="3" t="s">
        <v>183</v>
      </c>
      <c r="H707" s="2" t="s">
        <v>148</v>
      </c>
      <c r="I707" s="2" t="s">
        <v>2217</v>
      </c>
      <c r="J707" s="3" t="str">
        <f>HYPERLINK("https://www.boe.es/gazeta/dias/1811/09/14/pdfs/GMD-1811-257.pdf#page=4","Abrir facsímil")</f>
        <v>Abrir facsímil</v>
      </c>
      <c r="K707" s="3" t="s">
        <v>150</v>
      </c>
    </row>
    <row r="708" spans="1:11" ht="42" customHeight="1">
      <c r="A708" s="2" t="s">
        <v>2215</v>
      </c>
      <c r="B708" s="2" t="s">
        <v>2216</v>
      </c>
      <c r="C708" s="2" t="s">
        <v>26</v>
      </c>
      <c r="D708" s="2" t="s">
        <v>18</v>
      </c>
      <c r="E708" s="4">
        <v>-32204</v>
      </c>
      <c r="F708" s="3" t="s">
        <v>177</v>
      </c>
      <c r="G708" s="3" t="s">
        <v>178</v>
      </c>
      <c r="H708" s="2" t="s">
        <v>148</v>
      </c>
      <c r="I708" s="2" t="s">
        <v>2218</v>
      </c>
      <c r="J708" s="3" t="str">
        <f>HYPERLINK("https://www.boe.es/gazeta/dias/1811/10/29/pdfs/GMD-1811-302.pdf#page=4","Abrir facsímil")</f>
        <v>Abrir facsímil</v>
      </c>
      <c r="K708" s="3" t="s">
        <v>150</v>
      </c>
    </row>
    <row r="709" spans="1:11" ht="42" customHeight="1">
      <c r="A709" s="2" t="s">
        <v>2219</v>
      </c>
      <c r="B709" s="2" t="s">
        <v>2220</v>
      </c>
      <c r="C709" s="2" t="s">
        <v>26</v>
      </c>
      <c r="D709" s="2" t="s">
        <v>18</v>
      </c>
      <c r="E709" s="4">
        <v>-32153</v>
      </c>
      <c r="F709" s="3" t="s">
        <v>123</v>
      </c>
      <c r="G709" s="3" t="s">
        <v>288</v>
      </c>
      <c r="H709" s="2" t="s">
        <v>148</v>
      </c>
      <c r="I709" s="2" t="s">
        <v>2221</v>
      </c>
      <c r="J709" s="3" t="str">
        <f>HYPERLINK("https://www.boe.es/gazeta/dias/1811/12/19/pdfs/GMD-1811-353.pdf#page=4","Abrir facsímil")</f>
        <v>Abrir facsímil</v>
      </c>
      <c r="K709" s="3" t="s">
        <v>150</v>
      </c>
    </row>
    <row r="710" spans="1:11" ht="42" customHeight="1">
      <c r="A710" s="2" t="s">
        <v>2222</v>
      </c>
      <c r="B710" s="2" t="s">
        <v>2222</v>
      </c>
      <c r="C710" s="2" t="s">
        <v>17</v>
      </c>
      <c r="D710" s="2" t="s">
        <v>156</v>
      </c>
      <c r="E710" s="4">
        <v>-32167</v>
      </c>
      <c r="F710" s="3" t="s">
        <v>195</v>
      </c>
      <c r="G710" s="3" t="s">
        <v>198</v>
      </c>
      <c r="H710" s="2" t="s">
        <v>148</v>
      </c>
      <c r="I710" s="2" t="s">
        <v>2223</v>
      </c>
      <c r="J710" s="3" t="str">
        <f>HYPERLINK("https://www.boe.es/gazeta/dias/1811/12/05/pdfs/GEI-1811-158.pdf#page=2","Abrir facsímil")</f>
        <v>Abrir facsímil</v>
      </c>
      <c r="K710" s="3" t="s">
        <v>150</v>
      </c>
    </row>
    <row r="711" spans="1:11" ht="42" customHeight="1">
      <c r="A711" s="2" t="s">
        <v>2224</v>
      </c>
      <c r="B711" s="2" t="s">
        <v>2224</v>
      </c>
      <c r="C711" s="2" t="s">
        <v>26</v>
      </c>
      <c r="D711" s="2" t="s">
        <v>141</v>
      </c>
      <c r="E711" s="4">
        <v>-32355</v>
      </c>
      <c r="F711" s="3" t="s">
        <v>537</v>
      </c>
      <c r="G711" s="3" t="s">
        <v>2225</v>
      </c>
      <c r="H711" s="2" t="s">
        <v>148</v>
      </c>
      <c r="I711" s="2" t="s">
        <v>2226</v>
      </c>
      <c r="J711" s="3" t="str">
        <f>HYPERLINK("https://www.boe.es/gazeta/dias/1811/05/31/pdfs/GMD-C-1811-151.pdf#page=5","Abrir facsímil")</f>
        <v>Abrir facsímil</v>
      </c>
      <c r="K711" s="3" t="s">
        <v>150</v>
      </c>
    </row>
    <row r="712" spans="1:11" ht="42" customHeight="1">
      <c r="A712" s="2" t="s">
        <v>2227</v>
      </c>
      <c r="B712" s="2" t="s">
        <v>2227</v>
      </c>
      <c r="C712" s="2" t="s">
        <v>17</v>
      </c>
      <c r="D712" s="2" t="s">
        <v>18</v>
      </c>
      <c r="E712" s="4">
        <v>-32300</v>
      </c>
      <c r="F712" s="3" t="s">
        <v>492</v>
      </c>
      <c r="G712" s="3" t="s">
        <v>493</v>
      </c>
      <c r="H712" s="2" t="s">
        <v>148</v>
      </c>
      <c r="I712" s="2" t="s">
        <v>2228</v>
      </c>
      <c r="J712" s="3" t="str">
        <f>HYPERLINK("https://www.boe.es/gazeta/dias/1811/07/25/pdfs/GMD-1811-206.pdf#page=4","Abrir facsímil")</f>
        <v>Abrir facsímil</v>
      </c>
      <c r="K712" s="3" t="s">
        <v>150</v>
      </c>
    </row>
    <row r="713" spans="1:11" ht="42" customHeight="1">
      <c r="A713" s="2" t="s">
        <v>2229</v>
      </c>
      <c r="B713" s="2" t="s">
        <v>2230</v>
      </c>
      <c r="C713" s="2" t="s">
        <v>26</v>
      </c>
      <c r="D713" s="2" t="s">
        <v>18</v>
      </c>
      <c r="E713" s="4">
        <v>-32179</v>
      </c>
      <c r="F713" s="3" t="s">
        <v>614</v>
      </c>
      <c r="G713" s="3" t="s">
        <v>47</v>
      </c>
      <c r="H713" s="2" t="s">
        <v>148</v>
      </c>
      <c r="I713" s="2" t="s">
        <v>2231</v>
      </c>
      <c r="J713" s="3" t="str">
        <f>HYPERLINK("https://www.boe.es/gazeta/dias/1811/11/23/pdfs/GEI-1811-153.pdf#page=8","Abrir facsímil")</f>
        <v>Abrir facsímil</v>
      </c>
      <c r="K713" s="3" t="s">
        <v>150</v>
      </c>
    </row>
    <row r="714" spans="1:11" ht="42" customHeight="1">
      <c r="A714" s="2" t="s">
        <v>2232</v>
      </c>
      <c r="B714" s="2" t="s">
        <v>2233</v>
      </c>
      <c r="C714" s="2" t="s">
        <v>26</v>
      </c>
      <c r="D714" s="2" t="s">
        <v>18</v>
      </c>
      <c r="E714" s="4">
        <v>-32195</v>
      </c>
      <c r="F714" s="3" t="s">
        <v>439</v>
      </c>
      <c r="G714" s="3" t="s">
        <v>2092</v>
      </c>
      <c r="H714" s="2" t="s">
        <v>148</v>
      </c>
      <c r="I714" s="2" t="s">
        <v>2234</v>
      </c>
      <c r="J714" s="3" t="str">
        <f>HYPERLINK("https://www.boe.es/gazeta/dias/1811/11/07/pdfs/GEI-1811-144.pdf#page=7","Abrir facsímil")</f>
        <v>Abrir facsímil</v>
      </c>
      <c r="K714" s="3" t="s">
        <v>150</v>
      </c>
    </row>
    <row r="715" spans="1:11" ht="42" customHeight="1">
      <c r="A715" s="2" t="s">
        <v>2235</v>
      </c>
      <c r="B715" s="2" t="s">
        <v>2236</v>
      </c>
      <c r="C715" s="2" t="s">
        <v>26</v>
      </c>
      <c r="D715" s="2" t="s">
        <v>18</v>
      </c>
      <c r="E715" s="4">
        <v>-32288</v>
      </c>
      <c r="F715" s="3" t="s">
        <v>95</v>
      </c>
      <c r="G715" s="3" t="s">
        <v>47</v>
      </c>
      <c r="H715" s="2" t="s">
        <v>148</v>
      </c>
      <c r="I715" s="2" t="s">
        <v>2237</v>
      </c>
      <c r="J715" s="3" t="str">
        <f>HYPERLINK("https://www.boe.es/gazeta/dias/1811/08/06/pdfs/GEI-1811-102.pdf#page=8","Abrir facsímil")</f>
        <v>Abrir facsímil</v>
      </c>
      <c r="K715" s="3" t="s">
        <v>150</v>
      </c>
    </row>
    <row r="716" spans="1:11" ht="42" customHeight="1">
      <c r="A716" s="2" t="s">
        <v>2238</v>
      </c>
      <c r="B716" s="2" t="s">
        <v>2239</v>
      </c>
      <c r="C716" s="2" t="s">
        <v>17</v>
      </c>
      <c r="D716" s="2" t="s">
        <v>18</v>
      </c>
      <c r="E716" s="4">
        <v>-32421</v>
      </c>
      <c r="F716" s="3" t="s">
        <v>79</v>
      </c>
      <c r="G716" s="3" t="s">
        <v>488</v>
      </c>
      <c r="H716" s="2" t="s">
        <v>148</v>
      </c>
      <c r="I716" s="2" t="s">
        <v>2240</v>
      </c>
      <c r="J716" s="3" t="str">
        <f>HYPERLINK("https://www.boe.es/gazeta/dias/1811/03/26/pdfs/GEI-1811-42.pdf#page=8","Abrir facsímil")</f>
        <v>Abrir facsímil</v>
      </c>
      <c r="K716" s="3" t="s">
        <v>150</v>
      </c>
    </row>
    <row r="717" spans="1:11" ht="42" customHeight="1">
      <c r="A717" s="2" t="s">
        <v>2241</v>
      </c>
      <c r="B717" s="2" t="s">
        <v>2242</v>
      </c>
      <c r="C717" s="2" t="s">
        <v>17</v>
      </c>
      <c r="D717" s="2" t="s">
        <v>141</v>
      </c>
      <c r="E717" s="4">
        <v>-32188</v>
      </c>
      <c r="F717" s="3" t="s">
        <v>505</v>
      </c>
      <c r="G717" s="3" t="s">
        <v>162</v>
      </c>
      <c r="H717" s="2" t="s">
        <v>148</v>
      </c>
      <c r="I717" s="2" t="s">
        <v>2243</v>
      </c>
      <c r="J717" s="3" t="str">
        <f>HYPERLINK("https://www.boe.es/gazeta/dias/1811/11/14/pdfs/GEI-D-1811-149.pdf#page=4","Abrir facsímil")</f>
        <v>Abrir facsímil</v>
      </c>
      <c r="K717" s="3" t="s">
        <v>150</v>
      </c>
    </row>
    <row r="718" spans="1:11" ht="42" customHeight="1">
      <c r="A718" s="2" t="s">
        <v>2244</v>
      </c>
      <c r="B718" s="2" t="s">
        <v>2245</v>
      </c>
      <c r="C718" s="2" t="s">
        <v>26</v>
      </c>
      <c r="D718" s="2" t="s">
        <v>18</v>
      </c>
      <c r="E718" s="4">
        <v>-32319</v>
      </c>
      <c r="F718" s="3" t="s">
        <v>975</v>
      </c>
      <c r="G718" s="3" t="s">
        <v>2246</v>
      </c>
      <c r="H718" s="2" t="s">
        <v>148</v>
      </c>
      <c r="I718" s="2" t="s">
        <v>2247</v>
      </c>
      <c r="J718" s="3" t="str">
        <f>HYPERLINK("https://www.boe.es/gazeta/dias/1811/07/06/pdfs/GEI-1811-89.pdf#page=5","Abrir facsímil")</f>
        <v>Abrir facsímil</v>
      </c>
      <c r="K718" s="3" t="s">
        <v>150</v>
      </c>
    </row>
    <row r="719" spans="1:11" ht="42" customHeight="1">
      <c r="A719" s="2" t="s">
        <v>2248</v>
      </c>
      <c r="B719" s="2" t="s">
        <v>2249</v>
      </c>
      <c r="C719" s="2" t="s">
        <v>26</v>
      </c>
      <c r="D719" s="2" t="s">
        <v>18</v>
      </c>
      <c r="E719" s="4">
        <v>-32153</v>
      </c>
      <c r="F719" s="3" t="s">
        <v>235</v>
      </c>
      <c r="G719" s="3" t="s">
        <v>236</v>
      </c>
      <c r="H719" s="2" t="s">
        <v>148</v>
      </c>
      <c r="I719" s="2" t="s">
        <v>2250</v>
      </c>
      <c r="J719" s="3" t="str">
        <f>HYPERLINK("https://www.boe.es/gazeta/dias/1811/12/19/pdfs/GEI-1811-164.pdf#page=7","Abrir facsímil")</f>
        <v>Abrir facsímil</v>
      </c>
      <c r="K719" s="3" t="s">
        <v>150</v>
      </c>
    </row>
    <row r="720" spans="1:11" ht="42" customHeight="1">
      <c r="A720" s="2" t="s">
        <v>2251</v>
      </c>
      <c r="B720" s="2" t="s">
        <v>2252</v>
      </c>
      <c r="C720" s="2" t="s">
        <v>17</v>
      </c>
      <c r="D720" s="2" t="s">
        <v>18</v>
      </c>
      <c r="E720" s="4">
        <v>-32482</v>
      </c>
      <c r="F720" s="3" t="s">
        <v>924</v>
      </c>
      <c r="G720" s="3" t="s">
        <v>846</v>
      </c>
      <c r="H720" s="2" t="s">
        <v>148</v>
      </c>
      <c r="I720" s="2" t="s">
        <v>2253</v>
      </c>
      <c r="J720" s="3" t="str">
        <f>HYPERLINK("https://www.boe.es/gazeta/dias/1811/01/24/pdfs/GEI-1811-11.pdf#page=8","Abrir facsímil")</f>
        <v>Abrir facsímil</v>
      </c>
      <c r="K720" s="3" t="s">
        <v>150</v>
      </c>
    </row>
    <row r="721" spans="1:11" ht="42" customHeight="1">
      <c r="A721" s="2" t="s">
        <v>2254</v>
      </c>
      <c r="B721" s="2" t="s">
        <v>2255</v>
      </c>
      <c r="C721" s="2" t="s">
        <v>26</v>
      </c>
      <c r="D721" s="2" t="s">
        <v>18</v>
      </c>
      <c r="E721" s="4">
        <v>-32459</v>
      </c>
      <c r="F721" s="3" t="s">
        <v>1034</v>
      </c>
      <c r="G721" s="3" t="s">
        <v>2256</v>
      </c>
      <c r="H721" s="2" t="s">
        <v>148</v>
      </c>
      <c r="I721" s="2" t="s">
        <v>2257</v>
      </c>
      <c r="J721" s="3" t="str">
        <f>HYPERLINK("https://www.boe.es/gazeta/dias/1811/02/16/pdfs/GEI-1811-21.pdf#page=6","Abrir facsímil")</f>
        <v>Abrir facsímil</v>
      </c>
      <c r="K721" s="3" t="s">
        <v>150</v>
      </c>
    </row>
    <row r="722" spans="1:11" ht="42" customHeight="1">
      <c r="A722" s="2" t="s">
        <v>2258</v>
      </c>
      <c r="B722" s="2" t="s">
        <v>2259</v>
      </c>
      <c r="C722" s="2" t="s">
        <v>26</v>
      </c>
      <c r="D722" s="2" t="s">
        <v>18</v>
      </c>
      <c r="E722" s="4">
        <v>-32459</v>
      </c>
      <c r="F722" s="3" t="s">
        <v>1034</v>
      </c>
      <c r="G722" s="3" t="s">
        <v>2260</v>
      </c>
      <c r="H722" s="2" t="s">
        <v>148</v>
      </c>
      <c r="I722" s="2" t="s">
        <v>2261</v>
      </c>
      <c r="J722" s="3" t="str">
        <f>HYPERLINK("https://www.boe.es/gazeta/dias/1811/02/16/pdfs/GEI-1811-21.pdf#page=7","Abrir facsímil")</f>
        <v>Abrir facsímil</v>
      </c>
      <c r="K722" s="3" t="s">
        <v>150</v>
      </c>
    </row>
    <row r="723" spans="1:11" ht="42" customHeight="1">
      <c r="A723" s="2" t="s">
        <v>2262</v>
      </c>
      <c r="B723" s="2" t="s">
        <v>2262</v>
      </c>
      <c r="C723" s="2" t="s">
        <v>17</v>
      </c>
      <c r="D723" s="2" t="s">
        <v>18</v>
      </c>
      <c r="E723" s="4">
        <v>-32166</v>
      </c>
      <c r="F723" s="3" t="s">
        <v>2263</v>
      </c>
      <c r="G723" s="3" t="s">
        <v>2264</v>
      </c>
      <c r="H723" s="2" t="s">
        <v>148</v>
      </c>
      <c r="I723" s="2" t="s">
        <v>2265</v>
      </c>
      <c r="J723" s="3" t="str">
        <f>HYPERLINK("https://www.boe.es/gazeta/dias/1811/12/06/pdfs/GMD-1811-340.pdf#page=4","Abrir facsímil")</f>
        <v>Abrir facsímil</v>
      </c>
      <c r="K723" s="3" t="s">
        <v>150</v>
      </c>
    </row>
    <row r="724" spans="1:11" ht="42" customHeight="1">
      <c r="A724" s="2" t="s">
        <v>2266</v>
      </c>
      <c r="B724" s="2" t="s">
        <v>2267</v>
      </c>
      <c r="C724" s="2" t="s">
        <v>17</v>
      </c>
      <c r="D724" s="2" t="s">
        <v>18</v>
      </c>
      <c r="E724" s="4">
        <v>-32454</v>
      </c>
      <c r="F724" s="3" t="s">
        <v>2268</v>
      </c>
      <c r="G724" s="3" t="s">
        <v>214</v>
      </c>
      <c r="H724" s="2" t="s">
        <v>148</v>
      </c>
      <c r="I724" s="2" t="s">
        <v>2269</v>
      </c>
      <c r="J724" s="3" t="str">
        <f>HYPERLINK("https://www.boe.es/gazeta/dias/1811/02/21/pdfs/GEI-1811-23.pdf#page=6","Abrir facsímil")</f>
        <v>Abrir facsímil</v>
      </c>
      <c r="K724" s="3" t="s">
        <v>150</v>
      </c>
    </row>
    <row r="725" spans="1:11" ht="42" customHeight="1">
      <c r="A725" s="2" t="s">
        <v>2270</v>
      </c>
      <c r="B725" s="2" t="s">
        <v>2271</v>
      </c>
      <c r="C725" s="2" t="s">
        <v>26</v>
      </c>
      <c r="D725" s="2" t="s">
        <v>18</v>
      </c>
      <c r="E725" s="4">
        <v>-32454</v>
      </c>
      <c r="F725" s="3" t="s">
        <v>2268</v>
      </c>
      <c r="G725" s="3" t="s">
        <v>2272</v>
      </c>
      <c r="H725" s="2" t="s">
        <v>148</v>
      </c>
      <c r="I725" s="2" t="s">
        <v>2273</v>
      </c>
      <c r="J725" s="3" t="str">
        <f>HYPERLINK("https://www.boe.es/gazeta/dias/1811/02/21/pdfs/GEI-1811-23.pdf#page=5","Abrir facsímil")</f>
        <v>Abrir facsímil</v>
      </c>
      <c r="K725" s="3" t="s">
        <v>150</v>
      </c>
    </row>
    <row r="726" spans="1:11" ht="42" customHeight="1">
      <c r="A726" s="2" t="s">
        <v>2274</v>
      </c>
      <c r="B726" s="2" t="s">
        <v>2275</v>
      </c>
      <c r="C726" s="2" t="s">
        <v>37</v>
      </c>
      <c r="D726" s="2" t="s">
        <v>18</v>
      </c>
      <c r="E726" s="4">
        <v>-32193</v>
      </c>
      <c r="F726" s="3" t="s">
        <v>1037</v>
      </c>
      <c r="G726" s="3" t="s">
        <v>44</v>
      </c>
      <c r="H726" s="2" t="s">
        <v>148</v>
      </c>
      <c r="I726" s="2" t="s">
        <v>2276</v>
      </c>
      <c r="J726" s="3" t="str">
        <f>HYPERLINK("https://www.boe.es/gazeta/dias/1811/11/09/pdfs/GEI-1811-145.pdf#page=4","Abrir facsímil")</f>
        <v>Abrir facsímil</v>
      </c>
      <c r="K726" s="3" t="s">
        <v>150</v>
      </c>
    </row>
    <row r="727" spans="1:11" ht="42" customHeight="1">
      <c r="A727" s="2" t="s">
        <v>2277</v>
      </c>
      <c r="B727" s="2" t="s">
        <v>2277</v>
      </c>
      <c r="C727" s="2" t="s">
        <v>17</v>
      </c>
      <c r="D727" s="2" t="s">
        <v>18</v>
      </c>
      <c r="E727" s="4">
        <v>-32326</v>
      </c>
      <c r="F727" s="3" t="s">
        <v>43</v>
      </c>
      <c r="G727" s="3" t="s">
        <v>91</v>
      </c>
      <c r="H727" s="2" t="s">
        <v>148</v>
      </c>
      <c r="I727" s="2" t="s">
        <v>2278</v>
      </c>
      <c r="J727" s="3" t="str">
        <f>HYPERLINK("https://www.boe.es/gazeta/dias/1811/06/29/pdfs/GEI-1811-86.pdf#page=7","Abrir facsímil")</f>
        <v>Abrir facsímil</v>
      </c>
      <c r="K727" s="3" t="s">
        <v>150</v>
      </c>
    </row>
    <row r="728" spans="1:11" ht="42" customHeight="1">
      <c r="A728" s="2" t="s">
        <v>2279</v>
      </c>
      <c r="B728" s="2" t="s">
        <v>2279</v>
      </c>
      <c r="C728" s="2" t="s">
        <v>17</v>
      </c>
      <c r="D728" s="2" t="s">
        <v>18</v>
      </c>
      <c r="E728" s="4">
        <v>-32491</v>
      </c>
      <c r="F728" s="3" t="s">
        <v>2280</v>
      </c>
      <c r="G728" s="3" t="s">
        <v>115</v>
      </c>
      <c r="H728" s="2" t="s">
        <v>148</v>
      </c>
      <c r="I728" s="2" t="s">
        <v>2281</v>
      </c>
      <c r="J728" s="3" t="str">
        <f>HYPERLINK("https://www.boe.es/gazeta/dias/1811/01/15/pdfs/GMD-1811-15.pdf#page=3","Abrir facsímil")</f>
        <v>Abrir facsímil</v>
      </c>
      <c r="K728" s="3" t="s">
        <v>150</v>
      </c>
    </row>
    <row r="729" spans="1:11" ht="42" customHeight="1">
      <c r="A729" s="2" t="s">
        <v>2282</v>
      </c>
      <c r="B729" s="2" t="s">
        <v>2283</v>
      </c>
      <c r="C729" s="2" t="s">
        <v>26</v>
      </c>
      <c r="D729" s="2" t="s">
        <v>18</v>
      </c>
      <c r="E729" s="4">
        <v>-32447</v>
      </c>
      <c r="F729" s="3" t="s">
        <v>665</v>
      </c>
      <c r="G729" s="3" t="s">
        <v>57</v>
      </c>
      <c r="H729" s="2" t="s">
        <v>148</v>
      </c>
      <c r="I729" s="2" t="s">
        <v>2284</v>
      </c>
      <c r="J729" s="3" t="str">
        <f>HYPERLINK("https://www.boe.es/gazeta/dias/1811/02/28/pdfs/GMD-1811-59.pdf#page=2","Abrir facsímil")</f>
        <v>Abrir facsímil</v>
      </c>
      <c r="K729" s="3" t="s">
        <v>150</v>
      </c>
    </row>
    <row r="730" spans="1:11" ht="42" customHeight="1">
      <c r="A730" s="2" t="s">
        <v>2285</v>
      </c>
      <c r="B730" s="2" t="s">
        <v>2286</v>
      </c>
      <c r="C730" s="2" t="s">
        <v>26</v>
      </c>
      <c r="D730" s="2" t="s">
        <v>18</v>
      </c>
      <c r="E730" s="4">
        <v>-32433</v>
      </c>
      <c r="F730" s="3" t="s">
        <v>209</v>
      </c>
      <c r="G730" s="3" t="s">
        <v>115</v>
      </c>
      <c r="H730" s="2" t="s">
        <v>148</v>
      </c>
      <c r="I730" s="2" t="s">
        <v>2287</v>
      </c>
      <c r="J730" s="3" t="str">
        <f>HYPERLINK("https://www.boe.es/gazeta/dias/1811/03/14/pdfs/GMD-1811-73.pdf#page=3","Abrir facsímil")</f>
        <v>Abrir facsímil</v>
      </c>
      <c r="K730" s="3" t="s">
        <v>150</v>
      </c>
    </row>
    <row r="731" spans="1:11" ht="42" customHeight="1">
      <c r="A731" s="2" t="s">
        <v>2288</v>
      </c>
      <c r="B731" s="2" t="s">
        <v>2288</v>
      </c>
      <c r="C731" s="2" t="s">
        <v>17</v>
      </c>
      <c r="D731" s="2" t="s">
        <v>204</v>
      </c>
      <c r="E731" s="4">
        <v>-32323</v>
      </c>
      <c r="F731" s="3" t="s">
        <v>2289</v>
      </c>
      <c r="G731" s="3" t="s">
        <v>846</v>
      </c>
      <c r="H731" s="2" t="s">
        <v>148</v>
      </c>
      <c r="I731" s="2" t="s">
        <v>2290</v>
      </c>
      <c r="J731" s="3" t="str">
        <f>HYPERLINK("https://www.boe.es/gazeta/dias/1811/07/02/pdfs/GMD-1811-183.pdf#page=1","Abrir facsímil")</f>
        <v>Abrir facsímil</v>
      </c>
      <c r="K731" s="3" t="s">
        <v>150</v>
      </c>
    </row>
    <row r="732" spans="1:11" ht="42" customHeight="1">
      <c r="A732" s="2" t="s">
        <v>2291</v>
      </c>
      <c r="B732" s="2" t="s">
        <v>2291</v>
      </c>
      <c r="C732" s="2" t="s">
        <v>17</v>
      </c>
      <c r="D732" s="2" t="s">
        <v>18</v>
      </c>
      <c r="E732" s="4">
        <v>-32149</v>
      </c>
      <c r="F732" s="3" t="s">
        <v>2292</v>
      </c>
      <c r="G732" s="3" t="s">
        <v>183</v>
      </c>
      <c r="H732" s="2" t="s">
        <v>148</v>
      </c>
      <c r="I732" s="2" t="s">
        <v>2293</v>
      </c>
      <c r="J732" s="3" t="str">
        <f>HYPERLINK("https://www.boe.es/gazeta/dias/1811/12/23/pdfs/GMD-1811-357.pdf#page=4","Abrir facsímil")</f>
        <v>Abrir facsímil</v>
      </c>
      <c r="K732" s="3" t="s">
        <v>150</v>
      </c>
    </row>
    <row r="733" spans="1:11" ht="42" customHeight="1">
      <c r="A733" s="2" t="s">
        <v>2294</v>
      </c>
      <c r="B733" s="2" t="s">
        <v>2295</v>
      </c>
      <c r="C733" s="2" t="s">
        <v>26</v>
      </c>
      <c r="D733" s="2" t="s">
        <v>18</v>
      </c>
      <c r="E733" s="4">
        <v>-32179</v>
      </c>
      <c r="F733" s="3" t="s">
        <v>614</v>
      </c>
      <c r="G733" s="3" t="s">
        <v>47</v>
      </c>
      <c r="H733" s="2" t="s">
        <v>148</v>
      </c>
      <c r="I733" s="2" t="s">
        <v>2296</v>
      </c>
      <c r="J733" s="3" t="str">
        <f>HYPERLINK("https://www.boe.es/gazeta/dias/1811/11/23/pdfs/GEI-1811-153.pdf#page=8","Abrir facsímil")</f>
        <v>Abrir facsímil</v>
      </c>
      <c r="K733" s="3" t="s">
        <v>150</v>
      </c>
    </row>
    <row r="734" spans="1:11" ht="42" customHeight="1">
      <c r="A734" s="2" t="s">
        <v>2297</v>
      </c>
      <c r="B734" s="2" t="s">
        <v>2298</v>
      </c>
      <c r="C734" s="2" t="s">
        <v>17</v>
      </c>
      <c r="D734" s="2" t="s">
        <v>18</v>
      </c>
      <c r="E734" s="4">
        <v>-32197</v>
      </c>
      <c r="F734" s="3" t="s">
        <v>687</v>
      </c>
      <c r="G734" s="3" t="s">
        <v>688</v>
      </c>
      <c r="H734" s="2" t="s">
        <v>148</v>
      </c>
      <c r="I734" s="2" t="s">
        <v>2299</v>
      </c>
      <c r="J734" s="3" t="str">
        <f>HYPERLINK("https://www.boe.es/gazeta/dias/1811/11/05/pdfs/GEI-1811-143.pdf#page=7","Abrir facsímil")</f>
        <v>Abrir facsímil</v>
      </c>
      <c r="K734" s="3" t="s">
        <v>150</v>
      </c>
    </row>
    <row r="735" spans="1:11" ht="42" customHeight="1">
      <c r="A735" s="2" t="s">
        <v>2300</v>
      </c>
      <c r="B735" s="2" t="s">
        <v>2301</v>
      </c>
      <c r="C735" s="2" t="s">
        <v>26</v>
      </c>
      <c r="D735" s="2" t="s">
        <v>141</v>
      </c>
      <c r="E735" s="4">
        <v>-32396</v>
      </c>
      <c r="F735" s="3" t="s">
        <v>804</v>
      </c>
      <c r="G735" s="3" t="s">
        <v>805</v>
      </c>
      <c r="H735" s="2" t="s">
        <v>148</v>
      </c>
      <c r="I735" s="2" t="s">
        <v>2302</v>
      </c>
      <c r="J735" s="3" t="str">
        <f>HYPERLINK("https://www.boe.es/gazeta/dias/1811/04/20/pdfs/GEI-D-1811-53.pdf#page=4","Abrir facsímil")</f>
        <v>Abrir facsímil</v>
      </c>
      <c r="K735" s="3" t="s">
        <v>150</v>
      </c>
    </row>
    <row r="736" spans="1:11" ht="42" customHeight="1">
      <c r="A736" s="2" t="s">
        <v>2303</v>
      </c>
      <c r="B736" s="2" t="s">
        <v>2304</v>
      </c>
      <c r="C736" s="2" t="s">
        <v>26</v>
      </c>
      <c r="D736" s="2" t="s">
        <v>18</v>
      </c>
      <c r="E736" s="4">
        <v>-32160</v>
      </c>
      <c r="F736" s="3" t="s">
        <v>1013</v>
      </c>
      <c r="G736" s="3" t="s">
        <v>91</v>
      </c>
      <c r="H736" s="2" t="s">
        <v>148</v>
      </c>
      <c r="I736" s="2" t="s">
        <v>2305</v>
      </c>
      <c r="J736" s="3" t="str">
        <f>HYPERLINK("https://www.boe.es/gazeta/dias/1811/12/12/pdfs/GEI-1811-161.pdf#page=4","Abrir facsímil")</f>
        <v>Abrir facsímil</v>
      </c>
      <c r="K736" s="3" t="s">
        <v>150</v>
      </c>
    </row>
    <row r="737" spans="1:11" ht="42" customHeight="1">
      <c r="A737" s="2" t="s">
        <v>2306</v>
      </c>
      <c r="B737" s="2" t="s">
        <v>2307</v>
      </c>
      <c r="C737" s="2" t="s">
        <v>26</v>
      </c>
      <c r="D737" s="2" t="s">
        <v>141</v>
      </c>
      <c r="E737" s="4">
        <v>-32396</v>
      </c>
      <c r="F737" s="3" t="s">
        <v>804</v>
      </c>
      <c r="G737" s="3" t="s">
        <v>805</v>
      </c>
      <c r="H737" s="2" t="s">
        <v>148</v>
      </c>
      <c r="I737" s="2" t="s">
        <v>2308</v>
      </c>
      <c r="J737" s="3" t="str">
        <f>HYPERLINK("https://www.boe.es/gazeta/dias/1811/04/20/pdfs/GEI-D-1811-53.pdf#page=4","Abrir facsímil")</f>
        <v>Abrir facsímil</v>
      </c>
      <c r="K737" s="3" t="s">
        <v>150</v>
      </c>
    </row>
    <row r="738" spans="1:11" ht="42" customHeight="1">
      <c r="A738" s="2" t="s">
        <v>2309</v>
      </c>
      <c r="B738" s="2" t="s">
        <v>2310</v>
      </c>
      <c r="C738" s="2" t="s">
        <v>26</v>
      </c>
      <c r="D738" s="2" t="s">
        <v>18</v>
      </c>
      <c r="E738" s="4">
        <v>-32237</v>
      </c>
      <c r="F738" s="3" t="s">
        <v>136</v>
      </c>
      <c r="G738" s="3" t="s">
        <v>137</v>
      </c>
      <c r="H738" s="2" t="s">
        <v>148</v>
      </c>
      <c r="I738" s="2" t="s">
        <v>2311</v>
      </c>
      <c r="J738" s="3" t="str">
        <f>HYPERLINK("https://www.boe.es/gazeta/dias/1811/09/26/pdfs/GMD-1811-269.pdf#page=3","Abrir facsímil")</f>
        <v>Abrir facsímil</v>
      </c>
      <c r="K738" s="3" t="s">
        <v>150</v>
      </c>
    </row>
    <row r="739" spans="1:11" ht="42" customHeight="1">
      <c r="A739" s="2" t="s">
        <v>2312</v>
      </c>
      <c r="B739" s="2" t="s">
        <v>2312</v>
      </c>
      <c r="C739" s="2" t="s">
        <v>17</v>
      </c>
      <c r="D739" s="2" t="s">
        <v>18</v>
      </c>
      <c r="E739" s="4">
        <v>-32317</v>
      </c>
      <c r="F739" s="3" t="s">
        <v>2313</v>
      </c>
      <c r="G739" s="3" t="s">
        <v>178</v>
      </c>
      <c r="H739" s="2" t="s">
        <v>148</v>
      </c>
      <c r="I739" s="2" t="s">
        <v>2314</v>
      </c>
      <c r="J739" s="3" t="str">
        <f>HYPERLINK("https://www.boe.es/gazeta/dias/1811/07/08/pdfs/GMD-1811-189.pdf#page=4","Abrir facsímil")</f>
        <v>Abrir facsímil</v>
      </c>
      <c r="K739" s="3" t="s">
        <v>150</v>
      </c>
    </row>
    <row r="740" spans="1:11" ht="42" customHeight="1">
      <c r="A740" s="2" t="s">
        <v>2315</v>
      </c>
      <c r="B740" s="2" t="s">
        <v>2315</v>
      </c>
      <c r="C740" s="2" t="s">
        <v>17</v>
      </c>
      <c r="D740" s="2" t="s">
        <v>204</v>
      </c>
      <c r="E740" s="4">
        <v>-32319</v>
      </c>
      <c r="F740" s="3" t="s">
        <v>2035</v>
      </c>
      <c r="G740" s="3" t="s">
        <v>47</v>
      </c>
      <c r="H740" s="2" t="s">
        <v>148</v>
      </c>
      <c r="I740" s="2" t="s">
        <v>2316</v>
      </c>
      <c r="J740" s="3" t="str">
        <f>HYPERLINK("https://www.boe.es/gazeta/dias/1811/07/06/pdfs/GMD-1811-187.pdf#page=3","Abrir facsímil")</f>
        <v>Abrir facsímil</v>
      </c>
      <c r="K740" s="3" t="s">
        <v>150</v>
      </c>
    </row>
    <row r="741" spans="1:11" ht="42" customHeight="1">
      <c r="A741" s="2" t="s">
        <v>2315</v>
      </c>
      <c r="B741" s="2" t="s">
        <v>2315</v>
      </c>
      <c r="C741" s="2" t="s">
        <v>17</v>
      </c>
      <c r="D741" s="2" t="s">
        <v>18</v>
      </c>
      <c r="E741" s="4">
        <v>-32310</v>
      </c>
      <c r="F741" s="3" t="s">
        <v>2317</v>
      </c>
      <c r="G741" s="3" t="s">
        <v>2318</v>
      </c>
      <c r="H741" s="2" t="s">
        <v>148</v>
      </c>
      <c r="I741" s="2" t="s">
        <v>2319</v>
      </c>
      <c r="J741" s="3" t="str">
        <f>HYPERLINK("https://www.boe.es/gazeta/dias/1811/07/15/pdfs/GMD-1811-196.pdf#page=3","Abrir facsímil")</f>
        <v>Abrir facsímil</v>
      </c>
      <c r="K741" s="3" t="s">
        <v>150</v>
      </c>
    </row>
    <row r="742" spans="1:11" ht="42" customHeight="1">
      <c r="A742" s="2" t="s">
        <v>2320</v>
      </c>
      <c r="B742" s="2" t="s">
        <v>2320</v>
      </c>
      <c r="C742" s="2" t="s">
        <v>17</v>
      </c>
      <c r="D742" s="2" t="s">
        <v>204</v>
      </c>
      <c r="E742" s="4">
        <v>-32326</v>
      </c>
      <c r="F742" s="3" t="s">
        <v>2321</v>
      </c>
      <c r="G742" s="3" t="s">
        <v>2322</v>
      </c>
      <c r="H742" s="2" t="s">
        <v>148</v>
      </c>
      <c r="I742" s="2" t="s">
        <v>2323</v>
      </c>
      <c r="J742" s="3" t="str">
        <f>HYPERLINK("https://www.boe.es/gazeta/dias/1811/06/29/pdfs/GMD-1811-180.pdf#page=1","Abrir facsímil")</f>
        <v>Abrir facsímil</v>
      </c>
      <c r="K742" s="3" t="s">
        <v>150</v>
      </c>
    </row>
    <row r="743" spans="1:11" ht="42" customHeight="1">
      <c r="A743" s="2" t="s">
        <v>2324</v>
      </c>
      <c r="B743" s="2" t="s">
        <v>2325</v>
      </c>
      <c r="C743" s="2" t="s">
        <v>17</v>
      </c>
      <c r="D743" s="2" t="s">
        <v>18</v>
      </c>
      <c r="E743" s="4">
        <v>-32300</v>
      </c>
      <c r="F743" s="3" t="s">
        <v>61</v>
      </c>
      <c r="G743" s="3" t="s">
        <v>62</v>
      </c>
      <c r="H743" s="2" t="s">
        <v>148</v>
      </c>
      <c r="I743" s="2" t="s">
        <v>2326</v>
      </c>
      <c r="J743" s="3" t="str">
        <f>HYPERLINK("https://www.boe.es/gazeta/dias/1811/07/25/pdfs/GEI-1811-97.pdf#page=5","Abrir facsímil")</f>
        <v>Abrir facsímil</v>
      </c>
      <c r="K743" s="3" t="s">
        <v>150</v>
      </c>
    </row>
    <row r="744" spans="1:11" ht="42" customHeight="1">
      <c r="A744" s="2" t="s">
        <v>2327</v>
      </c>
      <c r="B744" s="2" t="s">
        <v>2328</v>
      </c>
      <c r="C744" s="2" t="s">
        <v>37</v>
      </c>
      <c r="D744" s="2" t="s">
        <v>18</v>
      </c>
      <c r="E744" s="4">
        <v>-32323</v>
      </c>
      <c r="F744" s="3" t="s">
        <v>322</v>
      </c>
      <c r="G744" s="3" t="s">
        <v>2164</v>
      </c>
      <c r="H744" s="2" t="s">
        <v>148</v>
      </c>
      <c r="I744" s="2" t="s">
        <v>2329</v>
      </c>
      <c r="J744" s="3" t="str">
        <f>HYPERLINK("https://www.boe.es/gazeta/dias/1811/07/02/pdfs/GEI-1811-87.pdf#page=7","Abrir facsímil")</f>
        <v>Abrir facsímil</v>
      </c>
      <c r="K744" s="3" t="s">
        <v>150</v>
      </c>
    </row>
    <row r="745" spans="1:11" ht="42" customHeight="1">
      <c r="A745" s="2" t="s">
        <v>2330</v>
      </c>
      <c r="B745" s="2" t="s">
        <v>2331</v>
      </c>
      <c r="C745" s="2" t="s">
        <v>26</v>
      </c>
      <c r="D745" s="2" t="s">
        <v>18</v>
      </c>
      <c r="E745" s="4">
        <v>-32351</v>
      </c>
      <c r="F745" s="3" t="s">
        <v>2332</v>
      </c>
      <c r="G745" s="3" t="s">
        <v>44</v>
      </c>
      <c r="H745" s="2" t="s">
        <v>148</v>
      </c>
      <c r="I745" s="2" t="s">
        <v>2333</v>
      </c>
      <c r="J745" s="3" t="str">
        <f>HYPERLINK("https://www.boe.es/gazeta/dias/1811/06/04/pdfs/GMD-1811-155.pdf#page=4","Abrir facsímil")</f>
        <v>Abrir facsímil</v>
      </c>
      <c r="K745" s="3" t="s">
        <v>150</v>
      </c>
    </row>
    <row r="746" spans="1:11" ht="42" customHeight="1">
      <c r="A746" s="2" t="s">
        <v>2334</v>
      </c>
      <c r="B746" s="2" t="s">
        <v>2335</v>
      </c>
      <c r="C746" s="2" t="s">
        <v>17</v>
      </c>
      <c r="D746" s="2" t="s">
        <v>156</v>
      </c>
      <c r="E746" s="4">
        <v>-32428</v>
      </c>
      <c r="F746" s="3" t="s">
        <v>351</v>
      </c>
      <c r="G746" s="3" t="s">
        <v>115</v>
      </c>
      <c r="H746" s="2" t="s">
        <v>148</v>
      </c>
      <c r="I746" s="2" t="s">
        <v>2336</v>
      </c>
      <c r="J746" s="3" t="str">
        <f>HYPERLINK("https://www.boe.es/gazeta/dias/1811/03/19/pdfs/GMD-1811-78.pdf#page=3","Abrir facsímil")</f>
        <v>Abrir facsímil</v>
      </c>
      <c r="K746" s="3" t="s">
        <v>150</v>
      </c>
    </row>
    <row r="747" spans="1:11" ht="42" customHeight="1">
      <c r="A747" s="2" t="s">
        <v>2337</v>
      </c>
      <c r="B747" s="2" t="s">
        <v>2338</v>
      </c>
      <c r="C747" s="2" t="s">
        <v>26</v>
      </c>
      <c r="D747" s="2" t="s">
        <v>18</v>
      </c>
      <c r="E747" s="4">
        <v>-32450</v>
      </c>
      <c r="F747" s="3" t="s">
        <v>794</v>
      </c>
      <c r="G747" s="3" t="s">
        <v>795</v>
      </c>
      <c r="H747" s="2" t="s">
        <v>148</v>
      </c>
      <c r="I747" s="2" t="s">
        <v>2339</v>
      </c>
      <c r="J747" s="3" t="str">
        <f>HYPERLINK("https://www.boe.es/gazeta/dias/1811/02/25/pdfs/GMD-1811-56.pdf#page=3","Abrir facsímil")</f>
        <v>Abrir facsímil</v>
      </c>
      <c r="K747" s="3" t="s">
        <v>150</v>
      </c>
    </row>
    <row r="748" spans="1:11" ht="42" customHeight="1">
      <c r="A748" s="2" t="s">
        <v>2337</v>
      </c>
      <c r="B748" s="2" t="s">
        <v>2338</v>
      </c>
      <c r="C748" s="2" t="s">
        <v>17</v>
      </c>
      <c r="D748" s="2" t="s">
        <v>18</v>
      </c>
      <c r="E748" s="4">
        <v>-32428</v>
      </c>
      <c r="F748" s="3" t="s">
        <v>351</v>
      </c>
      <c r="G748" s="3" t="s">
        <v>57</v>
      </c>
      <c r="H748" s="2" t="s">
        <v>148</v>
      </c>
      <c r="I748" s="2" t="s">
        <v>2340</v>
      </c>
      <c r="J748" s="3" t="str">
        <f>HYPERLINK("https://www.boe.es/gazeta/dias/1811/03/19/pdfs/GMD-1811-78.pdf#page=2","Abrir facsímil")</f>
        <v>Abrir facsímil</v>
      </c>
      <c r="K748" s="3" t="s">
        <v>150</v>
      </c>
    </row>
    <row r="749" spans="1:11" ht="42" customHeight="1">
      <c r="A749" s="2" t="s">
        <v>2337</v>
      </c>
      <c r="B749" s="2" t="s">
        <v>2338</v>
      </c>
      <c r="C749" s="2" t="s">
        <v>26</v>
      </c>
      <c r="D749" s="2" t="s">
        <v>18</v>
      </c>
      <c r="E749" s="4">
        <v>-32428</v>
      </c>
      <c r="F749" s="3" t="s">
        <v>351</v>
      </c>
      <c r="G749" s="3" t="s">
        <v>115</v>
      </c>
      <c r="H749" s="2" t="s">
        <v>148</v>
      </c>
      <c r="I749" s="2" t="s">
        <v>2341</v>
      </c>
      <c r="J749" s="3" t="str">
        <f>HYPERLINK("https://www.boe.es/gazeta/dias/1811/03/19/pdfs/GMD-1811-78.pdf#page=3","Abrir facsímil")</f>
        <v>Abrir facsímil</v>
      </c>
      <c r="K749" s="3" t="s">
        <v>150</v>
      </c>
    </row>
    <row r="750" spans="1:11" ht="42" customHeight="1">
      <c r="A750" s="2" t="s">
        <v>2337</v>
      </c>
      <c r="B750" s="2" t="s">
        <v>2338</v>
      </c>
      <c r="C750" s="2" t="s">
        <v>17</v>
      </c>
      <c r="D750" s="2" t="s">
        <v>156</v>
      </c>
      <c r="E750" s="4">
        <v>-32355</v>
      </c>
      <c r="F750" s="3" t="s">
        <v>2342</v>
      </c>
      <c r="G750" s="3" t="s">
        <v>20</v>
      </c>
      <c r="H750" s="2" t="s">
        <v>148</v>
      </c>
      <c r="I750" s="2" t="s">
        <v>2343</v>
      </c>
      <c r="J750" s="3" t="str">
        <f>HYPERLINK("https://www.boe.es/gazeta/dias/1811/05/31/pdfs/GMD-1811-151.pdf#page=4","Abrir facsímil")</f>
        <v>Abrir facsímil</v>
      </c>
      <c r="K750" s="3" t="s">
        <v>150</v>
      </c>
    </row>
    <row r="751" spans="1:11" ht="42" customHeight="1">
      <c r="A751" s="2" t="s">
        <v>2337</v>
      </c>
      <c r="B751" s="2" t="s">
        <v>2338</v>
      </c>
      <c r="C751" s="2" t="s">
        <v>26</v>
      </c>
      <c r="D751" s="2" t="s">
        <v>18</v>
      </c>
      <c r="E751" s="4">
        <v>-32321</v>
      </c>
      <c r="F751" s="3" t="s">
        <v>2344</v>
      </c>
      <c r="G751" s="3" t="s">
        <v>178</v>
      </c>
      <c r="H751" s="2" t="s">
        <v>148</v>
      </c>
      <c r="I751" s="2" t="s">
        <v>2345</v>
      </c>
      <c r="J751" s="3" t="str">
        <f>HYPERLINK("https://www.boe.es/gazeta/dias/1811/07/04/pdfs/GMD-1811-185.pdf#page=4","Abrir facsímil")</f>
        <v>Abrir facsímil</v>
      </c>
      <c r="K751" s="3" t="s">
        <v>150</v>
      </c>
    </row>
    <row r="752" spans="1:11" ht="42" customHeight="1">
      <c r="A752" s="2" t="s">
        <v>2337</v>
      </c>
      <c r="B752" s="2" t="s">
        <v>2338</v>
      </c>
      <c r="C752" s="2" t="s">
        <v>17</v>
      </c>
      <c r="D752" s="2" t="s">
        <v>18</v>
      </c>
      <c r="E752" s="4">
        <v>-32279</v>
      </c>
      <c r="F752" s="3" t="s">
        <v>540</v>
      </c>
      <c r="G752" s="3" t="s">
        <v>20</v>
      </c>
      <c r="H752" s="2" t="s">
        <v>148</v>
      </c>
      <c r="I752" s="2" t="s">
        <v>2346</v>
      </c>
      <c r="J752" s="3" t="str">
        <f>HYPERLINK("https://www.boe.es/gazeta/dias/1811/08/15/pdfs/GMD-1811-227.pdf#page=4","Abrir facsímil")</f>
        <v>Abrir facsímil</v>
      </c>
      <c r="K752" s="3" t="s">
        <v>150</v>
      </c>
    </row>
    <row r="753" spans="1:11" ht="42" customHeight="1">
      <c r="A753" s="2" t="s">
        <v>2337</v>
      </c>
      <c r="B753" s="2" t="s">
        <v>2338</v>
      </c>
      <c r="C753" s="2" t="s">
        <v>26</v>
      </c>
      <c r="D753" s="2" t="s">
        <v>18</v>
      </c>
      <c r="E753" s="4">
        <v>-32225</v>
      </c>
      <c r="F753" s="3" t="s">
        <v>2347</v>
      </c>
      <c r="G753" s="3" t="s">
        <v>1087</v>
      </c>
      <c r="H753" s="2" t="s">
        <v>148</v>
      </c>
      <c r="I753" s="2" t="s">
        <v>2348</v>
      </c>
      <c r="J753" s="3" t="str">
        <f>HYPERLINK("https://www.boe.es/gazeta/dias/1811/10/08/pdfs/GMD-1811-281.pdf#page=4","Abrir facsímil")</f>
        <v>Abrir facsímil</v>
      </c>
      <c r="K753" s="3" t="s">
        <v>150</v>
      </c>
    </row>
    <row r="754" spans="1:11" ht="42" customHeight="1">
      <c r="A754" s="2" t="s">
        <v>2337</v>
      </c>
      <c r="B754" s="2" t="s">
        <v>2338</v>
      </c>
      <c r="C754" s="2" t="s">
        <v>26</v>
      </c>
      <c r="D754" s="2" t="s">
        <v>18</v>
      </c>
      <c r="E754" s="4">
        <v>-32204</v>
      </c>
      <c r="F754" s="3" t="s">
        <v>177</v>
      </c>
      <c r="G754" s="3" t="s">
        <v>178</v>
      </c>
      <c r="H754" s="2" t="s">
        <v>148</v>
      </c>
      <c r="I754" s="2" t="s">
        <v>2349</v>
      </c>
      <c r="J754" s="3" t="str">
        <f>HYPERLINK("https://www.boe.es/gazeta/dias/1811/10/29/pdfs/GMD-1811-302.pdf#page=4","Abrir facsímil")</f>
        <v>Abrir facsímil</v>
      </c>
      <c r="K754" s="3" t="s">
        <v>150</v>
      </c>
    </row>
    <row r="755" spans="1:11" ht="42" customHeight="1">
      <c r="A755" s="2" t="s">
        <v>2350</v>
      </c>
      <c r="B755" s="2" t="s">
        <v>2351</v>
      </c>
      <c r="C755" s="2" t="s">
        <v>26</v>
      </c>
      <c r="D755" s="2" t="s">
        <v>18</v>
      </c>
      <c r="E755" s="4">
        <v>-32179</v>
      </c>
      <c r="F755" s="3" t="s">
        <v>614</v>
      </c>
      <c r="G755" s="3" t="s">
        <v>47</v>
      </c>
      <c r="H755" s="2" t="s">
        <v>148</v>
      </c>
      <c r="I755" s="2" t="s">
        <v>2352</v>
      </c>
      <c r="J755" s="3" t="str">
        <f>HYPERLINK("https://www.boe.es/gazeta/dias/1811/11/23/pdfs/GEI-1811-153.pdf#page=8","Abrir facsímil")</f>
        <v>Abrir facsímil</v>
      </c>
      <c r="K755" s="3" t="s">
        <v>150</v>
      </c>
    </row>
    <row r="756" spans="1:11" ht="42" customHeight="1">
      <c r="A756" s="2" t="s">
        <v>2353</v>
      </c>
      <c r="B756" s="2" t="s">
        <v>2353</v>
      </c>
      <c r="C756" s="2" t="s">
        <v>17</v>
      </c>
      <c r="D756" s="2" t="s">
        <v>204</v>
      </c>
      <c r="E756" s="4">
        <v>-32442</v>
      </c>
      <c r="F756" s="3" t="s">
        <v>2354</v>
      </c>
      <c r="G756" s="3" t="s">
        <v>57</v>
      </c>
      <c r="H756" s="2" t="s">
        <v>148</v>
      </c>
      <c r="I756" s="2" t="s">
        <v>2355</v>
      </c>
      <c r="J756" s="3" t="str">
        <f>HYPERLINK("https://www.boe.es/gazeta/dias/1811/03/05/pdfs/GMD-1811-64.pdf#page=2","Abrir facsímil")</f>
        <v>Abrir facsímil</v>
      </c>
      <c r="K756" s="3" t="s">
        <v>150</v>
      </c>
    </row>
    <row r="757" spans="1:11" ht="42" customHeight="1">
      <c r="A757" s="2" t="s">
        <v>2356</v>
      </c>
      <c r="B757" s="2" t="s">
        <v>2356</v>
      </c>
      <c r="C757" s="2" t="s">
        <v>104</v>
      </c>
      <c r="D757" s="2" t="s">
        <v>18</v>
      </c>
      <c r="E757" s="4">
        <v>-32379</v>
      </c>
      <c r="F757" s="3" t="s">
        <v>2357</v>
      </c>
      <c r="G757" s="3" t="s">
        <v>468</v>
      </c>
      <c r="H757" s="2" t="s">
        <v>21</v>
      </c>
      <c r="I757" s="2" t="s">
        <v>2358</v>
      </c>
      <c r="J757" s="3" t="str">
        <f>HYPERLINK("https://www.boe.es/gazeta/dias/1811/05/07/pdfs/GMD-1811-127.pdf#page=1","Abrir facsímil")</f>
        <v>Abrir facsímil</v>
      </c>
      <c r="K757" s="3" t="s">
        <v>23</v>
      </c>
    </row>
    <row r="758" spans="1:11" ht="42" customHeight="1">
      <c r="A758" s="2" t="s">
        <v>2356</v>
      </c>
      <c r="B758" s="2" t="s">
        <v>2356</v>
      </c>
      <c r="C758" s="2" t="s">
        <v>122</v>
      </c>
      <c r="D758" s="2" t="s">
        <v>18</v>
      </c>
      <c r="E758" s="4">
        <v>-32326</v>
      </c>
      <c r="F758" s="3" t="s">
        <v>2321</v>
      </c>
      <c r="G758" s="3" t="s">
        <v>91</v>
      </c>
      <c r="H758" s="2" t="s">
        <v>21</v>
      </c>
      <c r="I758" s="2" t="s">
        <v>2359</v>
      </c>
      <c r="J758" s="3" t="str">
        <f>HYPERLINK("https://www.boe.es/gazeta/dias/1811/06/29/pdfs/GMD-1811-180.pdf#page=2","Abrir facsímil")</f>
        <v>Abrir facsímil</v>
      </c>
      <c r="K758" s="3" t="s">
        <v>23</v>
      </c>
    </row>
    <row r="759" spans="1:11" ht="42" customHeight="1">
      <c r="A759" s="2" t="s">
        <v>2360</v>
      </c>
      <c r="B759" s="2" t="s">
        <v>2361</v>
      </c>
      <c r="C759" s="2" t="s">
        <v>26</v>
      </c>
      <c r="D759" s="2" t="s">
        <v>18</v>
      </c>
      <c r="E759" s="4">
        <v>-32153</v>
      </c>
      <c r="F759" s="3" t="s">
        <v>123</v>
      </c>
      <c r="G759" s="3" t="s">
        <v>1067</v>
      </c>
      <c r="H759" s="2" t="s">
        <v>148</v>
      </c>
      <c r="I759" s="2" t="s">
        <v>2362</v>
      </c>
      <c r="J759" s="3" t="str">
        <f>HYPERLINK("https://www.boe.es/gazeta/dias/1811/12/19/pdfs/GMD-1811-353.pdf#page=5","Abrir facsímil")</f>
        <v>Abrir facsímil</v>
      </c>
      <c r="K759" s="3" t="s">
        <v>150</v>
      </c>
    </row>
    <row r="760" spans="1:11" ht="42" customHeight="1">
      <c r="A760" s="2" t="s">
        <v>2363</v>
      </c>
      <c r="B760" s="2" t="s">
        <v>2364</v>
      </c>
      <c r="C760" s="2" t="s">
        <v>26</v>
      </c>
      <c r="D760" s="2" t="s">
        <v>18</v>
      </c>
      <c r="E760" s="4">
        <v>-32505</v>
      </c>
      <c r="F760" s="3" t="s">
        <v>475</v>
      </c>
      <c r="G760" s="3" t="s">
        <v>183</v>
      </c>
      <c r="H760" s="2" t="s">
        <v>148</v>
      </c>
      <c r="I760" s="2" t="s">
        <v>2365</v>
      </c>
      <c r="J760" s="3" t="str">
        <f>HYPERLINK("https://www.boe.es/gazeta/dias/1811/01/01/pdfs/GEI-1811-1.pdf#page=4","Abrir facsímil")</f>
        <v>Abrir facsímil</v>
      </c>
      <c r="K760" s="3" t="s">
        <v>150</v>
      </c>
    </row>
    <row r="761" spans="1:11" ht="42" customHeight="1">
      <c r="A761" s="2" t="s">
        <v>2366</v>
      </c>
      <c r="B761" s="2" t="s">
        <v>2367</v>
      </c>
      <c r="C761" s="2" t="s">
        <v>37</v>
      </c>
      <c r="D761" s="2" t="s">
        <v>18</v>
      </c>
      <c r="E761" s="4">
        <v>-32407</v>
      </c>
      <c r="F761" s="3" t="s">
        <v>38</v>
      </c>
      <c r="G761" s="3" t="s">
        <v>480</v>
      </c>
      <c r="H761" s="2" t="s">
        <v>148</v>
      </c>
      <c r="I761" s="2" t="s">
        <v>2368</v>
      </c>
      <c r="J761" s="3" t="str">
        <f>HYPERLINK("https://www.boe.es/gazeta/dias/1811/04/09/pdfs/GEI-1811-48.pdf#page=4","Abrir facsímil")</f>
        <v>Abrir facsímil</v>
      </c>
      <c r="K761" s="3" t="s">
        <v>150</v>
      </c>
    </row>
    <row r="762" spans="1:11" ht="42" customHeight="1">
      <c r="A762" s="2" t="s">
        <v>2369</v>
      </c>
      <c r="B762" s="2" t="s">
        <v>2370</v>
      </c>
      <c r="C762" s="2" t="s">
        <v>26</v>
      </c>
      <c r="D762" s="2" t="s">
        <v>18</v>
      </c>
      <c r="E762" s="4">
        <v>-32344</v>
      </c>
      <c r="F762" s="3" t="s">
        <v>761</v>
      </c>
      <c r="G762" s="3" t="s">
        <v>2371</v>
      </c>
      <c r="H762" s="2" t="s">
        <v>148</v>
      </c>
      <c r="I762" s="2" t="s">
        <v>2372</v>
      </c>
      <c r="J762" s="3" t="str">
        <f>HYPERLINK("https://www.boe.es/gazeta/dias/1811/06/11/pdfs/GEI-1811-78.pdf#page=2","Abrir facsímil")</f>
        <v>Abrir facsímil</v>
      </c>
      <c r="K762" s="3" t="s">
        <v>150</v>
      </c>
    </row>
    <row r="763" spans="1:11" ht="42" customHeight="1">
      <c r="A763" s="2" t="s">
        <v>2373</v>
      </c>
      <c r="B763" s="2" t="s">
        <v>2374</v>
      </c>
      <c r="C763" s="2" t="s">
        <v>26</v>
      </c>
      <c r="D763" s="2" t="s">
        <v>18</v>
      </c>
      <c r="E763" s="4">
        <v>-32265</v>
      </c>
      <c r="F763" s="3" t="s">
        <v>2375</v>
      </c>
      <c r="G763" s="3" t="s">
        <v>2376</v>
      </c>
      <c r="H763" s="2" t="s">
        <v>148</v>
      </c>
      <c r="I763" s="2" t="s">
        <v>2377</v>
      </c>
      <c r="J763" s="3" t="str">
        <f>HYPERLINK("https://www.boe.es/gazeta/dias/1811/08/29/pdfs/GEI-1811-112.pdf#page=5","Abrir facsímil")</f>
        <v>Abrir facsímil</v>
      </c>
      <c r="K763" s="3" t="s">
        <v>150</v>
      </c>
    </row>
    <row r="764" spans="1:11" ht="42" customHeight="1">
      <c r="A764" s="2" t="s">
        <v>2378</v>
      </c>
      <c r="B764" s="2" t="s">
        <v>2378</v>
      </c>
      <c r="C764" s="2" t="s">
        <v>17</v>
      </c>
      <c r="D764" s="2" t="s">
        <v>156</v>
      </c>
      <c r="E764" s="4">
        <v>-32407</v>
      </c>
      <c r="F764" s="3" t="s">
        <v>38</v>
      </c>
      <c r="G764" s="3" t="s">
        <v>2379</v>
      </c>
      <c r="H764" s="2" t="s">
        <v>148</v>
      </c>
      <c r="I764" s="2" t="s">
        <v>2380</v>
      </c>
      <c r="J764" s="3" t="str">
        <f>HYPERLINK("https://www.boe.es/gazeta/dias/1811/04/09/pdfs/GEI-1811-48.pdf#page=10","Abrir facsímil")</f>
        <v>Abrir facsímil</v>
      </c>
      <c r="K764" s="3" t="s">
        <v>150</v>
      </c>
    </row>
    <row r="765" spans="1:11" ht="42" customHeight="1">
      <c r="A765" s="2" t="s">
        <v>2381</v>
      </c>
      <c r="B765" s="2" t="s">
        <v>2381</v>
      </c>
      <c r="C765" s="2" t="s">
        <v>17</v>
      </c>
      <c r="D765" s="2" t="s">
        <v>18</v>
      </c>
      <c r="E765" s="4">
        <v>-32188</v>
      </c>
      <c r="F765" s="3" t="s">
        <v>74</v>
      </c>
      <c r="G765" s="3" t="s">
        <v>488</v>
      </c>
      <c r="H765" s="2" t="s">
        <v>148</v>
      </c>
      <c r="I765" s="2" t="s">
        <v>2382</v>
      </c>
      <c r="J765" s="3" t="str">
        <f>HYPERLINK("https://www.boe.es/gazeta/dias/1811/11/14/pdfs/GEI-1811-149.pdf#page=2","Abrir facsímil")</f>
        <v>Abrir facsímil</v>
      </c>
      <c r="K765" s="3" t="s">
        <v>150</v>
      </c>
    </row>
    <row r="766" spans="1:11" ht="42" customHeight="1">
      <c r="A766" s="2" t="s">
        <v>2383</v>
      </c>
      <c r="B766" s="2" t="s">
        <v>2383</v>
      </c>
      <c r="C766" s="2" t="s">
        <v>17</v>
      </c>
      <c r="D766" s="2" t="s">
        <v>18</v>
      </c>
      <c r="E766" s="4">
        <v>-32386</v>
      </c>
      <c r="F766" s="3" t="s">
        <v>1934</v>
      </c>
      <c r="G766" s="3" t="s">
        <v>2384</v>
      </c>
      <c r="H766" s="2" t="s">
        <v>148</v>
      </c>
      <c r="I766" s="2" t="s">
        <v>2385</v>
      </c>
      <c r="J766" s="3" t="str">
        <f>HYPERLINK("https://www.boe.es/gazeta/dias/1811/04/30/pdfs/GEI-1811-57.pdf#page=5","Abrir facsímil")</f>
        <v>Abrir facsímil</v>
      </c>
      <c r="K766" s="3" t="s">
        <v>150</v>
      </c>
    </row>
    <row r="767" spans="1:11" ht="42" customHeight="1">
      <c r="A767" s="2" t="s">
        <v>2386</v>
      </c>
      <c r="B767" s="2" t="s">
        <v>2387</v>
      </c>
      <c r="C767" s="2" t="s">
        <v>17</v>
      </c>
      <c r="D767" s="2" t="s">
        <v>18</v>
      </c>
      <c r="E767" s="4">
        <v>-32300</v>
      </c>
      <c r="F767" s="3" t="s">
        <v>61</v>
      </c>
      <c r="G767" s="3" t="s">
        <v>221</v>
      </c>
      <c r="H767" s="2" t="s">
        <v>148</v>
      </c>
      <c r="I767" s="2" t="s">
        <v>2388</v>
      </c>
      <c r="J767" s="3" t="str">
        <f>HYPERLINK("https://www.boe.es/gazeta/dias/1811/07/25/pdfs/GEI-1811-97.pdf#page=4","Abrir facsímil")</f>
        <v>Abrir facsímil</v>
      </c>
      <c r="K767" s="3" t="s">
        <v>150</v>
      </c>
    </row>
    <row r="768" spans="1:11" ht="42" customHeight="1">
      <c r="A768" s="2" t="s">
        <v>2389</v>
      </c>
      <c r="B768" s="2" t="s">
        <v>2389</v>
      </c>
      <c r="C768" s="2" t="s">
        <v>17</v>
      </c>
      <c r="D768" s="2" t="s">
        <v>18</v>
      </c>
      <c r="E768" s="4">
        <v>-32197</v>
      </c>
      <c r="F768" s="3" t="s">
        <v>2390</v>
      </c>
      <c r="G768" s="3" t="s">
        <v>1433</v>
      </c>
      <c r="H768" s="2" t="s">
        <v>148</v>
      </c>
      <c r="I768" s="2" t="s">
        <v>2391</v>
      </c>
      <c r="J768" s="3" t="str">
        <f>HYPERLINK("https://www.boe.es/gazeta/dias/1811/11/05/pdfs/GMD-1811-309.pdf#page=4","Abrir facsímil")</f>
        <v>Abrir facsímil</v>
      </c>
      <c r="K768" s="3" t="s">
        <v>150</v>
      </c>
    </row>
    <row r="769" spans="1:11" ht="42" customHeight="1">
      <c r="A769" s="2" t="s">
        <v>2392</v>
      </c>
      <c r="B769" s="2" t="s">
        <v>2392</v>
      </c>
      <c r="C769" s="2" t="s">
        <v>17</v>
      </c>
      <c r="D769" s="2" t="s">
        <v>105</v>
      </c>
      <c r="E769" s="4">
        <v>-32396</v>
      </c>
      <c r="F769" s="3" t="s">
        <v>2393</v>
      </c>
      <c r="G769" s="3" t="s">
        <v>2394</v>
      </c>
      <c r="H769" s="2" t="s">
        <v>148</v>
      </c>
      <c r="I769" s="2" t="s">
        <v>2395</v>
      </c>
      <c r="J769" s="3" t="str">
        <f>HYPERLINK("https://www.boe.es/gazeta/dias/1811/04/20/pdfs/GEI-1811-53.pdf#page=7","Abrir facsímil")</f>
        <v>Abrir facsímil</v>
      </c>
      <c r="K769" s="3" t="s">
        <v>150</v>
      </c>
    </row>
    <row r="770" spans="1:11" ht="42" customHeight="1">
      <c r="A770" s="2" t="s">
        <v>2392</v>
      </c>
      <c r="B770" s="2" t="s">
        <v>2392</v>
      </c>
      <c r="C770" s="2" t="s">
        <v>17</v>
      </c>
      <c r="D770" s="2" t="s">
        <v>156</v>
      </c>
      <c r="E770" s="4">
        <v>-32356</v>
      </c>
      <c r="F770" s="3" t="s">
        <v>1992</v>
      </c>
      <c r="G770" s="3" t="s">
        <v>2396</v>
      </c>
      <c r="H770" s="2" t="s">
        <v>148</v>
      </c>
      <c r="I770" s="2" t="s">
        <v>2397</v>
      </c>
      <c r="J770" s="3" t="str">
        <f>HYPERLINK("https://www.boe.es/gazeta/dias/1811/05/30/pdfs/GEI-1811-73.pdf#page=6","Abrir facsímil")</f>
        <v>Abrir facsímil</v>
      </c>
      <c r="K770" s="3" t="s">
        <v>150</v>
      </c>
    </row>
    <row r="771" spans="1:11" ht="42" customHeight="1">
      <c r="A771" s="2" t="s">
        <v>2398</v>
      </c>
      <c r="B771" s="2" t="s">
        <v>2398</v>
      </c>
      <c r="C771" s="2" t="s">
        <v>26</v>
      </c>
      <c r="D771" s="2" t="s">
        <v>105</v>
      </c>
      <c r="E771" s="4">
        <v>-32431</v>
      </c>
      <c r="F771" s="3" t="s">
        <v>668</v>
      </c>
      <c r="G771" s="3" t="s">
        <v>1930</v>
      </c>
      <c r="H771" s="2" t="s">
        <v>148</v>
      </c>
      <c r="I771" s="2" t="s">
        <v>2399</v>
      </c>
      <c r="J771" s="3" t="str">
        <f>HYPERLINK("https://www.boe.es/gazeta/dias/1811/03/16/pdfs/GMD-1811-75.pdf#page=2","Abrir facsímil")</f>
        <v>Abrir facsímil</v>
      </c>
      <c r="K771" s="3" t="s">
        <v>150</v>
      </c>
    </row>
    <row r="772" spans="1:11" ht="42" customHeight="1">
      <c r="A772" s="2" t="s">
        <v>2400</v>
      </c>
      <c r="B772" s="2" t="s">
        <v>2401</v>
      </c>
      <c r="C772" s="2" t="s">
        <v>26</v>
      </c>
      <c r="D772" s="2" t="s">
        <v>18</v>
      </c>
      <c r="E772" s="4">
        <v>-32210</v>
      </c>
      <c r="F772" s="3" t="s">
        <v>1737</v>
      </c>
      <c r="G772" s="3" t="s">
        <v>248</v>
      </c>
      <c r="H772" s="2" t="s">
        <v>148</v>
      </c>
      <c r="I772" s="2" t="s">
        <v>2402</v>
      </c>
      <c r="J772" s="3" t="str">
        <f>HYPERLINK("https://www.boe.es/gazeta/dias/1811/10/23/pdfs/GMD-1811-296.pdf#page=5","Abrir facsímil")</f>
        <v>Abrir facsímil</v>
      </c>
      <c r="K772" s="3" t="s">
        <v>150</v>
      </c>
    </row>
    <row r="773" spans="1:11" ht="42" customHeight="1">
      <c r="A773" s="2" t="s">
        <v>2403</v>
      </c>
      <c r="B773" s="2" t="s">
        <v>2403</v>
      </c>
      <c r="C773" s="2" t="s">
        <v>26</v>
      </c>
      <c r="D773" s="2" t="s">
        <v>18</v>
      </c>
      <c r="E773" s="4">
        <v>-32330</v>
      </c>
      <c r="F773" s="3" t="s">
        <v>1997</v>
      </c>
      <c r="G773" s="3" t="s">
        <v>2404</v>
      </c>
      <c r="H773" s="2" t="s">
        <v>148</v>
      </c>
      <c r="I773" s="2" t="s">
        <v>2405</v>
      </c>
      <c r="J773" s="3" t="str">
        <f>HYPERLINK("https://www.boe.es/gazeta/dias/1811/06/25/pdfs/GMD-1811-176.pdf#page=4","Abrir facsímil")</f>
        <v>Abrir facsímil</v>
      </c>
      <c r="K773" s="3" t="s">
        <v>150</v>
      </c>
    </row>
    <row r="774" spans="1:11" ht="42" customHeight="1">
      <c r="A774" s="2" t="s">
        <v>2406</v>
      </c>
      <c r="B774" s="2" t="s">
        <v>2406</v>
      </c>
      <c r="C774" s="2" t="s">
        <v>17</v>
      </c>
      <c r="D774" s="2" t="s">
        <v>18</v>
      </c>
      <c r="E774" s="4">
        <v>-32490</v>
      </c>
      <c r="F774" s="3" t="s">
        <v>2407</v>
      </c>
      <c r="G774" s="3" t="s">
        <v>2408</v>
      </c>
      <c r="H774" s="2" t="s">
        <v>148</v>
      </c>
      <c r="I774" s="2" t="s">
        <v>2409</v>
      </c>
      <c r="J774" s="3" t="str">
        <f>HYPERLINK("https://www.boe.es/gazeta/dias/1811/01/16/pdfs/GMD-1811-16.pdf#page=2","Abrir facsímil")</f>
        <v>Abrir facsímil</v>
      </c>
      <c r="K774" s="3" t="s">
        <v>150</v>
      </c>
    </row>
    <row r="775" spans="1:11" ht="42" customHeight="1">
      <c r="A775" s="2" t="s">
        <v>2410</v>
      </c>
      <c r="B775" s="2" t="s">
        <v>2411</v>
      </c>
      <c r="C775" s="2" t="s">
        <v>17</v>
      </c>
      <c r="D775" s="2" t="s">
        <v>18</v>
      </c>
      <c r="E775" s="4">
        <v>-32260</v>
      </c>
      <c r="F775" s="3" t="s">
        <v>27</v>
      </c>
      <c r="G775" s="3" t="s">
        <v>183</v>
      </c>
      <c r="H775" s="2" t="s">
        <v>148</v>
      </c>
      <c r="I775" s="2" t="s">
        <v>2412</v>
      </c>
      <c r="J775" s="3" t="str">
        <f>HYPERLINK("https://www.boe.es/gazeta/dias/1811/09/03/pdfs/GEI-1811-114.pdf#page=4","Abrir facsímil")</f>
        <v>Abrir facsímil</v>
      </c>
      <c r="K775" s="3" t="s">
        <v>150</v>
      </c>
    </row>
    <row r="776" spans="1:11" ht="42" customHeight="1">
      <c r="A776" s="2" t="s">
        <v>2413</v>
      </c>
      <c r="B776" s="2" t="s">
        <v>2414</v>
      </c>
      <c r="C776" s="2" t="s">
        <v>17</v>
      </c>
      <c r="D776" s="2" t="s">
        <v>18</v>
      </c>
      <c r="E776" s="4">
        <v>-32300</v>
      </c>
      <c r="F776" s="3" t="s">
        <v>61</v>
      </c>
      <c r="G776" s="3" t="s">
        <v>221</v>
      </c>
      <c r="H776" s="2" t="s">
        <v>148</v>
      </c>
      <c r="I776" s="2" t="s">
        <v>2415</v>
      </c>
      <c r="J776" s="3" t="str">
        <f>HYPERLINK("https://www.boe.es/gazeta/dias/1811/07/25/pdfs/GEI-1811-97.pdf#page=4","Abrir facsímil")</f>
        <v>Abrir facsímil</v>
      </c>
      <c r="K776" s="3" t="s">
        <v>150</v>
      </c>
    </row>
    <row r="777" spans="1:11" ht="42" customHeight="1">
      <c r="A777" s="2" t="s">
        <v>2416</v>
      </c>
      <c r="B777" s="2" t="s">
        <v>2417</v>
      </c>
      <c r="C777" s="2" t="s">
        <v>26</v>
      </c>
      <c r="D777" s="2" t="s">
        <v>18</v>
      </c>
      <c r="E777" s="4">
        <v>-32230</v>
      </c>
      <c r="F777" s="3" t="s">
        <v>625</v>
      </c>
      <c r="G777" s="3" t="s">
        <v>162</v>
      </c>
      <c r="H777" s="2" t="s">
        <v>148</v>
      </c>
      <c r="I777" s="2" t="s">
        <v>2418</v>
      </c>
      <c r="J777" s="3" t="str">
        <f>HYPERLINK("https://www.boe.es/gazeta/dias/1811/10/03/pdfs/GEI-1811-127.pdf#page=7","Abrir facsímil")</f>
        <v>Abrir facsímil</v>
      </c>
      <c r="K777" s="3" t="s">
        <v>150</v>
      </c>
    </row>
    <row r="778" spans="1:11" ht="42" customHeight="1">
      <c r="A778" s="2" t="s">
        <v>2419</v>
      </c>
      <c r="B778" s="2" t="s">
        <v>2420</v>
      </c>
      <c r="C778" s="2" t="s">
        <v>17</v>
      </c>
      <c r="D778" s="2" t="s">
        <v>18</v>
      </c>
      <c r="E778" s="4">
        <v>-32480</v>
      </c>
      <c r="F778" s="3" t="s">
        <v>2421</v>
      </c>
      <c r="G778" s="3" t="s">
        <v>20</v>
      </c>
      <c r="H778" s="2" t="s">
        <v>148</v>
      </c>
      <c r="I778" s="2" t="s">
        <v>2422</v>
      </c>
      <c r="J778" s="3" t="str">
        <f>HYPERLINK("https://www.boe.es/gazeta/dias/1811/01/26/pdfs/GMD-1811-26.pdf#page=4","Abrir facsímil")</f>
        <v>Abrir facsímil</v>
      </c>
      <c r="K778" s="3" t="s">
        <v>150</v>
      </c>
    </row>
    <row r="779" spans="1:11" ht="42" customHeight="1">
      <c r="A779" s="2" t="s">
        <v>2423</v>
      </c>
      <c r="B779" s="2" t="s">
        <v>2424</v>
      </c>
      <c r="C779" s="2" t="s">
        <v>26</v>
      </c>
      <c r="D779" s="2" t="s">
        <v>18</v>
      </c>
      <c r="E779" s="4">
        <v>-32480</v>
      </c>
      <c r="F779" s="3" t="s">
        <v>2421</v>
      </c>
      <c r="G779" s="3" t="s">
        <v>20</v>
      </c>
      <c r="H779" s="2" t="s">
        <v>148</v>
      </c>
      <c r="I779" s="2" t="s">
        <v>2425</v>
      </c>
      <c r="J779" s="3" t="str">
        <f>HYPERLINK("https://www.boe.es/gazeta/dias/1811/01/26/pdfs/GMD-1811-26.pdf#page=4","Abrir facsímil")</f>
        <v>Abrir facsímil</v>
      </c>
      <c r="K779" s="3" t="s">
        <v>150</v>
      </c>
    </row>
    <row r="780" spans="1:11" ht="42" customHeight="1">
      <c r="A780" s="2" t="s">
        <v>2426</v>
      </c>
      <c r="B780" s="2" t="s">
        <v>2426</v>
      </c>
      <c r="C780" s="2" t="s">
        <v>26</v>
      </c>
      <c r="D780" s="2" t="s">
        <v>18</v>
      </c>
      <c r="E780" s="4">
        <v>-32211</v>
      </c>
      <c r="F780" s="3" t="s">
        <v>1230</v>
      </c>
      <c r="G780" s="3" t="s">
        <v>377</v>
      </c>
      <c r="H780" s="2" t="s">
        <v>148</v>
      </c>
      <c r="I780" s="2" t="s">
        <v>2427</v>
      </c>
      <c r="J780" s="3" t="str">
        <f>HYPERLINK("https://www.boe.es/gazeta/dias/1811/10/22/pdfs/GMD-1811-295.pdf#page=4","Abrir facsímil")</f>
        <v>Abrir facsímil</v>
      </c>
      <c r="K780" s="3" t="s">
        <v>150</v>
      </c>
    </row>
    <row r="781" spans="1:11" ht="42" customHeight="1">
      <c r="A781" s="2" t="s">
        <v>2428</v>
      </c>
      <c r="B781" s="2" t="s">
        <v>2428</v>
      </c>
      <c r="C781" s="2" t="s">
        <v>26</v>
      </c>
      <c r="D781" s="2" t="s">
        <v>18</v>
      </c>
      <c r="E781" s="4">
        <v>-32461</v>
      </c>
      <c r="F781" s="3" t="s">
        <v>2429</v>
      </c>
      <c r="G781" s="3" t="s">
        <v>2430</v>
      </c>
      <c r="H781" s="2" t="s">
        <v>148</v>
      </c>
      <c r="I781" s="2" t="s">
        <v>2431</v>
      </c>
      <c r="J781" s="3" t="str">
        <f>HYPERLINK("https://www.boe.es/gazeta/dias/1811/02/14/pdfs/GEI-1811-20.pdf#page=4","Abrir facsímil")</f>
        <v>Abrir facsímil</v>
      </c>
      <c r="K781" s="3" t="s">
        <v>150</v>
      </c>
    </row>
    <row r="782" spans="1:11" ht="42" customHeight="1">
      <c r="A782" s="2" t="s">
        <v>2432</v>
      </c>
      <c r="B782" s="2" t="s">
        <v>2433</v>
      </c>
      <c r="C782" s="2" t="s">
        <v>84</v>
      </c>
      <c r="D782" s="2" t="s">
        <v>105</v>
      </c>
      <c r="E782" s="4">
        <v>-32162</v>
      </c>
      <c r="F782" s="3" t="s">
        <v>317</v>
      </c>
      <c r="G782" s="3" t="s">
        <v>318</v>
      </c>
      <c r="H782" s="2" t="s">
        <v>148</v>
      </c>
      <c r="I782" s="2" t="s">
        <v>2434</v>
      </c>
      <c r="J782" s="3" t="str">
        <f>HYPERLINK("https://www.boe.es/gazeta/dias/1811/12/10/pdfs/GEI-1811-160.pdf#page=8","Abrir facsímil")</f>
        <v>Abrir facsímil</v>
      </c>
      <c r="K782" s="3" t="s">
        <v>150</v>
      </c>
    </row>
    <row r="783" spans="1:11" ht="42" customHeight="1">
      <c r="A783" s="2" t="s">
        <v>2435</v>
      </c>
      <c r="B783" s="2" t="s">
        <v>2436</v>
      </c>
      <c r="C783" s="2" t="s">
        <v>26</v>
      </c>
      <c r="D783" s="2" t="s">
        <v>18</v>
      </c>
      <c r="E783" s="4">
        <v>-32379</v>
      </c>
      <c r="F783" s="3" t="s">
        <v>462</v>
      </c>
      <c r="G783" s="3" t="s">
        <v>463</v>
      </c>
      <c r="H783" s="2" t="s">
        <v>148</v>
      </c>
      <c r="I783" s="2" t="s">
        <v>2437</v>
      </c>
      <c r="J783" s="3" t="str">
        <f>HYPERLINK("https://www.boe.es/gazeta/dias/1811/05/07/pdfs/GEI-1811-60.pdf#page=8","Abrir facsímil")</f>
        <v>Abrir facsímil</v>
      </c>
      <c r="K783" s="3" t="s">
        <v>150</v>
      </c>
    </row>
    <row r="784" spans="1:11" ht="42" customHeight="1">
      <c r="A784" s="2" t="s">
        <v>2438</v>
      </c>
      <c r="B784" s="2" t="s">
        <v>2439</v>
      </c>
      <c r="C784" s="2" t="s">
        <v>26</v>
      </c>
      <c r="D784" s="2" t="s">
        <v>18</v>
      </c>
      <c r="E784" s="4">
        <v>-32461</v>
      </c>
      <c r="F784" s="3" t="s">
        <v>2429</v>
      </c>
      <c r="G784" s="3" t="s">
        <v>162</v>
      </c>
      <c r="H784" s="2" t="s">
        <v>148</v>
      </c>
      <c r="I784" s="2" t="s">
        <v>2440</v>
      </c>
      <c r="J784" s="3" t="str">
        <f>HYPERLINK("https://www.boe.es/gazeta/dias/1811/02/14/pdfs/GEI-1811-20.pdf#page=3","Abrir facsímil")</f>
        <v>Abrir facsímil</v>
      </c>
      <c r="K784" s="3" t="s">
        <v>150</v>
      </c>
    </row>
    <row r="785" spans="1:11" ht="42" customHeight="1">
      <c r="A785" s="2" t="s">
        <v>2441</v>
      </c>
      <c r="B785" s="2" t="s">
        <v>2441</v>
      </c>
      <c r="C785" s="2" t="s">
        <v>17</v>
      </c>
      <c r="D785" s="2" t="s">
        <v>156</v>
      </c>
      <c r="E785" s="4">
        <v>-32386</v>
      </c>
      <c r="F785" s="3" t="s">
        <v>1934</v>
      </c>
      <c r="G785" s="3" t="s">
        <v>2442</v>
      </c>
      <c r="H785" s="2" t="s">
        <v>148</v>
      </c>
      <c r="I785" s="2" t="s">
        <v>2443</v>
      </c>
      <c r="J785" s="3" t="str">
        <f>HYPERLINK("https://www.boe.es/gazeta/dias/1811/04/30/pdfs/GEI-1811-57.pdf#page=4","Abrir facsímil")</f>
        <v>Abrir facsímil</v>
      </c>
      <c r="K785" s="3" t="s">
        <v>150</v>
      </c>
    </row>
    <row r="786" spans="1:11" ht="42" customHeight="1">
      <c r="A786" s="2" t="s">
        <v>2444</v>
      </c>
      <c r="B786" s="2" t="s">
        <v>2444</v>
      </c>
      <c r="C786" s="2" t="s">
        <v>17</v>
      </c>
      <c r="D786" s="2" t="s">
        <v>156</v>
      </c>
      <c r="E786" s="4">
        <v>-32386</v>
      </c>
      <c r="F786" s="3" t="s">
        <v>1934</v>
      </c>
      <c r="G786" s="3" t="s">
        <v>2445</v>
      </c>
      <c r="H786" s="2" t="s">
        <v>148</v>
      </c>
      <c r="I786" s="2" t="s">
        <v>2446</v>
      </c>
      <c r="J786" s="3" t="str">
        <f>HYPERLINK("https://www.boe.es/gazeta/dias/1811/04/30/pdfs/GEI-1811-57.pdf#page=3","Abrir facsímil")</f>
        <v>Abrir facsímil</v>
      </c>
      <c r="K786" s="3" t="s">
        <v>150</v>
      </c>
    </row>
    <row r="787" spans="1:11" ht="42" customHeight="1">
      <c r="A787" s="2" t="s">
        <v>2447</v>
      </c>
      <c r="B787" s="2" t="s">
        <v>2448</v>
      </c>
      <c r="C787" s="2" t="s">
        <v>26</v>
      </c>
      <c r="D787" s="2" t="s">
        <v>18</v>
      </c>
      <c r="E787" s="4">
        <v>-32144</v>
      </c>
      <c r="F787" s="3" t="s">
        <v>1097</v>
      </c>
      <c r="G787" s="3" t="s">
        <v>1098</v>
      </c>
      <c r="H787" s="2" t="s">
        <v>148</v>
      </c>
      <c r="I787" s="2" t="s">
        <v>2449</v>
      </c>
      <c r="J787" s="3" t="str">
        <f>HYPERLINK("https://www.boe.es/gazeta/dias/1811/12/28/pdfs/GEI-1811-168.pdf#page=8","Abrir facsímil")</f>
        <v>Abrir facsímil</v>
      </c>
      <c r="K787" s="3" t="s">
        <v>150</v>
      </c>
    </row>
    <row r="788" spans="1:11" ht="42" customHeight="1">
      <c r="A788" s="2" t="s">
        <v>2450</v>
      </c>
      <c r="B788" s="2" t="s">
        <v>2451</v>
      </c>
      <c r="C788" s="2" t="s">
        <v>26</v>
      </c>
      <c r="D788" s="2" t="s">
        <v>18</v>
      </c>
      <c r="E788" s="4">
        <v>-32242</v>
      </c>
      <c r="F788" s="3" t="s">
        <v>1295</v>
      </c>
      <c r="G788" s="3" t="s">
        <v>1296</v>
      </c>
      <c r="H788" s="2" t="s">
        <v>148</v>
      </c>
      <c r="I788" s="2" t="s">
        <v>2452</v>
      </c>
      <c r="J788" s="3" t="str">
        <f>HYPERLINK("https://www.boe.es/gazeta/dias/1811/09/21/pdfs/GEI-1811-122.pdf#page=8","Abrir facsímil")</f>
        <v>Abrir facsímil</v>
      </c>
      <c r="K788" s="3" t="s">
        <v>150</v>
      </c>
    </row>
    <row r="789" spans="1:11" ht="42" customHeight="1">
      <c r="A789" s="2" t="s">
        <v>2453</v>
      </c>
      <c r="B789" s="2" t="s">
        <v>2453</v>
      </c>
      <c r="C789" s="2" t="s">
        <v>17</v>
      </c>
      <c r="D789" s="2" t="s">
        <v>156</v>
      </c>
      <c r="E789" s="4">
        <v>-32386</v>
      </c>
      <c r="F789" s="3" t="s">
        <v>1934</v>
      </c>
      <c r="G789" s="3" t="s">
        <v>2442</v>
      </c>
      <c r="H789" s="2" t="s">
        <v>148</v>
      </c>
      <c r="I789" s="2" t="s">
        <v>2454</v>
      </c>
      <c r="J789" s="3" t="str">
        <f>HYPERLINK("https://www.boe.es/gazeta/dias/1811/04/30/pdfs/GEI-1811-57.pdf#page=4","Abrir facsímil")</f>
        <v>Abrir facsímil</v>
      </c>
      <c r="K789" s="3" t="s">
        <v>150</v>
      </c>
    </row>
    <row r="790" spans="1:11" ht="42" customHeight="1">
      <c r="A790" s="2" t="s">
        <v>2455</v>
      </c>
      <c r="B790" s="2" t="s">
        <v>2455</v>
      </c>
      <c r="C790" s="2" t="s">
        <v>17</v>
      </c>
      <c r="D790" s="2" t="s">
        <v>156</v>
      </c>
      <c r="E790" s="4">
        <v>-32371</v>
      </c>
      <c r="F790" s="3" t="s">
        <v>1518</v>
      </c>
      <c r="G790" s="3" t="s">
        <v>20</v>
      </c>
      <c r="H790" s="2" t="s">
        <v>148</v>
      </c>
      <c r="I790" s="2" t="s">
        <v>2456</v>
      </c>
      <c r="J790" s="3" t="str">
        <f>HYPERLINK("https://www.boe.es/gazeta/dias/1811/05/15/pdfs/GMD-1811-135.pdf#page=4","Abrir facsímil")</f>
        <v>Abrir facsímil</v>
      </c>
      <c r="K790" s="3" t="s">
        <v>150</v>
      </c>
    </row>
    <row r="791" spans="1:11" ht="42" customHeight="1">
      <c r="A791" s="2" t="s">
        <v>2457</v>
      </c>
      <c r="B791" s="2" t="s">
        <v>2457</v>
      </c>
      <c r="C791" s="2" t="s">
        <v>17</v>
      </c>
      <c r="D791" s="2" t="s">
        <v>156</v>
      </c>
      <c r="E791" s="4">
        <v>-32407</v>
      </c>
      <c r="F791" s="3" t="s">
        <v>38</v>
      </c>
      <c r="G791" s="3" t="s">
        <v>2458</v>
      </c>
      <c r="H791" s="2" t="s">
        <v>148</v>
      </c>
      <c r="I791" s="2" t="s">
        <v>2459</v>
      </c>
      <c r="J791" s="3" t="str">
        <f>HYPERLINK("https://www.boe.es/gazeta/dias/1811/04/09/pdfs/GEI-1811-48.pdf#page=9","Abrir facsímil")</f>
        <v>Abrir facsímil</v>
      </c>
      <c r="K791" s="3" t="s">
        <v>150</v>
      </c>
    </row>
    <row r="792" spans="1:11" ht="42" customHeight="1">
      <c r="A792" s="2" t="s">
        <v>2460</v>
      </c>
      <c r="B792" s="2" t="s">
        <v>2460</v>
      </c>
      <c r="C792" s="2" t="s">
        <v>104</v>
      </c>
      <c r="D792" s="2" t="s">
        <v>18</v>
      </c>
      <c r="E792" s="4">
        <v>-32377</v>
      </c>
      <c r="F792" s="3" t="s">
        <v>2461</v>
      </c>
      <c r="G792" s="3" t="s">
        <v>162</v>
      </c>
      <c r="H792" s="2" t="s">
        <v>148</v>
      </c>
      <c r="I792" s="2" t="s">
        <v>2462</v>
      </c>
      <c r="J792" s="3" t="str">
        <f>HYPERLINK("https://www.boe.es/gazeta/dias/1811/05/09/pdfs/GMD-1811-129.pdf#page=1","Abrir facsímil")</f>
        <v>Abrir facsímil</v>
      </c>
      <c r="K792" s="3" t="s">
        <v>150</v>
      </c>
    </row>
    <row r="793" spans="1:11" ht="42" customHeight="1">
      <c r="A793" s="2" t="s">
        <v>2463</v>
      </c>
      <c r="B793" s="2" t="s">
        <v>2464</v>
      </c>
      <c r="C793" s="2" t="s">
        <v>104</v>
      </c>
      <c r="D793" s="2" t="s">
        <v>18</v>
      </c>
      <c r="E793" s="4">
        <v>-32248</v>
      </c>
      <c r="F793" s="3" t="s">
        <v>622</v>
      </c>
      <c r="G793" s="3" t="s">
        <v>115</v>
      </c>
      <c r="H793" s="2" t="s">
        <v>148</v>
      </c>
      <c r="I793" s="2" t="s">
        <v>2465</v>
      </c>
      <c r="J793" s="3" t="str">
        <f>HYPERLINK("https://www.boe.es/gazeta/dias/1811/09/15/pdfs/GMD-1811-258.pdf#page=3","Abrir facsímil")</f>
        <v>Abrir facsímil</v>
      </c>
      <c r="K793" s="3" t="s">
        <v>150</v>
      </c>
    </row>
    <row r="794" spans="1:11" ht="42" customHeight="1">
      <c r="A794" s="2" t="s">
        <v>2466</v>
      </c>
      <c r="B794" s="2" t="s">
        <v>2466</v>
      </c>
      <c r="C794" s="2" t="s">
        <v>104</v>
      </c>
      <c r="D794" s="2" t="s">
        <v>18</v>
      </c>
      <c r="E794" s="4">
        <v>-32393</v>
      </c>
      <c r="F794" s="3" t="s">
        <v>2467</v>
      </c>
      <c r="G794" s="3" t="s">
        <v>553</v>
      </c>
      <c r="H794" s="2" t="s">
        <v>148</v>
      </c>
      <c r="I794" s="2" t="s">
        <v>2468</v>
      </c>
      <c r="J794" s="3" t="str">
        <f>HYPERLINK("https://www.boe.es/gazeta/dias/1811/04/23/pdfs/GMD-1811-113.pdf#page=3","Abrir facsímil")</f>
        <v>Abrir facsímil</v>
      </c>
      <c r="K794" s="3" t="s">
        <v>150</v>
      </c>
    </row>
    <row r="795" spans="1:11" ht="42" customHeight="1">
      <c r="A795" s="2" t="s">
        <v>2469</v>
      </c>
      <c r="B795" s="2" t="s">
        <v>2469</v>
      </c>
      <c r="C795" s="2" t="s">
        <v>17</v>
      </c>
      <c r="D795" s="2" t="s">
        <v>156</v>
      </c>
      <c r="E795" s="4">
        <v>-32319</v>
      </c>
      <c r="F795" s="3" t="s">
        <v>975</v>
      </c>
      <c r="G795" s="3" t="s">
        <v>2470</v>
      </c>
      <c r="H795" s="2" t="s">
        <v>148</v>
      </c>
      <c r="I795" s="2" t="s">
        <v>2471</v>
      </c>
      <c r="J795" s="3" t="str">
        <f>HYPERLINK("https://www.boe.es/gazeta/dias/1811/07/06/pdfs/GEI-1811-89.pdf#page=6","Abrir facsímil")</f>
        <v>Abrir facsímil</v>
      </c>
      <c r="K795" s="3" t="s">
        <v>150</v>
      </c>
    </row>
    <row r="796" spans="1:11" ht="42" customHeight="1">
      <c r="A796" s="2" t="s">
        <v>2472</v>
      </c>
      <c r="B796" s="2" t="s">
        <v>2473</v>
      </c>
      <c r="C796" s="2" t="s">
        <v>26</v>
      </c>
      <c r="D796" s="2" t="s">
        <v>18</v>
      </c>
      <c r="E796" s="4">
        <v>-32246</v>
      </c>
      <c r="F796" s="3" t="s">
        <v>1901</v>
      </c>
      <c r="G796" s="3" t="s">
        <v>2474</v>
      </c>
      <c r="H796" s="2" t="s">
        <v>148</v>
      </c>
      <c r="I796" s="2" t="s">
        <v>2475</v>
      </c>
      <c r="J796" s="3" t="str">
        <f>HYPERLINK("https://www.boe.es/gazeta/dias/1811/09/17/pdfs/GMD-1811-260.pdf#page=1","Abrir facsímil")</f>
        <v>Abrir facsímil</v>
      </c>
      <c r="K796" s="3" t="s">
        <v>150</v>
      </c>
    </row>
    <row r="797" spans="1:11" ht="42" customHeight="1">
      <c r="A797" s="2" t="s">
        <v>2476</v>
      </c>
      <c r="B797" s="2" t="s">
        <v>2477</v>
      </c>
      <c r="C797" s="2" t="s">
        <v>17</v>
      </c>
      <c r="D797" s="2" t="s">
        <v>156</v>
      </c>
      <c r="E797" s="4">
        <v>-32232</v>
      </c>
      <c r="F797" s="3" t="s">
        <v>1879</v>
      </c>
      <c r="G797" s="3" t="s">
        <v>20</v>
      </c>
      <c r="H797" s="2" t="s">
        <v>148</v>
      </c>
      <c r="I797" s="2" t="s">
        <v>2478</v>
      </c>
      <c r="J797" s="3" t="str">
        <f>HYPERLINK("https://www.boe.es/gazeta/dias/1811/10/01/pdfs/GMD-1811-274.pdf#page=4","Abrir facsímil")</f>
        <v>Abrir facsímil</v>
      </c>
      <c r="K797" s="3" t="s">
        <v>150</v>
      </c>
    </row>
    <row r="798" spans="1:11" ht="42" customHeight="1">
      <c r="A798" s="2" t="s">
        <v>2479</v>
      </c>
      <c r="B798" s="2" t="s">
        <v>2479</v>
      </c>
      <c r="C798" s="2" t="s">
        <v>26</v>
      </c>
      <c r="D798" s="2" t="s">
        <v>18</v>
      </c>
      <c r="E798" s="4">
        <v>-32503</v>
      </c>
      <c r="F798" s="3" t="s">
        <v>487</v>
      </c>
      <c r="G798" s="3" t="s">
        <v>115</v>
      </c>
      <c r="H798" s="2" t="s">
        <v>148</v>
      </c>
      <c r="I798" s="2" t="s">
        <v>2480</v>
      </c>
      <c r="J798" s="3" t="str">
        <f>HYPERLINK("https://www.boe.es/gazeta/dias/1811/01/03/pdfs/GEI-1811-2.pdf#page=3","Abrir facsímil")</f>
        <v>Abrir facsímil</v>
      </c>
      <c r="K798" s="3" t="s">
        <v>150</v>
      </c>
    </row>
    <row r="799" spans="1:11" ht="42" customHeight="1">
      <c r="A799" s="2" t="s">
        <v>2481</v>
      </c>
      <c r="B799" s="2" t="s">
        <v>2482</v>
      </c>
      <c r="C799" s="2" t="s">
        <v>17</v>
      </c>
      <c r="D799" s="2" t="s">
        <v>18</v>
      </c>
      <c r="E799" s="4">
        <v>-32191</v>
      </c>
      <c r="F799" s="3" t="s">
        <v>2483</v>
      </c>
      <c r="G799" s="3" t="s">
        <v>488</v>
      </c>
      <c r="H799" s="2" t="s">
        <v>148</v>
      </c>
      <c r="I799" s="2" t="s">
        <v>2484</v>
      </c>
      <c r="J799" s="3" t="str">
        <f>HYPERLINK("https://www.boe.es/gazeta/dias/1811/11/11/pdfs/GMD-1811-315.pdf#page=2","Abrir facsímil")</f>
        <v>Abrir facsímil</v>
      </c>
      <c r="K799" s="3" t="s">
        <v>150</v>
      </c>
    </row>
    <row r="800" spans="1:11" ht="42" customHeight="1">
      <c r="A800" s="2" t="s">
        <v>2485</v>
      </c>
      <c r="B800" s="2" t="s">
        <v>2486</v>
      </c>
      <c r="C800" s="2" t="s">
        <v>26</v>
      </c>
      <c r="D800" s="2" t="s">
        <v>18</v>
      </c>
      <c r="E800" s="4">
        <v>-32416</v>
      </c>
      <c r="F800" s="3" t="s">
        <v>954</v>
      </c>
      <c r="G800" s="3" t="s">
        <v>183</v>
      </c>
      <c r="H800" s="2" t="s">
        <v>148</v>
      </c>
      <c r="I800" s="2" t="s">
        <v>2487</v>
      </c>
      <c r="J800" s="3" t="str">
        <f>HYPERLINK("https://www.boe.es/gazeta/dias/1811/03/31/pdfs/GMD-1811-90.pdf#page=4","Abrir facsímil")</f>
        <v>Abrir facsímil</v>
      </c>
      <c r="K800" s="3" t="s">
        <v>150</v>
      </c>
    </row>
    <row r="801" spans="1:11" ht="42" customHeight="1">
      <c r="A801" s="2" t="s">
        <v>2488</v>
      </c>
      <c r="B801" s="2" t="s">
        <v>2489</v>
      </c>
      <c r="C801" s="2" t="s">
        <v>26</v>
      </c>
      <c r="D801" s="2" t="s">
        <v>105</v>
      </c>
      <c r="E801" s="4">
        <v>-32238</v>
      </c>
      <c r="F801" s="3" t="s">
        <v>166</v>
      </c>
      <c r="G801" s="3" t="s">
        <v>39</v>
      </c>
      <c r="H801" s="2" t="s">
        <v>148</v>
      </c>
      <c r="I801" s="2" t="s">
        <v>2490</v>
      </c>
      <c r="J801" s="3" t="str">
        <f>HYPERLINK("https://www.boe.es/gazeta/dias/1811/09/25/pdfs/GMD-C-1811-268.pdf#page=2","Abrir facsímil")</f>
        <v>Abrir facsímil</v>
      </c>
      <c r="K801" s="3" t="s">
        <v>150</v>
      </c>
    </row>
    <row r="802" spans="1:11" ht="42" customHeight="1">
      <c r="A802" s="2" t="s">
        <v>2491</v>
      </c>
      <c r="B802" s="2" t="s">
        <v>2492</v>
      </c>
      <c r="C802" s="2" t="s">
        <v>26</v>
      </c>
      <c r="D802" s="2" t="s">
        <v>141</v>
      </c>
      <c r="E802" s="4">
        <v>-32238</v>
      </c>
      <c r="F802" s="3" t="s">
        <v>166</v>
      </c>
      <c r="G802" s="3" t="s">
        <v>39</v>
      </c>
      <c r="H802" s="2" t="s">
        <v>148</v>
      </c>
      <c r="I802" s="2" t="s">
        <v>2493</v>
      </c>
      <c r="J802" s="3" t="str">
        <f>HYPERLINK("https://www.boe.es/gazeta/dias/1811/09/25/pdfs/GMD-C-1811-268.pdf#page=2","Abrir facsímil")</f>
        <v>Abrir facsímil</v>
      </c>
      <c r="K802" s="3" t="s">
        <v>150</v>
      </c>
    </row>
    <row r="803" spans="1:11" ht="42" customHeight="1">
      <c r="A803" s="2" t="s">
        <v>2494</v>
      </c>
      <c r="B803" s="2" t="s">
        <v>2495</v>
      </c>
      <c r="C803" s="2" t="s">
        <v>17</v>
      </c>
      <c r="D803" s="2" t="s">
        <v>18</v>
      </c>
      <c r="E803" s="4">
        <v>-32309</v>
      </c>
      <c r="F803" s="3" t="s">
        <v>2496</v>
      </c>
      <c r="G803" s="3" t="s">
        <v>47</v>
      </c>
      <c r="H803" s="2" t="s">
        <v>148</v>
      </c>
      <c r="I803" s="2" t="s">
        <v>2497</v>
      </c>
      <c r="J803" s="3" t="str">
        <f>HYPERLINK("https://www.boe.es/gazeta/dias/1811/07/16/pdfs/GEI-1811-93.pdf#page=8","Abrir facsímil")</f>
        <v>Abrir facsímil</v>
      </c>
      <c r="K803" s="3" t="s">
        <v>150</v>
      </c>
    </row>
    <row r="804" spans="1:11" ht="42" customHeight="1">
      <c r="A804" s="2" t="s">
        <v>2498</v>
      </c>
      <c r="B804" s="2" t="s">
        <v>2499</v>
      </c>
      <c r="C804" s="2" t="s">
        <v>26</v>
      </c>
      <c r="D804" s="2" t="s">
        <v>18</v>
      </c>
      <c r="E804" s="4">
        <v>-32286</v>
      </c>
      <c r="F804" s="3" t="s">
        <v>754</v>
      </c>
      <c r="G804" s="3" t="s">
        <v>1728</v>
      </c>
      <c r="H804" s="2" t="s">
        <v>148</v>
      </c>
      <c r="I804" s="2" t="s">
        <v>2500</v>
      </c>
      <c r="J804" s="3" t="str">
        <f>HYPERLINK("https://www.boe.es/gazeta/dias/1811/08/08/pdfs/GEI-1811-103.pdf#page=8","Abrir facsímil")</f>
        <v>Abrir facsímil</v>
      </c>
      <c r="K804" s="3" t="s">
        <v>150</v>
      </c>
    </row>
    <row r="805" spans="1:11" ht="42" customHeight="1">
      <c r="A805" s="2" t="s">
        <v>2501</v>
      </c>
      <c r="B805" s="2" t="s">
        <v>2502</v>
      </c>
      <c r="C805" s="2" t="s">
        <v>37</v>
      </c>
      <c r="D805" s="2" t="s">
        <v>18</v>
      </c>
      <c r="E805" s="4">
        <v>-32438</v>
      </c>
      <c r="F805" s="3" t="s">
        <v>114</v>
      </c>
      <c r="G805" s="3" t="s">
        <v>115</v>
      </c>
      <c r="H805" s="2" t="s">
        <v>148</v>
      </c>
      <c r="I805" s="2" t="s">
        <v>2503</v>
      </c>
      <c r="J805" s="3" t="str">
        <f>HYPERLINK("https://www.boe.es/gazeta/dias/1811/03/09/pdfs/GEI-1811-33.pdf#page=3","Abrir facsímil")</f>
        <v>Abrir facsímil</v>
      </c>
      <c r="K805" s="3" t="s">
        <v>150</v>
      </c>
    </row>
    <row r="806" spans="1:11" ht="42" customHeight="1">
      <c r="A806" s="2" t="s">
        <v>2504</v>
      </c>
      <c r="B806" s="2" t="s">
        <v>2504</v>
      </c>
      <c r="C806" s="2" t="s">
        <v>17</v>
      </c>
      <c r="D806" s="2" t="s">
        <v>18</v>
      </c>
      <c r="E806" s="4">
        <v>-32424</v>
      </c>
      <c r="F806" s="3" t="s">
        <v>1028</v>
      </c>
      <c r="G806" s="3" t="s">
        <v>343</v>
      </c>
      <c r="H806" s="2" t="s">
        <v>148</v>
      </c>
      <c r="I806" s="2" t="s">
        <v>2505</v>
      </c>
      <c r="J806" s="3" t="str">
        <f>HYPERLINK("https://www.boe.es/gazeta/dias/1811/03/23/pdfs/GEI-1811-41.pdf#page=3","Abrir facsímil")</f>
        <v>Abrir facsímil</v>
      </c>
      <c r="K806" s="3" t="s">
        <v>150</v>
      </c>
    </row>
    <row r="807" spans="1:11" ht="42" customHeight="1">
      <c r="A807" s="2" t="s">
        <v>2506</v>
      </c>
      <c r="B807" s="2" t="s">
        <v>2507</v>
      </c>
      <c r="C807" s="2" t="s">
        <v>26</v>
      </c>
      <c r="D807" s="2" t="s">
        <v>18</v>
      </c>
      <c r="E807" s="4">
        <v>-32160</v>
      </c>
      <c r="F807" s="3" t="s">
        <v>205</v>
      </c>
      <c r="G807" s="3" t="s">
        <v>115</v>
      </c>
      <c r="H807" s="2" t="s">
        <v>148</v>
      </c>
      <c r="I807" s="2" t="s">
        <v>2508</v>
      </c>
      <c r="J807" s="3" t="str">
        <f>HYPERLINK("https://www.boe.es/gazeta/dias/1811/12/12/pdfs/GMD-1811-346.pdf#page=3","Abrir facsímil")</f>
        <v>Abrir facsímil</v>
      </c>
      <c r="K807" s="3" t="s">
        <v>150</v>
      </c>
    </row>
    <row r="808" spans="1:11" ht="42" customHeight="1">
      <c r="A808" s="2" t="s">
        <v>2509</v>
      </c>
      <c r="B808" s="2" t="s">
        <v>2510</v>
      </c>
      <c r="C808" s="2" t="s">
        <v>26</v>
      </c>
      <c r="D808" s="2" t="s">
        <v>18</v>
      </c>
      <c r="E808" s="4">
        <v>-32368</v>
      </c>
      <c r="F808" s="3" t="s">
        <v>2511</v>
      </c>
      <c r="G808" s="3" t="s">
        <v>2512</v>
      </c>
      <c r="H808" s="2" t="s">
        <v>148</v>
      </c>
      <c r="I808" s="2" t="s">
        <v>2513</v>
      </c>
      <c r="J808" s="3" t="str">
        <f>HYPERLINK("https://www.boe.es/gazeta/dias/1811/05/18/pdfs/GEI-1811-65.pdf#page=2","Abrir facsímil")</f>
        <v>Abrir facsímil</v>
      </c>
      <c r="K808" s="3" t="s">
        <v>150</v>
      </c>
    </row>
    <row r="809" spans="1:11" ht="42" customHeight="1">
      <c r="A809" s="2" t="s">
        <v>2514</v>
      </c>
      <c r="B809" s="2" t="s">
        <v>2515</v>
      </c>
      <c r="C809" s="2" t="s">
        <v>37</v>
      </c>
      <c r="D809" s="2" t="s">
        <v>18</v>
      </c>
      <c r="E809" s="4">
        <v>-32438</v>
      </c>
      <c r="F809" s="3" t="s">
        <v>114</v>
      </c>
      <c r="G809" s="3" t="s">
        <v>2516</v>
      </c>
      <c r="H809" s="2" t="s">
        <v>148</v>
      </c>
      <c r="I809" s="2" t="s">
        <v>2517</v>
      </c>
      <c r="J809" s="3" t="str">
        <f>HYPERLINK("https://www.boe.es/gazeta/dias/1811/03/09/pdfs/GEI-1811-33.pdf#page=7","Abrir facsímil")</f>
        <v>Abrir facsímil</v>
      </c>
      <c r="K809" s="3" t="s">
        <v>150</v>
      </c>
    </row>
    <row r="810" spans="1:11" ht="42" customHeight="1">
      <c r="A810" s="2" t="s">
        <v>2518</v>
      </c>
      <c r="B810" s="2" t="s">
        <v>2519</v>
      </c>
      <c r="C810" s="2" t="s">
        <v>84</v>
      </c>
      <c r="D810" s="2" t="s">
        <v>105</v>
      </c>
      <c r="E810" s="4">
        <v>-32384</v>
      </c>
      <c r="F810" s="3" t="s">
        <v>338</v>
      </c>
      <c r="G810" s="3" t="s">
        <v>339</v>
      </c>
      <c r="H810" s="2" t="s">
        <v>148</v>
      </c>
      <c r="I810" s="2" t="s">
        <v>2520</v>
      </c>
      <c r="J810" s="3" t="str">
        <f>HYPERLINK("https://www.boe.es/gazeta/dias/1811/05/02/pdfs/GEI-1811-58.pdf#page=8","Abrir facsímil")</f>
        <v>Abrir facsímil</v>
      </c>
      <c r="K810" s="3" t="s">
        <v>150</v>
      </c>
    </row>
    <row r="811" spans="1:11" ht="42" customHeight="1">
      <c r="A811" s="2" t="s">
        <v>2521</v>
      </c>
      <c r="B811" s="2" t="s">
        <v>2522</v>
      </c>
      <c r="C811" s="2" t="s">
        <v>26</v>
      </c>
      <c r="D811" s="2" t="s">
        <v>18</v>
      </c>
      <c r="E811" s="4">
        <v>-32229</v>
      </c>
      <c r="F811" s="3" t="s">
        <v>2523</v>
      </c>
      <c r="G811" s="3" t="s">
        <v>2524</v>
      </c>
      <c r="H811" s="2" t="s">
        <v>148</v>
      </c>
      <c r="I811" s="2" t="s">
        <v>2525</v>
      </c>
      <c r="J811" s="3" t="str">
        <f>HYPERLINK("https://www.boe.es/gazeta/dias/1811/10/04/pdfs/GMD-1811-277.pdf#page=4","Abrir facsímil")</f>
        <v>Abrir facsímil</v>
      </c>
      <c r="K811" s="3" t="s">
        <v>150</v>
      </c>
    </row>
    <row r="812" spans="1:11" ht="42" customHeight="1">
      <c r="A812" s="2" t="s">
        <v>2526</v>
      </c>
      <c r="B812" s="2" t="s">
        <v>2527</v>
      </c>
      <c r="C812" s="2" t="s">
        <v>26</v>
      </c>
      <c r="D812" s="2" t="s">
        <v>18</v>
      </c>
      <c r="E812" s="4">
        <v>-32192</v>
      </c>
      <c r="F812" s="3" t="s">
        <v>673</v>
      </c>
      <c r="G812" s="3" t="s">
        <v>305</v>
      </c>
      <c r="H812" s="2" t="s">
        <v>148</v>
      </c>
      <c r="I812" s="2" t="s">
        <v>2528</v>
      </c>
      <c r="J812" s="3" t="str">
        <f>HYPERLINK("https://www.boe.es/gazeta/dias/1811/11/10/pdfs/GMD-1811-314.pdf#page=4","Abrir facsímil")</f>
        <v>Abrir facsímil</v>
      </c>
      <c r="K812" s="3" t="s">
        <v>150</v>
      </c>
    </row>
    <row r="813" spans="1:11" ht="42" customHeight="1">
      <c r="A813" s="2" t="s">
        <v>2529</v>
      </c>
      <c r="B813" s="2" t="s">
        <v>2530</v>
      </c>
      <c r="C813" s="2" t="s">
        <v>26</v>
      </c>
      <c r="D813" s="2" t="s">
        <v>18</v>
      </c>
      <c r="E813" s="4">
        <v>-32505</v>
      </c>
      <c r="F813" s="3" t="s">
        <v>475</v>
      </c>
      <c r="G813" s="3" t="s">
        <v>755</v>
      </c>
      <c r="H813" s="2" t="s">
        <v>148</v>
      </c>
      <c r="I813" s="2" t="s">
        <v>2531</v>
      </c>
      <c r="J813" s="3" t="str">
        <f>HYPERLINK("https://www.boe.es/gazeta/dias/1811/01/01/pdfs/GEI-1811-1.pdf#page=8","Abrir facsímil")</f>
        <v>Abrir facsímil</v>
      </c>
      <c r="K813" s="3" t="s">
        <v>150</v>
      </c>
    </row>
    <row r="814" spans="1:11" ht="42" customHeight="1">
      <c r="A814" s="2" t="s">
        <v>2532</v>
      </c>
      <c r="B814" s="2" t="s">
        <v>2532</v>
      </c>
      <c r="C814" s="2" t="s">
        <v>17</v>
      </c>
      <c r="D814" s="2" t="s">
        <v>156</v>
      </c>
      <c r="E814" s="4">
        <v>-32428</v>
      </c>
      <c r="F814" s="3" t="s">
        <v>351</v>
      </c>
      <c r="G814" s="3" t="s">
        <v>352</v>
      </c>
      <c r="H814" s="2" t="s">
        <v>148</v>
      </c>
      <c r="I814" s="2" t="s">
        <v>2533</v>
      </c>
      <c r="J814" s="3" t="str">
        <f>HYPERLINK("https://www.boe.es/gazeta/dias/1811/03/19/pdfs/GMD-1811-78.pdf#page=4","Abrir facsímil")</f>
        <v>Abrir facsímil</v>
      </c>
      <c r="K814" s="3" t="s">
        <v>150</v>
      </c>
    </row>
    <row r="815" spans="1:11" ht="42" customHeight="1">
      <c r="A815" s="2" t="s">
        <v>2532</v>
      </c>
      <c r="B815" s="2" t="s">
        <v>2532</v>
      </c>
      <c r="C815" s="2" t="s">
        <v>104</v>
      </c>
      <c r="D815" s="2" t="s">
        <v>18</v>
      </c>
      <c r="E815" s="4">
        <v>-32279</v>
      </c>
      <c r="F815" s="3" t="s">
        <v>540</v>
      </c>
      <c r="G815" s="3" t="s">
        <v>20</v>
      </c>
      <c r="H815" s="2" t="s">
        <v>148</v>
      </c>
      <c r="I815" s="2" t="s">
        <v>2534</v>
      </c>
      <c r="J815" s="3" t="str">
        <f>HYPERLINK("https://www.boe.es/gazeta/dias/1811/08/15/pdfs/GMD-1811-227.pdf#page=4","Abrir facsímil")</f>
        <v>Abrir facsímil</v>
      </c>
      <c r="K815" s="3" t="s">
        <v>150</v>
      </c>
    </row>
    <row r="816" spans="1:11" ht="42" customHeight="1">
      <c r="A816" s="2" t="s">
        <v>2532</v>
      </c>
      <c r="B816" s="2" t="s">
        <v>2532</v>
      </c>
      <c r="C816" s="2" t="s">
        <v>26</v>
      </c>
      <c r="D816" s="2" t="s">
        <v>18</v>
      </c>
      <c r="E816" s="4">
        <v>-32267</v>
      </c>
      <c r="F816" s="3" t="s">
        <v>1045</v>
      </c>
      <c r="G816" s="3" t="s">
        <v>2535</v>
      </c>
      <c r="H816" s="2" t="s">
        <v>148</v>
      </c>
      <c r="I816" s="2" t="s">
        <v>2536</v>
      </c>
      <c r="J816" s="3" t="str">
        <f>HYPERLINK("https://www.boe.es/gazeta/dias/1811/08/27/pdfs/GEI-1811-111.pdf#page=6","Abrir facsímil")</f>
        <v>Abrir facsímil</v>
      </c>
      <c r="K816" s="3" t="s">
        <v>150</v>
      </c>
    </row>
    <row r="817" spans="1:11" ht="42" customHeight="1">
      <c r="A817" s="2" t="s">
        <v>2532</v>
      </c>
      <c r="B817" s="2" t="s">
        <v>2532</v>
      </c>
      <c r="C817" s="2" t="s">
        <v>26</v>
      </c>
      <c r="D817" s="2" t="s">
        <v>18</v>
      </c>
      <c r="E817" s="4">
        <v>-32235</v>
      </c>
      <c r="F817" s="3" t="s">
        <v>190</v>
      </c>
      <c r="G817" s="3" t="s">
        <v>188</v>
      </c>
      <c r="H817" s="2" t="s">
        <v>148</v>
      </c>
      <c r="I817" s="2" t="s">
        <v>2537</v>
      </c>
      <c r="J817" s="3" t="str">
        <f>HYPERLINK("https://www.boe.es/gazeta/dias/1811/09/28/pdfs/GEI-1811-125.pdf#page=8","Abrir facsímil")</f>
        <v>Abrir facsímil</v>
      </c>
      <c r="K817" s="3" t="s">
        <v>150</v>
      </c>
    </row>
    <row r="818" spans="1:11" ht="42" customHeight="1">
      <c r="A818" s="2" t="s">
        <v>2532</v>
      </c>
      <c r="B818" s="2" t="s">
        <v>2532</v>
      </c>
      <c r="C818" s="2" t="s">
        <v>17</v>
      </c>
      <c r="D818" s="2" t="s">
        <v>528</v>
      </c>
      <c r="E818" s="4">
        <v>-32191</v>
      </c>
      <c r="F818" s="3" t="s">
        <v>2538</v>
      </c>
      <c r="G818" s="3" t="s">
        <v>2539</v>
      </c>
      <c r="H818" s="2" t="s">
        <v>148</v>
      </c>
      <c r="I818" s="2" t="s">
        <v>2540</v>
      </c>
      <c r="J818" s="3" t="str">
        <f>HYPERLINK("https://www.boe.es/gazeta/dias/1811/11/11/pdfs/GEI-1811-147E.pdf#page=7","Abrir facsímil")</f>
        <v>Abrir facsímil</v>
      </c>
      <c r="K818" s="3" t="s">
        <v>150</v>
      </c>
    </row>
    <row r="819" spans="1:11" ht="42" customHeight="1">
      <c r="A819" s="2" t="s">
        <v>2532</v>
      </c>
      <c r="B819" s="2" t="s">
        <v>2532</v>
      </c>
      <c r="C819" s="2" t="s">
        <v>26</v>
      </c>
      <c r="D819" s="2" t="s">
        <v>18</v>
      </c>
      <c r="E819" s="4">
        <v>-32181</v>
      </c>
      <c r="F819" s="3" t="s">
        <v>368</v>
      </c>
      <c r="G819" s="3" t="s">
        <v>305</v>
      </c>
      <c r="H819" s="2" t="s">
        <v>148</v>
      </c>
      <c r="I819" s="2" t="s">
        <v>2541</v>
      </c>
      <c r="J819" s="3" t="str">
        <f>HYPERLINK("https://www.boe.es/gazeta/dias/1811/11/21/pdfs/GEI-1811-152.pdf#page=5","Abrir facsímil")</f>
        <v>Abrir facsímil</v>
      </c>
      <c r="K819" s="3" t="s">
        <v>150</v>
      </c>
    </row>
    <row r="820" spans="1:11" ht="42" customHeight="1">
      <c r="A820" s="2" t="s">
        <v>2532</v>
      </c>
      <c r="B820" s="2" t="s">
        <v>2532</v>
      </c>
      <c r="C820" s="2" t="s">
        <v>17</v>
      </c>
      <c r="D820" s="2" t="s">
        <v>156</v>
      </c>
      <c r="E820" s="4">
        <v>-32143</v>
      </c>
      <c r="F820" s="3" t="s">
        <v>1455</v>
      </c>
      <c r="G820" s="3" t="s">
        <v>284</v>
      </c>
      <c r="H820" s="2" t="s">
        <v>148</v>
      </c>
      <c r="I820" s="2" t="s">
        <v>2542</v>
      </c>
      <c r="J820" s="3" t="str">
        <f>HYPERLINK("https://www.boe.es/gazeta/dias/1811/12/29/pdfs/GMD-1811-363.pdf#page=3","Abrir facsímil")</f>
        <v>Abrir facsímil</v>
      </c>
      <c r="K820" s="3" t="s">
        <v>150</v>
      </c>
    </row>
    <row r="821" spans="1:11" ht="42" customHeight="1">
      <c r="A821" s="2" t="s">
        <v>2543</v>
      </c>
      <c r="B821" s="2" t="s">
        <v>2544</v>
      </c>
      <c r="C821" s="2" t="s">
        <v>26</v>
      </c>
      <c r="D821" s="2" t="s">
        <v>18</v>
      </c>
      <c r="E821" s="4">
        <v>-32251</v>
      </c>
      <c r="F821" s="3" t="s">
        <v>726</v>
      </c>
      <c r="G821" s="3" t="s">
        <v>727</v>
      </c>
      <c r="H821" s="2" t="s">
        <v>148</v>
      </c>
      <c r="I821" s="2" t="s">
        <v>2545</v>
      </c>
      <c r="J821" s="3" t="str">
        <f>HYPERLINK("https://www.boe.es/gazeta/dias/1811/09/12/pdfs/GEI-1811-118.pdf#page=8","Abrir facsímil")</f>
        <v>Abrir facsímil</v>
      </c>
      <c r="K821" s="3" t="s">
        <v>150</v>
      </c>
    </row>
    <row r="822" spans="1:11" ht="42" customHeight="1">
      <c r="A822" s="2" t="s">
        <v>2546</v>
      </c>
      <c r="B822" s="2" t="s">
        <v>2547</v>
      </c>
      <c r="C822" s="2" t="s">
        <v>122</v>
      </c>
      <c r="D822" s="2" t="s">
        <v>141</v>
      </c>
      <c r="E822" s="4">
        <v>-32238</v>
      </c>
      <c r="F822" s="3" t="s">
        <v>166</v>
      </c>
      <c r="G822" s="3" t="s">
        <v>657</v>
      </c>
      <c r="H822" s="2" t="s">
        <v>148</v>
      </c>
      <c r="I822" s="2" t="s">
        <v>2548</v>
      </c>
      <c r="J822" s="3" t="str">
        <f>HYPERLINK("https://www.boe.es/gazeta/dias/1811/09/25/pdfs/GMD-C-1811-268.pdf#page=3","Abrir facsímil")</f>
        <v>Abrir facsímil</v>
      </c>
      <c r="K822" s="3" t="s">
        <v>150</v>
      </c>
    </row>
    <row r="823" spans="1:11" ht="42" customHeight="1">
      <c r="A823" s="2" t="s">
        <v>2549</v>
      </c>
      <c r="B823" s="2" t="s">
        <v>2549</v>
      </c>
      <c r="C823" s="2" t="s">
        <v>17</v>
      </c>
      <c r="D823" s="2" t="s">
        <v>156</v>
      </c>
      <c r="E823" s="4">
        <v>-32232</v>
      </c>
      <c r="F823" s="3" t="s">
        <v>1879</v>
      </c>
      <c r="G823" s="3" t="s">
        <v>120</v>
      </c>
      <c r="H823" s="2" t="s">
        <v>148</v>
      </c>
      <c r="I823" s="2" t="s">
        <v>2550</v>
      </c>
      <c r="J823" s="3" t="str">
        <f>HYPERLINK("https://www.boe.es/gazeta/dias/1811/10/01/pdfs/GMD-1811-274.pdf#page=1","Abrir facsímil")</f>
        <v>Abrir facsímil</v>
      </c>
      <c r="K823" s="3" t="s">
        <v>150</v>
      </c>
    </row>
    <row r="824" spans="1:11" ht="42" customHeight="1">
      <c r="A824" s="2" t="s">
        <v>2551</v>
      </c>
      <c r="B824" s="2" t="s">
        <v>2552</v>
      </c>
      <c r="C824" s="2" t="s">
        <v>26</v>
      </c>
      <c r="D824" s="2" t="s">
        <v>18</v>
      </c>
      <c r="E824" s="4">
        <v>-32339</v>
      </c>
      <c r="F824" s="3" t="s">
        <v>1853</v>
      </c>
      <c r="G824" s="3" t="s">
        <v>44</v>
      </c>
      <c r="H824" s="2" t="s">
        <v>148</v>
      </c>
      <c r="I824" s="2" t="s">
        <v>2553</v>
      </c>
      <c r="J824" s="3" t="str">
        <f>HYPERLINK("https://www.boe.es/gazeta/dias/1811/06/16/pdfs/GMD-1811-167.pdf#page=2","Abrir facsímil")</f>
        <v>Abrir facsímil</v>
      </c>
      <c r="K824" s="3" t="s">
        <v>150</v>
      </c>
    </row>
    <row r="825" spans="1:11" ht="42" customHeight="1">
      <c r="A825" s="2" t="s">
        <v>2554</v>
      </c>
      <c r="B825" s="2" t="s">
        <v>2554</v>
      </c>
      <c r="C825" s="2" t="s">
        <v>26</v>
      </c>
      <c r="D825" s="2" t="s">
        <v>18</v>
      </c>
      <c r="E825" s="4">
        <v>-32328</v>
      </c>
      <c r="F825" s="3" t="s">
        <v>1653</v>
      </c>
      <c r="G825" s="3" t="s">
        <v>2555</v>
      </c>
      <c r="H825" s="2" t="s">
        <v>148</v>
      </c>
      <c r="I825" s="2" t="s">
        <v>2556</v>
      </c>
      <c r="J825" s="3" t="str">
        <f>HYPERLINK("https://www.boe.es/gazeta/dias/1811/06/27/pdfs/GEI-1811-85.pdf#page=7","Abrir facsímil")</f>
        <v>Abrir facsímil</v>
      </c>
      <c r="K825" s="3" t="s">
        <v>150</v>
      </c>
    </row>
    <row r="826" spans="1:11" ht="42" customHeight="1">
      <c r="A826" s="2" t="s">
        <v>2554</v>
      </c>
      <c r="B826" s="2" t="s">
        <v>2554</v>
      </c>
      <c r="C826" s="2" t="s">
        <v>37</v>
      </c>
      <c r="D826" s="2" t="s">
        <v>105</v>
      </c>
      <c r="E826" s="4">
        <v>-32202</v>
      </c>
      <c r="F826" s="3" t="s">
        <v>1634</v>
      </c>
      <c r="G826" s="3" t="s">
        <v>178</v>
      </c>
      <c r="H826" s="2" t="s">
        <v>148</v>
      </c>
      <c r="I826" s="2" t="s">
        <v>2557</v>
      </c>
      <c r="J826" s="3" t="str">
        <f>HYPERLINK("https://www.boe.es/gazeta/dias/1811/10/31/pdfs/GMD-1811-304.pdf#page=4","Abrir facsímil")</f>
        <v>Abrir facsímil</v>
      </c>
      <c r="K826" s="3" t="s">
        <v>150</v>
      </c>
    </row>
    <row r="827" spans="1:11" ht="42" customHeight="1">
      <c r="A827" s="2" t="s">
        <v>2558</v>
      </c>
      <c r="B827" s="2" t="s">
        <v>2558</v>
      </c>
      <c r="C827" s="2" t="s">
        <v>26</v>
      </c>
      <c r="D827" s="2" t="s">
        <v>18</v>
      </c>
      <c r="E827" s="4">
        <v>-32198</v>
      </c>
      <c r="F827" s="3" t="s">
        <v>330</v>
      </c>
      <c r="G827" s="3" t="s">
        <v>331</v>
      </c>
      <c r="H827" s="2" t="s">
        <v>148</v>
      </c>
      <c r="I827" s="2" t="s">
        <v>2559</v>
      </c>
      <c r="J827" s="3" t="str">
        <f>HYPERLINK("https://www.boe.es/gazeta/dias/1811/11/04/pdfs/GMD-1811-308.pdf#page=3","Abrir facsímil")</f>
        <v>Abrir facsímil</v>
      </c>
      <c r="K827" s="3" t="s">
        <v>150</v>
      </c>
    </row>
    <row r="828" spans="1:11" ht="42" customHeight="1">
      <c r="A828" s="2" t="s">
        <v>2560</v>
      </c>
      <c r="B828" s="2" t="s">
        <v>2560</v>
      </c>
      <c r="C828" s="2" t="s">
        <v>17</v>
      </c>
      <c r="D828" s="2" t="s">
        <v>18</v>
      </c>
      <c r="E828" s="4">
        <v>-32398</v>
      </c>
      <c r="F828" s="3" t="s">
        <v>946</v>
      </c>
      <c r="G828" s="3" t="s">
        <v>2561</v>
      </c>
      <c r="H828" s="2" t="s">
        <v>148</v>
      </c>
      <c r="I828" s="2" t="s">
        <v>2562</v>
      </c>
      <c r="J828" s="3" t="str">
        <f>HYPERLINK("https://www.boe.es/gazeta/dias/1811/04/18/pdfs/GEI-1811-52.pdf#page=5","Abrir facsímil")</f>
        <v>Abrir facsímil</v>
      </c>
      <c r="K828" s="3" t="s">
        <v>150</v>
      </c>
    </row>
    <row r="829" spans="1:11" ht="42" customHeight="1">
      <c r="A829" s="2" t="s">
        <v>2560</v>
      </c>
      <c r="B829" s="2" t="s">
        <v>2560</v>
      </c>
      <c r="C829" s="2" t="s">
        <v>17</v>
      </c>
      <c r="D829" s="2" t="s">
        <v>18</v>
      </c>
      <c r="E829" s="4">
        <v>-32375</v>
      </c>
      <c r="F829" s="3" t="s">
        <v>1209</v>
      </c>
      <c r="G829" s="3" t="s">
        <v>1984</v>
      </c>
      <c r="H829" s="2" t="s">
        <v>148</v>
      </c>
      <c r="I829" s="2" t="s">
        <v>2563</v>
      </c>
      <c r="J829" s="3" t="str">
        <f>HYPERLINK("https://www.boe.es/gazeta/dias/1811/05/11/pdfs/GEI-1811-62.pdf#page=8","Abrir facsímil")</f>
        <v>Abrir facsímil</v>
      </c>
      <c r="K829" s="3" t="s">
        <v>150</v>
      </c>
    </row>
    <row r="830" spans="1:11" ht="42" customHeight="1">
      <c r="A830" s="2" t="s">
        <v>2564</v>
      </c>
      <c r="B830" s="2" t="s">
        <v>2564</v>
      </c>
      <c r="C830" s="2" t="s">
        <v>17</v>
      </c>
      <c r="D830" s="2" t="s">
        <v>156</v>
      </c>
      <c r="E830" s="4">
        <v>-32389</v>
      </c>
      <c r="F830" s="3" t="s">
        <v>524</v>
      </c>
      <c r="G830" s="3" t="s">
        <v>2565</v>
      </c>
      <c r="H830" s="2" t="s">
        <v>148</v>
      </c>
      <c r="I830" s="2" t="s">
        <v>2566</v>
      </c>
      <c r="J830" s="3" t="str">
        <f>HYPERLINK("https://www.boe.es/gazeta/dias/1811/04/27/pdfs/GEI-D-1811-56.pdf#page=3","Abrir facsímil")</f>
        <v>Abrir facsímil</v>
      </c>
      <c r="K830" s="3" t="s">
        <v>150</v>
      </c>
    </row>
    <row r="831" spans="1:11" ht="42" customHeight="1">
      <c r="A831" s="2" t="s">
        <v>2567</v>
      </c>
      <c r="B831" s="2" t="s">
        <v>2568</v>
      </c>
      <c r="C831" s="2" t="s">
        <v>26</v>
      </c>
      <c r="D831" s="2" t="s">
        <v>18</v>
      </c>
      <c r="E831" s="4">
        <v>-32155</v>
      </c>
      <c r="F831" s="3" t="s">
        <v>263</v>
      </c>
      <c r="G831" s="3" t="s">
        <v>1800</v>
      </c>
      <c r="H831" s="2" t="s">
        <v>148</v>
      </c>
      <c r="I831" s="2" t="s">
        <v>2569</v>
      </c>
      <c r="J831" s="3" t="str">
        <f>HYPERLINK("https://www.boe.es/gazeta/dias/1811/12/17/pdfs/GEI-1811-163.pdf#page=7","Abrir facsímil")</f>
        <v>Abrir facsímil</v>
      </c>
      <c r="K831" s="3" t="s">
        <v>150</v>
      </c>
    </row>
    <row r="832" spans="1:11" ht="42" customHeight="1">
      <c r="A832" s="2" t="s">
        <v>2570</v>
      </c>
      <c r="B832" s="2" t="s">
        <v>2570</v>
      </c>
      <c r="C832" s="2" t="s">
        <v>17</v>
      </c>
      <c r="D832" s="2" t="s">
        <v>156</v>
      </c>
      <c r="E832" s="4">
        <v>-32171</v>
      </c>
      <c r="F832" s="3" t="s">
        <v>157</v>
      </c>
      <c r="G832" s="3" t="s">
        <v>44</v>
      </c>
      <c r="H832" s="2" t="s">
        <v>148</v>
      </c>
      <c r="I832" s="2" t="s">
        <v>2571</v>
      </c>
      <c r="J832" s="3" t="str">
        <f>HYPERLINK("https://www.boe.es/gazeta/dias/1811/12/01/pdfs/GMD-1811-335.pdf#page=4","Abrir facsímil")</f>
        <v>Abrir facsímil</v>
      </c>
      <c r="K832" s="3" t="s">
        <v>150</v>
      </c>
    </row>
    <row r="833" spans="1:11" ht="42" customHeight="1">
      <c r="A833" s="2" t="s">
        <v>2572</v>
      </c>
      <c r="B833" s="2" t="s">
        <v>2572</v>
      </c>
      <c r="C833" s="2" t="s">
        <v>17</v>
      </c>
      <c r="D833" s="2" t="s">
        <v>156</v>
      </c>
      <c r="E833" s="4">
        <v>-32389</v>
      </c>
      <c r="F833" s="3" t="s">
        <v>524</v>
      </c>
      <c r="G833" s="3" t="s">
        <v>2573</v>
      </c>
      <c r="H833" s="2" t="s">
        <v>148</v>
      </c>
      <c r="I833" s="2" t="s">
        <v>2574</v>
      </c>
      <c r="J833" s="3" t="str">
        <f>HYPERLINK("https://www.boe.es/gazeta/dias/1811/04/27/pdfs/GEI-D-1811-56.pdf#page=1","Abrir facsímil")</f>
        <v>Abrir facsímil</v>
      </c>
      <c r="K833" s="3" t="s">
        <v>150</v>
      </c>
    </row>
    <row r="834" spans="1:11" ht="42" customHeight="1">
      <c r="A834" s="2" t="s">
        <v>2575</v>
      </c>
      <c r="B834" s="2" t="s">
        <v>2575</v>
      </c>
      <c r="C834" s="2" t="s">
        <v>17</v>
      </c>
      <c r="D834" s="2" t="s">
        <v>156</v>
      </c>
      <c r="E834" s="4">
        <v>-32362</v>
      </c>
      <c r="F834" s="3" t="s">
        <v>1990</v>
      </c>
      <c r="G834" s="3" t="s">
        <v>2576</v>
      </c>
      <c r="H834" s="2" t="s">
        <v>148</v>
      </c>
      <c r="I834" s="2" t="s">
        <v>2577</v>
      </c>
      <c r="J834" s="3" t="str">
        <f>HYPERLINK("https://www.boe.es/gazeta/dias/1811/05/24/pdfs/GEI-1811-70E.pdf#page=2","Abrir facsímil")</f>
        <v>Abrir facsímil</v>
      </c>
      <c r="K834" s="3" t="s">
        <v>150</v>
      </c>
    </row>
    <row r="835" spans="1:11" ht="42" customHeight="1">
      <c r="A835" s="2" t="s">
        <v>2578</v>
      </c>
      <c r="B835" s="2" t="s">
        <v>2578</v>
      </c>
      <c r="C835" s="2" t="s">
        <v>17</v>
      </c>
      <c r="D835" s="2" t="s">
        <v>156</v>
      </c>
      <c r="E835" s="4">
        <v>-32452</v>
      </c>
      <c r="F835" s="3" t="s">
        <v>106</v>
      </c>
      <c r="G835" s="3" t="s">
        <v>47</v>
      </c>
      <c r="H835" s="2" t="s">
        <v>148</v>
      </c>
      <c r="I835" s="2" t="s">
        <v>2579</v>
      </c>
      <c r="J835" s="3" t="str">
        <f>HYPERLINK("https://www.boe.es/gazeta/dias/1811/02/23/pdfs/GEI-1811-24.pdf#page=3","Abrir facsímil")</f>
        <v>Abrir facsímil</v>
      </c>
      <c r="K835" s="3" t="s">
        <v>150</v>
      </c>
    </row>
    <row r="836" spans="1:11" ht="42" customHeight="1">
      <c r="A836" s="2" t="s">
        <v>2580</v>
      </c>
      <c r="B836" s="2" t="s">
        <v>2580</v>
      </c>
      <c r="C836" s="2" t="s">
        <v>17</v>
      </c>
      <c r="D836" s="2" t="s">
        <v>528</v>
      </c>
      <c r="E836" s="4">
        <v>-32362</v>
      </c>
      <c r="F836" s="3" t="s">
        <v>1990</v>
      </c>
      <c r="G836" s="3" t="s">
        <v>2581</v>
      </c>
      <c r="H836" s="2" t="s">
        <v>148</v>
      </c>
      <c r="I836" s="2" t="s">
        <v>2582</v>
      </c>
      <c r="J836" s="3" t="str">
        <f>HYPERLINK("https://www.boe.es/gazeta/dias/1811/05/24/pdfs/GEI-1811-70E.pdf#page=6","Abrir facsímil")</f>
        <v>Abrir facsímil</v>
      </c>
      <c r="K836" s="3" t="s">
        <v>150</v>
      </c>
    </row>
    <row r="837" spans="1:11" ht="42" customHeight="1">
      <c r="A837" s="2" t="s">
        <v>2583</v>
      </c>
      <c r="B837" s="2" t="s">
        <v>2583</v>
      </c>
      <c r="C837" s="2" t="s">
        <v>17</v>
      </c>
      <c r="D837" s="2" t="s">
        <v>156</v>
      </c>
      <c r="E837" s="4">
        <v>-32436</v>
      </c>
      <c r="F837" s="3" t="s">
        <v>1972</v>
      </c>
      <c r="G837" s="3" t="s">
        <v>178</v>
      </c>
      <c r="H837" s="2" t="s">
        <v>148</v>
      </c>
      <c r="I837" s="2" t="s">
        <v>2584</v>
      </c>
      <c r="J837" s="3" t="str">
        <f>HYPERLINK("https://www.boe.es/gazeta/dias/1811/03/11/pdfs/GMD-1811-70.pdf#page=3","Abrir facsímil")</f>
        <v>Abrir facsímil</v>
      </c>
      <c r="K837" s="3" t="s">
        <v>150</v>
      </c>
    </row>
    <row r="838" spans="1:11" ht="42" customHeight="1">
      <c r="A838" s="2" t="s">
        <v>2583</v>
      </c>
      <c r="B838" s="2" t="s">
        <v>2583</v>
      </c>
      <c r="C838" s="2" t="s">
        <v>84</v>
      </c>
      <c r="D838" s="2" t="s">
        <v>18</v>
      </c>
      <c r="E838" s="4">
        <v>-32419</v>
      </c>
      <c r="F838" s="3" t="s">
        <v>2585</v>
      </c>
      <c r="G838" s="3" t="s">
        <v>2586</v>
      </c>
      <c r="H838" s="2" t="s">
        <v>148</v>
      </c>
      <c r="I838" s="2" t="s">
        <v>2587</v>
      </c>
      <c r="J838" s="3" t="str">
        <f>HYPERLINK("https://www.boe.es/gazeta/dias/1811/03/28/pdfs/GEI-1811-43.pdf#page=1","Abrir facsímil")</f>
        <v>Abrir facsímil</v>
      </c>
      <c r="K838" s="3" t="s">
        <v>150</v>
      </c>
    </row>
    <row r="839" spans="1:11" ht="42" customHeight="1">
      <c r="A839" s="2" t="s">
        <v>2583</v>
      </c>
      <c r="B839" s="2" t="s">
        <v>2583</v>
      </c>
      <c r="C839" s="2" t="s">
        <v>17</v>
      </c>
      <c r="D839" s="2" t="s">
        <v>18</v>
      </c>
      <c r="E839" s="4">
        <v>-32414</v>
      </c>
      <c r="F839" s="3" t="s">
        <v>2588</v>
      </c>
      <c r="G839" s="3" t="s">
        <v>39</v>
      </c>
      <c r="H839" s="2" t="s">
        <v>148</v>
      </c>
      <c r="I839" s="2" t="s">
        <v>2589</v>
      </c>
      <c r="J839" s="3" t="str">
        <f>HYPERLINK("https://www.boe.es/gazeta/dias/1811/04/02/pdfs/GMD-1811-92.pdf#page=1","Abrir facsímil")</f>
        <v>Abrir facsímil</v>
      </c>
      <c r="K839" s="3" t="s">
        <v>150</v>
      </c>
    </row>
    <row r="840" spans="1:11" ht="42" customHeight="1">
      <c r="A840" s="2" t="s">
        <v>2590</v>
      </c>
      <c r="B840" s="2" t="s">
        <v>2590</v>
      </c>
      <c r="C840" s="2" t="s">
        <v>26</v>
      </c>
      <c r="D840" s="2" t="s">
        <v>18</v>
      </c>
      <c r="E840" s="4">
        <v>-32407</v>
      </c>
      <c r="F840" s="3" t="s">
        <v>38</v>
      </c>
      <c r="G840" s="3" t="s">
        <v>2213</v>
      </c>
      <c r="H840" s="2" t="s">
        <v>148</v>
      </c>
      <c r="I840" s="2" t="s">
        <v>2591</v>
      </c>
      <c r="J840" s="3" t="str">
        <f>HYPERLINK("https://www.boe.es/gazeta/dias/1811/04/09/pdfs/GEI-1811-48.pdf#page=2","Abrir facsímil")</f>
        <v>Abrir facsímil</v>
      </c>
      <c r="K840" s="3" t="s">
        <v>150</v>
      </c>
    </row>
    <row r="841" spans="1:11" ht="42" customHeight="1">
      <c r="A841" s="2" t="s">
        <v>2583</v>
      </c>
      <c r="B841" s="2" t="s">
        <v>2583</v>
      </c>
      <c r="C841" s="2" t="s">
        <v>17</v>
      </c>
      <c r="D841" s="2" t="s">
        <v>18</v>
      </c>
      <c r="E841" s="4">
        <v>-32405</v>
      </c>
      <c r="F841" s="3" t="s">
        <v>1413</v>
      </c>
      <c r="G841" s="3" t="s">
        <v>2592</v>
      </c>
      <c r="H841" s="2" t="s">
        <v>148</v>
      </c>
      <c r="I841" s="2" t="s">
        <v>2593</v>
      </c>
      <c r="J841" s="3" t="str">
        <f>HYPERLINK("https://www.boe.es/gazeta/dias/1811/04/11/pdfs/GEI-1811-49.pdf#page=5","Abrir facsímil")</f>
        <v>Abrir facsímil</v>
      </c>
      <c r="K841" s="3" t="s">
        <v>150</v>
      </c>
    </row>
    <row r="842" spans="1:11" ht="42" customHeight="1">
      <c r="A842" s="2" t="s">
        <v>2583</v>
      </c>
      <c r="B842" s="2" t="s">
        <v>2583</v>
      </c>
      <c r="C842" s="2" t="s">
        <v>17</v>
      </c>
      <c r="D842" s="2" t="s">
        <v>156</v>
      </c>
      <c r="E842" s="4">
        <v>-32403</v>
      </c>
      <c r="F842" s="3" t="s">
        <v>1915</v>
      </c>
      <c r="G842" s="3" t="s">
        <v>2594</v>
      </c>
      <c r="H842" s="2" t="s">
        <v>148</v>
      </c>
      <c r="I842" s="2" t="s">
        <v>2595</v>
      </c>
      <c r="J842" s="3" t="str">
        <f>HYPERLINK("https://www.boe.es/gazeta/dias/1811/04/13/pdfs/GEI-1811-50.pdf#page=4","Abrir facsímil")</f>
        <v>Abrir facsímil</v>
      </c>
      <c r="K842" s="3" t="s">
        <v>150</v>
      </c>
    </row>
    <row r="843" spans="1:11" ht="42" customHeight="1">
      <c r="A843" s="2" t="s">
        <v>2583</v>
      </c>
      <c r="B843" s="2" t="s">
        <v>2583</v>
      </c>
      <c r="C843" s="2" t="s">
        <v>26</v>
      </c>
      <c r="D843" s="2" t="s">
        <v>141</v>
      </c>
      <c r="E843" s="4">
        <v>-32389</v>
      </c>
      <c r="F843" s="3" t="s">
        <v>524</v>
      </c>
      <c r="G843" s="3" t="s">
        <v>530</v>
      </c>
      <c r="H843" s="2" t="s">
        <v>148</v>
      </c>
      <c r="I843" s="2" t="s">
        <v>2596</v>
      </c>
      <c r="J843" s="3" t="str">
        <f>HYPERLINK("https://www.boe.es/gazeta/dias/1811/04/27/pdfs/GEI-D-1811-56.pdf#page=2","Abrir facsímil")</f>
        <v>Abrir facsímil</v>
      </c>
      <c r="K843" s="3" t="s">
        <v>150</v>
      </c>
    </row>
    <row r="844" spans="1:11" ht="42" customHeight="1">
      <c r="A844" s="2" t="s">
        <v>2583</v>
      </c>
      <c r="B844" s="2" t="s">
        <v>2583</v>
      </c>
      <c r="C844" s="2" t="s">
        <v>26</v>
      </c>
      <c r="D844" s="2" t="s">
        <v>18</v>
      </c>
      <c r="E844" s="4">
        <v>-32386</v>
      </c>
      <c r="F844" s="3" t="s">
        <v>1934</v>
      </c>
      <c r="G844" s="3" t="s">
        <v>2597</v>
      </c>
      <c r="H844" s="2" t="s">
        <v>148</v>
      </c>
      <c r="I844" s="2" t="s">
        <v>2598</v>
      </c>
      <c r="J844" s="3" t="str">
        <f>HYPERLINK("https://www.boe.es/gazeta/dias/1811/04/30/pdfs/GEI-1811-57.pdf#page=1","Abrir facsímil")</f>
        <v>Abrir facsímil</v>
      </c>
      <c r="K844" s="3" t="s">
        <v>150</v>
      </c>
    </row>
    <row r="845" spans="1:11" ht="42" customHeight="1">
      <c r="A845" s="2" t="s">
        <v>2583</v>
      </c>
      <c r="B845" s="2" t="s">
        <v>2583</v>
      </c>
      <c r="C845" s="2" t="s">
        <v>26</v>
      </c>
      <c r="D845" s="2" t="s">
        <v>141</v>
      </c>
      <c r="E845" s="4">
        <v>-32384</v>
      </c>
      <c r="F845" s="3" t="s">
        <v>2599</v>
      </c>
      <c r="G845" s="3" t="s">
        <v>20</v>
      </c>
      <c r="H845" s="2" t="s">
        <v>148</v>
      </c>
      <c r="I845" s="2" t="s">
        <v>2600</v>
      </c>
      <c r="J845" s="3" t="str">
        <f>HYPERLINK("https://www.boe.es/gazeta/dias/1811/05/02/pdfs/GEI-D-1811-58.pdf#page=1","Abrir facsímil")</f>
        <v>Abrir facsímil</v>
      </c>
      <c r="K845" s="3" t="s">
        <v>150</v>
      </c>
    </row>
    <row r="846" spans="1:11" ht="42" customHeight="1">
      <c r="A846" s="2" t="s">
        <v>2583</v>
      </c>
      <c r="B846" s="2" t="s">
        <v>2583</v>
      </c>
      <c r="C846" s="2" t="s">
        <v>17</v>
      </c>
      <c r="D846" s="2" t="s">
        <v>156</v>
      </c>
      <c r="E846" s="4">
        <v>-32365</v>
      </c>
      <c r="F846" s="3" t="s">
        <v>1304</v>
      </c>
      <c r="G846" s="3" t="s">
        <v>39</v>
      </c>
      <c r="H846" s="2" t="s">
        <v>148</v>
      </c>
      <c r="I846" s="2" t="s">
        <v>2601</v>
      </c>
      <c r="J846" s="3" t="str">
        <f>HYPERLINK("https://www.boe.es/gazeta/dias/1811/05/21/pdfs/GEI-D-1811-67.pdf#page=1","Abrir facsímil")</f>
        <v>Abrir facsímil</v>
      </c>
      <c r="K846" s="3" t="s">
        <v>150</v>
      </c>
    </row>
    <row r="847" spans="1:11" ht="42" customHeight="1">
      <c r="A847" s="2" t="s">
        <v>2583</v>
      </c>
      <c r="B847" s="2" t="s">
        <v>2583</v>
      </c>
      <c r="C847" s="2" t="s">
        <v>26</v>
      </c>
      <c r="D847" s="2" t="s">
        <v>528</v>
      </c>
      <c r="E847" s="4">
        <v>-32362</v>
      </c>
      <c r="F847" s="3" t="s">
        <v>1990</v>
      </c>
      <c r="G847" s="3" t="s">
        <v>47</v>
      </c>
      <c r="H847" s="2" t="s">
        <v>148</v>
      </c>
      <c r="I847" s="2" t="s">
        <v>2602</v>
      </c>
      <c r="J847" s="3" t="str">
        <f>HYPERLINK("https://www.boe.es/gazeta/dias/1811/05/24/pdfs/GEI-1811-70E.pdf#page=5","Abrir facsímil")</f>
        <v>Abrir facsímil</v>
      </c>
      <c r="K847" s="3" t="s">
        <v>150</v>
      </c>
    </row>
    <row r="848" spans="1:11" ht="42" customHeight="1">
      <c r="A848" s="2" t="s">
        <v>2583</v>
      </c>
      <c r="B848" s="2" t="s">
        <v>2583</v>
      </c>
      <c r="C848" s="2" t="s">
        <v>17</v>
      </c>
      <c r="D848" s="2" t="s">
        <v>156</v>
      </c>
      <c r="E848" s="4">
        <v>-32351</v>
      </c>
      <c r="F848" s="3" t="s">
        <v>2163</v>
      </c>
      <c r="G848" s="3" t="s">
        <v>162</v>
      </c>
      <c r="H848" s="2" t="s">
        <v>148</v>
      </c>
      <c r="I848" s="2" t="s">
        <v>2603</v>
      </c>
      <c r="J848" s="3" t="str">
        <f>HYPERLINK("https://www.boe.es/gazeta/dias/1811/06/04/pdfs/GEI-1811-75.pdf#page=1","Abrir facsímil")</f>
        <v>Abrir facsímil</v>
      </c>
      <c r="K848" s="3" t="s">
        <v>150</v>
      </c>
    </row>
    <row r="849" spans="1:11" ht="42" customHeight="1">
      <c r="A849" s="2" t="s">
        <v>2583</v>
      </c>
      <c r="B849" s="2" t="s">
        <v>2583</v>
      </c>
      <c r="C849" s="2" t="s">
        <v>104</v>
      </c>
      <c r="D849" s="2" t="s">
        <v>18</v>
      </c>
      <c r="E849" s="4">
        <v>-32349</v>
      </c>
      <c r="F849" s="3" t="s">
        <v>239</v>
      </c>
      <c r="G849" s="3" t="s">
        <v>2604</v>
      </c>
      <c r="H849" s="2" t="s">
        <v>148</v>
      </c>
      <c r="I849" s="2" t="s">
        <v>2605</v>
      </c>
      <c r="J849" s="3" t="str">
        <f>HYPERLINK("https://www.boe.es/gazeta/dias/1811/06/06/pdfs/GEI-1811-76.pdf#page=1","Abrir facsímil")</f>
        <v>Abrir facsímil</v>
      </c>
      <c r="K849" s="3" t="s">
        <v>150</v>
      </c>
    </row>
    <row r="850" spans="1:11" ht="42" customHeight="1">
      <c r="A850" s="2" t="s">
        <v>2583</v>
      </c>
      <c r="B850" s="2" t="s">
        <v>2583</v>
      </c>
      <c r="C850" s="2" t="s">
        <v>26</v>
      </c>
      <c r="D850" s="2" t="s">
        <v>18</v>
      </c>
      <c r="E850" s="4">
        <v>-32349</v>
      </c>
      <c r="F850" s="3" t="s">
        <v>239</v>
      </c>
      <c r="G850" s="3" t="s">
        <v>162</v>
      </c>
      <c r="H850" s="2" t="s">
        <v>148</v>
      </c>
      <c r="I850" s="2" t="s">
        <v>2606</v>
      </c>
      <c r="J850" s="3" t="str">
        <f>HYPERLINK("https://www.boe.es/gazeta/dias/1811/06/06/pdfs/GEI-1811-76.pdf#page=2","Abrir facsímil")</f>
        <v>Abrir facsímil</v>
      </c>
      <c r="K850" s="3" t="s">
        <v>150</v>
      </c>
    </row>
    <row r="851" spans="1:11" ht="42" customHeight="1">
      <c r="A851" s="2" t="s">
        <v>2583</v>
      </c>
      <c r="B851" s="2" t="s">
        <v>2583</v>
      </c>
      <c r="C851" s="2" t="s">
        <v>17</v>
      </c>
      <c r="D851" s="2" t="s">
        <v>156</v>
      </c>
      <c r="E851" s="4">
        <v>-32342</v>
      </c>
      <c r="F851" s="3" t="s">
        <v>1474</v>
      </c>
      <c r="G851" s="3" t="s">
        <v>44</v>
      </c>
      <c r="H851" s="2" t="s">
        <v>148</v>
      </c>
      <c r="I851" s="2" t="s">
        <v>2607</v>
      </c>
      <c r="J851" s="3" t="str">
        <f>HYPERLINK("https://www.boe.es/gazeta/dias/1811/06/13/pdfs/GEI-1811-79.pdf#page=3","Abrir facsímil")</f>
        <v>Abrir facsímil</v>
      </c>
      <c r="K851" s="3" t="s">
        <v>150</v>
      </c>
    </row>
    <row r="852" spans="1:11" ht="42" customHeight="1">
      <c r="A852" s="2" t="s">
        <v>2583</v>
      </c>
      <c r="B852" s="2" t="s">
        <v>2583</v>
      </c>
      <c r="C852" s="2" t="s">
        <v>17</v>
      </c>
      <c r="D852" s="2" t="s">
        <v>156</v>
      </c>
      <c r="E852" s="4">
        <v>-32342</v>
      </c>
      <c r="F852" s="3" t="s">
        <v>1474</v>
      </c>
      <c r="G852" s="3" t="s">
        <v>2608</v>
      </c>
      <c r="H852" s="2" t="s">
        <v>148</v>
      </c>
      <c r="I852" s="2" t="s">
        <v>2609</v>
      </c>
      <c r="J852" s="3" t="str">
        <f>HYPERLINK("https://www.boe.es/gazeta/dias/1811/06/13/pdfs/GEI-1811-79.pdf#page=4","Abrir facsímil")</f>
        <v>Abrir facsímil</v>
      </c>
      <c r="K852" s="3" t="s">
        <v>150</v>
      </c>
    </row>
    <row r="853" spans="1:11" ht="42" customHeight="1">
      <c r="A853" s="2" t="s">
        <v>2583</v>
      </c>
      <c r="B853" s="2" t="s">
        <v>2583</v>
      </c>
      <c r="C853" s="2" t="s">
        <v>17</v>
      </c>
      <c r="D853" s="2" t="s">
        <v>156</v>
      </c>
      <c r="E853" s="4">
        <v>-32330</v>
      </c>
      <c r="F853" s="3" t="s">
        <v>1997</v>
      </c>
      <c r="G853" s="3" t="s">
        <v>1463</v>
      </c>
      <c r="H853" s="2" t="s">
        <v>148</v>
      </c>
      <c r="I853" s="2" t="s">
        <v>2610</v>
      </c>
      <c r="J853" s="3" t="str">
        <f>HYPERLINK("https://www.boe.es/gazeta/dias/1811/06/25/pdfs/GMD-1811-176.pdf#page=3","Abrir facsímil")</f>
        <v>Abrir facsímil</v>
      </c>
      <c r="K853" s="3" t="s">
        <v>150</v>
      </c>
    </row>
    <row r="854" spans="1:11" ht="42" customHeight="1">
      <c r="A854" s="2" t="s">
        <v>2583</v>
      </c>
      <c r="B854" s="2" t="s">
        <v>2583</v>
      </c>
      <c r="C854" s="2" t="s">
        <v>17</v>
      </c>
      <c r="D854" s="2" t="s">
        <v>156</v>
      </c>
      <c r="E854" s="4">
        <v>-32325</v>
      </c>
      <c r="F854" s="3" t="s">
        <v>552</v>
      </c>
      <c r="G854" s="3" t="s">
        <v>515</v>
      </c>
      <c r="H854" s="2" t="s">
        <v>148</v>
      </c>
      <c r="I854" s="2" t="s">
        <v>2611</v>
      </c>
      <c r="J854" s="3" t="str">
        <f>HYPERLINK("https://www.boe.es/gazeta/dias/1811/06/30/pdfs/GMD-1811-181.pdf#page=2","Abrir facsímil")</f>
        <v>Abrir facsímil</v>
      </c>
      <c r="K854" s="3" t="s">
        <v>150</v>
      </c>
    </row>
    <row r="855" spans="1:11" ht="42" customHeight="1">
      <c r="A855" s="2" t="s">
        <v>2583</v>
      </c>
      <c r="B855" s="2" t="s">
        <v>2583</v>
      </c>
      <c r="C855" s="2" t="s">
        <v>26</v>
      </c>
      <c r="D855" s="2" t="s">
        <v>204</v>
      </c>
      <c r="E855" s="4">
        <v>-32318</v>
      </c>
      <c r="F855" s="3" t="s">
        <v>1193</v>
      </c>
      <c r="G855" s="3" t="s">
        <v>2612</v>
      </c>
      <c r="H855" s="2" t="s">
        <v>148</v>
      </c>
      <c r="I855" s="2" t="s">
        <v>2613</v>
      </c>
      <c r="J855" s="3" t="str">
        <f>HYPERLINK("https://www.boe.es/gazeta/dias/1811/07/07/pdfs/GMD-1811-188.pdf#page=1","Abrir facsímil")</f>
        <v>Abrir facsímil</v>
      </c>
      <c r="K855" s="3" t="s">
        <v>150</v>
      </c>
    </row>
    <row r="856" spans="1:11" ht="42" customHeight="1">
      <c r="A856" s="2" t="s">
        <v>2583</v>
      </c>
      <c r="B856" s="2" t="s">
        <v>2583</v>
      </c>
      <c r="C856" s="2" t="s">
        <v>26</v>
      </c>
      <c r="D856" s="2" t="s">
        <v>204</v>
      </c>
      <c r="E856" s="4">
        <v>-32307</v>
      </c>
      <c r="F856" s="3" t="s">
        <v>2614</v>
      </c>
      <c r="G856" s="3" t="s">
        <v>2615</v>
      </c>
      <c r="H856" s="2" t="s">
        <v>148</v>
      </c>
      <c r="I856" s="2" t="s">
        <v>2616</v>
      </c>
      <c r="J856" s="3" t="str">
        <f>HYPERLINK("https://www.boe.es/gazeta/dias/1811/07/18/pdfs/GMD-1811-199.pdf#page=3","Abrir facsímil")</f>
        <v>Abrir facsímil</v>
      </c>
      <c r="K856" s="3" t="s">
        <v>150</v>
      </c>
    </row>
    <row r="857" spans="1:11" ht="42" customHeight="1">
      <c r="A857" s="2" t="s">
        <v>2583</v>
      </c>
      <c r="B857" s="2" t="s">
        <v>2583</v>
      </c>
      <c r="C857" s="2" t="s">
        <v>17</v>
      </c>
      <c r="D857" s="2" t="s">
        <v>156</v>
      </c>
      <c r="E857" s="4">
        <v>-32270</v>
      </c>
      <c r="F857" s="3" t="s">
        <v>2617</v>
      </c>
      <c r="G857" s="3" t="s">
        <v>846</v>
      </c>
      <c r="H857" s="2" t="s">
        <v>148</v>
      </c>
      <c r="I857" s="2" t="s">
        <v>2618</v>
      </c>
      <c r="J857" s="3" t="str">
        <f>HYPERLINK("https://www.boe.es/gazeta/dias/1811/08/24/pdfs/GMD-1811-236.pdf#page=3","Abrir facsímil")</f>
        <v>Abrir facsímil</v>
      </c>
      <c r="K857" s="3" t="s">
        <v>150</v>
      </c>
    </row>
    <row r="858" spans="1:11" ht="42" customHeight="1">
      <c r="A858" s="2" t="s">
        <v>2583</v>
      </c>
      <c r="B858" s="2" t="s">
        <v>2583</v>
      </c>
      <c r="C858" s="2" t="s">
        <v>17</v>
      </c>
      <c r="D858" s="2" t="s">
        <v>204</v>
      </c>
      <c r="E858" s="4">
        <v>-32251</v>
      </c>
      <c r="F858" s="3" t="s">
        <v>726</v>
      </c>
      <c r="G858" s="3" t="s">
        <v>39</v>
      </c>
      <c r="H858" s="2" t="s">
        <v>148</v>
      </c>
      <c r="I858" s="2" t="s">
        <v>2619</v>
      </c>
      <c r="J858" s="3" t="str">
        <f>HYPERLINK("https://www.boe.es/gazeta/dias/1811/09/12/pdfs/GEI-1811-118.pdf#page=1","Abrir facsímil")</f>
        <v>Abrir facsímil</v>
      </c>
      <c r="K858" s="3" t="s">
        <v>150</v>
      </c>
    </row>
    <row r="859" spans="1:11" ht="42" customHeight="1">
      <c r="A859" s="2" t="s">
        <v>2620</v>
      </c>
      <c r="B859" s="2" t="s">
        <v>2621</v>
      </c>
      <c r="C859" s="2" t="s">
        <v>17</v>
      </c>
      <c r="D859" s="2" t="s">
        <v>18</v>
      </c>
      <c r="E859" s="4">
        <v>-32349</v>
      </c>
      <c r="F859" s="3" t="s">
        <v>239</v>
      </c>
      <c r="G859" s="3" t="s">
        <v>162</v>
      </c>
      <c r="H859" s="2" t="s">
        <v>148</v>
      </c>
      <c r="I859" s="2" t="s">
        <v>2622</v>
      </c>
      <c r="J859" s="3" t="str">
        <f>HYPERLINK("https://www.boe.es/gazeta/dias/1811/06/06/pdfs/GEI-1811-76.pdf#page=2","Abrir facsímil")</f>
        <v>Abrir facsímil</v>
      </c>
      <c r="K859" s="3" t="s">
        <v>150</v>
      </c>
    </row>
    <row r="860" spans="1:11" ht="42" customHeight="1">
      <c r="A860" s="2" t="s">
        <v>2623</v>
      </c>
      <c r="B860" s="2" t="s">
        <v>2623</v>
      </c>
      <c r="C860" s="2" t="s">
        <v>17</v>
      </c>
      <c r="D860" s="2" t="s">
        <v>156</v>
      </c>
      <c r="E860" s="4">
        <v>-32405</v>
      </c>
      <c r="F860" s="3" t="s">
        <v>1413</v>
      </c>
      <c r="G860" s="3" t="s">
        <v>1414</v>
      </c>
      <c r="H860" s="2" t="s">
        <v>148</v>
      </c>
      <c r="I860" s="2" t="s">
        <v>2624</v>
      </c>
      <c r="J860" s="3" t="str">
        <f>HYPERLINK("https://www.boe.es/gazeta/dias/1811/04/11/pdfs/GEI-1811-49.pdf#page=1","Abrir facsímil")</f>
        <v>Abrir facsímil</v>
      </c>
      <c r="K860" s="3" t="s">
        <v>150</v>
      </c>
    </row>
    <row r="861" spans="1:11" ht="42" customHeight="1">
      <c r="A861" s="2" t="s">
        <v>2625</v>
      </c>
      <c r="B861" s="2" t="s">
        <v>2626</v>
      </c>
      <c r="C861" s="2" t="s">
        <v>17</v>
      </c>
      <c r="D861" s="2" t="s">
        <v>18</v>
      </c>
      <c r="E861" s="4">
        <v>-32379</v>
      </c>
      <c r="F861" s="3" t="s">
        <v>462</v>
      </c>
      <c r="G861" s="3" t="s">
        <v>228</v>
      </c>
      <c r="H861" s="2" t="s">
        <v>148</v>
      </c>
      <c r="I861" s="2" t="s">
        <v>2627</v>
      </c>
      <c r="J861" s="3" t="str">
        <f>HYPERLINK("https://www.boe.es/gazeta/dias/1811/05/07/pdfs/GEI-1811-60.pdf#page=3","Abrir facsímil")</f>
        <v>Abrir facsímil</v>
      </c>
      <c r="K861" s="3" t="s">
        <v>150</v>
      </c>
    </row>
    <row r="862" spans="1:11" ht="42" customHeight="1">
      <c r="A862" s="2" t="s">
        <v>2628</v>
      </c>
      <c r="B862" s="2" t="s">
        <v>2629</v>
      </c>
      <c r="C862" s="2" t="s">
        <v>26</v>
      </c>
      <c r="D862" s="2" t="s">
        <v>18</v>
      </c>
      <c r="E862" s="4">
        <v>-32461</v>
      </c>
      <c r="F862" s="3" t="s">
        <v>2429</v>
      </c>
      <c r="G862" s="3" t="s">
        <v>553</v>
      </c>
      <c r="H862" s="2" t="s">
        <v>148</v>
      </c>
      <c r="I862" s="2" t="s">
        <v>2630</v>
      </c>
      <c r="J862" s="3" t="str">
        <f>HYPERLINK("https://www.boe.es/gazeta/dias/1811/02/14/pdfs/GEI-1811-20.pdf#page=1","Abrir facsímil")</f>
        <v>Abrir facsímil</v>
      </c>
      <c r="K862" s="3" t="s">
        <v>150</v>
      </c>
    </row>
    <row r="863" spans="1:11" ht="42" customHeight="1">
      <c r="A863" s="2" t="s">
        <v>2631</v>
      </c>
      <c r="B863" s="2" t="s">
        <v>2632</v>
      </c>
      <c r="C863" s="2" t="s">
        <v>37</v>
      </c>
      <c r="D863" s="2" t="s">
        <v>156</v>
      </c>
      <c r="E863" s="4">
        <v>-32200</v>
      </c>
      <c r="F863" s="3" t="s">
        <v>109</v>
      </c>
      <c r="G863" s="3" t="s">
        <v>110</v>
      </c>
      <c r="H863" s="2" t="s">
        <v>148</v>
      </c>
      <c r="I863" s="2" t="s">
        <v>2633</v>
      </c>
      <c r="J863" s="3" t="str">
        <f>HYPERLINK("https://www.boe.es/gazeta/dias/1811/11/02/pdfs/GEI-1811-141.pdf#page=6","Abrir facsímil")</f>
        <v>Abrir facsímil</v>
      </c>
      <c r="K863" s="3" t="s">
        <v>150</v>
      </c>
    </row>
    <row r="864" spans="1:11" ht="42" customHeight="1">
      <c r="A864" s="2" t="s">
        <v>2634</v>
      </c>
      <c r="B864" s="2" t="s">
        <v>2635</v>
      </c>
      <c r="C864" s="2" t="s">
        <v>26</v>
      </c>
      <c r="D864" s="2" t="s">
        <v>18</v>
      </c>
      <c r="E864" s="4">
        <v>-32152</v>
      </c>
      <c r="F864" s="3" t="s">
        <v>1673</v>
      </c>
      <c r="G864" s="3" t="s">
        <v>183</v>
      </c>
      <c r="H864" s="2" t="s">
        <v>148</v>
      </c>
      <c r="I864" s="2" t="s">
        <v>2636</v>
      </c>
      <c r="J864" s="3" t="str">
        <f>HYPERLINK("https://www.boe.es/gazeta/dias/1811/12/20/pdfs/GMD-1811-354.pdf#page=4","Abrir facsímil")</f>
        <v>Abrir facsímil</v>
      </c>
      <c r="K864" s="3" t="s">
        <v>150</v>
      </c>
    </row>
    <row r="865" spans="1:11" ht="42" customHeight="1">
      <c r="A865" s="2" t="s">
        <v>2637</v>
      </c>
      <c r="B865" s="2" t="s">
        <v>2637</v>
      </c>
      <c r="C865" s="2" t="s">
        <v>17</v>
      </c>
      <c r="D865" s="2" t="s">
        <v>18</v>
      </c>
      <c r="E865" s="4">
        <v>-32491</v>
      </c>
      <c r="F865" s="3" t="s">
        <v>533</v>
      </c>
      <c r="G865" s="3" t="s">
        <v>272</v>
      </c>
      <c r="H865" s="2" t="s">
        <v>148</v>
      </c>
      <c r="I865" s="2" t="s">
        <v>2638</v>
      </c>
      <c r="J865" s="3" t="str">
        <f>HYPERLINK("https://www.boe.es/gazeta/dias/1811/01/15/pdfs/GEI-1811-7.pdf#page=5","Abrir facsímil")</f>
        <v>Abrir facsímil</v>
      </c>
      <c r="K865" s="3" t="s">
        <v>150</v>
      </c>
    </row>
    <row r="866" spans="1:11" ht="42" customHeight="1">
      <c r="A866" s="2" t="s">
        <v>2639</v>
      </c>
      <c r="B866" s="2" t="s">
        <v>2639</v>
      </c>
      <c r="C866" s="2" t="s">
        <v>122</v>
      </c>
      <c r="D866" s="2" t="s">
        <v>18</v>
      </c>
      <c r="E866" s="4">
        <v>-32312</v>
      </c>
      <c r="F866" s="3" t="s">
        <v>2640</v>
      </c>
      <c r="G866" s="3" t="s">
        <v>248</v>
      </c>
      <c r="H866" s="2" t="s">
        <v>148</v>
      </c>
      <c r="I866" s="2" t="s">
        <v>2641</v>
      </c>
      <c r="J866" s="3" t="str">
        <f>HYPERLINK("https://www.boe.es/gazeta/dias/1811/07/13/pdfs/GEI-1811-92.pdf#page=2","Abrir facsímil")</f>
        <v>Abrir facsímil</v>
      </c>
      <c r="K866" s="3" t="s">
        <v>150</v>
      </c>
    </row>
    <row r="867" spans="1:11" ht="42" customHeight="1">
      <c r="A867" s="2" t="s">
        <v>2642</v>
      </c>
      <c r="B867" s="2" t="s">
        <v>2642</v>
      </c>
      <c r="C867" s="2" t="s">
        <v>17</v>
      </c>
      <c r="D867" s="2" t="s">
        <v>18</v>
      </c>
      <c r="E867" s="4">
        <v>-32201</v>
      </c>
      <c r="F867" s="3" t="s">
        <v>2643</v>
      </c>
      <c r="G867" s="3" t="s">
        <v>2644</v>
      </c>
      <c r="H867" s="2" t="s">
        <v>148</v>
      </c>
      <c r="I867" s="2" t="s">
        <v>2645</v>
      </c>
      <c r="J867" s="3" t="str">
        <f>HYPERLINK("https://www.boe.es/gazeta/dias/1811/11/01/pdfs/GMD-1811-305.pdf#page=3","Abrir facsímil")</f>
        <v>Abrir facsímil</v>
      </c>
      <c r="K867" s="3" t="s">
        <v>150</v>
      </c>
    </row>
    <row r="868" spans="1:11" ht="42" customHeight="1">
      <c r="A868" s="2" t="s">
        <v>2646</v>
      </c>
      <c r="B868" s="2" t="s">
        <v>2646</v>
      </c>
      <c r="C868" s="2" t="s">
        <v>17</v>
      </c>
      <c r="D868" s="2" t="s">
        <v>156</v>
      </c>
      <c r="E868" s="4">
        <v>-32279</v>
      </c>
      <c r="F868" s="3" t="s">
        <v>540</v>
      </c>
      <c r="G868" s="3" t="s">
        <v>20</v>
      </c>
      <c r="H868" s="2" t="s">
        <v>148</v>
      </c>
      <c r="I868" s="2" t="s">
        <v>2647</v>
      </c>
      <c r="J868" s="3" t="str">
        <f>HYPERLINK("https://www.boe.es/gazeta/dias/1811/08/15/pdfs/GMD-1811-227.pdf#page=4","Abrir facsímil")</f>
        <v>Abrir facsímil</v>
      </c>
      <c r="K868" s="3" t="s">
        <v>150</v>
      </c>
    </row>
    <row r="869" spans="1:11" ht="42" customHeight="1">
      <c r="A869" s="2" t="s">
        <v>2646</v>
      </c>
      <c r="B869" s="2" t="s">
        <v>2646</v>
      </c>
      <c r="C869" s="2" t="s">
        <v>26</v>
      </c>
      <c r="D869" s="2" t="s">
        <v>18</v>
      </c>
      <c r="E869" s="4">
        <v>-32141</v>
      </c>
      <c r="F869" s="3" t="s">
        <v>327</v>
      </c>
      <c r="G869" s="3" t="s">
        <v>20</v>
      </c>
      <c r="H869" s="2" t="s">
        <v>148</v>
      </c>
      <c r="I869" s="2" t="s">
        <v>2648</v>
      </c>
      <c r="J869" s="3" t="str">
        <f>HYPERLINK("https://www.boe.es/gazeta/dias/1811/12/31/pdfs/GMD-1811-365.pdf#page=4","Abrir facsímil")</f>
        <v>Abrir facsímil</v>
      </c>
      <c r="K869" s="3" t="s">
        <v>150</v>
      </c>
    </row>
    <row r="870" spans="1:11" ht="42" customHeight="1">
      <c r="A870" s="2" t="s">
        <v>2649</v>
      </c>
      <c r="B870" s="2" t="s">
        <v>2650</v>
      </c>
      <c r="C870" s="2" t="s">
        <v>17</v>
      </c>
      <c r="D870" s="2" t="s">
        <v>18</v>
      </c>
      <c r="E870" s="4">
        <v>-32451</v>
      </c>
      <c r="F870" s="3" t="s">
        <v>2651</v>
      </c>
      <c r="G870" s="3" t="s">
        <v>2652</v>
      </c>
      <c r="H870" s="2" t="s">
        <v>148</v>
      </c>
      <c r="I870" s="2" t="s">
        <v>2653</v>
      </c>
      <c r="J870" s="3" t="str">
        <f>HYPERLINK("https://www.boe.es/gazeta/dias/1811/02/24/pdfs/GMD-1811-55.pdf#page=4","Abrir facsímil")</f>
        <v>Abrir facsímil</v>
      </c>
      <c r="K870" s="3" t="s">
        <v>150</v>
      </c>
    </row>
    <row r="871" spans="1:11" ht="42" customHeight="1">
      <c r="A871" s="2" t="s">
        <v>2654</v>
      </c>
      <c r="B871" s="2" t="s">
        <v>2654</v>
      </c>
      <c r="C871" s="2" t="s">
        <v>17</v>
      </c>
      <c r="D871" s="2" t="s">
        <v>18</v>
      </c>
      <c r="E871" s="4">
        <v>-32378</v>
      </c>
      <c r="F871" s="3" t="s">
        <v>2655</v>
      </c>
      <c r="G871" s="3" t="s">
        <v>178</v>
      </c>
      <c r="H871" s="2" t="s">
        <v>148</v>
      </c>
      <c r="I871" s="2" t="s">
        <v>2656</v>
      </c>
      <c r="J871" s="3" t="str">
        <f>HYPERLINK("https://www.boe.es/gazeta/dias/1811/05/08/pdfs/GMD-1811-128.pdf#page=4","Abrir facsímil")</f>
        <v>Abrir facsímil</v>
      </c>
      <c r="K871" s="3" t="s">
        <v>150</v>
      </c>
    </row>
    <row r="872" spans="1:11" ht="42" customHeight="1">
      <c r="A872" s="2" t="s">
        <v>2657</v>
      </c>
      <c r="B872" s="2" t="s">
        <v>2657</v>
      </c>
      <c r="C872" s="2" t="s">
        <v>17</v>
      </c>
      <c r="D872" s="2" t="s">
        <v>105</v>
      </c>
      <c r="E872" s="4">
        <v>-32270</v>
      </c>
      <c r="F872" s="3" t="s">
        <v>431</v>
      </c>
      <c r="G872" s="3" t="s">
        <v>2658</v>
      </c>
      <c r="H872" s="2" t="s">
        <v>148</v>
      </c>
      <c r="I872" s="2" t="s">
        <v>2659</v>
      </c>
      <c r="J872" s="3" t="str">
        <f>HYPERLINK("https://www.boe.es/gazeta/dias/1811/08/24/pdfs/GEI-1811-110.pdf#page=7","Abrir facsímil")</f>
        <v>Abrir facsímil</v>
      </c>
      <c r="K872" s="3" t="s">
        <v>150</v>
      </c>
    </row>
    <row r="873" spans="1:11" ht="42" customHeight="1">
      <c r="A873" s="2" t="s">
        <v>2660</v>
      </c>
      <c r="B873" s="2" t="s">
        <v>2661</v>
      </c>
      <c r="C873" s="2" t="s">
        <v>26</v>
      </c>
      <c r="D873" s="2" t="s">
        <v>18</v>
      </c>
      <c r="E873" s="4">
        <v>-32155</v>
      </c>
      <c r="F873" s="3" t="s">
        <v>263</v>
      </c>
      <c r="G873" s="3" t="s">
        <v>264</v>
      </c>
      <c r="H873" s="2" t="s">
        <v>148</v>
      </c>
      <c r="I873" s="2" t="s">
        <v>2662</v>
      </c>
      <c r="J873" s="3" t="str">
        <f>HYPERLINK("https://www.boe.es/gazeta/dias/1811/12/17/pdfs/GEI-1811-163.pdf#page=8","Abrir facsímil")</f>
        <v>Abrir facsímil</v>
      </c>
      <c r="K873" s="3" t="s">
        <v>150</v>
      </c>
    </row>
    <row r="874" spans="1:11" ht="42" customHeight="1">
      <c r="A874" s="2" t="s">
        <v>2663</v>
      </c>
      <c r="B874" s="2" t="s">
        <v>2664</v>
      </c>
      <c r="C874" s="2" t="s">
        <v>26</v>
      </c>
      <c r="D874" s="2" t="s">
        <v>18</v>
      </c>
      <c r="E874" s="4">
        <v>-32158</v>
      </c>
      <c r="F874" s="3" t="s">
        <v>46</v>
      </c>
      <c r="G874" s="3" t="s">
        <v>47</v>
      </c>
      <c r="H874" s="2" t="s">
        <v>148</v>
      </c>
      <c r="I874" s="2" t="s">
        <v>2665</v>
      </c>
      <c r="J874" s="3" t="str">
        <f>HYPERLINK("https://www.boe.es/gazeta/dias/1811/12/14/pdfs/GEI-1811-162.pdf#page=7","Abrir facsímil")</f>
        <v>Abrir facsímil</v>
      </c>
      <c r="K874" s="3" t="s">
        <v>150</v>
      </c>
    </row>
    <row r="875" spans="1:11" ht="42" customHeight="1">
      <c r="A875" s="2" t="s">
        <v>2666</v>
      </c>
      <c r="B875" s="2" t="s">
        <v>2667</v>
      </c>
      <c r="C875" s="2" t="s">
        <v>26</v>
      </c>
      <c r="D875" s="2" t="s">
        <v>18</v>
      </c>
      <c r="E875" s="4">
        <v>-32459</v>
      </c>
      <c r="F875" s="3" t="s">
        <v>1034</v>
      </c>
      <c r="G875" s="3" t="s">
        <v>2668</v>
      </c>
      <c r="H875" s="2" t="s">
        <v>148</v>
      </c>
      <c r="I875" s="2" t="s">
        <v>2669</v>
      </c>
      <c r="J875" s="3" t="str">
        <f>HYPERLINK("https://www.boe.es/gazeta/dias/1811/02/16/pdfs/GEI-1811-21.pdf#page=5","Abrir facsímil")</f>
        <v>Abrir facsímil</v>
      </c>
      <c r="K875" s="3" t="s">
        <v>150</v>
      </c>
    </row>
    <row r="876" spans="1:11" ht="42" customHeight="1">
      <c r="A876" s="2" t="s">
        <v>2670</v>
      </c>
      <c r="B876" s="2" t="s">
        <v>2671</v>
      </c>
      <c r="C876" s="2" t="s">
        <v>26</v>
      </c>
      <c r="D876" s="2" t="s">
        <v>18</v>
      </c>
      <c r="E876" s="4">
        <v>-32210</v>
      </c>
      <c r="F876" s="3" t="s">
        <v>1737</v>
      </c>
      <c r="G876" s="3" t="s">
        <v>248</v>
      </c>
      <c r="H876" s="2" t="s">
        <v>148</v>
      </c>
      <c r="I876" s="2" t="s">
        <v>2672</v>
      </c>
      <c r="J876" s="3" t="str">
        <f>HYPERLINK("https://www.boe.es/gazeta/dias/1811/10/23/pdfs/GMD-1811-296.pdf#page=5","Abrir facsímil")</f>
        <v>Abrir facsímil</v>
      </c>
      <c r="K876" s="3" t="s">
        <v>150</v>
      </c>
    </row>
    <row r="877" spans="1:11" ht="42" customHeight="1">
      <c r="A877" s="2" t="s">
        <v>2673</v>
      </c>
      <c r="B877" s="2" t="s">
        <v>2673</v>
      </c>
      <c r="C877" s="2" t="s">
        <v>104</v>
      </c>
      <c r="D877" s="2" t="s">
        <v>141</v>
      </c>
      <c r="E877" s="4">
        <v>-32330</v>
      </c>
      <c r="F877" s="3" t="s">
        <v>1713</v>
      </c>
      <c r="G877" s="3" t="s">
        <v>91</v>
      </c>
      <c r="H877" s="2" t="s">
        <v>148</v>
      </c>
      <c r="I877" s="2" t="s">
        <v>2674</v>
      </c>
      <c r="J877" s="3" t="str">
        <f>HYPERLINK("https://www.boe.es/gazeta/dias/1811/06/25/pdfs/GEI-D-1811-84.pdf#page=8","Abrir facsímil")</f>
        <v>Abrir facsímil</v>
      </c>
      <c r="K877" s="3" t="s">
        <v>150</v>
      </c>
    </row>
    <row r="878" spans="1:11" ht="42" customHeight="1">
      <c r="A878" s="2" t="s">
        <v>2675</v>
      </c>
      <c r="B878" s="2" t="s">
        <v>2675</v>
      </c>
      <c r="C878" s="2" t="s">
        <v>17</v>
      </c>
      <c r="D878" s="2" t="s">
        <v>18</v>
      </c>
      <c r="E878" s="4">
        <v>-32323</v>
      </c>
      <c r="F878" s="3" t="s">
        <v>2289</v>
      </c>
      <c r="G878" s="3" t="s">
        <v>331</v>
      </c>
      <c r="H878" s="2" t="s">
        <v>148</v>
      </c>
      <c r="I878" s="2" t="s">
        <v>2676</v>
      </c>
      <c r="J878" s="3" t="str">
        <f>HYPERLINK("https://www.boe.es/gazeta/dias/1811/07/02/pdfs/GMD-1811-183.pdf#page=4","Abrir facsímil")</f>
        <v>Abrir facsímil</v>
      </c>
      <c r="K878" s="3" t="s">
        <v>150</v>
      </c>
    </row>
    <row r="879" spans="1:11" ht="42" customHeight="1">
      <c r="A879" s="2" t="s">
        <v>2677</v>
      </c>
      <c r="B879" s="2" t="s">
        <v>2677</v>
      </c>
      <c r="C879" s="2" t="s">
        <v>104</v>
      </c>
      <c r="D879" s="2" t="s">
        <v>18</v>
      </c>
      <c r="E879" s="4">
        <v>-32410</v>
      </c>
      <c r="F879" s="3" t="s">
        <v>2678</v>
      </c>
      <c r="G879" s="3" t="s">
        <v>440</v>
      </c>
      <c r="H879" s="2" t="s">
        <v>148</v>
      </c>
      <c r="I879" s="2" t="s">
        <v>2679</v>
      </c>
      <c r="J879" s="3" t="str">
        <f>HYPERLINK("https://www.boe.es/gazeta/dias/1811/04/06/pdfs/GEI-1811-47.pdf#page=4","Abrir facsímil")</f>
        <v>Abrir facsímil</v>
      </c>
      <c r="K879" s="3" t="s">
        <v>150</v>
      </c>
    </row>
    <row r="880" spans="1:11" ht="42" customHeight="1">
      <c r="A880" s="2" t="s">
        <v>2680</v>
      </c>
      <c r="B880" s="2" t="s">
        <v>2680</v>
      </c>
      <c r="C880" s="2" t="s">
        <v>26</v>
      </c>
      <c r="D880" s="2" t="s">
        <v>18</v>
      </c>
      <c r="E880" s="4">
        <v>-32219</v>
      </c>
      <c r="F880" s="3" t="s">
        <v>2681</v>
      </c>
      <c r="G880" s="3" t="s">
        <v>2682</v>
      </c>
      <c r="H880" s="2" t="s">
        <v>148</v>
      </c>
      <c r="I880" s="2" t="s">
        <v>2683</v>
      </c>
      <c r="J880" s="3" t="str">
        <f>HYPERLINK("https://www.boe.es/gazeta/dias/1811/10/14/pdfs/GMD-1811-287.pdf#page=2","Abrir facsímil")</f>
        <v>Abrir facsímil</v>
      </c>
      <c r="K880" s="3" t="s">
        <v>150</v>
      </c>
    </row>
    <row r="881" spans="1:11" ht="42" customHeight="1">
      <c r="A881" s="2" t="s">
        <v>2684</v>
      </c>
      <c r="B881" s="2" t="s">
        <v>2684</v>
      </c>
      <c r="C881" s="2" t="s">
        <v>26</v>
      </c>
      <c r="D881" s="2" t="s">
        <v>204</v>
      </c>
      <c r="E881" s="4">
        <v>-32431</v>
      </c>
      <c r="F881" s="3" t="s">
        <v>342</v>
      </c>
      <c r="G881" s="3" t="s">
        <v>343</v>
      </c>
      <c r="H881" s="2" t="s">
        <v>148</v>
      </c>
      <c r="I881" s="2" t="s">
        <v>2685</v>
      </c>
      <c r="J881" s="3" t="str">
        <f>HYPERLINK("https://www.boe.es/gazeta/dias/1811/03/16/pdfs/GEI-1811-38.pdf#page=5","Abrir facsímil")</f>
        <v>Abrir facsímil</v>
      </c>
      <c r="K881" s="3" t="s">
        <v>150</v>
      </c>
    </row>
    <row r="882" spans="1:11" ht="42" customHeight="1">
      <c r="A882" s="2" t="s">
        <v>2684</v>
      </c>
      <c r="B882" s="2" t="s">
        <v>2684</v>
      </c>
      <c r="C882" s="2" t="s">
        <v>37</v>
      </c>
      <c r="D882" s="2" t="s">
        <v>156</v>
      </c>
      <c r="E882" s="4">
        <v>-32403</v>
      </c>
      <c r="F882" s="3" t="s">
        <v>1915</v>
      </c>
      <c r="G882" s="3" t="s">
        <v>2594</v>
      </c>
      <c r="H882" s="2" t="s">
        <v>148</v>
      </c>
      <c r="I882" s="2" t="s">
        <v>2686</v>
      </c>
      <c r="J882" s="3" t="str">
        <f>HYPERLINK("https://www.boe.es/gazeta/dias/1811/04/13/pdfs/GEI-1811-50.pdf#page=4","Abrir facsímil")</f>
        <v>Abrir facsímil</v>
      </c>
      <c r="K882" s="3" t="s">
        <v>150</v>
      </c>
    </row>
    <row r="883" spans="1:11" ht="42" customHeight="1">
      <c r="A883" s="2" t="s">
        <v>2684</v>
      </c>
      <c r="B883" s="2" t="s">
        <v>2684</v>
      </c>
      <c r="C883" s="2" t="s">
        <v>17</v>
      </c>
      <c r="D883" s="2" t="s">
        <v>156</v>
      </c>
      <c r="E883" s="4">
        <v>-32403</v>
      </c>
      <c r="F883" s="3" t="s">
        <v>1915</v>
      </c>
      <c r="G883" s="3" t="s">
        <v>1916</v>
      </c>
      <c r="H883" s="2" t="s">
        <v>148</v>
      </c>
      <c r="I883" s="2" t="s">
        <v>2687</v>
      </c>
      <c r="J883" s="3" t="str">
        <f>HYPERLINK("https://www.boe.es/gazeta/dias/1811/04/13/pdfs/GEI-1811-50.pdf#page=5","Abrir facsímil")</f>
        <v>Abrir facsímil</v>
      </c>
      <c r="K883" s="3" t="s">
        <v>150</v>
      </c>
    </row>
    <row r="884" spans="1:11" ht="42" customHeight="1">
      <c r="A884" s="2" t="s">
        <v>2684</v>
      </c>
      <c r="B884" s="2" t="s">
        <v>2684</v>
      </c>
      <c r="C884" s="2" t="s">
        <v>26</v>
      </c>
      <c r="D884" s="2" t="s">
        <v>18</v>
      </c>
      <c r="E884" s="4">
        <v>-32270</v>
      </c>
      <c r="F884" s="3" t="s">
        <v>431</v>
      </c>
      <c r="G884" s="3" t="s">
        <v>47</v>
      </c>
      <c r="H884" s="2" t="s">
        <v>148</v>
      </c>
      <c r="I884" s="2" t="s">
        <v>2688</v>
      </c>
      <c r="J884" s="3" t="str">
        <f>HYPERLINK("https://www.boe.es/gazeta/dias/1811/08/24/pdfs/GEI-1811-110.pdf#page=3","Abrir facsímil")</f>
        <v>Abrir facsímil</v>
      </c>
      <c r="K884" s="3" t="s">
        <v>150</v>
      </c>
    </row>
    <row r="885" spans="1:11" ht="42" customHeight="1">
      <c r="A885" s="2" t="s">
        <v>2689</v>
      </c>
      <c r="B885" s="2" t="s">
        <v>2689</v>
      </c>
      <c r="C885" s="2" t="s">
        <v>17</v>
      </c>
      <c r="D885" s="2" t="s">
        <v>156</v>
      </c>
      <c r="E885" s="4">
        <v>-32372</v>
      </c>
      <c r="F885" s="3" t="s">
        <v>2690</v>
      </c>
      <c r="G885" s="3" t="s">
        <v>57</v>
      </c>
      <c r="H885" s="2" t="s">
        <v>148</v>
      </c>
      <c r="I885" s="2" t="s">
        <v>2691</v>
      </c>
      <c r="J885" s="3" t="str">
        <f>HYPERLINK("https://www.boe.es/gazeta/dias/1811/05/14/pdfs/GEI-1811-63.pdf#page=2","Abrir facsímil")</f>
        <v>Abrir facsímil</v>
      </c>
      <c r="K885" s="3" t="s">
        <v>150</v>
      </c>
    </row>
    <row r="886" spans="1:11" ht="42" customHeight="1">
      <c r="A886" s="2" t="s">
        <v>2692</v>
      </c>
      <c r="B886" s="2" t="s">
        <v>2692</v>
      </c>
      <c r="C886" s="2" t="s">
        <v>17</v>
      </c>
      <c r="D886" s="2" t="s">
        <v>156</v>
      </c>
      <c r="E886" s="4">
        <v>-32302</v>
      </c>
      <c r="F886" s="3" t="s">
        <v>864</v>
      </c>
      <c r="G886" s="3" t="s">
        <v>2612</v>
      </c>
      <c r="H886" s="2" t="s">
        <v>148</v>
      </c>
      <c r="I886" s="2" t="s">
        <v>2693</v>
      </c>
      <c r="J886" s="3" t="str">
        <f>HYPERLINK("https://www.boe.es/gazeta/dias/1811/07/23/pdfs/GEI-1811-96.pdf#page=1","Abrir facsímil")</f>
        <v>Abrir facsímil</v>
      </c>
      <c r="K886" s="3" t="s">
        <v>150</v>
      </c>
    </row>
    <row r="887" spans="1:11" ht="42" customHeight="1">
      <c r="A887" s="2" t="s">
        <v>2694</v>
      </c>
      <c r="B887" s="2" t="s">
        <v>2695</v>
      </c>
      <c r="C887" s="2" t="s">
        <v>17</v>
      </c>
      <c r="D887" s="2" t="s">
        <v>18</v>
      </c>
      <c r="E887" s="4">
        <v>-32427</v>
      </c>
      <c r="F887" s="3" t="s">
        <v>2696</v>
      </c>
      <c r="G887" s="3" t="s">
        <v>44</v>
      </c>
      <c r="H887" s="2" t="s">
        <v>148</v>
      </c>
      <c r="I887" s="2" t="s">
        <v>2697</v>
      </c>
      <c r="J887" s="3" t="str">
        <f>HYPERLINK("https://www.boe.es/gazeta/dias/1811/03/20/pdfs/GMD-1811-79.pdf#page=4","Abrir facsímil")</f>
        <v>Abrir facsímil</v>
      </c>
      <c r="K887" s="3" t="s">
        <v>150</v>
      </c>
    </row>
    <row r="888" spans="1:11" ht="42" customHeight="1">
      <c r="A888" s="2" t="s">
        <v>2698</v>
      </c>
      <c r="B888" s="2" t="s">
        <v>2698</v>
      </c>
      <c r="C888" s="2" t="s">
        <v>17</v>
      </c>
      <c r="D888" s="2" t="s">
        <v>18</v>
      </c>
      <c r="E888" s="4">
        <v>-32490</v>
      </c>
      <c r="F888" s="3" t="s">
        <v>2407</v>
      </c>
      <c r="G888" s="3" t="s">
        <v>2408</v>
      </c>
      <c r="H888" s="2" t="s">
        <v>148</v>
      </c>
      <c r="I888" s="2" t="s">
        <v>2699</v>
      </c>
      <c r="J888" s="3" t="str">
        <f>HYPERLINK("https://www.boe.es/gazeta/dias/1811/01/16/pdfs/GMD-1811-16.pdf#page=2","Abrir facsímil")</f>
        <v>Abrir facsímil</v>
      </c>
      <c r="K888" s="3" t="s">
        <v>150</v>
      </c>
    </row>
    <row r="889" spans="1:11" ht="42" customHeight="1">
      <c r="A889" s="2" t="s">
        <v>2700</v>
      </c>
      <c r="B889" s="2" t="s">
        <v>2700</v>
      </c>
      <c r="C889" s="2" t="s">
        <v>104</v>
      </c>
      <c r="D889" s="2" t="s">
        <v>18</v>
      </c>
      <c r="E889" s="4">
        <v>-32173</v>
      </c>
      <c r="F889" s="3" t="s">
        <v>2701</v>
      </c>
      <c r="G889" s="3" t="s">
        <v>47</v>
      </c>
      <c r="H889" s="2" t="s">
        <v>148</v>
      </c>
      <c r="I889" s="2" t="s">
        <v>2702</v>
      </c>
      <c r="J889" s="3" t="str">
        <f>HYPERLINK("https://www.boe.es/gazeta/dias/1811/11/29/pdfs/GMD-1811-333.pdf#page=3","Abrir facsímil")</f>
        <v>Abrir facsímil</v>
      </c>
      <c r="K889" s="3" t="s">
        <v>150</v>
      </c>
    </row>
    <row r="890" spans="1:11" ht="42" customHeight="1">
      <c r="A890" s="2" t="s">
        <v>2703</v>
      </c>
      <c r="B890" s="2" t="s">
        <v>2704</v>
      </c>
      <c r="C890" s="2" t="s">
        <v>26</v>
      </c>
      <c r="D890" s="2" t="s">
        <v>18</v>
      </c>
      <c r="E890" s="4">
        <v>-32319</v>
      </c>
      <c r="F890" s="3" t="s">
        <v>975</v>
      </c>
      <c r="G890" s="3" t="s">
        <v>2705</v>
      </c>
      <c r="H890" s="2" t="s">
        <v>148</v>
      </c>
      <c r="I890" s="2" t="s">
        <v>2706</v>
      </c>
      <c r="J890" s="3" t="str">
        <f>HYPERLINK("https://www.boe.es/gazeta/dias/1811/07/06/pdfs/GEI-1811-89.pdf#page=8","Abrir facsímil")</f>
        <v>Abrir facsímil</v>
      </c>
      <c r="K890" s="3" t="s">
        <v>150</v>
      </c>
    </row>
    <row r="891" spans="1:11" ht="42" customHeight="1">
      <c r="A891" s="2" t="s">
        <v>2707</v>
      </c>
      <c r="B891" s="2" t="s">
        <v>2707</v>
      </c>
      <c r="C891" s="2" t="s">
        <v>37</v>
      </c>
      <c r="D891" s="2" t="s">
        <v>18</v>
      </c>
      <c r="E891" s="4">
        <v>-32453</v>
      </c>
      <c r="F891" s="3" t="s">
        <v>2708</v>
      </c>
      <c r="G891" s="3" t="s">
        <v>468</v>
      </c>
      <c r="H891" s="2" t="s">
        <v>148</v>
      </c>
      <c r="I891" s="2" t="s">
        <v>2709</v>
      </c>
      <c r="J891" s="3" t="str">
        <f>HYPERLINK("https://www.boe.es/gazeta/dias/1811/02/22/pdfs/GMD-1811-53.pdf#page=1","Abrir facsímil")</f>
        <v>Abrir facsímil</v>
      </c>
      <c r="K891" s="3" t="s">
        <v>150</v>
      </c>
    </row>
    <row r="892" spans="1:11" ht="42" customHeight="1">
      <c r="A892" s="2" t="s">
        <v>2707</v>
      </c>
      <c r="B892" s="2" t="s">
        <v>2707</v>
      </c>
      <c r="C892" s="2" t="s">
        <v>26</v>
      </c>
      <c r="D892" s="2" t="s">
        <v>18</v>
      </c>
      <c r="E892" s="4">
        <v>-32300</v>
      </c>
      <c r="F892" s="3" t="s">
        <v>492</v>
      </c>
      <c r="G892" s="3" t="s">
        <v>2710</v>
      </c>
      <c r="H892" s="2" t="s">
        <v>148</v>
      </c>
      <c r="I892" s="2" t="s">
        <v>2711</v>
      </c>
      <c r="J892" s="3" t="str">
        <f>HYPERLINK("https://www.boe.es/gazeta/dias/1811/07/25/pdfs/GMD-1811-206.pdf#page=1","Abrir facsímil")</f>
        <v>Abrir facsímil</v>
      </c>
      <c r="K892" s="3" t="s">
        <v>150</v>
      </c>
    </row>
    <row r="893" spans="1:11" ht="42" customHeight="1">
      <c r="A893" s="2" t="s">
        <v>2707</v>
      </c>
      <c r="B893" s="2" t="s">
        <v>2707</v>
      </c>
      <c r="C893" s="2" t="s">
        <v>37</v>
      </c>
      <c r="D893" s="2" t="s">
        <v>18</v>
      </c>
      <c r="E893" s="4">
        <v>-32226</v>
      </c>
      <c r="F893" s="3" t="s">
        <v>618</v>
      </c>
      <c r="G893" s="3" t="s">
        <v>57</v>
      </c>
      <c r="H893" s="2" t="s">
        <v>148</v>
      </c>
      <c r="I893" s="2" t="s">
        <v>2712</v>
      </c>
      <c r="J893" s="3" t="str">
        <f>HYPERLINK("https://www.boe.es/gazeta/dias/1811/10/07/pdfs/GMD-1811-280.pdf#page=2","Abrir facsímil")</f>
        <v>Abrir facsímil</v>
      </c>
      <c r="K893" s="3" t="s">
        <v>150</v>
      </c>
    </row>
    <row r="894" spans="1:11" ht="42" customHeight="1">
      <c r="A894" s="2" t="s">
        <v>2713</v>
      </c>
      <c r="B894" s="2" t="s">
        <v>2713</v>
      </c>
      <c r="C894" s="2" t="s">
        <v>17</v>
      </c>
      <c r="D894" s="2" t="s">
        <v>18</v>
      </c>
      <c r="E894" s="4">
        <v>-32414</v>
      </c>
      <c r="F894" s="3" t="s">
        <v>2588</v>
      </c>
      <c r="G894" s="3" t="s">
        <v>2714</v>
      </c>
      <c r="H894" s="2" t="s">
        <v>148</v>
      </c>
      <c r="I894" s="2" t="s">
        <v>2715</v>
      </c>
      <c r="J894" s="3" t="str">
        <f>HYPERLINK("https://www.boe.es/gazeta/dias/1811/04/02/pdfs/GMD-1811-92.pdf#page=2","Abrir facsímil")</f>
        <v>Abrir facsímil</v>
      </c>
      <c r="K894" s="3" t="s">
        <v>150</v>
      </c>
    </row>
    <row r="895" spans="1:11" ht="42" customHeight="1">
      <c r="A895" s="2" t="s">
        <v>2716</v>
      </c>
      <c r="B895" s="2" t="s">
        <v>2717</v>
      </c>
      <c r="C895" s="2" t="s">
        <v>26</v>
      </c>
      <c r="D895" s="2" t="s">
        <v>105</v>
      </c>
      <c r="E895" s="4">
        <v>-32379</v>
      </c>
      <c r="F895" s="3" t="s">
        <v>462</v>
      </c>
      <c r="G895" s="3" t="s">
        <v>463</v>
      </c>
      <c r="H895" s="2" t="s">
        <v>148</v>
      </c>
      <c r="I895" s="2" t="s">
        <v>2718</v>
      </c>
      <c r="J895" s="3" t="str">
        <f>HYPERLINK("https://www.boe.es/gazeta/dias/1811/05/07/pdfs/GEI-1811-60.pdf#page=8","Abrir facsímil")</f>
        <v>Abrir facsímil</v>
      </c>
      <c r="K895" s="3" t="s">
        <v>150</v>
      </c>
    </row>
    <row r="896" spans="1:11" ht="42" customHeight="1">
      <c r="A896" s="2" t="s">
        <v>2719</v>
      </c>
      <c r="B896" s="2" t="s">
        <v>2720</v>
      </c>
      <c r="C896" s="2" t="s">
        <v>26</v>
      </c>
      <c r="D896" s="2" t="s">
        <v>105</v>
      </c>
      <c r="E896" s="4">
        <v>-32188</v>
      </c>
      <c r="F896" s="3" t="s">
        <v>74</v>
      </c>
      <c r="G896" s="3" t="s">
        <v>2196</v>
      </c>
      <c r="H896" s="2" t="s">
        <v>148</v>
      </c>
      <c r="I896" s="2" t="s">
        <v>2721</v>
      </c>
      <c r="J896" s="3" t="str">
        <f>HYPERLINK("https://www.boe.es/gazeta/dias/1811/11/14/pdfs/GEI-1811-149.pdf#page=7","Abrir facsímil")</f>
        <v>Abrir facsímil</v>
      </c>
      <c r="K896" s="3" t="s">
        <v>150</v>
      </c>
    </row>
    <row r="897" spans="1:11" ht="42" customHeight="1">
      <c r="A897" s="2" t="s">
        <v>2722</v>
      </c>
      <c r="B897" s="2" t="s">
        <v>2723</v>
      </c>
      <c r="C897" s="2" t="s">
        <v>17</v>
      </c>
      <c r="D897" s="2" t="s">
        <v>18</v>
      </c>
      <c r="E897" s="4">
        <v>-32202</v>
      </c>
      <c r="F897" s="3" t="s">
        <v>2194</v>
      </c>
      <c r="G897" s="3" t="s">
        <v>510</v>
      </c>
      <c r="H897" s="2" t="s">
        <v>148</v>
      </c>
      <c r="I897" s="2" t="s">
        <v>2724</v>
      </c>
      <c r="J897" s="3" t="str">
        <f>HYPERLINK("https://www.boe.es/gazeta/dias/1811/10/31/pdfs/GEI-1811-140.pdf#page=8","Abrir facsímil")</f>
        <v>Abrir facsímil</v>
      </c>
      <c r="K897" s="3" t="s">
        <v>150</v>
      </c>
    </row>
    <row r="898" spans="1:11" ht="42" customHeight="1">
      <c r="A898" s="2" t="s">
        <v>2725</v>
      </c>
      <c r="B898" s="2" t="s">
        <v>2725</v>
      </c>
      <c r="C898" s="2" t="s">
        <v>17</v>
      </c>
      <c r="D898" s="2" t="s">
        <v>18</v>
      </c>
      <c r="E898" s="4">
        <v>-32349</v>
      </c>
      <c r="F898" s="3" t="s">
        <v>239</v>
      </c>
      <c r="G898" s="3" t="s">
        <v>1841</v>
      </c>
      <c r="H898" s="2" t="s">
        <v>148</v>
      </c>
      <c r="I898" s="2" t="s">
        <v>2726</v>
      </c>
      <c r="J898" s="3" t="str">
        <f>HYPERLINK("https://www.boe.es/gazeta/dias/1811/06/06/pdfs/GEI-1811-76.pdf#page=3","Abrir facsímil")</f>
        <v>Abrir facsímil</v>
      </c>
      <c r="K898" s="3" t="s">
        <v>150</v>
      </c>
    </row>
    <row r="899" spans="1:11" ht="42" customHeight="1">
      <c r="A899" s="2" t="s">
        <v>2727</v>
      </c>
      <c r="B899" s="2" t="s">
        <v>2728</v>
      </c>
      <c r="C899" s="2" t="s">
        <v>26</v>
      </c>
      <c r="D899" s="2" t="s">
        <v>18</v>
      </c>
      <c r="E899" s="4">
        <v>-32426</v>
      </c>
      <c r="F899" s="3" t="s">
        <v>2729</v>
      </c>
      <c r="G899" s="3" t="s">
        <v>2730</v>
      </c>
      <c r="H899" s="2" t="s">
        <v>148</v>
      </c>
      <c r="I899" s="2" t="s">
        <v>2731</v>
      </c>
      <c r="J899" s="3" t="str">
        <f>HYPERLINK("https://www.boe.es/gazeta/dias/1811/03/21/pdfs/GEI-1811-40.pdf#page=6","Abrir facsímil")</f>
        <v>Abrir facsímil</v>
      </c>
      <c r="K899" s="3" t="s">
        <v>150</v>
      </c>
    </row>
    <row r="900" spans="1:11" ht="42" customHeight="1">
      <c r="A900" s="2" t="s">
        <v>2732</v>
      </c>
      <c r="B900" s="2" t="s">
        <v>2732</v>
      </c>
      <c r="C900" s="2" t="s">
        <v>17</v>
      </c>
      <c r="D900" s="2" t="s">
        <v>528</v>
      </c>
      <c r="E900" s="4">
        <v>-32362</v>
      </c>
      <c r="F900" s="3" t="s">
        <v>1990</v>
      </c>
      <c r="G900" s="3" t="s">
        <v>2576</v>
      </c>
      <c r="H900" s="2" t="s">
        <v>148</v>
      </c>
      <c r="I900" s="2" t="s">
        <v>2733</v>
      </c>
      <c r="J900" s="3" t="str">
        <f>HYPERLINK("https://www.boe.es/gazeta/dias/1811/05/24/pdfs/GEI-1811-70E.pdf#page=2","Abrir facsímil")</f>
        <v>Abrir facsímil</v>
      </c>
      <c r="K900" s="3" t="s">
        <v>150</v>
      </c>
    </row>
    <row r="901" spans="1:11" ht="42" customHeight="1">
      <c r="A901" s="2" t="s">
        <v>2732</v>
      </c>
      <c r="B901" s="2" t="s">
        <v>2732</v>
      </c>
      <c r="C901" s="2" t="s">
        <v>17</v>
      </c>
      <c r="D901" s="2" t="s">
        <v>18</v>
      </c>
      <c r="E901" s="4">
        <v>-32361</v>
      </c>
      <c r="F901" s="3" t="s">
        <v>1104</v>
      </c>
      <c r="G901" s="3" t="s">
        <v>1105</v>
      </c>
      <c r="H901" s="2" t="s">
        <v>148</v>
      </c>
      <c r="I901" s="2" t="s">
        <v>2734</v>
      </c>
      <c r="J901" s="3" t="str">
        <f>HYPERLINK("https://www.boe.es/gazeta/dias/1811/05/25/pdfs/GEI-1811-71.pdf#page=6","Abrir facsímil")</f>
        <v>Abrir facsímil</v>
      </c>
      <c r="K901" s="3" t="s">
        <v>150</v>
      </c>
    </row>
    <row r="902" spans="1:11" ht="42" customHeight="1">
      <c r="A902" s="2" t="s">
        <v>2735</v>
      </c>
      <c r="B902" s="2" t="s">
        <v>2736</v>
      </c>
      <c r="C902" s="2" t="s">
        <v>122</v>
      </c>
      <c r="D902" s="2" t="s">
        <v>18</v>
      </c>
      <c r="E902" s="4">
        <v>-32379</v>
      </c>
      <c r="F902" s="3" t="s">
        <v>462</v>
      </c>
      <c r="G902" s="3" t="s">
        <v>2737</v>
      </c>
      <c r="H902" s="2" t="s">
        <v>148</v>
      </c>
      <c r="I902" s="2" t="s">
        <v>2738</v>
      </c>
      <c r="J902" s="3" t="str">
        <f>HYPERLINK("https://www.boe.es/gazeta/dias/1811/05/07/pdfs/GEI-1811-60.pdf#page=7","Abrir facsímil")</f>
        <v>Abrir facsímil</v>
      </c>
      <c r="K902" s="3" t="s">
        <v>150</v>
      </c>
    </row>
    <row r="903" spans="1:11" ht="42" customHeight="1">
      <c r="A903" s="2" t="s">
        <v>2735</v>
      </c>
      <c r="B903" s="2" t="s">
        <v>2736</v>
      </c>
      <c r="C903" s="2" t="s">
        <v>26</v>
      </c>
      <c r="D903" s="2" t="s">
        <v>105</v>
      </c>
      <c r="E903" s="4">
        <v>-32216</v>
      </c>
      <c r="F903" s="3" t="s">
        <v>2739</v>
      </c>
      <c r="G903" s="3" t="s">
        <v>2740</v>
      </c>
      <c r="H903" s="2" t="s">
        <v>148</v>
      </c>
      <c r="I903" s="2" t="s">
        <v>2741</v>
      </c>
      <c r="J903" s="3" t="str">
        <f>HYPERLINK("https://www.boe.es/gazeta/dias/1811/10/17/pdfs/GEI-1811-134.pdf#page=6","Abrir facsímil")</f>
        <v>Abrir facsímil</v>
      </c>
      <c r="K903" s="3" t="s">
        <v>150</v>
      </c>
    </row>
    <row r="904" spans="1:11" ht="42" customHeight="1">
      <c r="A904" s="2" t="s">
        <v>2742</v>
      </c>
      <c r="B904" s="2" t="s">
        <v>2742</v>
      </c>
      <c r="C904" s="2" t="s">
        <v>17</v>
      </c>
      <c r="D904" s="2" t="s">
        <v>18</v>
      </c>
      <c r="E904" s="4">
        <v>-32375</v>
      </c>
      <c r="F904" s="3" t="s">
        <v>1209</v>
      </c>
      <c r="G904" s="3" t="s">
        <v>1984</v>
      </c>
      <c r="H904" s="2" t="s">
        <v>148</v>
      </c>
      <c r="I904" s="2" t="s">
        <v>2743</v>
      </c>
      <c r="J904" s="3" t="str">
        <f>HYPERLINK("https://www.boe.es/gazeta/dias/1811/05/11/pdfs/GEI-1811-62.pdf#page=8","Abrir facsímil")</f>
        <v>Abrir facsímil</v>
      </c>
      <c r="K904" s="3" t="s">
        <v>150</v>
      </c>
    </row>
    <row r="905" spans="1:11" ht="42" customHeight="1">
      <c r="A905" s="2" t="s">
        <v>2744</v>
      </c>
      <c r="B905" s="2" t="s">
        <v>2744</v>
      </c>
      <c r="C905" s="2" t="s">
        <v>17</v>
      </c>
      <c r="D905" s="2" t="s">
        <v>156</v>
      </c>
      <c r="E905" s="4">
        <v>-32363</v>
      </c>
      <c r="F905" s="3" t="s">
        <v>1645</v>
      </c>
      <c r="G905" s="3" t="s">
        <v>2442</v>
      </c>
      <c r="H905" s="2" t="s">
        <v>148</v>
      </c>
      <c r="I905" s="2" t="s">
        <v>2745</v>
      </c>
      <c r="J905" s="3" t="str">
        <f>HYPERLINK("https://www.boe.es/gazeta/dias/1811/05/23/pdfs/GEI-1811-68.pdf#page=5","Abrir facsímil")</f>
        <v>Abrir facsímil</v>
      </c>
      <c r="K905" s="3" t="s">
        <v>150</v>
      </c>
    </row>
    <row r="906" spans="1:11" ht="42" customHeight="1">
      <c r="A906" s="2" t="s">
        <v>2742</v>
      </c>
      <c r="B906" s="2" t="s">
        <v>2742</v>
      </c>
      <c r="C906" s="2" t="s">
        <v>17</v>
      </c>
      <c r="D906" s="2" t="s">
        <v>156</v>
      </c>
      <c r="E906" s="4">
        <v>-32314</v>
      </c>
      <c r="F906" s="3" t="s">
        <v>570</v>
      </c>
      <c r="G906" s="3" t="s">
        <v>2746</v>
      </c>
      <c r="H906" s="2" t="s">
        <v>148</v>
      </c>
      <c r="I906" s="2" t="s">
        <v>2747</v>
      </c>
      <c r="J906" s="3" t="str">
        <f>HYPERLINK("https://www.boe.es/gazeta/dias/1811/07/11/pdfs/GEI-1811-91.pdf#page=1","Abrir facsímil")</f>
        <v>Abrir facsímil</v>
      </c>
      <c r="K906" s="3" t="s">
        <v>150</v>
      </c>
    </row>
    <row r="907" spans="1:11" ht="42" customHeight="1">
      <c r="A907" s="2" t="s">
        <v>2742</v>
      </c>
      <c r="B907" s="2" t="s">
        <v>2742</v>
      </c>
      <c r="C907" s="2" t="s">
        <v>17</v>
      </c>
      <c r="D907" s="2" t="s">
        <v>156</v>
      </c>
      <c r="E907" s="4">
        <v>-32309</v>
      </c>
      <c r="F907" s="3" t="s">
        <v>2496</v>
      </c>
      <c r="G907" s="3" t="s">
        <v>2748</v>
      </c>
      <c r="H907" s="2" t="s">
        <v>148</v>
      </c>
      <c r="I907" s="2" t="s">
        <v>2749</v>
      </c>
      <c r="J907" s="3" t="str">
        <f>HYPERLINK("https://www.boe.es/gazeta/dias/1811/07/16/pdfs/GEI-1811-93.pdf#page=2","Abrir facsímil")</f>
        <v>Abrir facsímil</v>
      </c>
      <c r="K907" s="3" t="s">
        <v>150</v>
      </c>
    </row>
    <row r="908" spans="1:11" ht="42" customHeight="1">
      <c r="A908" s="2" t="s">
        <v>2750</v>
      </c>
      <c r="B908" s="2" t="s">
        <v>2750</v>
      </c>
      <c r="C908" s="2" t="s">
        <v>17</v>
      </c>
      <c r="D908" s="2" t="s">
        <v>18</v>
      </c>
      <c r="E908" s="4">
        <v>-32281</v>
      </c>
      <c r="F908" s="3" t="s">
        <v>982</v>
      </c>
      <c r="G908" s="3" t="s">
        <v>2751</v>
      </c>
      <c r="H908" s="2" t="s">
        <v>148</v>
      </c>
      <c r="I908" s="2" t="s">
        <v>2752</v>
      </c>
      <c r="J908" s="3" t="str">
        <f>HYPERLINK("https://www.boe.es/gazeta/dias/1811/08/13/pdfs/GEI-1811-105.pdf#page=1","Abrir facsímil")</f>
        <v>Abrir facsímil</v>
      </c>
      <c r="K908" s="3" t="s">
        <v>150</v>
      </c>
    </row>
    <row r="909" spans="1:11" ht="42" customHeight="1">
      <c r="A909" s="2" t="s">
        <v>2744</v>
      </c>
      <c r="B909" s="2" t="s">
        <v>2744</v>
      </c>
      <c r="C909" s="2" t="s">
        <v>17</v>
      </c>
      <c r="D909" s="2" t="s">
        <v>18</v>
      </c>
      <c r="E909" s="4">
        <v>-32240</v>
      </c>
      <c r="F909" s="3" t="s">
        <v>2753</v>
      </c>
      <c r="G909" s="3" t="s">
        <v>778</v>
      </c>
      <c r="H909" s="2" t="s">
        <v>148</v>
      </c>
      <c r="I909" s="2" t="s">
        <v>2754</v>
      </c>
      <c r="J909" s="3" t="str">
        <f>HYPERLINK("https://www.boe.es/gazeta/dias/1811/09/23/pdfs/GMD-1811-266.pdf#page=2","Abrir facsímil")</f>
        <v>Abrir facsímil</v>
      </c>
      <c r="K909" s="3" t="s">
        <v>150</v>
      </c>
    </row>
    <row r="910" spans="1:11" ht="42" customHeight="1">
      <c r="A910" s="2" t="s">
        <v>2744</v>
      </c>
      <c r="B910" s="2" t="s">
        <v>2744</v>
      </c>
      <c r="C910" s="2" t="s">
        <v>17</v>
      </c>
      <c r="D910" s="2" t="s">
        <v>105</v>
      </c>
      <c r="E910" s="4">
        <v>-32231</v>
      </c>
      <c r="F910" s="3" t="s">
        <v>2755</v>
      </c>
      <c r="G910" s="3" t="s">
        <v>597</v>
      </c>
      <c r="H910" s="2" t="s">
        <v>148</v>
      </c>
      <c r="I910" s="2" t="s">
        <v>2756</v>
      </c>
      <c r="J910" s="3" t="str">
        <f>HYPERLINK("https://www.boe.es/gazeta/dias/1811/10/02/pdfs/GMD-1811-275.pdf#page=3","Abrir facsímil")</f>
        <v>Abrir facsímil</v>
      </c>
      <c r="K910" s="3" t="s">
        <v>150</v>
      </c>
    </row>
    <row r="911" spans="1:11" ht="42" customHeight="1">
      <c r="A911" s="2" t="s">
        <v>2757</v>
      </c>
      <c r="B911" s="2" t="s">
        <v>2758</v>
      </c>
      <c r="C911" s="2" t="s">
        <v>26</v>
      </c>
      <c r="D911" s="2" t="s">
        <v>18</v>
      </c>
      <c r="E911" s="4">
        <v>-32218</v>
      </c>
      <c r="F911" s="3" t="s">
        <v>938</v>
      </c>
      <c r="G911" s="3" t="s">
        <v>2759</v>
      </c>
      <c r="H911" s="2" t="s">
        <v>148</v>
      </c>
      <c r="I911" s="2" t="s">
        <v>2760</v>
      </c>
      <c r="J911" s="3" t="str">
        <f>HYPERLINK("https://www.boe.es/gazeta/dias/1811/10/15/pdfs/GEI-1811-133.pdf#page=6","Abrir facsímil")</f>
        <v>Abrir facsímil</v>
      </c>
      <c r="K911" s="3" t="s">
        <v>150</v>
      </c>
    </row>
    <row r="912" spans="1:11" ht="42" customHeight="1">
      <c r="A912" s="2" t="s">
        <v>2757</v>
      </c>
      <c r="B912" s="2" t="s">
        <v>2758</v>
      </c>
      <c r="C912" s="2" t="s">
        <v>122</v>
      </c>
      <c r="D912" s="2" t="s">
        <v>18</v>
      </c>
      <c r="E912" s="4">
        <v>-32207</v>
      </c>
      <c r="F912" s="3" t="s">
        <v>2761</v>
      </c>
      <c r="G912" s="3" t="s">
        <v>1058</v>
      </c>
      <c r="H912" s="2" t="s">
        <v>148</v>
      </c>
      <c r="I912" s="2" t="s">
        <v>2762</v>
      </c>
      <c r="J912" s="3" t="str">
        <f>HYPERLINK("https://www.boe.es/gazeta/dias/1811/10/26/pdfs/GMD-1811-299.pdf#page=4","Abrir facsímil")</f>
        <v>Abrir facsímil</v>
      </c>
      <c r="K912" s="3" t="s">
        <v>150</v>
      </c>
    </row>
    <row r="913" spans="1:11" ht="42" customHeight="1">
      <c r="A913" s="2" t="s">
        <v>2763</v>
      </c>
      <c r="B913" s="2" t="s">
        <v>2763</v>
      </c>
      <c r="C913" s="2" t="s">
        <v>17</v>
      </c>
      <c r="D913" s="2" t="s">
        <v>18</v>
      </c>
      <c r="E913" s="4">
        <v>-32349</v>
      </c>
      <c r="F913" s="3" t="s">
        <v>239</v>
      </c>
      <c r="G913" s="3" t="s">
        <v>1995</v>
      </c>
      <c r="H913" s="2" t="s">
        <v>148</v>
      </c>
      <c r="I913" s="2" t="s">
        <v>2764</v>
      </c>
      <c r="J913" s="3" t="str">
        <f>HYPERLINK("https://www.boe.es/gazeta/dias/1811/06/06/pdfs/GEI-1811-76.pdf#page=7","Abrir facsímil")</f>
        <v>Abrir facsímil</v>
      </c>
      <c r="K913" s="3" t="s">
        <v>150</v>
      </c>
    </row>
    <row r="914" spans="1:11" ht="42" customHeight="1">
      <c r="A914" s="2" t="s">
        <v>2765</v>
      </c>
      <c r="B914" s="2" t="s">
        <v>2766</v>
      </c>
      <c r="C914" s="2" t="s">
        <v>26</v>
      </c>
      <c r="D914" s="2" t="s">
        <v>18</v>
      </c>
      <c r="E914" s="4">
        <v>-32463</v>
      </c>
      <c r="F914" s="3" t="s">
        <v>734</v>
      </c>
      <c r="G914" s="3" t="s">
        <v>735</v>
      </c>
      <c r="H914" s="2" t="s">
        <v>148</v>
      </c>
      <c r="I914" s="2" t="s">
        <v>2767</v>
      </c>
      <c r="J914" s="3" t="str">
        <f>HYPERLINK("https://www.boe.es/gazeta/dias/1811/02/12/pdfs/GEI-1811-19.pdf#page=8","Abrir facsímil")</f>
        <v>Abrir facsímil</v>
      </c>
      <c r="K914" s="3" t="s">
        <v>150</v>
      </c>
    </row>
    <row r="915" spans="1:11" ht="42" customHeight="1">
      <c r="A915" s="2" t="s">
        <v>2768</v>
      </c>
      <c r="B915" s="2" t="s">
        <v>2768</v>
      </c>
      <c r="C915" s="2" t="s">
        <v>17</v>
      </c>
      <c r="D915" s="2" t="s">
        <v>18</v>
      </c>
      <c r="E915" s="4">
        <v>-32361</v>
      </c>
      <c r="F915" s="3" t="s">
        <v>1104</v>
      </c>
      <c r="G915" s="3" t="s">
        <v>1105</v>
      </c>
      <c r="H915" s="2" t="s">
        <v>148</v>
      </c>
      <c r="I915" s="2" t="s">
        <v>2769</v>
      </c>
      <c r="J915" s="3" t="str">
        <f>HYPERLINK("https://www.boe.es/gazeta/dias/1811/05/25/pdfs/GEI-1811-71.pdf#page=6","Abrir facsímil")</f>
        <v>Abrir facsímil</v>
      </c>
      <c r="K915" s="3" t="s">
        <v>150</v>
      </c>
    </row>
    <row r="916" spans="1:11" ht="42" customHeight="1">
      <c r="A916" s="2" t="s">
        <v>2770</v>
      </c>
      <c r="B916" s="2" t="s">
        <v>2771</v>
      </c>
      <c r="C916" s="2" t="s">
        <v>17</v>
      </c>
      <c r="D916" s="2" t="s">
        <v>204</v>
      </c>
      <c r="E916" s="4">
        <v>-32388</v>
      </c>
      <c r="F916" s="3" t="s">
        <v>2772</v>
      </c>
      <c r="G916" s="3" t="s">
        <v>976</v>
      </c>
      <c r="H916" s="2" t="s">
        <v>148</v>
      </c>
      <c r="I916" s="2" t="s">
        <v>2773</v>
      </c>
      <c r="J916" s="3" t="str">
        <f>HYPERLINK("https://www.boe.es/gazeta/dias/1811/04/28/pdfs/GMD-1811-118.pdf#page=3","Abrir facsímil")</f>
        <v>Abrir facsímil</v>
      </c>
      <c r="K916" s="3" t="s">
        <v>150</v>
      </c>
    </row>
    <row r="917" spans="1:11" ht="42" customHeight="1">
      <c r="A917" s="2" t="s">
        <v>2774</v>
      </c>
      <c r="B917" s="2" t="s">
        <v>2774</v>
      </c>
      <c r="C917" s="2" t="s">
        <v>17</v>
      </c>
      <c r="D917" s="2" t="s">
        <v>18</v>
      </c>
      <c r="E917" s="4">
        <v>-32357</v>
      </c>
      <c r="F917" s="3" t="s">
        <v>2775</v>
      </c>
      <c r="G917" s="3" t="s">
        <v>282</v>
      </c>
      <c r="H917" s="2" t="s">
        <v>148</v>
      </c>
      <c r="I917" s="2" t="s">
        <v>2776</v>
      </c>
      <c r="J917" s="3" t="str">
        <f>HYPERLINK("https://www.boe.es/gazeta/dias/1811/05/29/pdfs/GMD-1811-149.pdf#page=4","Abrir facsímil")</f>
        <v>Abrir facsímil</v>
      </c>
      <c r="K917" s="3" t="s">
        <v>150</v>
      </c>
    </row>
    <row r="918" spans="1:11" ht="42" customHeight="1">
      <c r="A918" s="2" t="s">
        <v>2777</v>
      </c>
      <c r="B918" s="2" t="s">
        <v>2777</v>
      </c>
      <c r="C918" s="2" t="s">
        <v>17</v>
      </c>
      <c r="D918" s="2" t="s">
        <v>105</v>
      </c>
      <c r="E918" s="4">
        <v>-32357</v>
      </c>
      <c r="F918" s="3" t="s">
        <v>2775</v>
      </c>
      <c r="G918" s="3" t="s">
        <v>282</v>
      </c>
      <c r="H918" s="2" t="s">
        <v>148</v>
      </c>
      <c r="I918" s="2" t="s">
        <v>2778</v>
      </c>
      <c r="J918" s="3" t="str">
        <f>HYPERLINK("https://www.boe.es/gazeta/dias/1811/05/29/pdfs/GMD-1811-149.pdf#page=4","Abrir facsímil")</f>
        <v>Abrir facsímil</v>
      </c>
      <c r="K918" s="3" t="s">
        <v>150</v>
      </c>
    </row>
    <row r="919" spans="1:11" ht="42" customHeight="1">
      <c r="A919" s="2" t="s">
        <v>2779</v>
      </c>
      <c r="B919" s="2" t="s">
        <v>2780</v>
      </c>
      <c r="C919" s="2" t="s">
        <v>84</v>
      </c>
      <c r="D919" s="2" t="s">
        <v>18</v>
      </c>
      <c r="E919" s="4">
        <v>-32181</v>
      </c>
      <c r="F919" s="3" t="s">
        <v>1169</v>
      </c>
      <c r="G919" s="3" t="s">
        <v>1170</v>
      </c>
      <c r="H919" s="2" t="s">
        <v>148</v>
      </c>
      <c r="I919" s="2" t="s">
        <v>2781</v>
      </c>
      <c r="J919" s="3" t="str">
        <f>HYPERLINK("https://www.boe.es/gazeta/dias/1811/11/21/pdfs/GMD-1811-325.pdf#page=4","Abrir facsímil")</f>
        <v>Abrir facsímil</v>
      </c>
      <c r="K919" s="3" t="s">
        <v>150</v>
      </c>
    </row>
    <row r="920" spans="1:11" ht="42" customHeight="1">
      <c r="A920" s="2" t="s">
        <v>2782</v>
      </c>
      <c r="B920" s="2" t="s">
        <v>2782</v>
      </c>
      <c r="C920" s="2" t="s">
        <v>84</v>
      </c>
      <c r="D920" s="2" t="s">
        <v>204</v>
      </c>
      <c r="E920" s="4">
        <v>-32364</v>
      </c>
      <c r="F920" s="3" t="s">
        <v>2783</v>
      </c>
      <c r="G920" s="3" t="s">
        <v>39</v>
      </c>
      <c r="H920" s="2" t="s">
        <v>148</v>
      </c>
      <c r="I920" s="2" t="s">
        <v>2784</v>
      </c>
      <c r="J920" s="3" t="str">
        <f>HYPERLINK("https://www.boe.es/gazeta/dias/1811/05/22/pdfs/GMD-1811-142.pdf#page=1","Abrir facsímil")</f>
        <v>Abrir facsímil</v>
      </c>
      <c r="K920" s="3" t="s">
        <v>150</v>
      </c>
    </row>
    <row r="921" spans="1:11" ht="42" customHeight="1">
      <c r="A921" s="2" t="s">
        <v>2785</v>
      </c>
      <c r="B921" s="2" t="s">
        <v>2785</v>
      </c>
      <c r="C921" s="2" t="s">
        <v>17</v>
      </c>
      <c r="D921" s="2" t="s">
        <v>156</v>
      </c>
      <c r="E921" s="4">
        <v>-32384</v>
      </c>
      <c r="F921" s="3" t="s">
        <v>338</v>
      </c>
      <c r="G921" s="3" t="s">
        <v>2786</v>
      </c>
      <c r="H921" s="2" t="s">
        <v>148</v>
      </c>
      <c r="I921" s="2" t="s">
        <v>2787</v>
      </c>
      <c r="J921" s="3" t="str">
        <f>HYPERLINK("https://www.boe.es/gazeta/dias/1811/05/02/pdfs/GEI-1811-58.pdf#page=7","Abrir facsímil")</f>
        <v>Abrir facsímil</v>
      </c>
      <c r="K921" s="3" t="s">
        <v>150</v>
      </c>
    </row>
    <row r="922" spans="1:11" ht="42" customHeight="1">
      <c r="A922" s="2" t="s">
        <v>2788</v>
      </c>
      <c r="B922" s="2" t="s">
        <v>2788</v>
      </c>
      <c r="C922" s="2" t="s">
        <v>17</v>
      </c>
      <c r="D922" s="2" t="s">
        <v>18</v>
      </c>
      <c r="E922" s="4">
        <v>-32235</v>
      </c>
      <c r="F922" s="3" t="s">
        <v>376</v>
      </c>
      <c r="G922" s="3" t="s">
        <v>377</v>
      </c>
      <c r="H922" s="2" t="s">
        <v>148</v>
      </c>
      <c r="I922" s="2" t="s">
        <v>2789</v>
      </c>
      <c r="J922" s="3" t="str">
        <f>HYPERLINK("https://www.boe.es/gazeta/dias/1811/09/28/pdfs/GMD-1811-271.pdf#page=1","Abrir facsímil")</f>
        <v>Abrir facsímil</v>
      </c>
      <c r="K922" s="3" t="s">
        <v>150</v>
      </c>
    </row>
    <row r="923" spans="1:11" ht="42" customHeight="1">
      <c r="A923" s="2" t="s">
        <v>2790</v>
      </c>
      <c r="B923" s="2" t="s">
        <v>2790</v>
      </c>
      <c r="C923" s="2" t="s">
        <v>17</v>
      </c>
      <c r="D923" s="2" t="s">
        <v>18</v>
      </c>
      <c r="E923" s="4">
        <v>-32155</v>
      </c>
      <c r="F923" s="3" t="s">
        <v>263</v>
      </c>
      <c r="G923" s="3" t="s">
        <v>1945</v>
      </c>
      <c r="H923" s="2" t="s">
        <v>148</v>
      </c>
      <c r="I923" s="2" t="s">
        <v>2791</v>
      </c>
      <c r="J923" s="3" t="str">
        <f>HYPERLINK("https://www.boe.es/gazeta/dias/1811/12/17/pdfs/GEI-1811-163.pdf#page=6","Abrir facsímil")</f>
        <v>Abrir facsímil</v>
      </c>
      <c r="K923" s="3" t="s">
        <v>150</v>
      </c>
    </row>
    <row r="924" spans="1:11" ht="42" customHeight="1">
      <c r="A924" s="2" t="s">
        <v>2792</v>
      </c>
      <c r="B924" s="2" t="s">
        <v>2793</v>
      </c>
      <c r="C924" s="2" t="s">
        <v>17</v>
      </c>
      <c r="D924" s="2" t="s">
        <v>105</v>
      </c>
      <c r="E924" s="4">
        <v>-32232</v>
      </c>
      <c r="F924" s="3" t="s">
        <v>1816</v>
      </c>
      <c r="G924" s="3" t="s">
        <v>1817</v>
      </c>
      <c r="H924" s="2" t="s">
        <v>148</v>
      </c>
      <c r="I924" s="2" t="s">
        <v>2794</v>
      </c>
      <c r="J924" s="3" t="str">
        <f>HYPERLINK("https://www.boe.es/gazeta/dias/1811/10/01/pdfs/GEI-1811-126.pdf#page=8","Abrir facsímil")</f>
        <v>Abrir facsímil</v>
      </c>
      <c r="K924" s="3" t="s">
        <v>150</v>
      </c>
    </row>
    <row r="925" spans="1:11" ht="42" customHeight="1">
      <c r="A925" s="2" t="s">
        <v>2795</v>
      </c>
      <c r="B925" s="2" t="s">
        <v>2795</v>
      </c>
      <c r="C925" s="2" t="s">
        <v>26</v>
      </c>
      <c r="D925" s="2" t="s">
        <v>18</v>
      </c>
      <c r="E925" s="4">
        <v>-32454</v>
      </c>
      <c r="F925" s="3" t="s">
        <v>2796</v>
      </c>
      <c r="G925" s="3" t="s">
        <v>468</v>
      </c>
      <c r="H925" s="2" t="s">
        <v>148</v>
      </c>
      <c r="I925" s="2" t="s">
        <v>2797</v>
      </c>
      <c r="J925" s="3" t="str">
        <f>HYPERLINK("https://www.boe.es/gazeta/dias/1811/02/21/pdfs/GMD-1811-52.pdf#page=4","Abrir facsímil")</f>
        <v>Abrir facsímil</v>
      </c>
      <c r="K925" s="3" t="s">
        <v>150</v>
      </c>
    </row>
    <row r="926" spans="1:11" ht="42" customHeight="1">
      <c r="A926" s="2" t="s">
        <v>2798</v>
      </c>
      <c r="B926" s="2" t="s">
        <v>2798</v>
      </c>
      <c r="C926" s="2" t="s">
        <v>17</v>
      </c>
      <c r="D926" s="2" t="s">
        <v>156</v>
      </c>
      <c r="E926" s="4">
        <v>-32211</v>
      </c>
      <c r="F926" s="3" t="s">
        <v>1074</v>
      </c>
      <c r="G926" s="3" t="s">
        <v>2799</v>
      </c>
      <c r="H926" s="2" t="s">
        <v>148</v>
      </c>
      <c r="I926" s="2" t="s">
        <v>2800</v>
      </c>
      <c r="J926" s="3" t="str">
        <f>HYPERLINK("https://www.boe.es/gazeta/dias/1811/10/22/pdfs/GEI-1811-136.pdf#page=2","Abrir facsímil")</f>
        <v>Abrir facsímil</v>
      </c>
      <c r="K926" s="3" t="s">
        <v>150</v>
      </c>
    </row>
    <row r="927" spans="1:11" ht="42" customHeight="1">
      <c r="A927" s="2" t="s">
        <v>2801</v>
      </c>
      <c r="B927" s="2" t="s">
        <v>2802</v>
      </c>
      <c r="C927" s="2" t="s">
        <v>26</v>
      </c>
      <c r="D927" s="2" t="s">
        <v>18</v>
      </c>
      <c r="E927" s="4">
        <v>-32230</v>
      </c>
      <c r="F927" s="3" t="s">
        <v>625</v>
      </c>
      <c r="G927" s="3" t="s">
        <v>1258</v>
      </c>
      <c r="H927" s="2" t="s">
        <v>148</v>
      </c>
      <c r="I927" s="2" t="s">
        <v>2803</v>
      </c>
      <c r="J927" s="3" t="str">
        <f>HYPERLINK("https://www.boe.es/gazeta/dias/1811/10/03/pdfs/GEI-1811-127.pdf#page=8","Abrir facsímil")</f>
        <v>Abrir facsímil</v>
      </c>
      <c r="K927" s="3" t="s">
        <v>150</v>
      </c>
    </row>
    <row r="928" spans="1:11" ht="42" customHeight="1">
      <c r="A928" s="2" t="s">
        <v>2804</v>
      </c>
      <c r="B928" s="2" t="s">
        <v>2804</v>
      </c>
      <c r="C928" s="2" t="s">
        <v>17</v>
      </c>
      <c r="D928" s="2" t="s">
        <v>18</v>
      </c>
      <c r="E928" s="4">
        <v>-32275</v>
      </c>
      <c r="F928" s="3" t="s">
        <v>1277</v>
      </c>
      <c r="G928" s="3" t="s">
        <v>2805</v>
      </c>
      <c r="H928" s="2" t="s">
        <v>148</v>
      </c>
      <c r="I928" s="2" t="s">
        <v>2806</v>
      </c>
      <c r="J928" s="3" t="str">
        <f>HYPERLINK("https://www.boe.es/gazeta/dias/1811/08/19/pdfs/GMD-1811-231.pdf#page=1","Abrir facsímil")</f>
        <v>Abrir facsímil</v>
      </c>
      <c r="K928" s="3" t="s">
        <v>150</v>
      </c>
    </row>
    <row r="929" spans="1:11" ht="42" customHeight="1">
      <c r="A929" s="2" t="s">
        <v>2807</v>
      </c>
      <c r="B929" s="2" t="s">
        <v>2807</v>
      </c>
      <c r="C929" s="2" t="s">
        <v>17</v>
      </c>
      <c r="D929" s="2" t="s">
        <v>204</v>
      </c>
      <c r="E929" s="4">
        <v>-32304</v>
      </c>
      <c r="F929" s="3" t="s">
        <v>2808</v>
      </c>
      <c r="G929" s="3" t="s">
        <v>20</v>
      </c>
      <c r="H929" s="2" t="s">
        <v>148</v>
      </c>
      <c r="I929" s="2" t="s">
        <v>2809</v>
      </c>
      <c r="J929" s="3" t="str">
        <f>HYPERLINK("https://www.boe.es/gazeta/dias/1811/07/21/pdfs/GMD-1811-202.pdf#page=2","Abrir facsímil")</f>
        <v>Abrir facsímil</v>
      </c>
      <c r="K929" s="3" t="s">
        <v>150</v>
      </c>
    </row>
    <row r="930" spans="1:11" ht="42" customHeight="1">
      <c r="A930" s="2" t="s">
        <v>2807</v>
      </c>
      <c r="B930" s="2" t="s">
        <v>2807</v>
      </c>
      <c r="C930" s="2" t="s">
        <v>17</v>
      </c>
      <c r="D930" s="2" t="s">
        <v>204</v>
      </c>
      <c r="E930" s="4">
        <v>-32304</v>
      </c>
      <c r="F930" s="3" t="s">
        <v>2808</v>
      </c>
      <c r="G930" s="3" t="s">
        <v>115</v>
      </c>
      <c r="H930" s="2" t="s">
        <v>148</v>
      </c>
      <c r="I930" s="2" t="s">
        <v>2810</v>
      </c>
      <c r="J930" s="3" t="str">
        <f>HYPERLINK("https://www.boe.es/gazeta/dias/1811/07/21/pdfs/GMD-1811-202.pdf#page=3","Abrir facsímil")</f>
        <v>Abrir facsímil</v>
      </c>
      <c r="K930" s="3" t="s">
        <v>150</v>
      </c>
    </row>
    <row r="931" spans="1:11" ht="42" customHeight="1">
      <c r="A931" s="2" t="s">
        <v>2807</v>
      </c>
      <c r="B931" s="2" t="s">
        <v>2807</v>
      </c>
      <c r="C931" s="2" t="s">
        <v>17</v>
      </c>
      <c r="D931" s="2" t="s">
        <v>18</v>
      </c>
      <c r="E931" s="4">
        <v>-32303</v>
      </c>
      <c r="F931" s="3" t="s">
        <v>2811</v>
      </c>
      <c r="G931" s="3" t="s">
        <v>468</v>
      </c>
      <c r="H931" s="2" t="s">
        <v>148</v>
      </c>
      <c r="I931" s="2" t="s">
        <v>2812</v>
      </c>
      <c r="J931" s="3" t="str">
        <f>HYPERLINK("https://www.boe.es/gazeta/dias/1811/07/22/pdfs/GMD-1811-203.pdf#page=2","Abrir facsímil")</f>
        <v>Abrir facsímil</v>
      </c>
      <c r="K931" s="3" t="s">
        <v>150</v>
      </c>
    </row>
    <row r="932" spans="1:11" ht="42" customHeight="1">
      <c r="A932" s="2" t="s">
        <v>2807</v>
      </c>
      <c r="B932" s="2" t="s">
        <v>2807</v>
      </c>
      <c r="C932" s="2" t="s">
        <v>17</v>
      </c>
      <c r="D932" s="2" t="s">
        <v>18</v>
      </c>
      <c r="E932" s="4">
        <v>-32298</v>
      </c>
      <c r="F932" s="3" t="s">
        <v>2813</v>
      </c>
      <c r="G932" s="3" t="s">
        <v>91</v>
      </c>
      <c r="H932" s="2" t="s">
        <v>148</v>
      </c>
      <c r="I932" s="2" t="s">
        <v>2814</v>
      </c>
      <c r="J932" s="3" t="str">
        <f>HYPERLINK("https://www.boe.es/gazeta/dias/1811/07/27/pdfs/GMD-1811-208.pdf#page=1","Abrir facsímil")</f>
        <v>Abrir facsímil</v>
      </c>
      <c r="K932" s="3" t="s">
        <v>150</v>
      </c>
    </row>
    <row r="933" spans="1:11" ht="42" customHeight="1">
      <c r="A933" s="2" t="s">
        <v>2807</v>
      </c>
      <c r="B933" s="2" t="s">
        <v>2807</v>
      </c>
      <c r="C933" s="2" t="s">
        <v>17</v>
      </c>
      <c r="D933" s="2" t="s">
        <v>18</v>
      </c>
      <c r="E933" s="4">
        <v>-32293</v>
      </c>
      <c r="F933" s="3" t="s">
        <v>2815</v>
      </c>
      <c r="G933" s="3" t="s">
        <v>2816</v>
      </c>
      <c r="H933" s="2" t="s">
        <v>148</v>
      </c>
      <c r="I933" s="2" t="s">
        <v>2817</v>
      </c>
      <c r="J933" s="3" t="str">
        <f>HYPERLINK("https://www.boe.es/gazeta/dias/1811/08/01/pdfs/GMD-1811-213.pdf#page=1","Abrir facsímil")</f>
        <v>Abrir facsímil</v>
      </c>
      <c r="K933" s="3" t="s">
        <v>150</v>
      </c>
    </row>
    <row r="934" spans="1:11" ht="42" customHeight="1">
      <c r="A934" s="2" t="s">
        <v>2807</v>
      </c>
      <c r="B934" s="2" t="s">
        <v>2807</v>
      </c>
      <c r="C934" s="2" t="s">
        <v>17</v>
      </c>
      <c r="D934" s="2" t="s">
        <v>18</v>
      </c>
      <c r="E934" s="4">
        <v>-32284</v>
      </c>
      <c r="F934" s="3" t="s">
        <v>2818</v>
      </c>
      <c r="G934" s="3" t="s">
        <v>115</v>
      </c>
      <c r="H934" s="2" t="s">
        <v>148</v>
      </c>
      <c r="I934" s="2" t="s">
        <v>2819</v>
      </c>
      <c r="J934" s="3" t="str">
        <f>HYPERLINK("https://www.boe.es/gazeta/dias/1811/08/10/pdfs/GMD-1811-222.pdf#page=3","Abrir facsímil")</f>
        <v>Abrir facsímil</v>
      </c>
      <c r="K934" s="3" t="s">
        <v>150</v>
      </c>
    </row>
    <row r="935" spans="1:11" ht="42" customHeight="1">
      <c r="A935" s="2" t="s">
        <v>2807</v>
      </c>
      <c r="B935" s="2" t="s">
        <v>2807</v>
      </c>
      <c r="C935" s="2" t="s">
        <v>17</v>
      </c>
      <c r="D935" s="2" t="s">
        <v>18</v>
      </c>
      <c r="E935" s="4">
        <v>-32273</v>
      </c>
      <c r="F935" s="3" t="s">
        <v>2820</v>
      </c>
      <c r="G935" s="3" t="s">
        <v>2821</v>
      </c>
      <c r="H935" s="2" t="s">
        <v>148</v>
      </c>
      <c r="I935" s="2" t="s">
        <v>2822</v>
      </c>
      <c r="J935" s="3" t="str">
        <f>HYPERLINK("https://www.boe.es/gazeta/dias/1811/08/21/pdfs/GMD-1811-233.pdf#page=2","Abrir facsímil")</f>
        <v>Abrir facsímil</v>
      </c>
      <c r="K935" s="3" t="s">
        <v>150</v>
      </c>
    </row>
    <row r="936" spans="1:11" ht="42" customHeight="1">
      <c r="A936" s="2" t="s">
        <v>2807</v>
      </c>
      <c r="B936" s="2" t="s">
        <v>2807</v>
      </c>
      <c r="C936" s="2" t="s">
        <v>17</v>
      </c>
      <c r="D936" s="2" t="s">
        <v>18</v>
      </c>
      <c r="E936" s="4">
        <v>-32250</v>
      </c>
      <c r="F936" s="3" t="s">
        <v>2823</v>
      </c>
      <c r="G936" s="3" t="s">
        <v>2824</v>
      </c>
      <c r="H936" s="2" t="s">
        <v>148</v>
      </c>
      <c r="I936" s="2" t="s">
        <v>2825</v>
      </c>
      <c r="J936" s="3" t="str">
        <f>HYPERLINK("https://www.boe.es/gazeta/dias/1811/09/13/pdfs/GMD-1811-256.pdf#page=3","Abrir facsímil")</f>
        <v>Abrir facsímil</v>
      </c>
      <c r="K936" s="3" t="s">
        <v>150</v>
      </c>
    </row>
    <row r="937" spans="1:11" ht="42" customHeight="1">
      <c r="A937" s="2" t="s">
        <v>2807</v>
      </c>
      <c r="B937" s="2" t="s">
        <v>2807</v>
      </c>
      <c r="C937" s="2" t="s">
        <v>17</v>
      </c>
      <c r="D937" s="2" t="s">
        <v>18</v>
      </c>
      <c r="E937" s="4">
        <v>-32161</v>
      </c>
      <c r="F937" s="3" t="s">
        <v>2826</v>
      </c>
      <c r="G937" s="3" t="s">
        <v>2827</v>
      </c>
      <c r="H937" s="2" t="s">
        <v>148</v>
      </c>
      <c r="I937" s="2" t="s">
        <v>2828</v>
      </c>
      <c r="J937" s="3" t="str">
        <f>HYPERLINK("https://www.boe.es/gazeta/dias/1811/12/11/pdfs/GMD-1811-345.pdf#page=2","Abrir facsímil")</f>
        <v>Abrir facsímil</v>
      </c>
      <c r="K937" s="3" t="s">
        <v>150</v>
      </c>
    </row>
    <row r="938" spans="1:11" ht="42" customHeight="1">
      <c r="A938" s="2" t="s">
        <v>2807</v>
      </c>
      <c r="B938" s="2" t="s">
        <v>2807</v>
      </c>
      <c r="C938" s="2" t="s">
        <v>17</v>
      </c>
      <c r="D938" s="2" t="s">
        <v>18</v>
      </c>
      <c r="E938" s="4">
        <v>-32161</v>
      </c>
      <c r="F938" s="3" t="s">
        <v>2826</v>
      </c>
      <c r="G938" s="3" t="s">
        <v>115</v>
      </c>
      <c r="H938" s="2" t="s">
        <v>148</v>
      </c>
      <c r="I938" s="2" t="s">
        <v>2829</v>
      </c>
      <c r="J938" s="3" t="str">
        <f>HYPERLINK("https://www.boe.es/gazeta/dias/1811/12/11/pdfs/GMD-1811-345.pdf#page=3","Abrir facsímil")</f>
        <v>Abrir facsímil</v>
      </c>
      <c r="K938" s="3" t="s">
        <v>150</v>
      </c>
    </row>
    <row r="939" spans="1:11" ht="42" customHeight="1">
      <c r="A939" s="2" t="s">
        <v>2807</v>
      </c>
      <c r="B939" s="2" t="s">
        <v>2807</v>
      </c>
      <c r="C939" s="2" t="s">
        <v>17</v>
      </c>
      <c r="D939" s="2" t="s">
        <v>18</v>
      </c>
      <c r="E939" s="4">
        <v>-32152</v>
      </c>
      <c r="F939" s="3" t="s">
        <v>1673</v>
      </c>
      <c r="G939" s="3" t="s">
        <v>57</v>
      </c>
      <c r="H939" s="2" t="s">
        <v>148</v>
      </c>
      <c r="I939" s="2" t="s">
        <v>2830</v>
      </c>
      <c r="J939" s="3" t="str">
        <f>HYPERLINK("https://www.boe.es/gazeta/dias/1811/12/20/pdfs/GMD-1811-354.pdf#page=2","Abrir facsímil")</f>
        <v>Abrir facsímil</v>
      </c>
      <c r="K939" s="3" t="s">
        <v>150</v>
      </c>
    </row>
    <row r="940" spans="1:11" ht="42" customHeight="1">
      <c r="A940" s="2" t="s">
        <v>2807</v>
      </c>
      <c r="B940" s="2" t="s">
        <v>2807</v>
      </c>
      <c r="C940" s="2" t="s">
        <v>17</v>
      </c>
      <c r="D940" s="2" t="s">
        <v>18</v>
      </c>
      <c r="E940" s="4">
        <v>-32143</v>
      </c>
      <c r="F940" s="3" t="s">
        <v>1455</v>
      </c>
      <c r="G940" s="3" t="s">
        <v>2831</v>
      </c>
      <c r="H940" s="2" t="s">
        <v>148</v>
      </c>
      <c r="I940" s="2" t="s">
        <v>2832</v>
      </c>
      <c r="J940" s="3" t="str">
        <f>HYPERLINK("https://www.boe.es/gazeta/dias/1811/12/29/pdfs/GMD-1811-363.pdf#page=2","Abrir facsímil")</f>
        <v>Abrir facsímil</v>
      </c>
      <c r="K940" s="3" t="s">
        <v>150</v>
      </c>
    </row>
    <row r="941" spans="1:11" ht="42" customHeight="1">
      <c r="A941" s="2" t="s">
        <v>2833</v>
      </c>
      <c r="B941" s="2" t="s">
        <v>2833</v>
      </c>
      <c r="C941" s="2" t="s">
        <v>17</v>
      </c>
      <c r="D941" s="2" t="s">
        <v>18</v>
      </c>
      <c r="E941" s="4">
        <v>-32273</v>
      </c>
      <c r="F941" s="3" t="s">
        <v>2820</v>
      </c>
      <c r="G941" s="3" t="s">
        <v>2821</v>
      </c>
      <c r="H941" s="2" t="s">
        <v>148</v>
      </c>
      <c r="I941" s="2" t="s">
        <v>2834</v>
      </c>
      <c r="J941" s="3" t="str">
        <f>HYPERLINK("https://www.boe.es/gazeta/dias/1811/08/21/pdfs/GMD-1811-233.pdf#page=2","Abrir facsímil")</f>
        <v>Abrir facsímil</v>
      </c>
      <c r="K941" s="3" t="s">
        <v>150</v>
      </c>
    </row>
    <row r="942" spans="1:11" ht="42" customHeight="1">
      <c r="A942" s="2" t="s">
        <v>2835</v>
      </c>
      <c r="B942" s="2" t="s">
        <v>2835</v>
      </c>
      <c r="C942" s="2" t="s">
        <v>17</v>
      </c>
      <c r="D942" s="2" t="s">
        <v>18</v>
      </c>
      <c r="E942" s="4">
        <v>-32303</v>
      </c>
      <c r="F942" s="3" t="s">
        <v>2811</v>
      </c>
      <c r="G942" s="3" t="s">
        <v>468</v>
      </c>
      <c r="H942" s="2" t="s">
        <v>148</v>
      </c>
      <c r="I942" s="2" t="s">
        <v>2836</v>
      </c>
      <c r="J942" s="3" t="str">
        <f>HYPERLINK("https://www.boe.es/gazeta/dias/1811/07/22/pdfs/GMD-1811-203.pdf#page=2","Abrir facsímil")</f>
        <v>Abrir facsímil</v>
      </c>
      <c r="K942" s="3" t="s">
        <v>150</v>
      </c>
    </row>
    <row r="943" spans="1:11" ht="42" customHeight="1">
      <c r="A943" s="2" t="s">
        <v>2837</v>
      </c>
      <c r="B943" s="2" t="s">
        <v>2837</v>
      </c>
      <c r="C943" s="2" t="s">
        <v>17</v>
      </c>
      <c r="D943" s="2" t="s">
        <v>204</v>
      </c>
      <c r="E943" s="4">
        <v>-32304</v>
      </c>
      <c r="F943" s="3" t="s">
        <v>2808</v>
      </c>
      <c r="G943" s="3" t="s">
        <v>20</v>
      </c>
      <c r="H943" s="2" t="s">
        <v>148</v>
      </c>
      <c r="I943" s="2" t="s">
        <v>2838</v>
      </c>
      <c r="J943" s="3" t="str">
        <f>HYPERLINK("https://www.boe.es/gazeta/dias/1811/07/21/pdfs/GMD-1811-202.pdf#page=2","Abrir facsímil")</f>
        <v>Abrir facsímil</v>
      </c>
      <c r="K943" s="3" t="s">
        <v>150</v>
      </c>
    </row>
    <row r="944" spans="1:11" ht="42" customHeight="1">
      <c r="A944" s="2" t="s">
        <v>2839</v>
      </c>
      <c r="B944" s="2" t="s">
        <v>2839</v>
      </c>
      <c r="C944" s="2" t="s">
        <v>17</v>
      </c>
      <c r="D944" s="2" t="s">
        <v>18</v>
      </c>
      <c r="E944" s="4">
        <v>-32304</v>
      </c>
      <c r="F944" s="3" t="s">
        <v>2808</v>
      </c>
      <c r="G944" s="3" t="s">
        <v>20</v>
      </c>
      <c r="H944" s="2" t="s">
        <v>148</v>
      </c>
      <c r="I944" s="2" t="s">
        <v>2840</v>
      </c>
      <c r="J944" s="3" t="str">
        <f>HYPERLINK("https://www.boe.es/gazeta/dias/1811/07/21/pdfs/GMD-1811-202.pdf#page=2","Abrir facsímil")</f>
        <v>Abrir facsímil</v>
      </c>
      <c r="K944" s="3" t="s">
        <v>150</v>
      </c>
    </row>
    <row r="945" spans="1:11" ht="42" customHeight="1">
      <c r="A945" s="2" t="s">
        <v>2841</v>
      </c>
      <c r="B945" s="2" t="s">
        <v>2842</v>
      </c>
      <c r="C945" s="2" t="s">
        <v>17</v>
      </c>
      <c r="D945" s="2" t="s">
        <v>204</v>
      </c>
      <c r="E945" s="4">
        <v>-32447</v>
      </c>
      <c r="F945" s="3" t="s">
        <v>665</v>
      </c>
      <c r="G945" s="3" t="s">
        <v>57</v>
      </c>
      <c r="H945" s="2" t="s">
        <v>148</v>
      </c>
      <c r="I945" s="2" t="s">
        <v>2843</v>
      </c>
      <c r="J945" s="3" t="str">
        <f>HYPERLINK("https://www.boe.es/gazeta/dias/1811/02/28/pdfs/GMD-1811-59.pdf#page=2","Abrir facsímil")</f>
        <v>Abrir facsímil</v>
      </c>
      <c r="K945" s="3" t="s">
        <v>150</v>
      </c>
    </row>
    <row r="946" spans="1:11" ht="42" customHeight="1">
      <c r="A946" s="2" t="s">
        <v>2844</v>
      </c>
      <c r="B946" s="2" t="s">
        <v>2845</v>
      </c>
      <c r="C946" s="2" t="s">
        <v>37</v>
      </c>
      <c r="D946" s="2" t="s">
        <v>156</v>
      </c>
      <c r="E946" s="4">
        <v>-32204</v>
      </c>
      <c r="F946" s="3" t="s">
        <v>177</v>
      </c>
      <c r="G946" s="3" t="s">
        <v>178</v>
      </c>
      <c r="H946" s="2" t="s">
        <v>148</v>
      </c>
      <c r="I946" s="2" t="s">
        <v>2846</v>
      </c>
      <c r="J946" s="3" t="str">
        <f>HYPERLINK("https://www.boe.es/gazeta/dias/1811/10/29/pdfs/GMD-1811-302.pdf#page=4","Abrir facsímil")</f>
        <v>Abrir facsímil</v>
      </c>
      <c r="K946" s="3" t="s">
        <v>150</v>
      </c>
    </row>
    <row r="947" spans="1:11" ht="42" customHeight="1">
      <c r="A947" s="2" t="s">
        <v>2847</v>
      </c>
      <c r="B947" s="2" t="s">
        <v>2847</v>
      </c>
      <c r="C947" s="2" t="s">
        <v>17</v>
      </c>
      <c r="D947" s="2" t="s">
        <v>18</v>
      </c>
      <c r="E947" s="4">
        <v>-32485</v>
      </c>
      <c r="F947" s="3" t="s">
        <v>2106</v>
      </c>
      <c r="G947" s="3" t="s">
        <v>248</v>
      </c>
      <c r="H947" s="2" t="s">
        <v>148</v>
      </c>
      <c r="I947" s="2" t="s">
        <v>2848</v>
      </c>
      <c r="J947" s="3" t="str">
        <f>HYPERLINK("https://www.boe.es/gazeta/dias/1811/01/21/pdfs/GMD-1811-21.pdf#page=2","Abrir facsímil")</f>
        <v>Abrir facsímil</v>
      </c>
      <c r="K947" s="3" t="s">
        <v>150</v>
      </c>
    </row>
    <row r="948" spans="1:11" ht="42" customHeight="1">
      <c r="A948" s="2" t="s">
        <v>2849</v>
      </c>
      <c r="B948" s="2" t="s">
        <v>2849</v>
      </c>
      <c r="C948" s="2" t="s">
        <v>17</v>
      </c>
      <c r="D948" s="2" t="s">
        <v>105</v>
      </c>
      <c r="E948" s="4">
        <v>-32342</v>
      </c>
      <c r="F948" s="3" t="s">
        <v>1474</v>
      </c>
      <c r="G948" s="3" t="s">
        <v>44</v>
      </c>
      <c r="H948" s="2" t="s">
        <v>148</v>
      </c>
      <c r="I948" s="2" t="s">
        <v>2850</v>
      </c>
      <c r="J948" s="3" t="str">
        <f>HYPERLINK("https://www.boe.es/gazeta/dias/1811/06/13/pdfs/GEI-1811-79.pdf#page=3","Abrir facsímil")</f>
        <v>Abrir facsímil</v>
      </c>
      <c r="K948" s="3" t="s">
        <v>150</v>
      </c>
    </row>
    <row r="949" spans="1:11" ht="42" customHeight="1">
      <c r="A949" s="2" t="s">
        <v>2851</v>
      </c>
      <c r="B949" s="2" t="s">
        <v>2851</v>
      </c>
      <c r="C949" s="2" t="s">
        <v>104</v>
      </c>
      <c r="D949" s="2" t="s">
        <v>18</v>
      </c>
      <c r="E949" s="4">
        <v>-32220</v>
      </c>
      <c r="F949" s="3" t="s">
        <v>2852</v>
      </c>
      <c r="G949" s="3" t="s">
        <v>91</v>
      </c>
      <c r="H949" s="2" t="s">
        <v>148</v>
      </c>
      <c r="I949" s="2" t="s">
        <v>2853</v>
      </c>
      <c r="J949" s="3" t="str">
        <f>HYPERLINK("https://www.boe.es/gazeta/dias/1811/10/13/pdfs/GMD-1811-286.pdf#page=2","Abrir facsímil")</f>
        <v>Abrir facsímil</v>
      </c>
      <c r="K949" s="3" t="s">
        <v>150</v>
      </c>
    </row>
    <row r="950" spans="1:11" ht="42" customHeight="1">
      <c r="A950" s="2" t="s">
        <v>2854</v>
      </c>
      <c r="B950" s="2" t="s">
        <v>2855</v>
      </c>
      <c r="C950" s="2" t="s">
        <v>841</v>
      </c>
      <c r="D950" s="2" t="s">
        <v>18</v>
      </c>
      <c r="E950" s="4">
        <v>-32200</v>
      </c>
      <c r="F950" s="3" t="s">
        <v>109</v>
      </c>
      <c r="G950" s="3" t="s">
        <v>268</v>
      </c>
      <c r="H950" s="2" t="s">
        <v>148</v>
      </c>
      <c r="I950" s="2" t="s">
        <v>2856</v>
      </c>
      <c r="J950" s="3" t="str">
        <f>HYPERLINK("https://www.boe.es/gazeta/dias/1811/11/02/pdfs/GEI-1811-141.pdf#page=7","Abrir facsímil")</f>
        <v>Abrir facsímil</v>
      </c>
      <c r="K950" s="3" t="s">
        <v>150</v>
      </c>
    </row>
    <row r="951" spans="1:11" ht="42" customHeight="1">
      <c r="A951" s="2" t="s">
        <v>2857</v>
      </c>
      <c r="B951" s="2" t="s">
        <v>2857</v>
      </c>
      <c r="C951" s="2" t="s">
        <v>26</v>
      </c>
      <c r="D951" s="2" t="s">
        <v>18</v>
      </c>
      <c r="E951" s="4">
        <v>-32249</v>
      </c>
      <c r="F951" s="3" t="s">
        <v>182</v>
      </c>
      <c r="G951" s="3" t="s">
        <v>44</v>
      </c>
      <c r="H951" s="2" t="s">
        <v>148</v>
      </c>
      <c r="I951" s="2" t="s">
        <v>2858</v>
      </c>
      <c r="J951" s="3" t="str">
        <f>HYPERLINK("https://www.boe.es/gazeta/dias/1811/09/14/pdfs/GMD-1811-257.pdf#page=3","Abrir facsímil")</f>
        <v>Abrir facsímil</v>
      </c>
      <c r="K951" s="3" t="s">
        <v>150</v>
      </c>
    </row>
    <row r="952" spans="1:11" ht="42" customHeight="1">
      <c r="A952" s="2" t="s">
        <v>2859</v>
      </c>
      <c r="B952" s="2" t="s">
        <v>2860</v>
      </c>
      <c r="C952" s="2" t="s">
        <v>17</v>
      </c>
      <c r="D952" s="2" t="s">
        <v>156</v>
      </c>
      <c r="E952" s="4">
        <v>-32153</v>
      </c>
      <c r="F952" s="3" t="s">
        <v>235</v>
      </c>
      <c r="G952" s="3" t="s">
        <v>1315</v>
      </c>
      <c r="H952" s="2" t="s">
        <v>148</v>
      </c>
      <c r="I952" s="2" t="s">
        <v>2861</v>
      </c>
      <c r="J952" s="3" t="str">
        <f>HYPERLINK("https://www.boe.es/gazeta/dias/1811/12/19/pdfs/GEI-1811-164.pdf#page=2","Abrir facsímil")</f>
        <v>Abrir facsímil</v>
      </c>
      <c r="K952" s="3" t="s">
        <v>150</v>
      </c>
    </row>
    <row r="953" spans="1:11" ht="42" customHeight="1">
      <c r="A953" s="2" t="s">
        <v>2862</v>
      </c>
      <c r="B953" s="2" t="s">
        <v>2863</v>
      </c>
      <c r="C953" s="2" t="s">
        <v>26</v>
      </c>
      <c r="D953" s="2" t="s">
        <v>18</v>
      </c>
      <c r="E953" s="4">
        <v>-32330</v>
      </c>
      <c r="F953" s="3" t="s">
        <v>1824</v>
      </c>
      <c r="G953" s="3" t="s">
        <v>1105</v>
      </c>
      <c r="H953" s="2" t="s">
        <v>148</v>
      </c>
      <c r="I953" s="2" t="s">
        <v>2864</v>
      </c>
      <c r="J953" s="3" t="str">
        <f>HYPERLINK("https://www.boe.es/gazeta/dias/1811/06/25/pdfs/GEI-1811-84.pdf#page=7","Abrir facsímil")</f>
        <v>Abrir facsímil</v>
      </c>
      <c r="K953" s="3" t="s">
        <v>150</v>
      </c>
    </row>
    <row r="954" spans="1:11" ht="42" customHeight="1">
      <c r="A954" s="2" t="s">
        <v>2865</v>
      </c>
      <c r="B954" s="2" t="s">
        <v>2865</v>
      </c>
      <c r="C954" s="2" t="s">
        <v>17</v>
      </c>
      <c r="D954" s="2" t="s">
        <v>156</v>
      </c>
      <c r="E954" s="4">
        <v>-32365</v>
      </c>
      <c r="F954" s="3" t="s">
        <v>119</v>
      </c>
      <c r="G954" s="3" t="s">
        <v>1988</v>
      </c>
      <c r="H954" s="2" t="s">
        <v>148</v>
      </c>
      <c r="I954" s="2" t="s">
        <v>2866</v>
      </c>
      <c r="J954" s="3" t="str">
        <f>HYPERLINK("https://www.boe.es/gazeta/dias/1811/05/21/pdfs/GEI-1811-67.pdf#page=8","Abrir facsímil")</f>
        <v>Abrir facsímil</v>
      </c>
      <c r="K954" s="3" t="s">
        <v>150</v>
      </c>
    </row>
    <row r="955" spans="1:11" ht="42" customHeight="1">
      <c r="A955" s="2" t="s">
        <v>2867</v>
      </c>
      <c r="B955" s="2" t="s">
        <v>2867</v>
      </c>
      <c r="C955" s="2" t="s">
        <v>17</v>
      </c>
      <c r="D955" s="2" t="s">
        <v>156</v>
      </c>
      <c r="E955" s="4">
        <v>-32323</v>
      </c>
      <c r="F955" s="3" t="s">
        <v>322</v>
      </c>
      <c r="G955" s="3" t="s">
        <v>1482</v>
      </c>
      <c r="H955" s="2" t="s">
        <v>148</v>
      </c>
      <c r="I955" s="2" t="s">
        <v>2868</v>
      </c>
      <c r="J955" s="3" t="str">
        <f>HYPERLINK("https://www.boe.es/gazeta/dias/1811/07/02/pdfs/GEI-1811-87.pdf#page=3","Abrir facsímil")</f>
        <v>Abrir facsímil</v>
      </c>
      <c r="K955" s="3" t="s">
        <v>150</v>
      </c>
    </row>
    <row r="956" spans="1:11" ht="42" customHeight="1">
      <c r="A956" s="2" t="s">
        <v>2869</v>
      </c>
      <c r="B956" s="2" t="s">
        <v>2869</v>
      </c>
      <c r="C956" s="2" t="s">
        <v>17</v>
      </c>
      <c r="D956" s="2" t="s">
        <v>18</v>
      </c>
      <c r="E956" s="4">
        <v>-32319</v>
      </c>
      <c r="F956" s="3" t="s">
        <v>2035</v>
      </c>
      <c r="G956" s="3" t="s">
        <v>47</v>
      </c>
      <c r="H956" s="2" t="s">
        <v>148</v>
      </c>
      <c r="I956" s="2" t="s">
        <v>2870</v>
      </c>
      <c r="J956" s="3" t="str">
        <f>HYPERLINK("https://www.boe.es/gazeta/dias/1811/07/06/pdfs/GMD-1811-187.pdf#page=3","Abrir facsímil")</f>
        <v>Abrir facsímil</v>
      </c>
      <c r="K956" s="3" t="s">
        <v>150</v>
      </c>
    </row>
    <row r="957" spans="1:11" ht="42" customHeight="1">
      <c r="A957" s="2" t="s">
        <v>2871</v>
      </c>
      <c r="B957" s="2" t="s">
        <v>2872</v>
      </c>
      <c r="C957" s="2" t="s">
        <v>26</v>
      </c>
      <c r="D957" s="2" t="s">
        <v>18</v>
      </c>
      <c r="E957" s="4">
        <v>-32155</v>
      </c>
      <c r="F957" s="3" t="s">
        <v>263</v>
      </c>
      <c r="G957" s="3" t="s">
        <v>1800</v>
      </c>
      <c r="H957" s="2" t="s">
        <v>148</v>
      </c>
      <c r="I957" s="2" t="s">
        <v>2873</v>
      </c>
      <c r="J957" s="3" t="str">
        <f>HYPERLINK("https://www.boe.es/gazeta/dias/1811/12/17/pdfs/GEI-1811-163.pdf#page=7","Abrir facsímil")</f>
        <v>Abrir facsímil</v>
      </c>
      <c r="K957" s="3" t="s">
        <v>150</v>
      </c>
    </row>
    <row r="958" spans="1:11" ht="42" customHeight="1">
      <c r="A958" s="2" t="s">
        <v>2874</v>
      </c>
      <c r="B958" s="2" t="s">
        <v>2875</v>
      </c>
      <c r="C958" s="2" t="s">
        <v>26</v>
      </c>
      <c r="D958" s="2" t="s">
        <v>141</v>
      </c>
      <c r="E958" s="4">
        <v>-32280</v>
      </c>
      <c r="F958" s="3" t="s">
        <v>142</v>
      </c>
      <c r="G958" s="3" t="s">
        <v>47</v>
      </c>
      <c r="H958" s="2" t="s">
        <v>148</v>
      </c>
      <c r="I958" s="2" t="s">
        <v>2876</v>
      </c>
      <c r="J958" s="3" t="str">
        <f>HYPERLINK("https://www.boe.es/gazeta/dias/1811/08/14/pdfs/GMD-C-1811-226.pdf#page=1","Abrir facsímil")</f>
        <v>Abrir facsímil</v>
      </c>
      <c r="K958" s="3" t="s">
        <v>150</v>
      </c>
    </row>
    <row r="959" spans="1:11" ht="42" customHeight="1">
      <c r="A959" s="2" t="s">
        <v>2877</v>
      </c>
      <c r="B959" s="2" t="s">
        <v>2878</v>
      </c>
      <c r="C959" s="2" t="s">
        <v>26</v>
      </c>
      <c r="D959" s="2" t="s">
        <v>18</v>
      </c>
      <c r="E959" s="4">
        <v>-32235</v>
      </c>
      <c r="F959" s="3" t="s">
        <v>190</v>
      </c>
      <c r="G959" s="3" t="s">
        <v>2879</v>
      </c>
      <c r="H959" s="2" t="s">
        <v>148</v>
      </c>
      <c r="I959" s="2" t="s">
        <v>2880</v>
      </c>
      <c r="J959" s="3" t="str">
        <f>HYPERLINK("https://www.boe.es/gazeta/dias/1811/09/28/pdfs/GEI-1811-125.pdf#page=6","Abrir facsímil")</f>
        <v>Abrir facsímil</v>
      </c>
      <c r="K959" s="3" t="s">
        <v>150</v>
      </c>
    </row>
    <row r="960" spans="1:11" ht="42" customHeight="1">
      <c r="A960" s="2" t="s">
        <v>2877</v>
      </c>
      <c r="B960" s="2" t="s">
        <v>2878</v>
      </c>
      <c r="C960" s="2" t="s">
        <v>17</v>
      </c>
      <c r="D960" s="2" t="s">
        <v>18</v>
      </c>
      <c r="E960" s="4">
        <v>-32169</v>
      </c>
      <c r="F960" s="3" t="s">
        <v>1702</v>
      </c>
      <c r="G960" s="3" t="s">
        <v>2652</v>
      </c>
      <c r="H960" s="2" t="s">
        <v>148</v>
      </c>
      <c r="I960" s="2" t="s">
        <v>2881</v>
      </c>
      <c r="J960" s="3" t="str">
        <f>HYPERLINK("https://www.boe.es/gazeta/dias/1811/12/03/pdfs/GEI-1811-157.pdf#page=8","Abrir facsímil")</f>
        <v>Abrir facsímil</v>
      </c>
      <c r="K960" s="3" t="s">
        <v>150</v>
      </c>
    </row>
    <row r="961" spans="1:11" ht="42" customHeight="1">
      <c r="A961" s="2" t="s">
        <v>2882</v>
      </c>
      <c r="B961" s="2" t="s">
        <v>2882</v>
      </c>
      <c r="C961" s="2" t="s">
        <v>17</v>
      </c>
      <c r="D961" s="2" t="s">
        <v>156</v>
      </c>
      <c r="E961" s="4">
        <v>-32330</v>
      </c>
      <c r="F961" s="3" t="s">
        <v>1824</v>
      </c>
      <c r="G961" s="3" t="s">
        <v>2883</v>
      </c>
      <c r="H961" s="2" t="s">
        <v>148</v>
      </c>
      <c r="I961" s="2" t="s">
        <v>2884</v>
      </c>
      <c r="J961" s="3" t="str">
        <f>HYPERLINK("https://www.boe.es/gazeta/dias/1811/06/25/pdfs/GEI-1811-84.pdf#page=8","Abrir facsímil")</f>
        <v>Abrir facsímil</v>
      </c>
      <c r="K961" s="3" t="s">
        <v>150</v>
      </c>
    </row>
    <row r="962" spans="1:11" ht="42" customHeight="1">
      <c r="A962" s="2" t="s">
        <v>2885</v>
      </c>
      <c r="B962" s="2" t="s">
        <v>2886</v>
      </c>
      <c r="C962" s="2" t="s">
        <v>17</v>
      </c>
      <c r="D962" s="2" t="s">
        <v>156</v>
      </c>
      <c r="E962" s="4">
        <v>-32211</v>
      </c>
      <c r="F962" s="3" t="s">
        <v>2887</v>
      </c>
      <c r="G962" s="3" t="s">
        <v>2888</v>
      </c>
      <c r="H962" s="2" t="s">
        <v>148</v>
      </c>
      <c r="I962" s="2" t="s">
        <v>2889</v>
      </c>
      <c r="J962" s="3" t="str">
        <f>HYPERLINK("https://www.boe.es/gazeta/dias/1811/10/22/pdfs/GEI-D-1811-136.pdf#page=4","Abrir facsímil")</f>
        <v>Abrir facsímil</v>
      </c>
      <c r="K962" s="3" t="s">
        <v>150</v>
      </c>
    </row>
    <row r="963" spans="1:11" ht="42" customHeight="1">
      <c r="A963" s="2" t="s">
        <v>2890</v>
      </c>
      <c r="B963" s="2" t="s">
        <v>2891</v>
      </c>
      <c r="C963" s="2" t="s">
        <v>17</v>
      </c>
      <c r="D963" s="2" t="s">
        <v>156</v>
      </c>
      <c r="E963" s="4">
        <v>-32249</v>
      </c>
      <c r="F963" s="3" t="s">
        <v>824</v>
      </c>
      <c r="G963" s="3" t="s">
        <v>162</v>
      </c>
      <c r="H963" s="2" t="s">
        <v>148</v>
      </c>
      <c r="I963" s="2" t="s">
        <v>2892</v>
      </c>
      <c r="J963" s="3" t="str">
        <f>HYPERLINK("https://www.boe.es/gazeta/dias/1811/09/14/pdfs/GEI-1811-119.pdf#page=4","Abrir facsímil")</f>
        <v>Abrir facsímil</v>
      </c>
      <c r="K963" s="3" t="s">
        <v>150</v>
      </c>
    </row>
    <row r="964" spans="1:11" ht="42" customHeight="1">
      <c r="A964" s="2" t="s">
        <v>2893</v>
      </c>
      <c r="B964" s="2" t="s">
        <v>2893</v>
      </c>
      <c r="C964" s="2" t="s">
        <v>17</v>
      </c>
      <c r="D964" s="2" t="s">
        <v>156</v>
      </c>
      <c r="E964" s="4">
        <v>-32466</v>
      </c>
      <c r="F964" s="3" t="s">
        <v>1514</v>
      </c>
      <c r="G964" s="3" t="s">
        <v>418</v>
      </c>
      <c r="H964" s="2" t="s">
        <v>148</v>
      </c>
      <c r="I964" s="2" t="s">
        <v>2894</v>
      </c>
      <c r="J964" s="3" t="str">
        <f>HYPERLINK("https://www.boe.es/gazeta/dias/1811/02/09/pdfs/GEI-1811-18.pdf#page=7","Abrir facsímil")</f>
        <v>Abrir facsímil</v>
      </c>
      <c r="K964" s="3" t="s">
        <v>150</v>
      </c>
    </row>
    <row r="965" spans="1:11" ht="42" customHeight="1">
      <c r="A965" s="2" t="s">
        <v>2893</v>
      </c>
      <c r="B965" s="2" t="s">
        <v>2893</v>
      </c>
      <c r="C965" s="2" t="s">
        <v>17</v>
      </c>
      <c r="D965" s="2" t="s">
        <v>156</v>
      </c>
      <c r="E965" s="4">
        <v>-32362</v>
      </c>
      <c r="F965" s="3" t="s">
        <v>1990</v>
      </c>
      <c r="G965" s="3" t="s">
        <v>2895</v>
      </c>
      <c r="H965" s="2" t="s">
        <v>148</v>
      </c>
      <c r="I965" s="2" t="s">
        <v>2896</v>
      </c>
      <c r="J965" s="3" t="str">
        <f>HYPERLINK("https://www.boe.es/gazeta/dias/1811/05/24/pdfs/GEI-1811-70E.pdf#page=4","Abrir facsímil")</f>
        <v>Abrir facsímil</v>
      </c>
      <c r="K965" s="3" t="s">
        <v>150</v>
      </c>
    </row>
    <row r="966" spans="1:11" ht="42" customHeight="1">
      <c r="A966" s="2" t="s">
        <v>2893</v>
      </c>
      <c r="B966" s="2" t="s">
        <v>2893</v>
      </c>
      <c r="C966" s="2" t="s">
        <v>17</v>
      </c>
      <c r="D966" s="2" t="s">
        <v>18</v>
      </c>
      <c r="E966" s="4">
        <v>-32349</v>
      </c>
      <c r="F966" s="3" t="s">
        <v>239</v>
      </c>
      <c r="G966" s="3" t="s">
        <v>162</v>
      </c>
      <c r="H966" s="2" t="s">
        <v>148</v>
      </c>
      <c r="I966" s="2" t="s">
        <v>2897</v>
      </c>
      <c r="J966" s="3" t="str">
        <f>HYPERLINK("https://www.boe.es/gazeta/dias/1811/06/06/pdfs/GEI-1811-76.pdf#page=2","Abrir facsímil")</f>
        <v>Abrir facsímil</v>
      </c>
      <c r="K966" s="3" t="s">
        <v>150</v>
      </c>
    </row>
    <row r="967" spans="1:11" ht="42" customHeight="1">
      <c r="A967" s="2" t="s">
        <v>2893</v>
      </c>
      <c r="B967" s="2" t="s">
        <v>2893</v>
      </c>
      <c r="C967" s="2" t="s">
        <v>17</v>
      </c>
      <c r="D967" s="2" t="s">
        <v>18</v>
      </c>
      <c r="E967" s="4">
        <v>-32326</v>
      </c>
      <c r="F967" s="3" t="s">
        <v>43</v>
      </c>
      <c r="G967" s="3" t="s">
        <v>47</v>
      </c>
      <c r="H967" s="2" t="s">
        <v>148</v>
      </c>
      <c r="I967" s="2" t="s">
        <v>2898</v>
      </c>
      <c r="J967" s="3" t="str">
        <f>HYPERLINK("https://www.boe.es/gazeta/dias/1811/06/29/pdfs/GEI-1811-86.pdf#page=2","Abrir facsímil")</f>
        <v>Abrir facsímil</v>
      </c>
      <c r="K967" s="3" t="s">
        <v>150</v>
      </c>
    </row>
    <row r="968" spans="1:11" ht="42" customHeight="1">
      <c r="A968" s="2" t="s">
        <v>2893</v>
      </c>
      <c r="B968" s="2" t="s">
        <v>2893</v>
      </c>
      <c r="C968" s="2" t="s">
        <v>17</v>
      </c>
      <c r="D968" s="2" t="s">
        <v>156</v>
      </c>
      <c r="E968" s="4">
        <v>-32307</v>
      </c>
      <c r="F968" s="3" t="s">
        <v>1112</v>
      </c>
      <c r="G968" s="3" t="s">
        <v>256</v>
      </c>
      <c r="H968" s="2" t="s">
        <v>148</v>
      </c>
      <c r="I968" s="2" t="s">
        <v>2899</v>
      </c>
      <c r="J968" s="3" t="str">
        <f>HYPERLINK("https://www.boe.es/gazeta/dias/1811/07/18/pdfs/GEI-1811-94.pdf#page=7","Abrir facsímil")</f>
        <v>Abrir facsímil</v>
      </c>
      <c r="K968" s="3" t="s">
        <v>150</v>
      </c>
    </row>
    <row r="969" spans="1:11" ht="42" customHeight="1">
      <c r="A969" s="2" t="s">
        <v>2893</v>
      </c>
      <c r="B969" s="2" t="s">
        <v>2893</v>
      </c>
      <c r="C969" s="2" t="s">
        <v>17</v>
      </c>
      <c r="D969" s="2" t="s">
        <v>156</v>
      </c>
      <c r="E969" s="4">
        <v>-32286</v>
      </c>
      <c r="F969" s="3" t="s">
        <v>754</v>
      </c>
      <c r="G969" s="3" t="s">
        <v>115</v>
      </c>
      <c r="H969" s="2" t="s">
        <v>148</v>
      </c>
      <c r="I969" s="2" t="s">
        <v>2900</v>
      </c>
      <c r="J969" s="3" t="str">
        <f>HYPERLINK("https://www.boe.es/gazeta/dias/1811/08/08/pdfs/GEI-1811-103.pdf#page=3","Abrir facsímil")</f>
        <v>Abrir facsímil</v>
      </c>
      <c r="K969" s="3" t="s">
        <v>150</v>
      </c>
    </row>
    <row r="970" spans="1:11" ht="42" customHeight="1">
      <c r="A970" s="2" t="s">
        <v>2893</v>
      </c>
      <c r="B970" s="2" t="s">
        <v>2893</v>
      </c>
      <c r="C970" s="2" t="s">
        <v>17</v>
      </c>
      <c r="D970" s="2" t="s">
        <v>105</v>
      </c>
      <c r="E970" s="4">
        <v>-32275</v>
      </c>
      <c r="F970" s="3" t="s">
        <v>1277</v>
      </c>
      <c r="G970" s="3" t="s">
        <v>727</v>
      </c>
      <c r="H970" s="2" t="s">
        <v>148</v>
      </c>
      <c r="I970" s="2" t="s">
        <v>2901</v>
      </c>
      <c r="J970" s="3" t="str">
        <f>HYPERLINK("https://www.boe.es/gazeta/dias/1811/08/19/pdfs/GMD-1811-231.pdf#page=3","Abrir facsímil")</f>
        <v>Abrir facsímil</v>
      </c>
      <c r="K970" s="3" t="s">
        <v>150</v>
      </c>
    </row>
    <row r="971" spans="1:11" ht="42" customHeight="1">
      <c r="A971" s="2" t="s">
        <v>2893</v>
      </c>
      <c r="B971" s="2" t="s">
        <v>2893</v>
      </c>
      <c r="C971" s="2" t="s">
        <v>17</v>
      </c>
      <c r="D971" s="2" t="s">
        <v>18</v>
      </c>
      <c r="E971" s="4">
        <v>-32271</v>
      </c>
      <c r="F971" s="3" t="s">
        <v>2902</v>
      </c>
      <c r="G971" s="3" t="s">
        <v>162</v>
      </c>
      <c r="H971" s="2" t="s">
        <v>148</v>
      </c>
      <c r="I971" s="2" t="s">
        <v>2903</v>
      </c>
      <c r="J971" s="3" t="str">
        <f>HYPERLINK("https://www.boe.es/gazeta/dias/1811/08/23/pdfs/GMD-1811-235.pdf#page=3","Abrir facsímil")</f>
        <v>Abrir facsímil</v>
      </c>
      <c r="K971" s="3" t="s">
        <v>150</v>
      </c>
    </row>
    <row r="972" spans="1:11" ht="42" customHeight="1">
      <c r="A972" s="2" t="s">
        <v>2893</v>
      </c>
      <c r="B972" s="2" t="s">
        <v>2893</v>
      </c>
      <c r="C972" s="2" t="s">
        <v>17</v>
      </c>
      <c r="D972" s="2" t="s">
        <v>18</v>
      </c>
      <c r="E972" s="4">
        <v>-32261</v>
      </c>
      <c r="F972" s="3" t="s">
        <v>1694</v>
      </c>
      <c r="G972" s="3" t="s">
        <v>1695</v>
      </c>
      <c r="H972" s="2" t="s">
        <v>148</v>
      </c>
      <c r="I972" s="2" t="s">
        <v>2904</v>
      </c>
      <c r="J972" s="3" t="str">
        <f>HYPERLINK("https://www.boe.es/gazeta/dias/1811/09/02/pdfs/GMD-1811-245.pdf#page=3","Abrir facsímil")</f>
        <v>Abrir facsímil</v>
      </c>
      <c r="K972" s="3" t="s">
        <v>150</v>
      </c>
    </row>
    <row r="973" spans="1:11" ht="42" customHeight="1">
      <c r="A973" s="2" t="s">
        <v>2893</v>
      </c>
      <c r="B973" s="2" t="s">
        <v>2893</v>
      </c>
      <c r="C973" s="2" t="s">
        <v>17</v>
      </c>
      <c r="D973" s="2" t="s">
        <v>156</v>
      </c>
      <c r="E973" s="4">
        <v>-32260</v>
      </c>
      <c r="F973" s="3" t="s">
        <v>1773</v>
      </c>
      <c r="G973" s="3" t="s">
        <v>57</v>
      </c>
      <c r="H973" s="2" t="s">
        <v>148</v>
      </c>
      <c r="I973" s="2" t="s">
        <v>2905</v>
      </c>
      <c r="J973" s="3" t="str">
        <f>HYPERLINK("https://www.boe.es/gazeta/dias/1811/09/03/pdfs/GMD-1811-246.pdf#page=2","Abrir facsímil")</f>
        <v>Abrir facsímil</v>
      </c>
      <c r="K973" s="3" t="s">
        <v>150</v>
      </c>
    </row>
    <row r="974" spans="1:11" ht="42" customHeight="1">
      <c r="A974" s="2" t="s">
        <v>2893</v>
      </c>
      <c r="B974" s="2" t="s">
        <v>2893</v>
      </c>
      <c r="C974" s="2" t="s">
        <v>17</v>
      </c>
      <c r="D974" s="2" t="s">
        <v>156</v>
      </c>
      <c r="E974" s="4">
        <v>-32241</v>
      </c>
      <c r="F974" s="3" t="s">
        <v>514</v>
      </c>
      <c r="G974" s="3" t="s">
        <v>2906</v>
      </c>
      <c r="H974" s="2" t="s">
        <v>148</v>
      </c>
      <c r="I974" s="2" t="s">
        <v>2907</v>
      </c>
      <c r="J974" s="3" t="str">
        <f>HYPERLINK("https://www.boe.es/gazeta/dias/1811/09/22/pdfs/GMD-1811-265.pdf#page=2","Abrir facsímil")</f>
        <v>Abrir facsímil</v>
      </c>
      <c r="K974" s="3" t="s">
        <v>150</v>
      </c>
    </row>
    <row r="975" spans="1:11" ht="42" customHeight="1">
      <c r="A975" s="2" t="s">
        <v>2893</v>
      </c>
      <c r="B975" s="2" t="s">
        <v>2893</v>
      </c>
      <c r="C975" s="2" t="s">
        <v>17</v>
      </c>
      <c r="D975" s="2" t="s">
        <v>156</v>
      </c>
      <c r="E975" s="4">
        <v>-32148</v>
      </c>
      <c r="F975" s="3" t="s">
        <v>1616</v>
      </c>
      <c r="G975" s="3" t="s">
        <v>2908</v>
      </c>
      <c r="H975" s="2" t="s">
        <v>148</v>
      </c>
      <c r="I975" s="2" t="s">
        <v>2909</v>
      </c>
      <c r="J975" s="3" t="str">
        <f>HYPERLINK("https://www.boe.es/gazeta/dias/1811/12/24/pdfs/GEI-1811-166.pdf#page=1","Abrir facsímil")</f>
        <v>Abrir facsímil</v>
      </c>
      <c r="K975" s="3" t="s">
        <v>150</v>
      </c>
    </row>
    <row r="976" spans="1:11" ht="42" customHeight="1">
      <c r="A976" s="2" t="s">
        <v>2910</v>
      </c>
      <c r="B976" s="2" t="s">
        <v>2911</v>
      </c>
      <c r="C976" s="2" t="s">
        <v>17</v>
      </c>
      <c r="D976" s="2" t="s">
        <v>156</v>
      </c>
      <c r="E976" s="4">
        <v>-32363</v>
      </c>
      <c r="F976" s="3" t="s">
        <v>2912</v>
      </c>
      <c r="G976" s="3" t="s">
        <v>39</v>
      </c>
      <c r="H976" s="2" t="s">
        <v>148</v>
      </c>
      <c r="I976" s="2" t="s">
        <v>2913</v>
      </c>
      <c r="J976" s="3" t="str">
        <f>HYPERLINK("https://www.boe.es/gazeta/dias/1811/05/23/pdfs/GEI-1811-69E.pdf#page=1","Abrir facsímil")</f>
        <v>Abrir facsímil</v>
      </c>
      <c r="K976" s="3" t="s">
        <v>150</v>
      </c>
    </row>
    <row r="977" spans="1:11" ht="42" customHeight="1">
      <c r="A977" s="2" t="s">
        <v>2910</v>
      </c>
      <c r="B977" s="2" t="s">
        <v>2911</v>
      </c>
      <c r="C977" s="2" t="s">
        <v>26</v>
      </c>
      <c r="D977" s="2" t="s">
        <v>105</v>
      </c>
      <c r="E977" s="4">
        <v>-32354</v>
      </c>
      <c r="F977" s="3" t="s">
        <v>2914</v>
      </c>
      <c r="G977" s="3" t="s">
        <v>468</v>
      </c>
      <c r="H977" s="2" t="s">
        <v>148</v>
      </c>
      <c r="I977" s="2" t="s">
        <v>2915</v>
      </c>
      <c r="J977" s="3" t="str">
        <f>HYPERLINK("https://www.boe.es/gazeta/dias/1811/06/01/pdfs/GEI-1811-74.pdf#page=8","Abrir facsímil")</f>
        <v>Abrir facsímil</v>
      </c>
      <c r="K977" s="3" t="s">
        <v>150</v>
      </c>
    </row>
    <row r="978" spans="1:11" ht="42" customHeight="1">
      <c r="A978" s="2" t="s">
        <v>2910</v>
      </c>
      <c r="B978" s="2" t="s">
        <v>2911</v>
      </c>
      <c r="C978" s="2" t="s">
        <v>26</v>
      </c>
      <c r="D978" s="2" t="s">
        <v>105</v>
      </c>
      <c r="E978" s="4">
        <v>-32246</v>
      </c>
      <c r="F978" s="3" t="s">
        <v>19</v>
      </c>
      <c r="G978" s="3" t="s">
        <v>2916</v>
      </c>
      <c r="H978" s="2" t="s">
        <v>148</v>
      </c>
      <c r="I978" s="2" t="s">
        <v>2917</v>
      </c>
      <c r="J978" s="3" t="str">
        <f>HYPERLINK("https://www.boe.es/gazeta/dias/1811/09/17/pdfs/GEI-1811-120.pdf#page=2","Abrir facsímil")</f>
        <v>Abrir facsímil</v>
      </c>
      <c r="K978" s="3" t="s">
        <v>150</v>
      </c>
    </row>
    <row r="979" spans="1:11" ht="42" customHeight="1">
      <c r="A979" s="2" t="s">
        <v>2910</v>
      </c>
      <c r="B979" s="2" t="s">
        <v>2911</v>
      </c>
      <c r="C979" s="2" t="s">
        <v>26</v>
      </c>
      <c r="D979" s="2" t="s">
        <v>105</v>
      </c>
      <c r="E979" s="4">
        <v>-32242</v>
      </c>
      <c r="F979" s="3" t="s">
        <v>1295</v>
      </c>
      <c r="G979" s="3" t="s">
        <v>214</v>
      </c>
      <c r="H979" s="2" t="s">
        <v>148</v>
      </c>
      <c r="I979" s="2" t="s">
        <v>2918</v>
      </c>
      <c r="J979" s="3" t="str">
        <f>HYPERLINK("https://www.boe.es/gazeta/dias/1811/09/21/pdfs/GEI-1811-122.pdf#page=6","Abrir facsímil")</f>
        <v>Abrir facsímil</v>
      </c>
      <c r="K979" s="3" t="s">
        <v>150</v>
      </c>
    </row>
    <row r="980" spans="1:11" ht="42" customHeight="1">
      <c r="A980" s="2" t="s">
        <v>2910</v>
      </c>
      <c r="B980" s="2" t="s">
        <v>2911</v>
      </c>
      <c r="C980" s="2" t="s">
        <v>17</v>
      </c>
      <c r="D980" s="2" t="s">
        <v>156</v>
      </c>
      <c r="E980" s="4">
        <v>-32219</v>
      </c>
      <c r="F980" s="3" t="s">
        <v>529</v>
      </c>
      <c r="G980" s="3" t="s">
        <v>91</v>
      </c>
      <c r="H980" s="2" t="s">
        <v>148</v>
      </c>
      <c r="I980" s="2" t="s">
        <v>2919</v>
      </c>
      <c r="J980" s="3" t="str">
        <f>HYPERLINK("https://www.boe.es/gazeta/dias/1811/10/14/pdfs/GEI-1811-132E.pdf#page=2","Abrir facsímil")</f>
        <v>Abrir facsímil</v>
      </c>
      <c r="K980" s="3" t="s">
        <v>150</v>
      </c>
    </row>
    <row r="981" spans="1:11" ht="42" customHeight="1">
      <c r="A981" s="2" t="s">
        <v>2910</v>
      </c>
      <c r="B981" s="2" t="s">
        <v>2911</v>
      </c>
      <c r="C981" s="2" t="s">
        <v>17</v>
      </c>
      <c r="D981" s="2" t="s">
        <v>528</v>
      </c>
      <c r="E981" s="4">
        <v>-32192</v>
      </c>
      <c r="F981" s="3" t="s">
        <v>2920</v>
      </c>
      <c r="G981" s="3" t="s">
        <v>2921</v>
      </c>
      <c r="H981" s="2" t="s">
        <v>148</v>
      </c>
      <c r="I981" s="2" t="s">
        <v>2922</v>
      </c>
      <c r="J981" s="3" t="str">
        <f>HYPERLINK("https://www.boe.es/gazeta/dias/1811/11/10/pdfs/GEI-1811-146E.pdf#page=1","Abrir facsímil")</f>
        <v>Abrir facsímil</v>
      </c>
      <c r="K981" s="3" t="s">
        <v>150</v>
      </c>
    </row>
    <row r="982" spans="1:11" ht="42" customHeight="1">
      <c r="A982" s="2" t="s">
        <v>2910</v>
      </c>
      <c r="B982" s="2" t="s">
        <v>2911</v>
      </c>
      <c r="C982" s="2" t="s">
        <v>26</v>
      </c>
      <c r="D982" s="2" t="s">
        <v>18</v>
      </c>
      <c r="E982" s="4">
        <v>-32190</v>
      </c>
      <c r="F982" s="3" t="s">
        <v>85</v>
      </c>
      <c r="G982" s="3" t="s">
        <v>86</v>
      </c>
      <c r="H982" s="2" t="s">
        <v>148</v>
      </c>
      <c r="I982" s="2" t="s">
        <v>2923</v>
      </c>
      <c r="J982" s="3" t="str">
        <f>HYPERLINK("https://www.boe.es/gazeta/dias/1811/11/12/pdfs/GEI-1811-148.pdf#page=8","Abrir facsímil")</f>
        <v>Abrir facsímil</v>
      </c>
      <c r="K982" s="3" t="s">
        <v>150</v>
      </c>
    </row>
    <row r="983" spans="1:11" ht="42" customHeight="1">
      <c r="A983" s="2" t="s">
        <v>2910</v>
      </c>
      <c r="B983" s="2" t="s">
        <v>2911</v>
      </c>
      <c r="C983" s="2" t="s">
        <v>17</v>
      </c>
      <c r="D983" s="2" t="s">
        <v>156</v>
      </c>
      <c r="E983" s="4">
        <v>-32179</v>
      </c>
      <c r="F983" s="3" t="s">
        <v>2924</v>
      </c>
      <c r="G983" s="3" t="s">
        <v>39</v>
      </c>
      <c r="H983" s="2" t="s">
        <v>148</v>
      </c>
      <c r="I983" s="2" t="s">
        <v>2925</v>
      </c>
      <c r="J983" s="3" t="str">
        <f>HYPERLINK("https://www.boe.es/gazeta/dias/1811/11/23/pdfs/GEI-D-1811-153.pdf#page=1","Abrir facsímil")</f>
        <v>Abrir facsímil</v>
      </c>
      <c r="K983" s="3" t="s">
        <v>150</v>
      </c>
    </row>
    <row r="984" spans="1:11" ht="42" customHeight="1">
      <c r="A984" s="2" t="s">
        <v>2926</v>
      </c>
      <c r="B984" s="2" t="s">
        <v>2927</v>
      </c>
      <c r="C984" s="2" t="s">
        <v>26</v>
      </c>
      <c r="D984" s="2" t="s">
        <v>105</v>
      </c>
      <c r="E984" s="4">
        <v>-32148</v>
      </c>
      <c r="F984" s="3" t="s">
        <v>1616</v>
      </c>
      <c r="G984" s="3" t="s">
        <v>515</v>
      </c>
      <c r="H984" s="2" t="s">
        <v>148</v>
      </c>
      <c r="I984" s="2" t="s">
        <v>2928</v>
      </c>
      <c r="J984" s="3" t="str">
        <f>HYPERLINK("https://www.boe.es/gazeta/dias/1811/12/24/pdfs/GEI-1811-166.pdf#page=7","Abrir facsímil")</f>
        <v>Abrir facsímil</v>
      </c>
      <c r="K984" s="3" t="s">
        <v>150</v>
      </c>
    </row>
    <row r="985" spans="1:11" ht="42" customHeight="1">
      <c r="A985" s="2" t="s">
        <v>2929</v>
      </c>
      <c r="B985" s="2" t="s">
        <v>2930</v>
      </c>
      <c r="C985" s="2" t="s">
        <v>26</v>
      </c>
      <c r="D985" s="2" t="s">
        <v>141</v>
      </c>
      <c r="E985" s="4">
        <v>-32179</v>
      </c>
      <c r="F985" s="3" t="s">
        <v>2924</v>
      </c>
      <c r="G985" s="3" t="s">
        <v>2931</v>
      </c>
      <c r="H985" s="2" t="s">
        <v>148</v>
      </c>
      <c r="I985" s="2" t="s">
        <v>2932</v>
      </c>
      <c r="J985" s="3" t="str">
        <f>HYPERLINK("https://www.boe.es/gazeta/dias/1811/11/23/pdfs/GEI-D-1811-153.pdf#page=4","Abrir facsímil")</f>
        <v>Abrir facsímil</v>
      </c>
      <c r="K985" s="3" t="s">
        <v>150</v>
      </c>
    </row>
    <row r="986" spans="1:11" ht="42" customHeight="1">
      <c r="A986" s="2" t="s">
        <v>2933</v>
      </c>
      <c r="B986" s="2" t="s">
        <v>2934</v>
      </c>
      <c r="C986" s="2" t="s">
        <v>26</v>
      </c>
      <c r="D986" s="2" t="s">
        <v>18</v>
      </c>
      <c r="E986" s="4">
        <v>-32375</v>
      </c>
      <c r="F986" s="3" t="s">
        <v>1209</v>
      </c>
      <c r="G986" s="3" t="s">
        <v>488</v>
      </c>
      <c r="H986" s="2" t="s">
        <v>148</v>
      </c>
      <c r="I986" s="2" t="s">
        <v>2935</v>
      </c>
      <c r="J986" s="3" t="str">
        <f>HYPERLINK("https://www.boe.es/gazeta/dias/1811/05/11/pdfs/GEI-1811-62.pdf#page=7","Abrir facsímil")</f>
        <v>Abrir facsímil</v>
      </c>
      <c r="K986" s="3" t="s">
        <v>150</v>
      </c>
    </row>
    <row r="987" spans="1:11" ht="42" customHeight="1">
      <c r="A987" s="2" t="s">
        <v>2936</v>
      </c>
      <c r="B987" s="2" t="s">
        <v>2936</v>
      </c>
      <c r="C987" s="2" t="s">
        <v>26</v>
      </c>
      <c r="D987" s="2" t="s">
        <v>18</v>
      </c>
      <c r="E987" s="4">
        <v>-32384</v>
      </c>
      <c r="F987" s="3" t="s">
        <v>338</v>
      </c>
      <c r="G987" s="3" t="s">
        <v>62</v>
      </c>
      <c r="H987" s="2" t="s">
        <v>148</v>
      </c>
      <c r="I987" s="2" t="s">
        <v>2937</v>
      </c>
      <c r="J987" s="3" t="str">
        <f>HYPERLINK("https://www.boe.es/gazeta/dias/1811/05/02/pdfs/GEI-1811-58.pdf#page=5","Abrir facsímil")</f>
        <v>Abrir facsímil</v>
      </c>
      <c r="K987" s="3" t="s">
        <v>150</v>
      </c>
    </row>
    <row r="988" spans="1:11" ht="42" customHeight="1">
      <c r="A988" s="2" t="s">
        <v>2938</v>
      </c>
      <c r="B988" s="2" t="s">
        <v>2939</v>
      </c>
      <c r="C988" s="2" t="s">
        <v>26</v>
      </c>
      <c r="D988" s="2" t="s">
        <v>18</v>
      </c>
      <c r="E988" s="4">
        <v>-32197</v>
      </c>
      <c r="F988" s="3" t="s">
        <v>687</v>
      </c>
      <c r="G988" s="3" t="s">
        <v>1240</v>
      </c>
      <c r="H988" s="2" t="s">
        <v>148</v>
      </c>
      <c r="I988" s="2" t="s">
        <v>2940</v>
      </c>
      <c r="J988" s="3" t="str">
        <f>HYPERLINK("https://www.boe.es/gazeta/dias/1811/11/05/pdfs/GEI-1811-143.pdf#page=8","Abrir facsímil")</f>
        <v>Abrir facsímil</v>
      </c>
      <c r="K988" s="3" t="s">
        <v>150</v>
      </c>
    </row>
    <row r="989" spans="1:11" ht="42" customHeight="1">
      <c r="A989" s="2" t="s">
        <v>2941</v>
      </c>
      <c r="B989" s="2" t="s">
        <v>2942</v>
      </c>
      <c r="C989" s="2" t="s">
        <v>26</v>
      </c>
      <c r="D989" s="2" t="s">
        <v>18</v>
      </c>
      <c r="E989" s="4">
        <v>-32153</v>
      </c>
      <c r="F989" s="3" t="s">
        <v>123</v>
      </c>
      <c r="G989" s="3" t="s">
        <v>1067</v>
      </c>
      <c r="H989" s="2" t="s">
        <v>148</v>
      </c>
      <c r="I989" s="2" t="s">
        <v>2943</v>
      </c>
      <c r="J989" s="3" t="str">
        <f>HYPERLINK("https://www.boe.es/gazeta/dias/1811/12/19/pdfs/GMD-1811-353.pdf#page=5","Abrir facsímil")</f>
        <v>Abrir facsímil</v>
      </c>
      <c r="K989" s="3" t="s">
        <v>150</v>
      </c>
    </row>
    <row r="990" spans="1:11" ht="42" customHeight="1">
      <c r="A990" s="2" t="s">
        <v>2944</v>
      </c>
      <c r="B990" s="2" t="s">
        <v>2945</v>
      </c>
      <c r="C990" s="2" t="s">
        <v>37</v>
      </c>
      <c r="D990" s="2" t="s">
        <v>18</v>
      </c>
      <c r="E990" s="4">
        <v>-32416</v>
      </c>
      <c r="F990" s="3" t="s">
        <v>954</v>
      </c>
      <c r="G990" s="3" t="s">
        <v>183</v>
      </c>
      <c r="H990" s="2" t="s">
        <v>148</v>
      </c>
      <c r="I990" s="2" t="s">
        <v>2946</v>
      </c>
      <c r="J990" s="3" t="str">
        <f>HYPERLINK("https://www.boe.es/gazeta/dias/1811/03/31/pdfs/GMD-1811-90.pdf#page=4","Abrir facsímil")</f>
        <v>Abrir facsímil</v>
      </c>
      <c r="K990" s="3" t="s">
        <v>150</v>
      </c>
    </row>
    <row r="991" spans="1:11" ht="42" customHeight="1">
      <c r="A991" s="2" t="s">
        <v>2947</v>
      </c>
      <c r="B991" s="2" t="s">
        <v>2948</v>
      </c>
      <c r="C991" s="2" t="s">
        <v>26</v>
      </c>
      <c r="D991" s="2" t="s">
        <v>18</v>
      </c>
      <c r="E991" s="4">
        <v>-32489</v>
      </c>
      <c r="F991" s="3" t="s">
        <v>2073</v>
      </c>
      <c r="G991" s="3" t="s">
        <v>44</v>
      </c>
      <c r="H991" s="2" t="s">
        <v>148</v>
      </c>
      <c r="I991" s="2" t="s">
        <v>2949</v>
      </c>
      <c r="J991" s="3" t="str">
        <f>HYPERLINK("https://www.boe.es/gazeta/dias/1811/01/17/pdfs/GEI-1811-8.pdf#page=8","Abrir facsímil")</f>
        <v>Abrir facsímil</v>
      </c>
      <c r="K991" s="3" t="s">
        <v>150</v>
      </c>
    </row>
    <row r="992" spans="1:11" ht="42" customHeight="1">
      <c r="A992" s="2" t="s">
        <v>2950</v>
      </c>
      <c r="B992" s="2" t="s">
        <v>2951</v>
      </c>
      <c r="C992" s="2" t="s">
        <v>17</v>
      </c>
      <c r="D992" s="2" t="s">
        <v>18</v>
      </c>
      <c r="E992" s="4">
        <v>-32385</v>
      </c>
      <c r="F992" s="3" t="s">
        <v>2952</v>
      </c>
      <c r="G992" s="3" t="s">
        <v>115</v>
      </c>
      <c r="H992" s="2" t="s">
        <v>148</v>
      </c>
      <c r="I992" s="2" t="s">
        <v>2953</v>
      </c>
      <c r="J992" s="3" t="str">
        <f>HYPERLINK("https://www.boe.es/gazeta/dias/1811/05/01/pdfs/GMD-1811-121.pdf#page=3","Abrir facsímil")</f>
        <v>Abrir facsímil</v>
      </c>
      <c r="K992" s="3" t="s">
        <v>150</v>
      </c>
    </row>
    <row r="993" spans="1:11" ht="42" customHeight="1">
      <c r="A993" s="2" t="s">
        <v>2954</v>
      </c>
      <c r="B993" s="2" t="s">
        <v>2954</v>
      </c>
      <c r="C993" s="2" t="s">
        <v>17</v>
      </c>
      <c r="D993" s="2" t="s">
        <v>156</v>
      </c>
      <c r="E993" s="4">
        <v>-32428</v>
      </c>
      <c r="F993" s="3" t="s">
        <v>351</v>
      </c>
      <c r="G993" s="3" t="s">
        <v>57</v>
      </c>
      <c r="H993" s="2" t="s">
        <v>148</v>
      </c>
      <c r="I993" s="2" t="s">
        <v>2955</v>
      </c>
      <c r="J993" s="3" t="str">
        <f>HYPERLINK("https://www.boe.es/gazeta/dias/1811/03/19/pdfs/GMD-1811-78.pdf#page=2","Abrir facsímil")</f>
        <v>Abrir facsímil</v>
      </c>
      <c r="K993" s="3" t="s">
        <v>150</v>
      </c>
    </row>
    <row r="994" spans="1:11" ht="42" customHeight="1">
      <c r="A994" s="2" t="s">
        <v>2956</v>
      </c>
      <c r="B994" s="2" t="s">
        <v>2956</v>
      </c>
      <c r="C994" s="2" t="s">
        <v>17</v>
      </c>
      <c r="D994" s="2" t="s">
        <v>18</v>
      </c>
      <c r="E994" s="4">
        <v>-32349</v>
      </c>
      <c r="F994" s="3" t="s">
        <v>239</v>
      </c>
      <c r="G994" s="3" t="s">
        <v>1841</v>
      </c>
      <c r="H994" s="2" t="s">
        <v>148</v>
      </c>
      <c r="I994" s="2" t="s">
        <v>2957</v>
      </c>
      <c r="J994" s="3" t="str">
        <f>HYPERLINK("https://www.boe.es/gazeta/dias/1811/06/06/pdfs/GEI-1811-76.pdf#page=3","Abrir facsímil")</f>
        <v>Abrir facsímil</v>
      </c>
      <c r="K994" s="3" t="s">
        <v>150</v>
      </c>
    </row>
    <row r="995" spans="1:11" ht="42" customHeight="1">
      <c r="A995" s="2" t="s">
        <v>2958</v>
      </c>
      <c r="B995" s="2" t="s">
        <v>2958</v>
      </c>
      <c r="C995" s="2" t="s">
        <v>17</v>
      </c>
      <c r="D995" s="2" t="s">
        <v>156</v>
      </c>
      <c r="E995" s="4">
        <v>-32330</v>
      </c>
      <c r="F995" s="3" t="s">
        <v>1997</v>
      </c>
      <c r="G995" s="3" t="s">
        <v>1463</v>
      </c>
      <c r="H995" s="2" t="s">
        <v>148</v>
      </c>
      <c r="I995" s="2" t="s">
        <v>2959</v>
      </c>
      <c r="J995" s="3" t="str">
        <f>HYPERLINK("https://www.boe.es/gazeta/dias/1811/06/25/pdfs/GMD-1811-176.pdf#page=3","Abrir facsímil")</f>
        <v>Abrir facsímil</v>
      </c>
      <c r="K995" s="3" t="s">
        <v>150</v>
      </c>
    </row>
    <row r="996" spans="1:11" ht="42" customHeight="1">
      <c r="A996" s="2" t="s">
        <v>2960</v>
      </c>
      <c r="B996" s="2" t="s">
        <v>2960</v>
      </c>
      <c r="C996" s="2" t="s">
        <v>17</v>
      </c>
      <c r="D996" s="2" t="s">
        <v>18</v>
      </c>
      <c r="E996" s="4">
        <v>-32249</v>
      </c>
      <c r="F996" s="3" t="s">
        <v>824</v>
      </c>
      <c r="G996" s="3" t="s">
        <v>2961</v>
      </c>
      <c r="H996" s="2" t="s">
        <v>148</v>
      </c>
      <c r="I996" s="2" t="s">
        <v>2962</v>
      </c>
      <c r="J996" s="3" t="str">
        <f>HYPERLINK("https://www.boe.es/gazeta/dias/1811/09/14/pdfs/GEI-1811-119.pdf#page=6","Abrir facsímil")</f>
        <v>Abrir facsímil</v>
      </c>
      <c r="K996" s="3" t="s">
        <v>150</v>
      </c>
    </row>
    <row r="997" spans="1:11" ht="42" customHeight="1">
      <c r="A997" s="2" t="s">
        <v>2960</v>
      </c>
      <c r="B997" s="2" t="s">
        <v>2960</v>
      </c>
      <c r="C997" s="2" t="s">
        <v>17</v>
      </c>
      <c r="D997" s="2" t="s">
        <v>156</v>
      </c>
      <c r="E997" s="4">
        <v>-32190</v>
      </c>
      <c r="F997" s="3" t="s">
        <v>85</v>
      </c>
      <c r="G997" s="3" t="s">
        <v>2963</v>
      </c>
      <c r="H997" s="2" t="s">
        <v>148</v>
      </c>
      <c r="I997" s="2" t="s">
        <v>2964</v>
      </c>
      <c r="J997" s="3" t="str">
        <f>HYPERLINK("https://www.boe.es/gazeta/dias/1811/11/12/pdfs/GEI-1811-148.pdf#page=1","Abrir facsímil")</f>
        <v>Abrir facsímil</v>
      </c>
      <c r="K997" s="3" t="s">
        <v>150</v>
      </c>
    </row>
    <row r="998" spans="1:11" ht="42" customHeight="1">
      <c r="A998" s="2" t="s">
        <v>2965</v>
      </c>
      <c r="B998" s="2" t="s">
        <v>2965</v>
      </c>
      <c r="C998" s="2" t="s">
        <v>17</v>
      </c>
      <c r="D998" s="2" t="s">
        <v>18</v>
      </c>
      <c r="E998" s="4">
        <v>-32384</v>
      </c>
      <c r="F998" s="3" t="s">
        <v>338</v>
      </c>
      <c r="G998" s="3" t="s">
        <v>2786</v>
      </c>
      <c r="H998" s="2" t="s">
        <v>148</v>
      </c>
      <c r="I998" s="2" t="s">
        <v>2966</v>
      </c>
      <c r="J998" s="3" t="str">
        <f>HYPERLINK("https://www.boe.es/gazeta/dias/1811/05/02/pdfs/GEI-1811-58.pdf#page=7","Abrir facsímil")</f>
        <v>Abrir facsímil</v>
      </c>
      <c r="K998" s="3" t="s">
        <v>150</v>
      </c>
    </row>
    <row r="999" spans="1:11" ht="42" customHeight="1">
      <c r="A999" s="2" t="s">
        <v>2967</v>
      </c>
      <c r="B999" s="2" t="s">
        <v>2967</v>
      </c>
      <c r="C999" s="2" t="s">
        <v>17</v>
      </c>
      <c r="D999" s="2" t="s">
        <v>105</v>
      </c>
      <c r="E999" s="4">
        <v>-32395</v>
      </c>
      <c r="F999" s="3" t="s">
        <v>2968</v>
      </c>
      <c r="G999" s="3" t="s">
        <v>530</v>
      </c>
      <c r="H999" s="2" t="s">
        <v>148</v>
      </c>
      <c r="I999" s="2" t="s">
        <v>2969</v>
      </c>
      <c r="J999" s="3" t="str">
        <f>HYPERLINK("https://www.boe.es/gazeta/dias/1811/04/21/pdfs/GMD-1811-111.pdf#page=3","Abrir facsímil")</f>
        <v>Abrir facsímil</v>
      </c>
      <c r="K999" s="3" t="s">
        <v>150</v>
      </c>
    </row>
    <row r="1000" spans="1:11" ht="42" customHeight="1">
      <c r="A1000" s="2" t="s">
        <v>2970</v>
      </c>
      <c r="B1000" s="2" t="s">
        <v>2970</v>
      </c>
      <c r="C1000" s="2" t="s">
        <v>17</v>
      </c>
      <c r="D1000" s="2" t="s">
        <v>18</v>
      </c>
      <c r="E1000" s="4">
        <v>-32358</v>
      </c>
      <c r="F1000" s="3" t="s">
        <v>2971</v>
      </c>
      <c r="G1000" s="3" t="s">
        <v>2972</v>
      </c>
      <c r="H1000" s="2" t="s">
        <v>148</v>
      </c>
      <c r="I1000" s="2" t="s">
        <v>2973</v>
      </c>
      <c r="J1000" s="3" t="str">
        <f>HYPERLINK("https://www.boe.es/gazeta/dias/1811/05/28/pdfs/GEI-1811-72.pdf#page=7","Abrir facsímil")</f>
        <v>Abrir facsímil</v>
      </c>
      <c r="K1000" s="3" t="s">
        <v>150</v>
      </c>
    </row>
    <row r="1001" spans="1:11" ht="42" customHeight="1">
      <c r="A1001" s="2" t="s">
        <v>2974</v>
      </c>
      <c r="B1001" s="2" t="s">
        <v>2975</v>
      </c>
      <c r="C1001" s="2" t="s">
        <v>17</v>
      </c>
      <c r="D1001" s="2" t="s">
        <v>18</v>
      </c>
      <c r="E1001" s="4">
        <v>-32204</v>
      </c>
      <c r="F1001" s="3" t="s">
        <v>1053</v>
      </c>
      <c r="G1001" s="3" t="s">
        <v>1963</v>
      </c>
      <c r="H1001" s="2" t="s">
        <v>148</v>
      </c>
      <c r="I1001" s="2" t="s">
        <v>2976</v>
      </c>
      <c r="J1001" s="3" t="str">
        <f>HYPERLINK("https://www.boe.es/gazeta/dias/1811/10/29/pdfs/GEI-1811-139.pdf#page=6","Abrir facsímil")</f>
        <v>Abrir facsímil</v>
      </c>
      <c r="K1001" s="3" t="s">
        <v>150</v>
      </c>
    </row>
    <row r="1002" spans="1:11" ht="42" customHeight="1">
      <c r="A1002" s="2" t="s">
        <v>2977</v>
      </c>
      <c r="B1002" s="2" t="s">
        <v>2978</v>
      </c>
      <c r="C1002" s="2" t="s">
        <v>26</v>
      </c>
      <c r="D1002" s="2" t="s">
        <v>105</v>
      </c>
      <c r="E1002" s="4">
        <v>-32179</v>
      </c>
      <c r="F1002" s="3" t="s">
        <v>614</v>
      </c>
      <c r="G1002" s="3" t="s">
        <v>468</v>
      </c>
      <c r="H1002" s="2" t="s">
        <v>148</v>
      </c>
      <c r="I1002" s="2" t="s">
        <v>2979</v>
      </c>
      <c r="J1002" s="3" t="str">
        <f>HYPERLINK("https://www.boe.es/gazeta/dias/1811/11/23/pdfs/GEI-1811-153.pdf#page=6","Abrir facsímil")</f>
        <v>Abrir facsímil</v>
      </c>
      <c r="K1002" s="3" t="s">
        <v>150</v>
      </c>
    </row>
    <row r="1003" spans="1:11" ht="42" customHeight="1">
      <c r="A1003" s="2" t="s">
        <v>2980</v>
      </c>
      <c r="B1003" s="2" t="s">
        <v>2981</v>
      </c>
      <c r="C1003" s="2" t="s">
        <v>37</v>
      </c>
      <c r="D1003" s="2" t="s">
        <v>18</v>
      </c>
      <c r="E1003" s="4">
        <v>-32158</v>
      </c>
      <c r="F1003" s="3" t="s">
        <v>46</v>
      </c>
      <c r="G1003" s="3" t="s">
        <v>47</v>
      </c>
      <c r="H1003" s="2" t="s">
        <v>148</v>
      </c>
      <c r="I1003" s="2" t="s">
        <v>2982</v>
      </c>
      <c r="J1003" s="3" t="str">
        <f>HYPERLINK("https://www.boe.es/gazeta/dias/1811/12/14/pdfs/GEI-1811-162.pdf#page=7","Abrir facsímil")</f>
        <v>Abrir facsímil</v>
      </c>
      <c r="K1003" s="3" t="s">
        <v>150</v>
      </c>
    </row>
    <row r="1004" spans="1:11" ht="42" customHeight="1">
      <c r="A1004" s="2" t="s">
        <v>2983</v>
      </c>
      <c r="B1004" s="2" t="s">
        <v>2984</v>
      </c>
      <c r="C1004" s="2" t="s">
        <v>26</v>
      </c>
      <c r="D1004" s="2" t="s">
        <v>18</v>
      </c>
      <c r="E1004" s="4">
        <v>-32153</v>
      </c>
      <c r="F1004" s="3" t="s">
        <v>123</v>
      </c>
      <c r="G1004" s="3" t="s">
        <v>124</v>
      </c>
      <c r="H1004" s="2" t="s">
        <v>148</v>
      </c>
      <c r="I1004" s="2" t="s">
        <v>2985</v>
      </c>
      <c r="J1004" s="3" t="str">
        <f>HYPERLINK("https://www.boe.es/gazeta/dias/1811/12/19/pdfs/GMD-1811-353.pdf#page=6","Abrir facsímil")</f>
        <v>Abrir facsímil</v>
      </c>
      <c r="K1004" s="3" t="s">
        <v>150</v>
      </c>
    </row>
    <row r="1005" spans="1:11" ht="42" customHeight="1">
      <c r="A1005" s="2" t="s">
        <v>2986</v>
      </c>
      <c r="B1005" s="2" t="s">
        <v>2986</v>
      </c>
      <c r="C1005" s="2" t="s">
        <v>104</v>
      </c>
      <c r="D1005" s="2" t="s">
        <v>204</v>
      </c>
      <c r="E1005" s="4">
        <v>-32414</v>
      </c>
      <c r="F1005" s="3" t="s">
        <v>213</v>
      </c>
      <c r="G1005" s="3" t="s">
        <v>20</v>
      </c>
      <c r="H1005" s="2" t="s">
        <v>148</v>
      </c>
      <c r="I1005" s="2" t="s">
        <v>2987</v>
      </c>
      <c r="J1005" s="3" t="str">
        <f>HYPERLINK("https://www.boe.es/gazeta/dias/1811/04/02/pdfs/GEI-1811-45.pdf#page=3","Abrir facsímil")</f>
        <v>Abrir facsímil</v>
      </c>
      <c r="K1005" s="3" t="s">
        <v>150</v>
      </c>
    </row>
    <row r="1006" spans="1:11" ht="42" customHeight="1">
      <c r="A1006" s="2" t="s">
        <v>2988</v>
      </c>
      <c r="B1006" s="2" t="s">
        <v>2988</v>
      </c>
      <c r="C1006" s="2" t="s">
        <v>17</v>
      </c>
      <c r="D1006" s="2" t="s">
        <v>18</v>
      </c>
      <c r="E1006" s="4">
        <v>-32158</v>
      </c>
      <c r="F1006" s="3" t="s">
        <v>46</v>
      </c>
      <c r="G1006" s="3" t="s">
        <v>2989</v>
      </c>
      <c r="H1006" s="2" t="s">
        <v>148</v>
      </c>
      <c r="I1006" s="2" t="s">
        <v>2990</v>
      </c>
      <c r="J1006" s="3" t="str">
        <f>HYPERLINK("https://www.boe.es/gazeta/dias/1811/12/14/pdfs/GEI-1811-162.pdf#page=3","Abrir facsímil")</f>
        <v>Abrir facsímil</v>
      </c>
      <c r="K1006" s="3" t="s">
        <v>150</v>
      </c>
    </row>
    <row r="1007" spans="1:11" ht="42" customHeight="1">
      <c r="A1007" s="2" t="s">
        <v>2991</v>
      </c>
      <c r="B1007" s="2" t="s">
        <v>2992</v>
      </c>
      <c r="C1007" s="2" t="s">
        <v>26</v>
      </c>
      <c r="D1007" s="2" t="s">
        <v>18</v>
      </c>
      <c r="E1007" s="4">
        <v>-32235</v>
      </c>
      <c r="F1007" s="3" t="s">
        <v>190</v>
      </c>
      <c r="G1007" s="3" t="s">
        <v>188</v>
      </c>
      <c r="H1007" s="2" t="s">
        <v>148</v>
      </c>
      <c r="I1007" s="2" t="s">
        <v>2993</v>
      </c>
      <c r="J1007" s="3" t="str">
        <f>HYPERLINK("https://www.boe.es/gazeta/dias/1811/09/28/pdfs/GEI-1811-125.pdf#page=8","Abrir facsímil")</f>
        <v>Abrir facsímil</v>
      </c>
      <c r="K1007" s="3" t="s">
        <v>150</v>
      </c>
    </row>
    <row r="1008" spans="1:11" ht="42" customHeight="1">
      <c r="A1008" s="2" t="s">
        <v>2994</v>
      </c>
      <c r="B1008" s="2" t="s">
        <v>2995</v>
      </c>
      <c r="C1008" s="2" t="s">
        <v>26</v>
      </c>
      <c r="D1008" s="2" t="s">
        <v>18</v>
      </c>
      <c r="E1008" s="4">
        <v>-32433</v>
      </c>
      <c r="F1008" s="3" t="s">
        <v>209</v>
      </c>
      <c r="G1008" s="3" t="s">
        <v>115</v>
      </c>
      <c r="H1008" s="2" t="s">
        <v>148</v>
      </c>
      <c r="I1008" s="2" t="s">
        <v>2996</v>
      </c>
      <c r="J1008" s="3" t="str">
        <f>HYPERLINK("https://www.boe.es/gazeta/dias/1811/03/14/pdfs/GMD-1811-73.pdf#page=3","Abrir facsímil")</f>
        <v>Abrir facsímil</v>
      </c>
      <c r="K1008" s="3" t="s">
        <v>150</v>
      </c>
    </row>
    <row r="1009" spans="1:11" ht="42" customHeight="1">
      <c r="A1009" s="2" t="s">
        <v>2997</v>
      </c>
      <c r="B1009" s="2" t="s">
        <v>2997</v>
      </c>
      <c r="C1009" s="2" t="s">
        <v>17</v>
      </c>
      <c r="D1009" s="2" t="s">
        <v>18</v>
      </c>
      <c r="E1009" s="4">
        <v>-32391</v>
      </c>
      <c r="F1009" s="3" t="s">
        <v>2998</v>
      </c>
      <c r="G1009" s="3" t="s">
        <v>178</v>
      </c>
      <c r="H1009" s="2" t="s">
        <v>148</v>
      </c>
      <c r="I1009" s="2" t="s">
        <v>2999</v>
      </c>
      <c r="J1009" s="3" t="str">
        <f>HYPERLINK("https://www.boe.es/gazeta/dias/1811/04/25/pdfs/GMD-1811-115.pdf#page=3","Abrir facsímil")</f>
        <v>Abrir facsímil</v>
      </c>
      <c r="K1009" s="3" t="s">
        <v>150</v>
      </c>
    </row>
    <row r="1010" spans="1:11" ht="42" customHeight="1">
      <c r="A1010" s="2" t="s">
        <v>3000</v>
      </c>
      <c r="B1010" s="2" t="s">
        <v>3001</v>
      </c>
      <c r="C1010" s="2" t="s">
        <v>26</v>
      </c>
      <c r="D1010" s="2" t="s">
        <v>18</v>
      </c>
      <c r="E1010" s="4">
        <v>-32200</v>
      </c>
      <c r="F1010" s="3" t="s">
        <v>109</v>
      </c>
      <c r="G1010" s="3" t="s">
        <v>268</v>
      </c>
      <c r="H1010" s="2" t="s">
        <v>148</v>
      </c>
      <c r="I1010" s="2" t="s">
        <v>3002</v>
      </c>
      <c r="J1010" s="3" t="str">
        <f>HYPERLINK("https://www.boe.es/gazeta/dias/1811/11/02/pdfs/GEI-1811-141.pdf#page=7","Abrir facsímil")</f>
        <v>Abrir facsímil</v>
      </c>
      <c r="K1010" s="3" t="s">
        <v>150</v>
      </c>
    </row>
    <row r="1011" spans="1:11" ht="42" customHeight="1">
      <c r="A1011" s="2" t="s">
        <v>3003</v>
      </c>
      <c r="B1011" s="2" t="s">
        <v>3004</v>
      </c>
      <c r="C1011" s="2" t="s">
        <v>26</v>
      </c>
      <c r="D1011" s="2" t="s">
        <v>18</v>
      </c>
      <c r="E1011" s="4">
        <v>-32433</v>
      </c>
      <c r="F1011" s="3" t="s">
        <v>209</v>
      </c>
      <c r="G1011" s="3" t="s">
        <v>115</v>
      </c>
      <c r="H1011" s="2" t="s">
        <v>148</v>
      </c>
      <c r="I1011" s="2" t="s">
        <v>3005</v>
      </c>
      <c r="J1011" s="3" t="str">
        <f>HYPERLINK("https://www.boe.es/gazeta/dias/1811/03/14/pdfs/GMD-1811-73.pdf#page=3","Abrir facsímil")</f>
        <v>Abrir facsímil</v>
      </c>
      <c r="K1011" s="3" t="s">
        <v>150</v>
      </c>
    </row>
    <row r="1012" spans="1:11" ht="42" customHeight="1">
      <c r="A1012" s="2" t="s">
        <v>3006</v>
      </c>
      <c r="B1012" s="2" t="s">
        <v>3006</v>
      </c>
      <c r="C1012" s="2" t="s">
        <v>17</v>
      </c>
      <c r="D1012" s="2" t="s">
        <v>156</v>
      </c>
      <c r="E1012" s="4">
        <v>-32302</v>
      </c>
      <c r="F1012" s="3" t="s">
        <v>864</v>
      </c>
      <c r="G1012" s="3" t="s">
        <v>2612</v>
      </c>
      <c r="H1012" s="2" t="s">
        <v>148</v>
      </c>
      <c r="I1012" s="2" t="s">
        <v>3007</v>
      </c>
      <c r="J1012" s="3" t="str">
        <f>HYPERLINK("https://www.boe.es/gazeta/dias/1811/07/23/pdfs/GEI-1811-96.pdf#page=1","Abrir facsímil")</f>
        <v>Abrir facsímil</v>
      </c>
      <c r="K1012" s="3" t="s">
        <v>150</v>
      </c>
    </row>
    <row r="1013" spans="1:11" ht="42" customHeight="1">
      <c r="A1013" s="2" t="s">
        <v>3008</v>
      </c>
      <c r="B1013" s="2" t="s">
        <v>3009</v>
      </c>
      <c r="C1013" s="2" t="s">
        <v>17</v>
      </c>
      <c r="D1013" s="2" t="s">
        <v>156</v>
      </c>
      <c r="E1013" s="4">
        <v>-32249</v>
      </c>
      <c r="F1013" s="3" t="s">
        <v>824</v>
      </c>
      <c r="G1013" s="3" t="s">
        <v>3010</v>
      </c>
      <c r="H1013" s="2" t="s">
        <v>148</v>
      </c>
      <c r="I1013" s="2" t="s">
        <v>3011</v>
      </c>
      <c r="J1013" s="3" t="str">
        <f>HYPERLINK("https://www.boe.es/gazeta/dias/1811/09/14/pdfs/GEI-1811-119.pdf#page=5","Abrir facsímil")</f>
        <v>Abrir facsímil</v>
      </c>
      <c r="K1013" s="3" t="s">
        <v>150</v>
      </c>
    </row>
    <row r="1014" spans="1:11" ht="42" customHeight="1">
      <c r="A1014" s="2" t="s">
        <v>3012</v>
      </c>
      <c r="B1014" s="2" t="s">
        <v>3012</v>
      </c>
      <c r="C1014" s="2" t="s">
        <v>17</v>
      </c>
      <c r="D1014" s="2" t="s">
        <v>156</v>
      </c>
      <c r="E1014" s="4">
        <v>-32391</v>
      </c>
      <c r="F1014" s="3" t="s">
        <v>2998</v>
      </c>
      <c r="G1014" s="3" t="s">
        <v>178</v>
      </c>
      <c r="H1014" s="2" t="s">
        <v>148</v>
      </c>
      <c r="I1014" s="2" t="s">
        <v>3013</v>
      </c>
      <c r="J1014" s="3" t="str">
        <f>HYPERLINK("https://www.boe.es/gazeta/dias/1811/04/25/pdfs/GMD-1811-115.pdf#page=3","Abrir facsímil")</f>
        <v>Abrir facsímil</v>
      </c>
      <c r="K1014" s="3" t="s">
        <v>150</v>
      </c>
    </row>
    <row r="1015" spans="1:11" ht="42" customHeight="1">
      <c r="A1015" s="2" t="s">
        <v>3014</v>
      </c>
      <c r="B1015" s="2" t="s">
        <v>3014</v>
      </c>
      <c r="C1015" s="2" t="s">
        <v>26</v>
      </c>
      <c r="D1015" s="2" t="s">
        <v>18</v>
      </c>
      <c r="E1015" s="4">
        <v>-32242</v>
      </c>
      <c r="F1015" s="3" t="s">
        <v>3015</v>
      </c>
      <c r="G1015" s="3" t="s">
        <v>3016</v>
      </c>
      <c r="H1015" s="2" t="s">
        <v>148</v>
      </c>
      <c r="I1015" s="2" t="s">
        <v>3017</v>
      </c>
      <c r="J1015" s="3" t="str">
        <f>HYPERLINK("https://www.boe.es/gazeta/dias/1811/09/21/pdfs/GMD-1811-264.pdf#page=2","Abrir facsímil")</f>
        <v>Abrir facsímil</v>
      </c>
      <c r="K1015" s="3" t="s">
        <v>150</v>
      </c>
    </row>
    <row r="1016" spans="1:11" ht="42" customHeight="1">
      <c r="A1016" s="2" t="s">
        <v>3014</v>
      </c>
      <c r="B1016" s="2" t="s">
        <v>3014</v>
      </c>
      <c r="C1016" s="2" t="s">
        <v>84</v>
      </c>
      <c r="D1016" s="2" t="s">
        <v>18</v>
      </c>
      <c r="E1016" s="4">
        <v>-32226</v>
      </c>
      <c r="F1016" s="3" t="s">
        <v>618</v>
      </c>
      <c r="G1016" s="3" t="s">
        <v>248</v>
      </c>
      <c r="H1016" s="2" t="s">
        <v>148</v>
      </c>
      <c r="I1016" s="2" t="s">
        <v>3018</v>
      </c>
      <c r="J1016" s="3" t="str">
        <f>HYPERLINK("https://www.boe.es/gazeta/dias/1811/10/07/pdfs/GMD-1811-280.pdf#page=1","Abrir facsímil")</f>
        <v>Abrir facsímil</v>
      </c>
      <c r="K1016" s="3" t="s">
        <v>150</v>
      </c>
    </row>
    <row r="1017" spans="1:11" ht="42" customHeight="1">
      <c r="A1017" s="2" t="s">
        <v>3019</v>
      </c>
      <c r="B1017" s="2" t="s">
        <v>3019</v>
      </c>
      <c r="C1017" s="2" t="s">
        <v>17</v>
      </c>
      <c r="D1017" s="2" t="s">
        <v>18</v>
      </c>
      <c r="E1017" s="4">
        <v>-32270</v>
      </c>
      <c r="F1017" s="3" t="s">
        <v>431</v>
      </c>
      <c r="G1017" s="3" t="s">
        <v>2658</v>
      </c>
      <c r="H1017" s="2" t="s">
        <v>148</v>
      </c>
      <c r="I1017" s="2" t="s">
        <v>3020</v>
      </c>
      <c r="J1017" s="3" t="str">
        <f>HYPERLINK("https://www.boe.es/gazeta/dias/1811/08/24/pdfs/GEI-1811-110.pdf#page=7","Abrir facsímil")</f>
        <v>Abrir facsímil</v>
      </c>
      <c r="K1017" s="3" t="s">
        <v>150</v>
      </c>
    </row>
    <row r="1018" spans="1:11" ht="42" customHeight="1">
      <c r="A1018" s="2" t="s">
        <v>3021</v>
      </c>
      <c r="B1018" s="2" t="s">
        <v>3021</v>
      </c>
      <c r="C1018" s="2" t="s">
        <v>17</v>
      </c>
      <c r="D1018" s="2" t="s">
        <v>18</v>
      </c>
      <c r="E1018" s="4">
        <v>-32142</v>
      </c>
      <c r="F1018" s="3" t="s">
        <v>3022</v>
      </c>
      <c r="G1018" s="3" t="s">
        <v>91</v>
      </c>
      <c r="H1018" s="2" t="s">
        <v>148</v>
      </c>
      <c r="I1018" s="2" t="s">
        <v>3023</v>
      </c>
      <c r="J1018" s="3" t="str">
        <f>HYPERLINK("https://www.boe.es/gazeta/dias/1811/12/30/pdfs/GMD-1811-364.pdf#page=1","Abrir facsímil")</f>
        <v>Abrir facsímil</v>
      </c>
      <c r="K1018" s="3" t="s">
        <v>150</v>
      </c>
    </row>
    <row r="1019" spans="1:11" ht="42" customHeight="1">
      <c r="A1019" s="2" t="s">
        <v>3024</v>
      </c>
      <c r="B1019" s="2" t="s">
        <v>3025</v>
      </c>
      <c r="C1019" s="2" t="s">
        <v>26</v>
      </c>
      <c r="D1019" s="2" t="s">
        <v>18</v>
      </c>
      <c r="E1019" s="4">
        <v>-32179</v>
      </c>
      <c r="F1019" s="3" t="s">
        <v>614</v>
      </c>
      <c r="G1019" s="3" t="s">
        <v>47</v>
      </c>
      <c r="H1019" s="2" t="s">
        <v>148</v>
      </c>
      <c r="I1019" s="2" t="s">
        <v>3026</v>
      </c>
      <c r="J1019" s="3" t="str">
        <f>HYPERLINK("https://www.boe.es/gazeta/dias/1811/11/23/pdfs/GEI-1811-153.pdf#page=8","Abrir facsímil")</f>
        <v>Abrir facsímil</v>
      </c>
      <c r="K1019" s="3" t="s">
        <v>150</v>
      </c>
    </row>
    <row r="1020" spans="1:11" ht="42" customHeight="1">
      <c r="A1020" s="2" t="s">
        <v>3027</v>
      </c>
      <c r="B1020" s="2" t="s">
        <v>3027</v>
      </c>
      <c r="C1020" s="2" t="s">
        <v>17</v>
      </c>
      <c r="D1020" s="2" t="s">
        <v>156</v>
      </c>
      <c r="E1020" s="4">
        <v>-32148</v>
      </c>
      <c r="F1020" s="3" t="s">
        <v>3028</v>
      </c>
      <c r="G1020" s="3" t="s">
        <v>3029</v>
      </c>
      <c r="H1020" s="2" t="s">
        <v>148</v>
      </c>
      <c r="I1020" s="2" t="s">
        <v>3030</v>
      </c>
      <c r="J1020" s="3" t="str">
        <f>HYPERLINK("https://www.boe.es/gazeta/dias/1811/12/24/pdfs/GMD-1811-358.pdf#page=1","Abrir facsímil")</f>
        <v>Abrir facsímil</v>
      </c>
      <c r="K1020" s="3" t="s">
        <v>150</v>
      </c>
    </row>
    <row r="1021" spans="1:11" ht="42" customHeight="1">
      <c r="A1021" s="2" t="s">
        <v>3031</v>
      </c>
      <c r="B1021" s="2" t="s">
        <v>3032</v>
      </c>
      <c r="C1021" s="2" t="s">
        <v>26</v>
      </c>
      <c r="D1021" s="2" t="s">
        <v>18</v>
      </c>
      <c r="E1021" s="4">
        <v>-32286</v>
      </c>
      <c r="F1021" s="3" t="s">
        <v>754</v>
      </c>
      <c r="G1021" s="3" t="s">
        <v>1728</v>
      </c>
      <c r="H1021" s="2" t="s">
        <v>148</v>
      </c>
      <c r="I1021" s="2" t="s">
        <v>3033</v>
      </c>
      <c r="J1021" s="3" t="str">
        <f>HYPERLINK("https://www.boe.es/gazeta/dias/1811/08/08/pdfs/GEI-1811-103.pdf#page=8","Abrir facsímil")</f>
        <v>Abrir facsímil</v>
      </c>
      <c r="K1021" s="3" t="s">
        <v>150</v>
      </c>
    </row>
    <row r="1022" spans="1:11" ht="42" customHeight="1">
      <c r="A1022" s="2" t="s">
        <v>3034</v>
      </c>
      <c r="B1022" s="2" t="s">
        <v>3035</v>
      </c>
      <c r="C1022" s="2" t="s">
        <v>26</v>
      </c>
      <c r="D1022" s="2" t="s">
        <v>18</v>
      </c>
      <c r="E1022" s="4">
        <v>-32155</v>
      </c>
      <c r="F1022" s="3" t="s">
        <v>263</v>
      </c>
      <c r="G1022" s="3" t="s">
        <v>264</v>
      </c>
      <c r="H1022" s="2" t="s">
        <v>148</v>
      </c>
      <c r="I1022" s="2" t="s">
        <v>3036</v>
      </c>
      <c r="J1022" s="3" t="str">
        <f>HYPERLINK("https://www.boe.es/gazeta/dias/1811/12/17/pdfs/GEI-1811-163.pdf#page=8","Abrir facsímil")</f>
        <v>Abrir facsímil</v>
      </c>
      <c r="K1022" s="3" t="s">
        <v>150</v>
      </c>
    </row>
    <row r="1023" spans="1:11" ht="42" customHeight="1">
      <c r="A1023" s="2" t="s">
        <v>3037</v>
      </c>
      <c r="B1023" s="2" t="s">
        <v>3037</v>
      </c>
      <c r="C1023" s="2" t="s">
        <v>17</v>
      </c>
      <c r="D1023" s="2" t="s">
        <v>18</v>
      </c>
      <c r="E1023" s="4">
        <v>-32264</v>
      </c>
      <c r="F1023" s="3" t="s">
        <v>3038</v>
      </c>
      <c r="G1023" s="3" t="s">
        <v>178</v>
      </c>
      <c r="H1023" s="2" t="s">
        <v>148</v>
      </c>
      <c r="I1023" s="2" t="s">
        <v>3039</v>
      </c>
      <c r="J1023" s="3" t="str">
        <f>HYPERLINK("https://www.boe.es/gazeta/dias/1811/08/30/pdfs/GMD-1811-242.pdf#page=2","Abrir facsímil")</f>
        <v>Abrir facsímil</v>
      </c>
      <c r="K1023" s="3" t="s">
        <v>150</v>
      </c>
    </row>
    <row r="1024" spans="1:11" ht="42" customHeight="1">
      <c r="A1024" s="2" t="s">
        <v>3040</v>
      </c>
      <c r="B1024" s="2" t="s">
        <v>3040</v>
      </c>
      <c r="C1024" s="2" t="s">
        <v>17</v>
      </c>
      <c r="D1024" s="2" t="s">
        <v>156</v>
      </c>
      <c r="E1024" s="4">
        <v>-32415</v>
      </c>
      <c r="F1024" s="3" t="s">
        <v>3041</v>
      </c>
      <c r="G1024" s="3" t="s">
        <v>468</v>
      </c>
      <c r="H1024" s="2" t="s">
        <v>148</v>
      </c>
      <c r="I1024" s="2" t="s">
        <v>3042</v>
      </c>
      <c r="J1024" s="3" t="str">
        <f>HYPERLINK("https://www.boe.es/gazeta/dias/1811/04/01/pdfs/GMD-1811-91.pdf#page=1","Abrir facsímil")</f>
        <v>Abrir facsímil</v>
      </c>
      <c r="K1024" s="3" t="s">
        <v>150</v>
      </c>
    </row>
    <row r="1025" spans="1:11" ht="42" customHeight="1">
      <c r="A1025" s="2" t="s">
        <v>3043</v>
      </c>
      <c r="B1025" s="2" t="s">
        <v>3044</v>
      </c>
      <c r="C1025" s="2" t="s">
        <v>26</v>
      </c>
      <c r="D1025" s="2" t="s">
        <v>18</v>
      </c>
      <c r="E1025" s="4">
        <v>-32270</v>
      </c>
      <c r="F1025" s="3" t="s">
        <v>431</v>
      </c>
      <c r="G1025" s="3" t="s">
        <v>2080</v>
      </c>
      <c r="H1025" s="2" t="s">
        <v>148</v>
      </c>
      <c r="I1025" s="2" t="s">
        <v>3045</v>
      </c>
      <c r="J1025" s="3" t="str">
        <f>HYPERLINK("https://www.boe.es/gazeta/dias/1811/08/24/pdfs/GEI-1811-110.pdf#page=5","Abrir facsímil")</f>
        <v>Abrir facsímil</v>
      </c>
      <c r="K1025" s="3" t="s">
        <v>150</v>
      </c>
    </row>
    <row r="1026" spans="1:11" ht="42" customHeight="1">
      <c r="A1026" s="2" t="s">
        <v>3046</v>
      </c>
      <c r="B1026" s="2" t="s">
        <v>3046</v>
      </c>
      <c r="C1026" s="2" t="s">
        <v>26</v>
      </c>
      <c r="D1026" s="2" t="s">
        <v>18</v>
      </c>
      <c r="E1026" s="4">
        <v>-32363</v>
      </c>
      <c r="F1026" s="3" t="s">
        <v>1645</v>
      </c>
      <c r="G1026" s="3" t="s">
        <v>3047</v>
      </c>
      <c r="H1026" s="2" t="s">
        <v>148</v>
      </c>
      <c r="I1026" s="2" t="s">
        <v>3048</v>
      </c>
      <c r="J1026" s="3" t="str">
        <f>HYPERLINK("https://www.boe.es/gazeta/dias/1811/05/23/pdfs/GEI-1811-68.pdf#page=2","Abrir facsímil")</f>
        <v>Abrir facsímil</v>
      </c>
      <c r="K1026" s="3" t="s">
        <v>150</v>
      </c>
    </row>
    <row r="1027" spans="1:11" ht="42" customHeight="1">
      <c r="A1027" s="2" t="s">
        <v>3049</v>
      </c>
      <c r="B1027" s="2" t="s">
        <v>3049</v>
      </c>
      <c r="C1027" s="2" t="s">
        <v>122</v>
      </c>
      <c r="D1027" s="2" t="s">
        <v>18</v>
      </c>
      <c r="E1027" s="4">
        <v>-32494</v>
      </c>
      <c r="F1027" s="3" t="s">
        <v>3050</v>
      </c>
      <c r="G1027" s="3" t="s">
        <v>2442</v>
      </c>
      <c r="H1027" s="2" t="s">
        <v>148</v>
      </c>
      <c r="I1027" s="2" t="s">
        <v>3051</v>
      </c>
      <c r="J1027" s="3" t="str">
        <f>HYPERLINK("https://www.boe.es/gazeta/dias/1811/01/12/pdfs/GEI-1811-6.pdf#page=3","Abrir facsímil")</f>
        <v>Abrir facsímil</v>
      </c>
      <c r="K1027" s="3" t="s">
        <v>150</v>
      </c>
    </row>
    <row r="1028" spans="1:11" ht="42" customHeight="1">
      <c r="A1028" s="2" t="s">
        <v>3052</v>
      </c>
      <c r="B1028" s="2" t="s">
        <v>3053</v>
      </c>
      <c r="C1028" s="2" t="s">
        <v>26</v>
      </c>
      <c r="D1028" s="2" t="s">
        <v>18</v>
      </c>
      <c r="E1028" s="4">
        <v>-32379</v>
      </c>
      <c r="F1028" s="3" t="s">
        <v>462</v>
      </c>
      <c r="G1028" s="3" t="s">
        <v>463</v>
      </c>
      <c r="H1028" s="2" t="s">
        <v>148</v>
      </c>
      <c r="I1028" s="2" t="s">
        <v>3054</v>
      </c>
      <c r="J1028" s="3" t="str">
        <f>HYPERLINK("https://www.boe.es/gazeta/dias/1811/05/07/pdfs/GEI-1811-60.pdf#page=8","Abrir facsímil")</f>
        <v>Abrir facsímil</v>
      </c>
      <c r="K1028" s="3" t="s">
        <v>150</v>
      </c>
    </row>
    <row r="1029" spans="1:11" ht="42" customHeight="1">
      <c r="A1029" s="2" t="s">
        <v>3055</v>
      </c>
      <c r="B1029" s="2" t="s">
        <v>3055</v>
      </c>
      <c r="C1029" s="2" t="s">
        <v>17</v>
      </c>
      <c r="D1029" s="2" t="s">
        <v>18</v>
      </c>
      <c r="E1029" s="4">
        <v>-32428</v>
      </c>
      <c r="F1029" s="3" t="s">
        <v>351</v>
      </c>
      <c r="G1029" s="3" t="s">
        <v>352</v>
      </c>
      <c r="H1029" s="2" t="s">
        <v>148</v>
      </c>
      <c r="I1029" s="2" t="s">
        <v>3056</v>
      </c>
      <c r="J1029" s="3" t="str">
        <f>HYPERLINK("https://www.boe.es/gazeta/dias/1811/03/19/pdfs/GMD-1811-78.pdf#page=4","Abrir facsímil")</f>
        <v>Abrir facsímil</v>
      </c>
      <c r="K1029" s="3" t="s">
        <v>150</v>
      </c>
    </row>
    <row r="1030" spans="1:11" ht="42" customHeight="1">
      <c r="A1030" s="2" t="s">
        <v>3057</v>
      </c>
      <c r="B1030" s="2" t="s">
        <v>3058</v>
      </c>
      <c r="C1030" s="2" t="s">
        <v>17</v>
      </c>
      <c r="D1030" s="2" t="s">
        <v>18</v>
      </c>
      <c r="E1030" s="4">
        <v>-32284</v>
      </c>
      <c r="F1030" s="3" t="s">
        <v>170</v>
      </c>
      <c r="G1030" s="3" t="s">
        <v>1388</v>
      </c>
      <c r="H1030" s="2" t="s">
        <v>148</v>
      </c>
      <c r="I1030" s="2" t="s">
        <v>3059</v>
      </c>
      <c r="J1030" s="3" t="str">
        <f>HYPERLINK("https://www.boe.es/gazeta/dias/1811/08/10/pdfs/GEI-1811-104.pdf#page=8","Abrir facsímil")</f>
        <v>Abrir facsímil</v>
      </c>
      <c r="K1030" s="3" t="s">
        <v>150</v>
      </c>
    </row>
    <row r="1031" spans="1:11" ht="42" customHeight="1">
      <c r="A1031" s="2" t="s">
        <v>3060</v>
      </c>
      <c r="B1031" s="2" t="s">
        <v>3060</v>
      </c>
      <c r="C1031" s="2" t="s">
        <v>17</v>
      </c>
      <c r="D1031" s="2" t="s">
        <v>18</v>
      </c>
      <c r="E1031" s="4">
        <v>-32480</v>
      </c>
      <c r="F1031" s="3" t="s">
        <v>3061</v>
      </c>
      <c r="G1031" s="3" t="s">
        <v>582</v>
      </c>
      <c r="H1031" s="2" t="s">
        <v>148</v>
      </c>
      <c r="I1031" s="2" t="s">
        <v>3062</v>
      </c>
      <c r="J1031" s="3" t="str">
        <f>HYPERLINK("https://www.boe.es/gazeta/dias/1811/01/26/pdfs/GEI-1811-12.pdf#page=2","Abrir facsímil")</f>
        <v>Abrir facsímil</v>
      </c>
      <c r="K1031" s="3" t="s">
        <v>150</v>
      </c>
    </row>
    <row r="1032" spans="1:11" ht="42" customHeight="1">
      <c r="A1032" s="2" t="s">
        <v>3060</v>
      </c>
      <c r="B1032" s="2" t="s">
        <v>3060</v>
      </c>
      <c r="C1032" s="2" t="s">
        <v>17</v>
      </c>
      <c r="D1032" s="2" t="s">
        <v>18</v>
      </c>
      <c r="E1032" s="4">
        <v>-32459</v>
      </c>
      <c r="F1032" s="3" t="s">
        <v>1034</v>
      </c>
      <c r="G1032" s="3" t="s">
        <v>2101</v>
      </c>
      <c r="H1032" s="2" t="s">
        <v>148</v>
      </c>
      <c r="I1032" s="2" t="s">
        <v>3063</v>
      </c>
      <c r="J1032" s="3" t="str">
        <f>HYPERLINK("https://www.boe.es/gazeta/dias/1811/02/16/pdfs/GEI-1811-21.pdf#page=4","Abrir facsímil")</f>
        <v>Abrir facsímil</v>
      </c>
      <c r="K1032" s="3" t="s">
        <v>150</v>
      </c>
    </row>
    <row r="1033" spans="1:11" ht="42" customHeight="1">
      <c r="A1033" s="2" t="s">
        <v>3060</v>
      </c>
      <c r="B1033" s="2" t="s">
        <v>3060</v>
      </c>
      <c r="C1033" s="2" t="s">
        <v>17</v>
      </c>
      <c r="D1033" s="2" t="s">
        <v>18</v>
      </c>
      <c r="E1033" s="4">
        <v>-32293</v>
      </c>
      <c r="F1033" s="3" t="s">
        <v>3064</v>
      </c>
      <c r="G1033" s="3" t="s">
        <v>3065</v>
      </c>
      <c r="H1033" s="2" t="s">
        <v>148</v>
      </c>
      <c r="I1033" s="2" t="s">
        <v>3066</v>
      </c>
      <c r="J1033" s="3" t="str">
        <f>HYPERLINK("https://www.boe.es/gazeta/dias/1811/08/01/pdfs/GEI-1811-100.pdf#page=7","Abrir facsímil")</f>
        <v>Abrir facsímil</v>
      </c>
      <c r="K1033" s="3" t="s">
        <v>150</v>
      </c>
    </row>
    <row r="1034" spans="1:11" ht="42" customHeight="1">
      <c r="A1034" s="2" t="s">
        <v>3060</v>
      </c>
      <c r="B1034" s="2" t="s">
        <v>3060</v>
      </c>
      <c r="C1034" s="2" t="s">
        <v>17</v>
      </c>
      <c r="D1034" s="2" t="s">
        <v>18</v>
      </c>
      <c r="E1034" s="4">
        <v>-32174</v>
      </c>
      <c r="F1034" s="3" t="s">
        <v>172</v>
      </c>
      <c r="G1034" s="3" t="s">
        <v>3067</v>
      </c>
      <c r="H1034" s="2" t="s">
        <v>148</v>
      </c>
      <c r="I1034" s="2" t="s">
        <v>3068</v>
      </c>
      <c r="J1034" s="3" t="str">
        <f>HYPERLINK("https://www.boe.es/gazeta/dias/1811/11/28/pdfs/GEI-1811-155.pdf#page=8","Abrir facsímil")</f>
        <v>Abrir facsímil</v>
      </c>
      <c r="K1034" s="3" t="s">
        <v>150</v>
      </c>
    </row>
    <row r="1035" spans="1:11" ht="42" customHeight="1">
      <c r="A1035" s="2" t="s">
        <v>3060</v>
      </c>
      <c r="B1035" s="2" t="s">
        <v>3060</v>
      </c>
      <c r="C1035" s="2" t="s">
        <v>17</v>
      </c>
      <c r="D1035" s="2" t="s">
        <v>156</v>
      </c>
      <c r="E1035" s="4">
        <v>-32167</v>
      </c>
      <c r="F1035" s="3" t="s">
        <v>195</v>
      </c>
      <c r="G1035" s="3" t="s">
        <v>198</v>
      </c>
      <c r="H1035" s="2" t="s">
        <v>148</v>
      </c>
      <c r="I1035" s="2" t="s">
        <v>3069</v>
      </c>
      <c r="J1035" s="3" t="str">
        <f>HYPERLINK("https://www.boe.es/gazeta/dias/1811/12/05/pdfs/GEI-1811-158.pdf#page=2","Abrir facsímil")</f>
        <v>Abrir facsímil</v>
      </c>
      <c r="K1035" s="3" t="s">
        <v>150</v>
      </c>
    </row>
    <row r="1036" spans="1:11" ht="42" customHeight="1">
      <c r="A1036" s="2" t="s">
        <v>3060</v>
      </c>
      <c r="B1036" s="2" t="s">
        <v>3060</v>
      </c>
      <c r="C1036" s="2" t="s">
        <v>17</v>
      </c>
      <c r="D1036" s="2" t="s">
        <v>18</v>
      </c>
      <c r="E1036" s="4">
        <v>-32160</v>
      </c>
      <c r="F1036" s="3" t="s">
        <v>1013</v>
      </c>
      <c r="G1036" s="3" t="s">
        <v>91</v>
      </c>
      <c r="H1036" s="2" t="s">
        <v>148</v>
      </c>
      <c r="I1036" s="2" t="s">
        <v>3070</v>
      </c>
      <c r="J1036" s="3" t="str">
        <f>HYPERLINK("https://www.boe.es/gazeta/dias/1811/12/12/pdfs/GEI-1811-161.pdf#page=4","Abrir facsímil")</f>
        <v>Abrir facsímil</v>
      </c>
      <c r="K1036" s="3" t="s">
        <v>150</v>
      </c>
    </row>
    <row r="1037" spans="1:11" ht="42" customHeight="1">
      <c r="A1037" s="2" t="s">
        <v>3071</v>
      </c>
      <c r="B1037" s="2" t="s">
        <v>3072</v>
      </c>
      <c r="C1037" s="2" t="s">
        <v>26</v>
      </c>
      <c r="D1037" s="2" t="s">
        <v>18</v>
      </c>
      <c r="E1037" s="4">
        <v>-32501</v>
      </c>
      <c r="F1037" s="3" t="s">
        <v>509</v>
      </c>
      <c r="G1037" s="3" t="s">
        <v>510</v>
      </c>
      <c r="H1037" s="2" t="s">
        <v>148</v>
      </c>
      <c r="I1037" s="2" t="s">
        <v>3073</v>
      </c>
      <c r="J1037" s="3" t="str">
        <f>HYPERLINK("https://www.boe.es/gazeta/dias/1811/01/05/pdfs/GEI-1811-3.pdf#page=8","Abrir facsímil")</f>
        <v>Abrir facsímil</v>
      </c>
      <c r="K1037" s="3" t="s">
        <v>150</v>
      </c>
    </row>
    <row r="1038" spans="1:11" ht="42" customHeight="1">
      <c r="A1038" s="2" t="s">
        <v>3074</v>
      </c>
      <c r="B1038" s="2" t="s">
        <v>3075</v>
      </c>
      <c r="C1038" s="2" t="s">
        <v>26</v>
      </c>
      <c r="D1038" s="2" t="s">
        <v>18</v>
      </c>
      <c r="E1038" s="4">
        <v>-32459</v>
      </c>
      <c r="F1038" s="3" t="s">
        <v>1034</v>
      </c>
      <c r="G1038" s="3" t="s">
        <v>510</v>
      </c>
      <c r="H1038" s="2" t="s">
        <v>148</v>
      </c>
      <c r="I1038" s="2" t="s">
        <v>3076</v>
      </c>
      <c r="J1038" s="3" t="str">
        <f>HYPERLINK("https://www.boe.es/gazeta/dias/1811/02/16/pdfs/GEI-1811-21.pdf#page=8","Abrir facsímil")</f>
        <v>Abrir facsímil</v>
      </c>
      <c r="K1038" s="3" t="s">
        <v>150</v>
      </c>
    </row>
    <row r="1039" spans="1:11" ht="42" customHeight="1">
      <c r="A1039" s="2" t="s">
        <v>3077</v>
      </c>
      <c r="B1039" s="2" t="s">
        <v>3077</v>
      </c>
      <c r="C1039" s="2" t="s">
        <v>17</v>
      </c>
      <c r="D1039" s="2" t="s">
        <v>156</v>
      </c>
      <c r="E1039" s="4">
        <v>-32365</v>
      </c>
      <c r="F1039" s="3" t="s">
        <v>119</v>
      </c>
      <c r="G1039" s="3" t="s">
        <v>1988</v>
      </c>
      <c r="H1039" s="2" t="s">
        <v>148</v>
      </c>
      <c r="I1039" s="2" t="s">
        <v>3078</v>
      </c>
      <c r="J1039" s="3" t="str">
        <f>HYPERLINK("https://www.boe.es/gazeta/dias/1811/05/21/pdfs/GEI-1811-67.pdf#page=8","Abrir facsímil")</f>
        <v>Abrir facsímil</v>
      </c>
      <c r="K1039" s="3" t="s">
        <v>150</v>
      </c>
    </row>
    <row r="1040" spans="1:11" ht="42" customHeight="1">
      <c r="A1040" s="2" t="s">
        <v>3079</v>
      </c>
      <c r="B1040" s="2" t="s">
        <v>3080</v>
      </c>
      <c r="C1040" s="2" t="s">
        <v>26</v>
      </c>
      <c r="D1040" s="2" t="s">
        <v>18</v>
      </c>
      <c r="E1040" s="4">
        <v>-32172</v>
      </c>
      <c r="F1040" s="3" t="s">
        <v>300</v>
      </c>
      <c r="G1040" s="3" t="s">
        <v>301</v>
      </c>
      <c r="H1040" s="2" t="s">
        <v>148</v>
      </c>
      <c r="I1040" s="2" t="s">
        <v>3081</v>
      </c>
      <c r="J1040" s="3" t="str">
        <f>HYPERLINK("https://www.boe.es/gazeta/dias/1811/11/30/pdfs/GMD-1811-334.pdf#page=4","Abrir facsímil")</f>
        <v>Abrir facsímil</v>
      </c>
      <c r="K1040" s="3" t="s">
        <v>150</v>
      </c>
    </row>
    <row r="1041" spans="1:11" ht="42" customHeight="1">
      <c r="A1041" s="2" t="s">
        <v>3082</v>
      </c>
      <c r="B1041" s="2" t="s">
        <v>3082</v>
      </c>
      <c r="C1041" s="2" t="s">
        <v>84</v>
      </c>
      <c r="D1041" s="2" t="s">
        <v>18</v>
      </c>
      <c r="E1041" s="4">
        <v>-32211</v>
      </c>
      <c r="F1041" s="3" t="s">
        <v>1230</v>
      </c>
      <c r="G1041" s="3" t="s">
        <v>377</v>
      </c>
      <c r="H1041" s="2" t="s">
        <v>148</v>
      </c>
      <c r="I1041" s="2" t="s">
        <v>3083</v>
      </c>
      <c r="J1041" s="3" t="str">
        <f>HYPERLINK("https://www.boe.es/gazeta/dias/1811/10/22/pdfs/GMD-1811-295.pdf#page=4","Abrir facsímil")</f>
        <v>Abrir facsímil</v>
      </c>
      <c r="K1041" s="3" t="s">
        <v>150</v>
      </c>
    </row>
    <row r="1042" spans="1:11" ht="42" customHeight="1">
      <c r="A1042" s="2" t="s">
        <v>3084</v>
      </c>
      <c r="B1042" s="2" t="s">
        <v>3084</v>
      </c>
      <c r="C1042" s="2" t="s">
        <v>17</v>
      </c>
      <c r="D1042" s="2" t="s">
        <v>18</v>
      </c>
      <c r="E1042" s="4">
        <v>-32503</v>
      </c>
      <c r="F1042" s="3" t="s">
        <v>487</v>
      </c>
      <c r="G1042" s="3" t="s">
        <v>440</v>
      </c>
      <c r="H1042" s="2" t="s">
        <v>148</v>
      </c>
      <c r="I1042" s="2" t="s">
        <v>3085</v>
      </c>
      <c r="J1042" s="3" t="str">
        <f>HYPERLINK("https://www.boe.es/gazeta/dias/1811/01/03/pdfs/GEI-1811-2.pdf#page=4","Abrir facsímil")</f>
        <v>Abrir facsímil</v>
      </c>
      <c r="K1042" s="3" t="s">
        <v>150</v>
      </c>
    </row>
    <row r="1043" spans="1:11" ht="42" customHeight="1">
      <c r="A1043" s="2" t="s">
        <v>3084</v>
      </c>
      <c r="B1043" s="2" t="s">
        <v>3084</v>
      </c>
      <c r="C1043" s="2" t="s">
        <v>104</v>
      </c>
      <c r="D1043" s="2" t="s">
        <v>18</v>
      </c>
      <c r="E1043" s="4">
        <v>-32324</v>
      </c>
      <c r="F1043" s="3" t="s">
        <v>730</v>
      </c>
      <c r="G1043" s="3" t="s">
        <v>3086</v>
      </c>
      <c r="H1043" s="2" t="s">
        <v>148</v>
      </c>
      <c r="I1043" s="2" t="s">
        <v>3087</v>
      </c>
      <c r="J1043" s="3" t="str">
        <f>HYPERLINK("https://www.boe.es/gazeta/dias/1811/07/01/pdfs/GMD-1811-182.pdf#page=3","Abrir facsímil")</f>
        <v>Abrir facsímil</v>
      </c>
      <c r="K1043" s="3" t="s">
        <v>150</v>
      </c>
    </row>
    <row r="1044" spans="1:11" ht="42" customHeight="1">
      <c r="A1044" s="2" t="s">
        <v>3088</v>
      </c>
      <c r="B1044" s="2" t="s">
        <v>3088</v>
      </c>
      <c r="C1044" s="2" t="s">
        <v>17</v>
      </c>
      <c r="D1044" s="2" t="s">
        <v>156</v>
      </c>
      <c r="E1044" s="4">
        <v>-32160</v>
      </c>
      <c r="F1044" s="3" t="s">
        <v>1013</v>
      </c>
      <c r="G1044" s="3" t="s">
        <v>3089</v>
      </c>
      <c r="H1044" s="2" t="s">
        <v>148</v>
      </c>
      <c r="I1044" s="2" t="s">
        <v>3090</v>
      </c>
      <c r="J1044" s="3" t="str">
        <f>HYPERLINK("https://www.boe.es/gazeta/dias/1811/12/12/pdfs/GEI-1811-161.pdf#page=3","Abrir facsímil")</f>
        <v>Abrir facsímil</v>
      </c>
      <c r="K1044" s="3" t="s">
        <v>150</v>
      </c>
    </row>
    <row r="1045" spans="1:11" ht="42" customHeight="1">
      <c r="A1045" s="2" t="s">
        <v>3091</v>
      </c>
      <c r="B1045" s="2" t="s">
        <v>3091</v>
      </c>
      <c r="C1045" s="2" t="s">
        <v>17</v>
      </c>
      <c r="D1045" s="2" t="s">
        <v>18</v>
      </c>
      <c r="E1045" s="4">
        <v>-32173</v>
      </c>
      <c r="F1045" s="3" t="s">
        <v>2701</v>
      </c>
      <c r="G1045" s="3" t="s">
        <v>3092</v>
      </c>
      <c r="H1045" s="2" t="s">
        <v>148</v>
      </c>
      <c r="I1045" s="2" t="s">
        <v>3093</v>
      </c>
      <c r="J1045" s="3" t="str">
        <f>HYPERLINK("https://www.boe.es/gazeta/dias/1811/11/29/pdfs/GMD-1811-333.pdf#page=1","Abrir facsímil")</f>
        <v>Abrir facsímil</v>
      </c>
      <c r="K1045" s="3" t="s">
        <v>150</v>
      </c>
    </row>
    <row r="1046" spans="1:11" ht="42" customHeight="1">
      <c r="A1046" s="2" t="s">
        <v>3094</v>
      </c>
      <c r="B1046" s="2" t="s">
        <v>3095</v>
      </c>
      <c r="C1046" s="2" t="s">
        <v>26</v>
      </c>
      <c r="D1046" s="2" t="s">
        <v>18</v>
      </c>
      <c r="E1046" s="4">
        <v>-32379</v>
      </c>
      <c r="F1046" s="3" t="s">
        <v>462</v>
      </c>
      <c r="G1046" s="3" t="s">
        <v>463</v>
      </c>
      <c r="H1046" s="2" t="s">
        <v>148</v>
      </c>
      <c r="I1046" s="2" t="s">
        <v>3096</v>
      </c>
      <c r="J1046" s="3" t="str">
        <f>HYPERLINK("https://www.boe.es/gazeta/dias/1811/05/07/pdfs/GEI-1811-60.pdf#page=8","Abrir facsímil")</f>
        <v>Abrir facsímil</v>
      </c>
      <c r="K1046" s="3" t="s">
        <v>150</v>
      </c>
    </row>
    <row r="1047" spans="1:11" ht="42" customHeight="1">
      <c r="A1047" s="2" t="s">
        <v>3097</v>
      </c>
      <c r="B1047" s="2" t="s">
        <v>3098</v>
      </c>
      <c r="C1047" s="2" t="s">
        <v>26</v>
      </c>
      <c r="D1047" s="2" t="s">
        <v>18</v>
      </c>
      <c r="E1047" s="4">
        <v>-32505</v>
      </c>
      <c r="F1047" s="3" t="s">
        <v>475</v>
      </c>
      <c r="G1047" s="3" t="s">
        <v>553</v>
      </c>
      <c r="H1047" s="2" t="s">
        <v>148</v>
      </c>
      <c r="I1047" s="2" t="s">
        <v>3099</v>
      </c>
      <c r="J1047" s="3" t="str">
        <f>HYPERLINK("https://www.boe.es/gazeta/dias/1811/01/01/pdfs/GEI-1811-1.pdf#page=2","Abrir facsímil")</f>
        <v>Abrir facsímil</v>
      </c>
      <c r="K1047" s="3" t="s">
        <v>150</v>
      </c>
    </row>
    <row r="1048" spans="1:11" ht="42" customHeight="1">
      <c r="A1048" s="2" t="s">
        <v>3100</v>
      </c>
      <c r="B1048" s="2" t="s">
        <v>3101</v>
      </c>
      <c r="C1048" s="2" t="s">
        <v>26</v>
      </c>
      <c r="D1048" s="2" t="s">
        <v>18</v>
      </c>
      <c r="E1048" s="4">
        <v>-32241</v>
      </c>
      <c r="F1048" s="3" t="s">
        <v>514</v>
      </c>
      <c r="G1048" s="3" t="s">
        <v>515</v>
      </c>
      <c r="H1048" s="2" t="s">
        <v>148</v>
      </c>
      <c r="I1048" s="2" t="s">
        <v>3102</v>
      </c>
      <c r="J1048" s="3" t="str">
        <f>HYPERLINK("https://www.boe.es/gazeta/dias/1811/09/22/pdfs/GMD-1811-265.pdf#page=4","Abrir facsímil")</f>
        <v>Abrir facsímil</v>
      </c>
      <c r="K1048" s="3" t="s">
        <v>150</v>
      </c>
    </row>
    <row r="1049" spans="1:11" ht="42" customHeight="1">
      <c r="A1049" s="2" t="s">
        <v>3103</v>
      </c>
      <c r="B1049" s="2" t="s">
        <v>3103</v>
      </c>
      <c r="C1049" s="2" t="s">
        <v>104</v>
      </c>
      <c r="D1049" s="2" t="s">
        <v>18</v>
      </c>
      <c r="E1049" s="4">
        <v>-32487</v>
      </c>
      <c r="F1049" s="3" t="s">
        <v>3104</v>
      </c>
      <c r="G1049" s="3" t="s">
        <v>3105</v>
      </c>
      <c r="H1049" s="2" t="s">
        <v>148</v>
      </c>
      <c r="I1049" s="2" t="s">
        <v>3106</v>
      </c>
      <c r="J1049" s="3" t="str">
        <f>HYPERLINK("https://www.boe.es/gazeta/dias/1811/01/19/pdfs/GMD-1811-19.pdf#page=1","Abrir facsímil")</f>
        <v>Abrir facsímil</v>
      </c>
      <c r="K1049" s="3" t="s">
        <v>150</v>
      </c>
    </row>
    <row r="1050" spans="1:11" ht="42" customHeight="1">
      <c r="A1050" s="2" t="s">
        <v>3107</v>
      </c>
      <c r="B1050" s="2" t="s">
        <v>3108</v>
      </c>
      <c r="C1050" s="2" t="s">
        <v>26</v>
      </c>
      <c r="D1050" s="2" t="s">
        <v>18</v>
      </c>
      <c r="E1050" s="4">
        <v>-32228</v>
      </c>
      <c r="F1050" s="3" t="s">
        <v>372</v>
      </c>
      <c r="G1050" s="3" t="s">
        <v>20</v>
      </c>
      <c r="H1050" s="2" t="s">
        <v>148</v>
      </c>
      <c r="I1050" s="2" t="s">
        <v>3109</v>
      </c>
      <c r="J1050" s="3" t="str">
        <f>HYPERLINK("https://www.boe.es/gazeta/dias/1811/10/05/pdfs/GEI-1811-128.pdf#page=8","Abrir facsímil")</f>
        <v>Abrir facsímil</v>
      </c>
      <c r="K1050" s="3" t="s">
        <v>150</v>
      </c>
    </row>
    <row r="1051" spans="1:11" ht="42" customHeight="1">
      <c r="A1051" s="2" t="s">
        <v>3110</v>
      </c>
      <c r="B1051" s="2" t="s">
        <v>3111</v>
      </c>
      <c r="C1051" s="2" t="s">
        <v>17</v>
      </c>
      <c r="D1051" s="2" t="s">
        <v>18</v>
      </c>
      <c r="E1051" s="4">
        <v>-32309</v>
      </c>
      <c r="F1051" s="3" t="s">
        <v>2496</v>
      </c>
      <c r="G1051" s="3" t="s">
        <v>91</v>
      </c>
      <c r="H1051" s="2" t="s">
        <v>148</v>
      </c>
      <c r="I1051" s="2" t="s">
        <v>3112</v>
      </c>
      <c r="J1051" s="3" t="str">
        <f>HYPERLINK("https://www.boe.es/gazeta/dias/1811/07/16/pdfs/GEI-1811-93.pdf#page=7","Abrir facsímil")</f>
        <v>Abrir facsímil</v>
      </c>
      <c r="K1051" s="3" t="s">
        <v>150</v>
      </c>
    </row>
    <row r="1052" spans="1:11" ht="42" customHeight="1">
      <c r="A1052" s="2" t="s">
        <v>3113</v>
      </c>
      <c r="B1052" s="2" t="s">
        <v>3114</v>
      </c>
      <c r="C1052" s="2" t="s">
        <v>17</v>
      </c>
      <c r="D1052" s="2" t="s">
        <v>18</v>
      </c>
      <c r="E1052" s="4">
        <v>-32217</v>
      </c>
      <c r="F1052" s="3" t="s">
        <v>1351</v>
      </c>
      <c r="G1052" s="3" t="s">
        <v>162</v>
      </c>
      <c r="H1052" s="2" t="s">
        <v>148</v>
      </c>
      <c r="I1052" s="2" t="s">
        <v>3115</v>
      </c>
      <c r="J1052" s="3" t="str">
        <f>HYPERLINK("https://www.boe.es/gazeta/dias/1811/10/16/pdfs/GMD-1811-289.pdf#page=3","Abrir facsímil")</f>
        <v>Abrir facsímil</v>
      </c>
      <c r="K1052" s="3" t="s">
        <v>150</v>
      </c>
    </row>
    <row r="1053" spans="1:11" ht="42" customHeight="1">
      <c r="A1053" s="2" t="s">
        <v>3116</v>
      </c>
      <c r="B1053" s="2" t="s">
        <v>3117</v>
      </c>
      <c r="C1053" s="2" t="s">
        <v>26</v>
      </c>
      <c r="D1053" s="2" t="s">
        <v>18</v>
      </c>
      <c r="E1053" s="4">
        <v>-32188</v>
      </c>
      <c r="F1053" s="3" t="s">
        <v>356</v>
      </c>
      <c r="G1053" s="3" t="s">
        <v>468</v>
      </c>
      <c r="H1053" s="2" t="s">
        <v>148</v>
      </c>
      <c r="I1053" s="2" t="s">
        <v>3118</v>
      </c>
      <c r="J1053" s="3" t="str">
        <f>HYPERLINK("https://www.boe.es/gazeta/dias/1811/11/14/pdfs/GMD-1811-318.pdf#page=6","Abrir facsímil")</f>
        <v>Abrir facsímil</v>
      </c>
      <c r="K1053" s="3" t="s">
        <v>150</v>
      </c>
    </row>
    <row r="1054" spans="1:11" ht="42" customHeight="1">
      <c r="A1054" s="2" t="s">
        <v>3119</v>
      </c>
      <c r="B1054" s="2" t="s">
        <v>3119</v>
      </c>
      <c r="C1054" s="2" t="s">
        <v>26</v>
      </c>
      <c r="D1054" s="2" t="s">
        <v>18</v>
      </c>
      <c r="E1054" s="4">
        <v>-32324</v>
      </c>
      <c r="F1054" s="3" t="s">
        <v>730</v>
      </c>
      <c r="G1054" s="3" t="s">
        <v>3086</v>
      </c>
      <c r="H1054" s="2" t="s">
        <v>148</v>
      </c>
      <c r="I1054" s="2" t="s">
        <v>3120</v>
      </c>
      <c r="J1054" s="3" t="str">
        <f>HYPERLINK("https://www.boe.es/gazeta/dias/1811/07/01/pdfs/GMD-1811-182.pdf#page=3","Abrir facsímil")</f>
        <v>Abrir facsímil</v>
      </c>
      <c r="K1054" s="3" t="s">
        <v>150</v>
      </c>
    </row>
    <row r="1055" spans="1:11" ht="42" customHeight="1">
      <c r="A1055" s="2" t="s">
        <v>3121</v>
      </c>
      <c r="B1055" s="2" t="s">
        <v>3122</v>
      </c>
      <c r="C1055" s="2" t="s">
        <v>17</v>
      </c>
      <c r="D1055" s="2" t="s">
        <v>18</v>
      </c>
      <c r="E1055" s="4">
        <v>-32294</v>
      </c>
      <c r="F1055" s="3" t="s">
        <v>3123</v>
      </c>
      <c r="G1055" s="3" t="s">
        <v>2916</v>
      </c>
      <c r="H1055" s="2" t="s">
        <v>148</v>
      </c>
      <c r="I1055" s="2" t="s">
        <v>3124</v>
      </c>
      <c r="J1055" s="3" t="str">
        <f>HYPERLINK("https://www.boe.es/gazeta/dias/1811/07/31/pdfs/GMD-1811-212.pdf#page=3","Abrir facsímil")</f>
        <v>Abrir facsímil</v>
      </c>
      <c r="K1055" s="3" t="s">
        <v>150</v>
      </c>
    </row>
    <row r="1056" spans="1:11" ht="42" customHeight="1">
      <c r="A1056" s="2" t="s">
        <v>3125</v>
      </c>
      <c r="B1056" s="2" t="s">
        <v>3126</v>
      </c>
      <c r="C1056" s="2" t="s">
        <v>26</v>
      </c>
      <c r="D1056" s="2" t="s">
        <v>18</v>
      </c>
      <c r="E1056" s="4">
        <v>-32170</v>
      </c>
      <c r="F1056" s="3" t="s">
        <v>1183</v>
      </c>
      <c r="G1056" s="3" t="s">
        <v>1184</v>
      </c>
      <c r="H1056" s="2" t="s">
        <v>148</v>
      </c>
      <c r="I1056" s="2" t="s">
        <v>3127</v>
      </c>
      <c r="J1056" s="3" t="str">
        <f>HYPERLINK("https://www.boe.es/gazeta/dias/1811/12/02/pdfs/GMD-1811-336.pdf#page=4","Abrir facsímil")</f>
        <v>Abrir facsímil</v>
      </c>
      <c r="K1056" s="3" t="s">
        <v>150</v>
      </c>
    </row>
    <row r="1057" spans="1:11" ht="42" customHeight="1">
      <c r="A1057" s="2" t="s">
        <v>3128</v>
      </c>
      <c r="B1057" s="2" t="s">
        <v>3129</v>
      </c>
      <c r="C1057" s="2" t="s">
        <v>367</v>
      </c>
      <c r="D1057" s="2" t="s">
        <v>18</v>
      </c>
      <c r="E1057" s="4">
        <v>-32153</v>
      </c>
      <c r="F1057" s="3" t="s">
        <v>123</v>
      </c>
      <c r="G1057" s="3" t="s">
        <v>1067</v>
      </c>
      <c r="H1057" s="2" t="s">
        <v>148</v>
      </c>
      <c r="I1057" s="2" t="s">
        <v>3130</v>
      </c>
      <c r="J1057" s="3" t="str">
        <f>HYPERLINK("https://www.boe.es/gazeta/dias/1811/12/19/pdfs/GMD-1811-353.pdf#page=5","Abrir facsímil")</f>
        <v>Abrir facsímil</v>
      </c>
      <c r="K1057" s="3" t="s">
        <v>150</v>
      </c>
    </row>
    <row r="1058" spans="1:11" ht="42" customHeight="1">
      <c r="A1058" s="2" t="s">
        <v>3125</v>
      </c>
      <c r="B1058" s="2" t="s">
        <v>3126</v>
      </c>
      <c r="C1058" s="2" t="s">
        <v>122</v>
      </c>
      <c r="D1058" s="2" t="s">
        <v>18</v>
      </c>
      <c r="E1058" s="4">
        <v>-32153</v>
      </c>
      <c r="F1058" s="3" t="s">
        <v>123</v>
      </c>
      <c r="G1058" s="3" t="s">
        <v>124</v>
      </c>
      <c r="H1058" s="2" t="s">
        <v>148</v>
      </c>
      <c r="I1058" s="2" t="s">
        <v>3131</v>
      </c>
      <c r="J1058" s="3" t="str">
        <f>HYPERLINK("https://www.boe.es/gazeta/dias/1811/12/19/pdfs/GMD-1811-353.pdf#page=6","Abrir facsímil")</f>
        <v>Abrir facsímil</v>
      </c>
      <c r="K1058" s="3" t="s">
        <v>150</v>
      </c>
    </row>
    <row r="1059" spans="1:11" ht="42" customHeight="1">
      <c r="A1059" s="2" t="s">
        <v>3132</v>
      </c>
      <c r="B1059" s="2" t="s">
        <v>3133</v>
      </c>
      <c r="C1059" s="2" t="s">
        <v>26</v>
      </c>
      <c r="D1059" s="2" t="s">
        <v>141</v>
      </c>
      <c r="E1059" s="4">
        <v>-32188</v>
      </c>
      <c r="F1059" s="3" t="s">
        <v>505</v>
      </c>
      <c r="G1059" s="3" t="s">
        <v>39</v>
      </c>
      <c r="H1059" s="2" t="s">
        <v>148</v>
      </c>
      <c r="I1059" s="2" t="s">
        <v>3134</v>
      </c>
      <c r="J1059" s="3" t="str">
        <f>HYPERLINK("https://www.boe.es/gazeta/dias/1811/11/14/pdfs/GEI-D-1811-149.pdf#page=1","Abrir facsímil")</f>
        <v>Abrir facsímil</v>
      </c>
      <c r="K1059" s="3" t="s">
        <v>150</v>
      </c>
    </row>
    <row r="1060" spans="1:11" ht="42" customHeight="1">
      <c r="A1060" s="2" t="s">
        <v>3135</v>
      </c>
      <c r="B1060" s="2" t="s">
        <v>3135</v>
      </c>
      <c r="C1060" s="2" t="s">
        <v>17</v>
      </c>
      <c r="D1060" s="2" t="s">
        <v>18</v>
      </c>
      <c r="E1060" s="4">
        <v>-32294</v>
      </c>
      <c r="F1060" s="3" t="s">
        <v>3123</v>
      </c>
      <c r="G1060" s="3" t="s">
        <v>91</v>
      </c>
      <c r="H1060" s="2" t="s">
        <v>148</v>
      </c>
      <c r="I1060" s="2" t="s">
        <v>3136</v>
      </c>
      <c r="J1060" s="3" t="str">
        <f>HYPERLINK("https://www.boe.es/gazeta/dias/1811/07/31/pdfs/GMD-1811-212.pdf#page=2","Abrir facsímil")</f>
        <v>Abrir facsímil</v>
      </c>
      <c r="K1060" s="3" t="s">
        <v>150</v>
      </c>
    </row>
    <row r="1061" spans="1:11" ht="42" customHeight="1">
      <c r="A1061" s="2" t="s">
        <v>3137</v>
      </c>
      <c r="B1061" s="2" t="s">
        <v>3137</v>
      </c>
      <c r="C1061" s="2" t="s">
        <v>17</v>
      </c>
      <c r="D1061" s="2" t="s">
        <v>156</v>
      </c>
      <c r="E1061" s="4">
        <v>-32325</v>
      </c>
      <c r="F1061" s="3" t="s">
        <v>552</v>
      </c>
      <c r="G1061" s="3" t="s">
        <v>553</v>
      </c>
      <c r="H1061" s="2" t="s">
        <v>148</v>
      </c>
      <c r="I1061" s="2" t="s">
        <v>3138</v>
      </c>
      <c r="J1061" s="3" t="str">
        <f>HYPERLINK("https://www.boe.es/gazeta/dias/1811/06/30/pdfs/GMD-1811-181.pdf#page=3","Abrir facsímil")</f>
        <v>Abrir facsímil</v>
      </c>
      <c r="K1061" s="3" t="s">
        <v>150</v>
      </c>
    </row>
    <row r="1062" spans="1:11" ht="42" customHeight="1">
      <c r="A1062" s="2" t="s">
        <v>3139</v>
      </c>
      <c r="B1062" s="2" t="s">
        <v>3139</v>
      </c>
      <c r="C1062" s="2" t="s">
        <v>17</v>
      </c>
      <c r="D1062" s="2" t="s">
        <v>18</v>
      </c>
      <c r="E1062" s="4">
        <v>-32392</v>
      </c>
      <c r="F1062" s="3" t="s">
        <v>3140</v>
      </c>
      <c r="G1062" s="3" t="s">
        <v>57</v>
      </c>
      <c r="H1062" s="2" t="s">
        <v>148</v>
      </c>
      <c r="I1062" s="2" t="s">
        <v>3141</v>
      </c>
      <c r="J1062" s="3" t="str">
        <f>HYPERLINK("https://www.boe.es/gazeta/dias/1811/04/24/pdfs/GMD-1811-114.pdf#page=2","Abrir facsímil")</f>
        <v>Abrir facsímil</v>
      </c>
      <c r="K1062" s="3" t="s">
        <v>150</v>
      </c>
    </row>
    <row r="1063" spans="1:11" ht="42" customHeight="1">
      <c r="A1063" s="2" t="s">
        <v>3142</v>
      </c>
      <c r="B1063" s="2" t="s">
        <v>3143</v>
      </c>
      <c r="C1063" s="2" t="s">
        <v>26</v>
      </c>
      <c r="D1063" s="2" t="s">
        <v>18</v>
      </c>
      <c r="E1063" s="4">
        <v>-32188</v>
      </c>
      <c r="F1063" s="3" t="s">
        <v>356</v>
      </c>
      <c r="G1063" s="3" t="s">
        <v>248</v>
      </c>
      <c r="H1063" s="2" t="s">
        <v>148</v>
      </c>
      <c r="I1063" s="2" t="s">
        <v>3144</v>
      </c>
      <c r="J1063" s="3" t="str">
        <f>HYPERLINK("https://www.boe.es/gazeta/dias/1811/11/14/pdfs/GMD-1811-318.pdf#page=5","Abrir facsímil")</f>
        <v>Abrir facsímil</v>
      </c>
      <c r="K1063" s="3" t="s">
        <v>150</v>
      </c>
    </row>
    <row r="1064" spans="1:11" ht="42" customHeight="1">
      <c r="A1064" s="2" t="s">
        <v>3145</v>
      </c>
      <c r="B1064" s="2" t="s">
        <v>3145</v>
      </c>
      <c r="C1064" s="2" t="s">
        <v>17</v>
      </c>
      <c r="D1064" s="2" t="s">
        <v>18</v>
      </c>
      <c r="E1064" s="4">
        <v>-32318</v>
      </c>
      <c r="F1064" s="3" t="s">
        <v>1193</v>
      </c>
      <c r="G1064" s="3" t="s">
        <v>488</v>
      </c>
      <c r="H1064" s="2" t="s">
        <v>148</v>
      </c>
      <c r="I1064" s="2" t="s">
        <v>3146</v>
      </c>
      <c r="J1064" s="3" t="str">
        <f>HYPERLINK("https://www.boe.es/gazeta/dias/1811/07/07/pdfs/GMD-1811-188.pdf#page=3","Abrir facsímil")</f>
        <v>Abrir facsímil</v>
      </c>
      <c r="K1064" s="3" t="s">
        <v>150</v>
      </c>
    </row>
    <row r="1065" spans="1:11" ht="42" customHeight="1">
      <c r="A1065" s="2" t="s">
        <v>3147</v>
      </c>
      <c r="B1065" s="2" t="s">
        <v>3148</v>
      </c>
      <c r="C1065" s="2" t="s">
        <v>26</v>
      </c>
      <c r="D1065" s="2" t="s">
        <v>105</v>
      </c>
      <c r="E1065" s="4">
        <v>-32249</v>
      </c>
      <c r="F1065" s="3" t="s">
        <v>743</v>
      </c>
      <c r="G1065" s="3" t="s">
        <v>468</v>
      </c>
      <c r="H1065" s="2" t="s">
        <v>148</v>
      </c>
      <c r="I1065" s="2" t="s">
        <v>3149</v>
      </c>
      <c r="J1065" s="3" t="str">
        <f>HYPERLINK("https://www.boe.es/gazeta/dias/1811/09/14/pdfs/GMD-C-1811-257.pdf#page=1","Abrir facsímil")</f>
        <v>Abrir facsímil</v>
      </c>
      <c r="K1065" s="3" t="s">
        <v>150</v>
      </c>
    </row>
    <row r="1066" spans="1:11" ht="42" customHeight="1">
      <c r="A1066" s="2" t="s">
        <v>3147</v>
      </c>
      <c r="B1066" s="2" t="s">
        <v>3148</v>
      </c>
      <c r="C1066" s="2" t="s">
        <v>26</v>
      </c>
      <c r="D1066" s="2" t="s">
        <v>141</v>
      </c>
      <c r="E1066" s="4">
        <v>-32249</v>
      </c>
      <c r="F1066" s="3" t="s">
        <v>743</v>
      </c>
      <c r="G1066" s="3" t="s">
        <v>1021</v>
      </c>
      <c r="H1066" s="2" t="s">
        <v>148</v>
      </c>
      <c r="I1066" s="2" t="s">
        <v>3150</v>
      </c>
      <c r="J1066" s="3" t="str">
        <f>HYPERLINK("https://www.boe.es/gazeta/dias/1811/09/14/pdfs/GMD-C-1811-257.pdf#page=2","Abrir facsímil")</f>
        <v>Abrir facsímil</v>
      </c>
      <c r="K1066" s="3" t="s">
        <v>150</v>
      </c>
    </row>
    <row r="1067" spans="1:11" ht="42" customHeight="1">
      <c r="A1067" s="2" t="s">
        <v>3151</v>
      </c>
      <c r="B1067" s="2" t="s">
        <v>3151</v>
      </c>
      <c r="C1067" s="2" t="s">
        <v>17</v>
      </c>
      <c r="D1067" s="2" t="s">
        <v>18</v>
      </c>
      <c r="E1067" s="4">
        <v>-32490</v>
      </c>
      <c r="F1067" s="3" t="s">
        <v>2407</v>
      </c>
      <c r="G1067" s="3" t="s">
        <v>2408</v>
      </c>
      <c r="H1067" s="2" t="s">
        <v>148</v>
      </c>
      <c r="I1067" s="2" t="s">
        <v>3152</v>
      </c>
      <c r="J1067" s="3" t="str">
        <f>HYPERLINK("https://www.boe.es/gazeta/dias/1811/01/16/pdfs/GMD-1811-16.pdf#page=2","Abrir facsímil")</f>
        <v>Abrir facsímil</v>
      </c>
      <c r="K1067" s="3" t="s">
        <v>150</v>
      </c>
    </row>
    <row r="1068" spans="1:11" ht="42" customHeight="1">
      <c r="A1068" s="2" t="s">
        <v>3151</v>
      </c>
      <c r="B1068" s="2" t="s">
        <v>3151</v>
      </c>
      <c r="C1068" s="2" t="s">
        <v>17</v>
      </c>
      <c r="D1068" s="2" t="s">
        <v>18</v>
      </c>
      <c r="E1068" s="4">
        <v>-32490</v>
      </c>
      <c r="F1068" s="3" t="s">
        <v>2407</v>
      </c>
      <c r="G1068" s="3" t="s">
        <v>91</v>
      </c>
      <c r="H1068" s="2" t="s">
        <v>148</v>
      </c>
      <c r="I1068" s="2" t="s">
        <v>3153</v>
      </c>
      <c r="J1068" s="3" t="str">
        <f>HYPERLINK("https://www.boe.es/gazeta/dias/1811/01/16/pdfs/GMD-1811-16.pdf#page=4","Abrir facsímil")</f>
        <v>Abrir facsímil</v>
      </c>
      <c r="K1068" s="3" t="s">
        <v>150</v>
      </c>
    </row>
    <row r="1069" spans="1:11" ht="42" customHeight="1">
      <c r="A1069" s="2" t="s">
        <v>3151</v>
      </c>
      <c r="B1069" s="2" t="s">
        <v>3151</v>
      </c>
      <c r="C1069" s="2" t="s">
        <v>17</v>
      </c>
      <c r="D1069" s="2" t="s">
        <v>18</v>
      </c>
      <c r="E1069" s="4">
        <v>-32488</v>
      </c>
      <c r="F1069" s="3" t="s">
        <v>3154</v>
      </c>
      <c r="G1069" s="3" t="s">
        <v>228</v>
      </c>
      <c r="H1069" s="2" t="s">
        <v>148</v>
      </c>
      <c r="I1069" s="2" t="s">
        <v>3155</v>
      </c>
      <c r="J1069" s="3" t="str">
        <f>HYPERLINK("https://www.boe.es/gazeta/dias/1811/01/18/pdfs/GMD-1811-18.pdf#page=4","Abrir facsímil")</f>
        <v>Abrir facsímil</v>
      </c>
      <c r="K1069" s="3" t="s">
        <v>150</v>
      </c>
    </row>
    <row r="1070" spans="1:11" ht="42" customHeight="1">
      <c r="A1070" s="2" t="s">
        <v>3156</v>
      </c>
      <c r="B1070" s="2" t="s">
        <v>3157</v>
      </c>
      <c r="C1070" s="2" t="s">
        <v>17</v>
      </c>
      <c r="D1070" s="2" t="s">
        <v>18</v>
      </c>
      <c r="E1070" s="4">
        <v>-32490</v>
      </c>
      <c r="F1070" s="3" t="s">
        <v>2407</v>
      </c>
      <c r="G1070" s="3" t="s">
        <v>44</v>
      </c>
      <c r="H1070" s="2" t="s">
        <v>148</v>
      </c>
      <c r="I1070" s="2" t="s">
        <v>3158</v>
      </c>
      <c r="J1070" s="3" t="str">
        <f>HYPERLINK("https://www.boe.es/gazeta/dias/1811/01/16/pdfs/GMD-1811-16.pdf#page=1","Abrir facsímil")</f>
        <v>Abrir facsímil</v>
      </c>
      <c r="K1070" s="3" t="s">
        <v>150</v>
      </c>
    </row>
    <row r="1071" spans="1:11" ht="42" customHeight="1">
      <c r="A1071" s="2" t="s">
        <v>3159</v>
      </c>
      <c r="B1071" s="2" t="s">
        <v>3160</v>
      </c>
      <c r="C1071" s="2" t="s">
        <v>26</v>
      </c>
      <c r="D1071" s="2" t="s">
        <v>18</v>
      </c>
      <c r="E1071" s="4">
        <v>-32461</v>
      </c>
      <c r="F1071" s="3" t="s">
        <v>2429</v>
      </c>
      <c r="G1071" s="3" t="s">
        <v>2101</v>
      </c>
      <c r="H1071" s="2" t="s">
        <v>148</v>
      </c>
      <c r="I1071" s="2" t="s">
        <v>3161</v>
      </c>
      <c r="J1071" s="3" t="str">
        <f>HYPERLINK("https://www.boe.es/gazeta/dias/1811/02/14/pdfs/GEI-1811-20.pdf#page=2","Abrir facsímil")</f>
        <v>Abrir facsímil</v>
      </c>
      <c r="K1071" s="3" t="s">
        <v>150</v>
      </c>
    </row>
    <row r="1072" spans="1:11" ht="42" customHeight="1">
      <c r="A1072" s="2" t="s">
        <v>3162</v>
      </c>
      <c r="B1072" s="2" t="s">
        <v>3163</v>
      </c>
      <c r="C1072" s="2" t="s">
        <v>37</v>
      </c>
      <c r="D1072" s="2" t="s">
        <v>156</v>
      </c>
      <c r="E1072" s="4">
        <v>-32279</v>
      </c>
      <c r="F1072" s="3" t="s">
        <v>444</v>
      </c>
      <c r="G1072" s="3" t="s">
        <v>445</v>
      </c>
      <c r="H1072" s="2" t="s">
        <v>148</v>
      </c>
      <c r="I1072" s="2" t="s">
        <v>3164</v>
      </c>
      <c r="J1072" s="3" t="str">
        <f>HYPERLINK("https://www.boe.es/gazeta/dias/1811/08/15/pdfs/GEI-1811-106.pdf#page=8","Abrir facsímil")</f>
        <v>Abrir facsímil</v>
      </c>
      <c r="K1072" s="3" t="s">
        <v>150</v>
      </c>
    </row>
    <row r="1073" spans="1:11" ht="42" customHeight="1">
      <c r="A1073" s="2" t="s">
        <v>3165</v>
      </c>
      <c r="B1073" s="2" t="s">
        <v>3166</v>
      </c>
      <c r="C1073" s="2" t="s">
        <v>17</v>
      </c>
      <c r="D1073" s="2" t="s">
        <v>156</v>
      </c>
      <c r="E1073" s="4">
        <v>-32260</v>
      </c>
      <c r="F1073" s="3" t="s">
        <v>27</v>
      </c>
      <c r="G1073" s="3" t="s">
        <v>248</v>
      </c>
      <c r="H1073" s="2" t="s">
        <v>21</v>
      </c>
      <c r="I1073" s="2" t="s">
        <v>3167</v>
      </c>
      <c r="J1073" s="3" t="str">
        <f>HYPERLINK("https://www.boe.es/gazeta/dias/1811/09/03/pdfs/GEI-1811-114.pdf#page=6","Abrir facsímil")</f>
        <v>Abrir facsímil</v>
      </c>
      <c r="K1073" s="3" t="s">
        <v>23</v>
      </c>
    </row>
    <row r="1074" spans="1:11" ht="42" customHeight="1">
      <c r="A1074" s="2" t="s">
        <v>3168</v>
      </c>
      <c r="B1074" s="2" t="s">
        <v>3168</v>
      </c>
      <c r="C1074" s="2" t="s">
        <v>17</v>
      </c>
      <c r="D1074" s="2" t="s">
        <v>18</v>
      </c>
      <c r="E1074" s="4">
        <v>-32309</v>
      </c>
      <c r="F1074" s="3" t="s">
        <v>2496</v>
      </c>
      <c r="G1074" s="3" t="s">
        <v>3169</v>
      </c>
      <c r="H1074" s="2" t="s">
        <v>148</v>
      </c>
      <c r="I1074" s="2" t="s">
        <v>3170</v>
      </c>
      <c r="J1074" s="3" t="str">
        <f>HYPERLINK("https://www.boe.es/gazeta/dias/1811/07/16/pdfs/GEI-1811-93.pdf#page=1","Abrir facsímil")</f>
        <v>Abrir facsímil</v>
      </c>
      <c r="K1074" s="3" t="s">
        <v>150</v>
      </c>
    </row>
    <row r="1075" spans="1:11" ht="42" customHeight="1">
      <c r="A1075" s="2" t="s">
        <v>3171</v>
      </c>
      <c r="B1075" s="2" t="s">
        <v>3171</v>
      </c>
      <c r="C1075" s="2" t="s">
        <v>17</v>
      </c>
      <c r="D1075" s="2" t="s">
        <v>18</v>
      </c>
      <c r="E1075" s="4">
        <v>-32434</v>
      </c>
      <c r="F1075" s="3" t="s">
        <v>1932</v>
      </c>
      <c r="G1075" s="3" t="s">
        <v>1784</v>
      </c>
      <c r="H1075" s="2" t="s">
        <v>148</v>
      </c>
      <c r="I1075" s="2" t="s">
        <v>3172</v>
      </c>
      <c r="J1075" s="3" t="str">
        <f>HYPERLINK("https://www.boe.es/gazeta/dias/1811/03/13/pdfs/GMD-1811-72.pdf#page=3","Abrir facsímil")</f>
        <v>Abrir facsímil</v>
      </c>
      <c r="K1075" s="3" t="s">
        <v>150</v>
      </c>
    </row>
    <row r="1076" spans="1:11" ht="42" customHeight="1">
      <c r="A1076" s="2" t="s">
        <v>3173</v>
      </c>
      <c r="B1076" s="2" t="s">
        <v>3174</v>
      </c>
      <c r="C1076" s="2" t="s">
        <v>26</v>
      </c>
      <c r="D1076" s="2" t="s">
        <v>18</v>
      </c>
      <c r="E1076" s="4">
        <v>-32144</v>
      </c>
      <c r="F1076" s="3" t="s">
        <v>1097</v>
      </c>
      <c r="G1076" s="3" t="s">
        <v>1098</v>
      </c>
      <c r="H1076" s="2" t="s">
        <v>148</v>
      </c>
      <c r="I1076" s="2" t="s">
        <v>3175</v>
      </c>
      <c r="J1076" s="3" t="str">
        <f>HYPERLINK("https://www.boe.es/gazeta/dias/1811/12/28/pdfs/GEI-1811-168.pdf#page=8","Abrir facsímil")</f>
        <v>Abrir facsímil</v>
      </c>
      <c r="K1076" s="3" t="s">
        <v>150</v>
      </c>
    </row>
    <row r="1077" spans="1:11" ht="42" customHeight="1">
      <c r="A1077" s="2" t="s">
        <v>3176</v>
      </c>
      <c r="B1077" s="2" t="s">
        <v>3177</v>
      </c>
      <c r="C1077" s="2" t="s">
        <v>17</v>
      </c>
      <c r="D1077" s="2" t="s">
        <v>156</v>
      </c>
      <c r="E1077" s="4">
        <v>-32279</v>
      </c>
      <c r="F1077" s="3" t="s">
        <v>444</v>
      </c>
      <c r="G1077" s="3" t="s">
        <v>445</v>
      </c>
      <c r="H1077" s="2" t="s">
        <v>148</v>
      </c>
      <c r="I1077" s="2" t="s">
        <v>3178</v>
      </c>
      <c r="J1077" s="3" t="str">
        <f>HYPERLINK("https://www.boe.es/gazeta/dias/1811/08/15/pdfs/GEI-1811-106.pdf#page=8","Abrir facsímil")</f>
        <v>Abrir facsímil</v>
      </c>
      <c r="K1077" s="3" t="s">
        <v>150</v>
      </c>
    </row>
    <row r="1078" spans="1:11" ht="42" customHeight="1">
      <c r="A1078" s="2" t="s">
        <v>3179</v>
      </c>
      <c r="B1078" s="2" t="s">
        <v>3179</v>
      </c>
      <c r="C1078" s="2" t="s">
        <v>26</v>
      </c>
      <c r="D1078" s="2" t="s">
        <v>18</v>
      </c>
      <c r="E1078" s="4">
        <v>-32346</v>
      </c>
      <c r="F1078" s="3" t="s">
        <v>3180</v>
      </c>
      <c r="G1078" s="3" t="s">
        <v>2430</v>
      </c>
      <c r="H1078" s="2" t="s">
        <v>148</v>
      </c>
      <c r="I1078" s="2" t="s">
        <v>3181</v>
      </c>
      <c r="J1078" s="3" t="str">
        <f>HYPERLINK("https://www.boe.es/gazeta/dias/1811/06/09/pdfs/GMD-1811-160.pdf#page=1","Abrir facsímil")</f>
        <v>Abrir facsímil</v>
      </c>
      <c r="K1078" s="3" t="s">
        <v>150</v>
      </c>
    </row>
    <row r="1079" spans="1:11" ht="42" customHeight="1">
      <c r="A1079" s="2" t="s">
        <v>3182</v>
      </c>
      <c r="B1079" s="2" t="s">
        <v>3183</v>
      </c>
      <c r="C1079" s="2" t="s">
        <v>26</v>
      </c>
      <c r="D1079" s="2" t="s">
        <v>18</v>
      </c>
      <c r="E1079" s="4">
        <v>-32300</v>
      </c>
      <c r="F1079" s="3" t="s">
        <v>492</v>
      </c>
      <c r="G1079" s="3" t="s">
        <v>493</v>
      </c>
      <c r="H1079" s="2" t="s">
        <v>148</v>
      </c>
      <c r="I1079" s="2" t="s">
        <v>3184</v>
      </c>
      <c r="J1079" s="3" t="str">
        <f>HYPERLINK("https://www.boe.es/gazeta/dias/1811/07/25/pdfs/GMD-1811-206.pdf#page=4","Abrir facsímil")</f>
        <v>Abrir facsímil</v>
      </c>
      <c r="K1079" s="3" t="s">
        <v>150</v>
      </c>
    </row>
    <row r="1080" spans="1:11" ht="42" customHeight="1">
      <c r="A1080" s="2" t="s">
        <v>3185</v>
      </c>
      <c r="B1080" s="2" t="s">
        <v>3185</v>
      </c>
      <c r="C1080" s="2" t="s">
        <v>17</v>
      </c>
      <c r="D1080" s="2" t="s">
        <v>156</v>
      </c>
      <c r="E1080" s="4">
        <v>-32358</v>
      </c>
      <c r="F1080" s="3" t="s">
        <v>3186</v>
      </c>
      <c r="G1080" s="3" t="s">
        <v>162</v>
      </c>
      <c r="H1080" s="2" t="s">
        <v>148</v>
      </c>
      <c r="I1080" s="2" t="s">
        <v>3187</v>
      </c>
      <c r="J1080" s="3" t="str">
        <f>HYPERLINK("https://www.boe.es/gazeta/dias/1811/05/28/pdfs/GMD-1811-148.pdf#page=1","Abrir facsímil")</f>
        <v>Abrir facsímil</v>
      </c>
      <c r="K1080" s="3" t="s">
        <v>150</v>
      </c>
    </row>
    <row r="1081" spans="1:11" ht="42" customHeight="1">
      <c r="A1081" s="2" t="s">
        <v>3188</v>
      </c>
      <c r="B1081" s="2" t="s">
        <v>3188</v>
      </c>
      <c r="C1081" s="2" t="s">
        <v>84</v>
      </c>
      <c r="D1081" s="2" t="s">
        <v>18</v>
      </c>
      <c r="E1081" s="4">
        <v>-32315</v>
      </c>
      <c r="F1081" s="3" t="s">
        <v>3189</v>
      </c>
      <c r="G1081" s="3" t="s">
        <v>248</v>
      </c>
      <c r="H1081" s="2" t="s">
        <v>148</v>
      </c>
      <c r="I1081" s="2" t="s">
        <v>3190</v>
      </c>
      <c r="J1081" s="3" t="str">
        <f>HYPERLINK("https://www.boe.es/gazeta/dias/1811/07/10/pdfs/GMD-1811-191.pdf#page=1","Abrir facsímil")</f>
        <v>Abrir facsímil</v>
      </c>
      <c r="K1081" s="3" t="s">
        <v>150</v>
      </c>
    </row>
    <row r="1082" spans="1:11" ht="42" customHeight="1">
      <c r="A1082" s="2" t="s">
        <v>3191</v>
      </c>
      <c r="B1082" s="2" t="s">
        <v>3192</v>
      </c>
      <c r="C1082" s="2" t="s">
        <v>26</v>
      </c>
      <c r="D1082" s="2" t="s">
        <v>18</v>
      </c>
      <c r="E1082" s="4">
        <v>-32260</v>
      </c>
      <c r="F1082" s="3" t="s">
        <v>27</v>
      </c>
      <c r="G1082" s="3" t="s">
        <v>1048</v>
      </c>
      <c r="H1082" s="2" t="s">
        <v>148</v>
      </c>
      <c r="I1082" s="2" t="s">
        <v>3193</v>
      </c>
      <c r="J1082" s="3" t="str">
        <f>HYPERLINK("https://www.boe.es/gazeta/dias/1811/09/03/pdfs/GEI-1811-114.pdf#page=2","Abrir facsímil")</f>
        <v>Abrir facsímil</v>
      </c>
      <c r="K1082" s="3" t="s">
        <v>150</v>
      </c>
    </row>
    <row r="1083" spans="1:11" ht="42" customHeight="1">
      <c r="A1083" s="2" t="s">
        <v>3194</v>
      </c>
      <c r="B1083" s="2" t="s">
        <v>3195</v>
      </c>
      <c r="C1083" s="2" t="s">
        <v>84</v>
      </c>
      <c r="D1083" s="2" t="s">
        <v>18</v>
      </c>
      <c r="E1083" s="4">
        <v>-32447</v>
      </c>
      <c r="F1083" s="3" t="s">
        <v>665</v>
      </c>
      <c r="G1083" s="3" t="s">
        <v>57</v>
      </c>
      <c r="H1083" s="2" t="s">
        <v>148</v>
      </c>
      <c r="I1083" s="2" t="s">
        <v>3196</v>
      </c>
      <c r="J1083" s="3" t="str">
        <f>HYPERLINK("https://www.boe.es/gazeta/dias/1811/02/28/pdfs/GMD-1811-59.pdf#page=2","Abrir facsímil")</f>
        <v>Abrir facsímil</v>
      </c>
      <c r="K1083" s="3" t="s">
        <v>150</v>
      </c>
    </row>
    <row r="1084" spans="1:11" ht="42" customHeight="1">
      <c r="A1084" s="2" t="s">
        <v>3197</v>
      </c>
      <c r="B1084" s="2" t="s">
        <v>3198</v>
      </c>
      <c r="C1084" s="2" t="s">
        <v>26</v>
      </c>
      <c r="D1084" s="2" t="s">
        <v>105</v>
      </c>
      <c r="E1084" s="4">
        <v>-32238</v>
      </c>
      <c r="F1084" s="3" t="s">
        <v>166</v>
      </c>
      <c r="G1084" s="3" t="s">
        <v>657</v>
      </c>
      <c r="H1084" s="2" t="s">
        <v>148</v>
      </c>
      <c r="I1084" s="2" t="s">
        <v>3199</v>
      </c>
      <c r="J1084" s="3" t="str">
        <f>HYPERLINK("https://www.boe.es/gazeta/dias/1811/09/25/pdfs/GMD-C-1811-268.pdf#page=3","Abrir facsímil")</f>
        <v>Abrir facsímil</v>
      </c>
      <c r="K1084" s="3" t="s">
        <v>150</v>
      </c>
    </row>
    <row r="1085" spans="1:11" ht="42" customHeight="1">
      <c r="A1085" s="2" t="s">
        <v>3200</v>
      </c>
      <c r="B1085" s="2" t="s">
        <v>3201</v>
      </c>
      <c r="C1085" s="2" t="s">
        <v>26</v>
      </c>
      <c r="D1085" s="2" t="s">
        <v>18</v>
      </c>
      <c r="E1085" s="4">
        <v>-32155</v>
      </c>
      <c r="F1085" s="3" t="s">
        <v>263</v>
      </c>
      <c r="G1085" s="3" t="s">
        <v>264</v>
      </c>
      <c r="H1085" s="2" t="s">
        <v>148</v>
      </c>
      <c r="I1085" s="2" t="s">
        <v>3202</v>
      </c>
      <c r="J1085" s="3" t="str">
        <f>HYPERLINK("https://www.boe.es/gazeta/dias/1811/12/17/pdfs/GEI-1811-163.pdf#page=8","Abrir facsímil")</f>
        <v>Abrir facsímil</v>
      </c>
      <c r="K1085" s="3" t="s">
        <v>150</v>
      </c>
    </row>
    <row r="1086" spans="1:11" ht="42" customHeight="1">
      <c r="A1086" s="2" t="s">
        <v>3203</v>
      </c>
      <c r="B1086" s="2" t="s">
        <v>3204</v>
      </c>
      <c r="C1086" s="2" t="s">
        <v>37</v>
      </c>
      <c r="D1086" s="2" t="s">
        <v>156</v>
      </c>
      <c r="E1086" s="4">
        <v>-32204</v>
      </c>
      <c r="F1086" s="3" t="s">
        <v>177</v>
      </c>
      <c r="G1086" s="3" t="s">
        <v>178</v>
      </c>
      <c r="H1086" s="2" t="s">
        <v>148</v>
      </c>
      <c r="I1086" s="2" t="s">
        <v>3205</v>
      </c>
      <c r="J1086" s="3" t="str">
        <f>HYPERLINK("https://www.boe.es/gazeta/dias/1811/10/29/pdfs/GMD-1811-302.pdf#page=4","Abrir facsímil")</f>
        <v>Abrir facsímil</v>
      </c>
      <c r="K1086" s="3" t="s">
        <v>150</v>
      </c>
    </row>
    <row r="1087" spans="1:11" ht="42" customHeight="1">
      <c r="A1087" s="2" t="s">
        <v>3206</v>
      </c>
      <c r="B1087" s="2" t="s">
        <v>3207</v>
      </c>
      <c r="C1087" s="2" t="s">
        <v>17</v>
      </c>
      <c r="D1087" s="2" t="s">
        <v>18</v>
      </c>
      <c r="E1087" s="4">
        <v>-32463</v>
      </c>
      <c r="F1087" s="3" t="s">
        <v>734</v>
      </c>
      <c r="G1087" s="3" t="s">
        <v>515</v>
      </c>
      <c r="H1087" s="2" t="s">
        <v>148</v>
      </c>
      <c r="I1087" s="2" t="s">
        <v>3208</v>
      </c>
      <c r="J1087" s="3" t="str">
        <f>HYPERLINK("https://www.boe.es/gazeta/dias/1811/02/12/pdfs/GEI-1811-19.pdf#page=7","Abrir facsímil")</f>
        <v>Abrir facsímil</v>
      </c>
      <c r="K1087" s="3" t="s">
        <v>150</v>
      </c>
    </row>
    <row r="1088" spans="1:11" ht="42" customHeight="1">
      <c r="A1088" s="2" t="s">
        <v>3209</v>
      </c>
      <c r="B1088" s="2" t="s">
        <v>3209</v>
      </c>
      <c r="C1088" s="2" t="s">
        <v>17</v>
      </c>
      <c r="D1088" s="2" t="s">
        <v>18</v>
      </c>
      <c r="E1088" s="4">
        <v>-32146</v>
      </c>
      <c r="F1088" s="3" t="s">
        <v>3210</v>
      </c>
      <c r="G1088" s="3" t="s">
        <v>3211</v>
      </c>
      <c r="H1088" s="2" t="s">
        <v>148</v>
      </c>
      <c r="I1088" s="2" t="s">
        <v>3212</v>
      </c>
      <c r="J1088" s="3" t="str">
        <f>HYPERLINK("https://www.boe.es/gazeta/dias/1811/12/26/pdfs/GMD-1811-360.pdf#page=4","Abrir facsímil")</f>
        <v>Abrir facsímil</v>
      </c>
      <c r="K1088" s="3" t="s">
        <v>150</v>
      </c>
    </row>
    <row r="1089" spans="1:11" ht="42" customHeight="1">
      <c r="A1089" s="2" t="s">
        <v>3213</v>
      </c>
      <c r="B1089" s="2" t="s">
        <v>3213</v>
      </c>
      <c r="C1089" s="2" t="s">
        <v>17</v>
      </c>
      <c r="D1089" s="2" t="s">
        <v>18</v>
      </c>
      <c r="E1089" s="4">
        <v>-32329</v>
      </c>
      <c r="F1089" s="3" t="s">
        <v>3214</v>
      </c>
      <c r="G1089" s="3" t="s">
        <v>115</v>
      </c>
      <c r="H1089" s="2" t="s">
        <v>148</v>
      </c>
      <c r="I1089" s="2" t="s">
        <v>3215</v>
      </c>
      <c r="J1089" s="3" t="str">
        <f>HYPERLINK("https://www.boe.es/gazeta/dias/1811/06/26/pdfs/GMD-1811-177.pdf#page=3","Abrir facsímil")</f>
        <v>Abrir facsímil</v>
      </c>
      <c r="K1089" s="3" t="s">
        <v>150</v>
      </c>
    </row>
    <row r="1090" spans="1:11" ht="42" customHeight="1">
      <c r="A1090" s="2" t="s">
        <v>3216</v>
      </c>
      <c r="B1090" s="2" t="s">
        <v>3217</v>
      </c>
      <c r="C1090" s="2" t="s">
        <v>17</v>
      </c>
      <c r="D1090" s="2" t="s">
        <v>156</v>
      </c>
      <c r="E1090" s="4">
        <v>-32405</v>
      </c>
      <c r="F1090" s="3" t="s">
        <v>1413</v>
      </c>
      <c r="G1090" s="3" t="s">
        <v>3218</v>
      </c>
      <c r="H1090" s="2" t="s">
        <v>148</v>
      </c>
      <c r="I1090" s="2" t="s">
        <v>3219</v>
      </c>
      <c r="J1090" s="3" t="str">
        <f>HYPERLINK("https://www.boe.es/gazeta/dias/1811/04/11/pdfs/GEI-1811-49.pdf#page=2","Abrir facsímil")</f>
        <v>Abrir facsímil</v>
      </c>
      <c r="K1090" s="3" t="s">
        <v>150</v>
      </c>
    </row>
    <row r="1091" spans="1:11" ht="42" customHeight="1">
      <c r="A1091" s="2" t="s">
        <v>3220</v>
      </c>
      <c r="B1091" s="2" t="s">
        <v>3220</v>
      </c>
      <c r="C1091" s="2" t="s">
        <v>26</v>
      </c>
      <c r="D1091" s="2" t="s">
        <v>18</v>
      </c>
      <c r="E1091" s="4">
        <v>-32248</v>
      </c>
      <c r="F1091" s="3" t="s">
        <v>622</v>
      </c>
      <c r="G1091" s="3" t="s">
        <v>44</v>
      </c>
      <c r="H1091" s="2" t="s">
        <v>148</v>
      </c>
      <c r="I1091" s="2" t="s">
        <v>3221</v>
      </c>
      <c r="J1091" s="3" t="str">
        <f>HYPERLINK("https://www.boe.es/gazeta/dias/1811/09/15/pdfs/GMD-1811-258.pdf#page=2","Abrir facsímil")</f>
        <v>Abrir facsímil</v>
      </c>
      <c r="K1091" s="3" t="s">
        <v>150</v>
      </c>
    </row>
    <row r="1092" spans="1:11" ht="42" customHeight="1">
      <c r="A1092" s="2" t="s">
        <v>3222</v>
      </c>
      <c r="B1092" s="2" t="s">
        <v>3223</v>
      </c>
      <c r="C1092" s="2" t="s">
        <v>26</v>
      </c>
      <c r="D1092" s="2" t="s">
        <v>18</v>
      </c>
      <c r="E1092" s="4">
        <v>-32248</v>
      </c>
      <c r="F1092" s="3" t="s">
        <v>622</v>
      </c>
      <c r="G1092" s="3" t="s">
        <v>44</v>
      </c>
      <c r="H1092" s="2" t="s">
        <v>148</v>
      </c>
      <c r="I1092" s="2" t="s">
        <v>3224</v>
      </c>
      <c r="J1092" s="3" t="str">
        <f>HYPERLINK("https://www.boe.es/gazeta/dias/1811/09/15/pdfs/GMD-1811-258.pdf#page=2","Abrir facsímil")</f>
        <v>Abrir facsímil</v>
      </c>
      <c r="K1092" s="3" t="s">
        <v>150</v>
      </c>
    </row>
    <row r="1093" spans="1:11" ht="42" customHeight="1">
      <c r="A1093" s="2" t="s">
        <v>3225</v>
      </c>
      <c r="B1093" s="2" t="s">
        <v>3225</v>
      </c>
      <c r="C1093" s="2" t="s">
        <v>17</v>
      </c>
      <c r="D1093" s="2" t="s">
        <v>18</v>
      </c>
      <c r="E1093" s="4">
        <v>-32148</v>
      </c>
      <c r="F1093" s="3" t="s">
        <v>1616</v>
      </c>
      <c r="G1093" s="3" t="s">
        <v>91</v>
      </c>
      <c r="H1093" s="2" t="s">
        <v>148</v>
      </c>
      <c r="I1093" s="2" t="s">
        <v>3226</v>
      </c>
      <c r="J1093" s="3" t="str">
        <f>HYPERLINK("https://www.boe.es/gazeta/dias/1811/12/24/pdfs/GEI-1811-166.pdf#page=6","Abrir facsímil")</f>
        <v>Abrir facsímil</v>
      </c>
      <c r="K1093" s="3" t="s">
        <v>150</v>
      </c>
    </row>
    <row r="1094" spans="1:11" ht="42" customHeight="1">
      <c r="A1094" s="2" t="s">
        <v>3227</v>
      </c>
      <c r="B1094" s="2" t="s">
        <v>3228</v>
      </c>
      <c r="C1094" s="2" t="s">
        <v>17</v>
      </c>
      <c r="D1094" s="2" t="s">
        <v>141</v>
      </c>
      <c r="E1094" s="4">
        <v>-32250</v>
      </c>
      <c r="F1094" s="3" t="s">
        <v>1178</v>
      </c>
      <c r="G1094" s="3" t="s">
        <v>1179</v>
      </c>
      <c r="H1094" s="2" t="s">
        <v>148</v>
      </c>
      <c r="I1094" s="2" t="s">
        <v>3229</v>
      </c>
      <c r="J1094" s="3" t="str">
        <f>HYPERLINK("https://www.boe.es/gazeta/dias/1811/09/13/pdfs/GMD-C-1811-256.pdf#page=1","Abrir facsímil")</f>
        <v>Abrir facsímil</v>
      </c>
      <c r="K1094" s="3" t="s">
        <v>150</v>
      </c>
    </row>
    <row r="1095" spans="1:11" ht="42" customHeight="1">
      <c r="A1095" s="2" t="s">
        <v>3230</v>
      </c>
      <c r="B1095" s="2" t="s">
        <v>3230</v>
      </c>
      <c r="C1095" s="2" t="s">
        <v>17</v>
      </c>
      <c r="D1095" s="2" t="s">
        <v>18</v>
      </c>
      <c r="E1095" s="4">
        <v>-32329</v>
      </c>
      <c r="F1095" s="3" t="s">
        <v>3214</v>
      </c>
      <c r="G1095" s="3" t="s">
        <v>115</v>
      </c>
      <c r="H1095" s="2" t="s">
        <v>148</v>
      </c>
      <c r="I1095" s="2" t="s">
        <v>3231</v>
      </c>
      <c r="J1095" s="3" t="str">
        <f>HYPERLINK("https://www.boe.es/gazeta/dias/1811/06/26/pdfs/GMD-1811-177.pdf#page=3","Abrir facsímil")</f>
        <v>Abrir facsímil</v>
      </c>
      <c r="K1095" s="3" t="s">
        <v>150</v>
      </c>
    </row>
    <row r="1096" spans="1:11" ht="42" customHeight="1">
      <c r="A1096" s="2" t="s">
        <v>3232</v>
      </c>
      <c r="B1096" s="2" t="s">
        <v>3232</v>
      </c>
      <c r="C1096" s="2" t="s">
        <v>17</v>
      </c>
      <c r="D1096" s="2" t="s">
        <v>18</v>
      </c>
      <c r="E1096" s="4">
        <v>-32321</v>
      </c>
      <c r="F1096" s="3" t="s">
        <v>2344</v>
      </c>
      <c r="G1096" s="3" t="s">
        <v>245</v>
      </c>
      <c r="H1096" s="2" t="s">
        <v>148</v>
      </c>
      <c r="I1096" s="2" t="s">
        <v>3233</v>
      </c>
      <c r="J1096" s="3" t="str">
        <f>HYPERLINK("https://www.boe.es/gazeta/dias/1811/07/04/pdfs/GMD-1811-185.pdf#page=3","Abrir facsímil")</f>
        <v>Abrir facsímil</v>
      </c>
      <c r="K1096" s="3" t="s">
        <v>150</v>
      </c>
    </row>
    <row r="1097" spans="1:11" ht="42" customHeight="1">
      <c r="A1097" s="2" t="s">
        <v>3230</v>
      </c>
      <c r="B1097" s="2" t="s">
        <v>3230</v>
      </c>
      <c r="C1097" s="2" t="s">
        <v>17</v>
      </c>
      <c r="D1097" s="2" t="s">
        <v>18</v>
      </c>
      <c r="E1097" s="4">
        <v>-32320</v>
      </c>
      <c r="F1097" s="3" t="s">
        <v>3234</v>
      </c>
      <c r="G1097" s="3" t="s">
        <v>44</v>
      </c>
      <c r="H1097" s="2" t="s">
        <v>148</v>
      </c>
      <c r="I1097" s="2" t="s">
        <v>3235</v>
      </c>
      <c r="J1097" s="3" t="str">
        <f>HYPERLINK("https://www.boe.es/gazeta/dias/1811/07/05/pdfs/GMD-1811-186.pdf#page=4","Abrir facsímil")</f>
        <v>Abrir facsímil</v>
      </c>
      <c r="K1097" s="3" t="s">
        <v>150</v>
      </c>
    </row>
    <row r="1098" spans="1:11" ht="42" customHeight="1">
      <c r="A1098" s="2" t="s">
        <v>3230</v>
      </c>
      <c r="B1098" s="2" t="s">
        <v>3230</v>
      </c>
      <c r="C1098" s="2" t="s">
        <v>17</v>
      </c>
      <c r="D1098" s="2" t="s">
        <v>156</v>
      </c>
      <c r="E1098" s="4">
        <v>-32209</v>
      </c>
      <c r="F1098" s="3" t="s">
        <v>1779</v>
      </c>
      <c r="G1098" s="3" t="s">
        <v>3236</v>
      </c>
      <c r="H1098" s="2" t="s">
        <v>148</v>
      </c>
      <c r="I1098" s="2" t="s">
        <v>3237</v>
      </c>
      <c r="J1098" s="3" t="str">
        <f>HYPERLINK("https://www.boe.es/gazeta/dias/1811/10/24/pdfs/GEI-D-1811-137.pdf#page=1","Abrir facsímil")</f>
        <v>Abrir facsímil</v>
      </c>
      <c r="K1098" s="3" t="s">
        <v>150</v>
      </c>
    </row>
    <row r="1099" spans="1:11" ht="42" customHeight="1">
      <c r="A1099" s="2" t="s">
        <v>3238</v>
      </c>
      <c r="B1099" s="2" t="s">
        <v>3238</v>
      </c>
      <c r="C1099" s="2" t="s">
        <v>17</v>
      </c>
      <c r="D1099" s="2" t="s">
        <v>156</v>
      </c>
      <c r="E1099" s="4">
        <v>-32283</v>
      </c>
      <c r="F1099" s="3" t="s">
        <v>90</v>
      </c>
      <c r="G1099" s="3" t="s">
        <v>468</v>
      </c>
      <c r="H1099" s="2" t="s">
        <v>148</v>
      </c>
      <c r="I1099" s="2" t="s">
        <v>3239</v>
      </c>
      <c r="J1099" s="3" t="str">
        <f>HYPERLINK("https://www.boe.es/gazeta/dias/1811/08/11/pdfs/GMD-1811-223.pdf#page=2","Abrir facsímil")</f>
        <v>Abrir facsímil</v>
      </c>
      <c r="K1099" s="3" t="s">
        <v>150</v>
      </c>
    </row>
    <row r="1100" spans="1:11" ht="42" customHeight="1">
      <c r="A1100" s="2" t="s">
        <v>3240</v>
      </c>
      <c r="B1100" s="2" t="s">
        <v>3240</v>
      </c>
      <c r="C1100" s="2" t="s">
        <v>17</v>
      </c>
      <c r="D1100" s="2" t="s">
        <v>156</v>
      </c>
      <c r="E1100" s="4">
        <v>-32331</v>
      </c>
      <c r="F1100" s="3" t="s">
        <v>781</v>
      </c>
      <c r="G1100" s="3" t="s">
        <v>91</v>
      </c>
      <c r="H1100" s="2" t="s">
        <v>148</v>
      </c>
      <c r="I1100" s="2" t="s">
        <v>3241</v>
      </c>
      <c r="J1100" s="3" t="str">
        <f>HYPERLINK("https://www.boe.es/gazeta/dias/1811/06/24/pdfs/GMD-1811-175.pdf#page=2","Abrir facsímil")</f>
        <v>Abrir facsímil</v>
      </c>
      <c r="K1100" s="3" t="s">
        <v>150</v>
      </c>
    </row>
    <row r="1101" spans="1:11" ht="42" customHeight="1">
      <c r="A1101" s="2" t="s">
        <v>3242</v>
      </c>
      <c r="B1101" s="2" t="s">
        <v>3242</v>
      </c>
      <c r="C1101" s="2" t="s">
        <v>17</v>
      </c>
      <c r="D1101" s="2" t="s">
        <v>18</v>
      </c>
      <c r="E1101" s="4">
        <v>-32442</v>
      </c>
      <c r="F1101" s="3" t="s">
        <v>634</v>
      </c>
      <c r="G1101" s="3" t="s">
        <v>3243</v>
      </c>
      <c r="H1101" s="2" t="s">
        <v>148</v>
      </c>
      <c r="I1101" s="2" t="s">
        <v>3244</v>
      </c>
      <c r="J1101" s="3" t="str">
        <f>HYPERLINK("https://www.boe.es/gazeta/dias/1811/03/05/pdfs/GEI-1811-29.pdf#page=5","Abrir facsímil")</f>
        <v>Abrir facsímil</v>
      </c>
      <c r="K1101" s="3" t="s">
        <v>150</v>
      </c>
    </row>
    <row r="1102" spans="1:11" ht="42" customHeight="1">
      <c r="A1102" s="2" t="s">
        <v>3242</v>
      </c>
      <c r="B1102" s="2" t="s">
        <v>3242</v>
      </c>
      <c r="C1102" s="2" t="s">
        <v>17</v>
      </c>
      <c r="D1102" s="2" t="s">
        <v>156</v>
      </c>
      <c r="E1102" s="4">
        <v>-32442</v>
      </c>
      <c r="F1102" s="3" t="s">
        <v>634</v>
      </c>
      <c r="G1102" s="3" t="s">
        <v>755</v>
      </c>
      <c r="H1102" s="2" t="s">
        <v>148</v>
      </c>
      <c r="I1102" s="2" t="s">
        <v>3245</v>
      </c>
      <c r="J1102" s="3" t="str">
        <f>HYPERLINK("https://www.boe.es/gazeta/dias/1811/03/05/pdfs/GEI-1811-29.pdf#page=6","Abrir facsímil")</f>
        <v>Abrir facsímil</v>
      </c>
      <c r="K1102" s="3" t="s">
        <v>150</v>
      </c>
    </row>
    <row r="1103" spans="1:11" ht="42" customHeight="1">
      <c r="A1103" s="2" t="s">
        <v>3242</v>
      </c>
      <c r="B1103" s="2" t="s">
        <v>3242</v>
      </c>
      <c r="C1103" s="2" t="s">
        <v>17</v>
      </c>
      <c r="D1103" s="2" t="s">
        <v>18</v>
      </c>
      <c r="E1103" s="4">
        <v>-32442</v>
      </c>
      <c r="F1103" s="3" t="s">
        <v>634</v>
      </c>
      <c r="G1103" s="3" t="s">
        <v>2213</v>
      </c>
      <c r="H1103" s="2" t="s">
        <v>148</v>
      </c>
      <c r="I1103" s="2" t="s">
        <v>3246</v>
      </c>
      <c r="J1103" s="3" t="str">
        <f>HYPERLINK("https://www.boe.es/gazeta/dias/1811/03/05/pdfs/GEI-1811-29.pdf#page=7","Abrir facsímil")</f>
        <v>Abrir facsímil</v>
      </c>
      <c r="K1103" s="3" t="s">
        <v>150</v>
      </c>
    </row>
    <row r="1104" spans="1:11" ht="42" customHeight="1">
      <c r="A1104" s="2" t="s">
        <v>3247</v>
      </c>
      <c r="B1104" s="2" t="s">
        <v>3248</v>
      </c>
      <c r="C1104" s="2" t="s">
        <v>37</v>
      </c>
      <c r="D1104" s="2" t="s">
        <v>18</v>
      </c>
      <c r="E1104" s="4">
        <v>-32181</v>
      </c>
      <c r="F1104" s="3" t="s">
        <v>1169</v>
      </c>
      <c r="G1104" s="3" t="s">
        <v>3249</v>
      </c>
      <c r="H1104" s="2" t="s">
        <v>148</v>
      </c>
      <c r="I1104" s="2" t="s">
        <v>3250</v>
      </c>
      <c r="J1104" s="3" t="str">
        <f>HYPERLINK("https://www.boe.es/gazeta/dias/1811/11/21/pdfs/GMD-1811-325.pdf#page=2","Abrir facsímil")</f>
        <v>Abrir facsímil</v>
      </c>
      <c r="K1104" s="3" t="s">
        <v>150</v>
      </c>
    </row>
    <row r="1105" spans="1:11" ht="42" customHeight="1">
      <c r="A1105" s="2" t="s">
        <v>3251</v>
      </c>
      <c r="B1105" s="2" t="s">
        <v>3252</v>
      </c>
      <c r="C1105" s="2" t="s">
        <v>26</v>
      </c>
      <c r="D1105" s="2" t="s">
        <v>18</v>
      </c>
      <c r="E1105" s="4">
        <v>-32188</v>
      </c>
      <c r="F1105" s="3" t="s">
        <v>356</v>
      </c>
      <c r="G1105" s="3" t="s">
        <v>248</v>
      </c>
      <c r="H1105" s="2" t="s">
        <v>148</v>
      </c>
      <c r="I1105" s="2" t="s">
        <v>3253</v>
      </c>
      <c r="J1105" s="3" t="str">
        <f>HYPERLINK("https://www.boe.es/gazeta/dias/1811/11/14/pdfs/GMD-1811-318.pdf#page=5","Abrir facsímil")</f>
        <v>Abrir facsímil</v>
      </c>
      <c r="K1105" s="3" t="s">
        <v>150</v>
      </c>
    </row>
    <row r="1106" spans="1:11" ht="42" customHeight="1">
      <c r="A1106" s="2" t="s">
        <v>3254</v>
      </c>
      <c r="B1106" s="2" t="s">
        <v>3254</v>
      </c>
      <c r="C1106" s="2" t="s">
        <v>17</v>
      </c>
      <c r="D1106" s="2" t="s">
        <v>156</v>
      </c>
      <c r="E1106" s="4">
        <v>-32292</v>
      </c>
      <c r="F1106" s="3" t="s">
        <v>408</v>
      </c>
      <c r="G1106" s="3" t="s">
        <v>228</v>
      </c>
      <c r="H1106" s="2" t="s">
        <v>148</v>
      </c>
      <c r="I1106" s="2" t="s">
        <v>3255</v>
      </c>
      <c r="J1106" s="3" t="str">
        <f>HYPERLINK("https://www.boe.es/gazeta/dias/1811/08/02/pdfs/GMD-1811-214.pdf#page=3","Abrir facsímil")</f>
        <v>Abrir facsímil</v>
      </c>
      <c r="K1106" s="3" t="s">
        <v>150</v>
      </c>
    </row>
    <row r="1107" spans="1:11" ht="42" customHeight="1">
      <c r="A1107" s="2" t="s">
        <v>3256</v>
      </c>
      <c r="B1107" s="2" t="s">
        <v>3256</v>
      </c>
      <c r="C1107" s="2" t="s">
        <v>17</v>
      </c>
      <c r="D1107" s="2" t="s">
        <v>18</v>
      </c>
      <c r="E1107" s="4">
        <v>-32226</v>
      </c>
      <c r="F1107" s="3" t="s">
        <v>618</v>
      </c>
      <c r="G1107" s="3" t="s">
        <v>115</v>
      </c>
      <c r="H1107" s="2" t="s">
        <v>148</v>
      </c>
      <c r="I1107" s="2" t="s">
        <v>3257</v>
      </c>
      <c r="J1107" s="3" t="str">
        <f>HYPERLINK("https://www.boe.es/gazeta/dias/1811/10/07/pdfs/GMD-1811-280.pdf#page=3","Abrir facsímil")</f>
        <v>Abrir facsímil</v>
      </c>
      <c r="K1107" s="3" t="s">
        <v>150</v>
      </c>
    </row>
    <row r="1108" spans="1:11" ht="42" customHeight="1">
      <c r="A1108" s="2" t="s">
        <v>3258</v>
      </c>
      <c r="B1108" s="2" t="s">
        <v>3258</v>
      </c>
      <c r="C1108" s="2" t="s">
        <v>17</v>
      </c>
      <c r="D1108" s="2" t="s">
        <v>18</v>
      </c>
      <c r="E1108" s="4">
        <v>-32491</v>
      </c>
      <c r="F1108" s="3" t="s">
        <v>533</v>
      </c>
      <c r="G1108" s="3" t="s">
        <v>515</v>
      </c>
      <c r="H1108" s="2" t="s">
        <v>148</v>
      </c>
      <c r="I1108" s="2" t="s">
        <v>3259</v>
      </c>
      <c r="J1108" s="3" t="str">
        <f>HYPERLINK("https://www.boe.es/gazeta/dias/1811/01/15/pdfs/GEI-1811-7.pdf#page=6","Abrir facsímil")</f>
        <v>Abrir facsímil</v>
      </c>
      <c r="K1108" s="3" t="s">
        <v>150</v>
      </c>
    </row>
    <row r="1109" spans="1:11" ht="42" customHeight="1">
      <c r="A1109" s="2" t="s">
        <v>3258</v>
      </c>
      <c r="B1109" s="2" t="s">
        <v>3258</v>
      </c>
      <c r="C1109" s="2" t="s">
        <v>17</v>
      </c>
      <c r="D1109" s="2" t="s">
        <v>156</v>
      </c>
      <c r="E1109" s="4">
        <v>-32491</v>
      </c>
      <c r="F1109" s="3" t="s">
        <v>533</v>
      </c>
      <c r="G1109" s="3" t="s">
        <v>256</v>
      </c>
      <c r="H1109" s="2" t="s">
        <v>148</v>
      </c>
      <c r="I1109" s="2" t="s">
        <v>3260</v>
      </c>
      <c r="J1109" s="3" t="str">
        <f>HYPERLINK("https://www.boe.es/gazeta/dias/1811/01/15/pdfs/GEI-1811-7.pdf#page=7","Abrir facsímil")</f>
        <v>Abrir facsímil</v>
      </c>
      <c r="K1109" s="3" t="s">
        <v>150</v>
      </c>
    </row>
    <row r="1110" spans="1:11" ht="42" customHeight="1">
      <c r="A1110" s="2" t="s">
        <v>3261</v>
      </c>
      <c r="B1110" s="2" t="s">
        <v>3261</v>
      </c>
      <c r="C1110" s="2" t="s">
        <v>17</v>
      </c>
      <c r="D1110" s="2" t="s">
        <v>18</v>
      </c>
      <c r="E1110" s="4">
        <v>-32251</v>
      </c>
      <c r="F1110" s="3" t="s">
        <v>1089</v>
      </c>
      <c r="G1110" s="3" t="s">
        <v>488</v>
      </c>
      <c r="H1110" s="2" t="s">
        <v>148</v>
      </c>
      <c r="I1110" s="2" t="s">
        <v>3262</v>
      </c>
      <c r="J1110" s="3" t="str">
        <f>HYPERLINK("https://www.boe.es/gazeta/dias/1811/09/12/pdfs/GMD-1811-255.pdf#page=2","Abrir facsímil")</f>
        <v>Abrir facsímil</v>
      </c>
      <c r="K1110" s="3" t="s">
        <v>150</v>
      </c>
    </row>
    <row r="1111" spans="1:11" ht="42" customHeight="1">
      <c r="A1111" s="2" t="s">
        <v>3263</v>
      </c>
      <c r="B1111" s="2" t="s">
        <v>3263</v>
      </c>
      <c r="C1111" s="2" t="s">
        <v>17</v>
      </c>
      <c r="D1111" s="2" t="s">
        <v>156</v>
      </c>
      <c r="E1111" s="4">
        <v>-32321</v>
      </c>
      <c r="F1111" s="3" t="s">
        <v>2344</v>
      </c>
      <c r="G1111" s="3" t="s">
        <v>245</v>
      </c>
      <c r="H1111" s="2" t="s">
        <v>148</v>
      </c>
      <c r="I1111" s="2" t="s">
        <v>3264</v>
      </c>
      <c r="J1111" s="3" t="str">
        <f>HYPERLINK("https://www.boe.es/gazeta/dias/1811/07/04/pdfs/GMD-1811-185.pdf#page=3","Abrir facsímil")</f>
        <v>Abrir facsímil</v>
      </c>
      <c r="K1111" s="3" t="s">
        <v>150</v>
      </c>
    </row>
    <row r="1112" spans="1:11" ht="42" customHeight="1">
      <c r="A1112" s="2" t="s">
        <v>3265</v>
      </c>
      <c r="B1112" s="2" t="s">
        <v>3265</v>
      </c>
      <c r="C1112" s="2" t="s">
        <v>84</v>
      </c>
      <c r="D1112" s="2" t="s">
        <v>18</v>
      </c>
      <c r="E1112" s="4">
        <v>-32210</v>
      </c>
      <c r="F1112" s="3" t="s">
        <v>1737</v>
      </c>
      <c r="G1112" s="3" t="s">
        <v>391</v>
      </c>
      <c r="H1112" s="2" t="s">
        <v>148</v>
      </c>
      <c r="I1112" s="2" t="s">
        <v>3266</v>
      </c>
      <c r="J1112" s="3" t="str">
        <f>HYPERLINK("https://www.boe.es/gazeta/dias/1811/10/23/pdfs/GMD-1811-296.pdf#page=1","Abrir facsímil")</f>
        <v>Abrir facsímil</v>
      </c>
      <c r="K1112" s="3" t="s">
        <v>150</v>
      </c>
    </row>
    <row r="1113" spans="1:11" ht="42" customHeight="1">
      <c r="A1113" s="2" t="s">
        <v>3267</v>
      </c>
      <c r="B1113" s="2" t="s">
        <v>3268</v>
      </c>
      <c r="C1113" s="2" t="s">
        <v>26</v>
      </c>
      <c r="D1113" s="2" t="s">
        <v>105</v>
      </c>
      <c r="E1113" s="4">
        <v>-32179</v>
      </c>
      <c r="F1113" s="3" t="s">
        <v>3269</v>
      </c>
      <c r="G1113" s="3" t="s">
        <v>91</v>
      </c>
      <c r="H1113" s="2" t="s">
        <v>148</v>
      </c>
      <c r="I1113" s="2" t="s">
        <v>3270</v>
      </c>
      <c r="J1113" s="3" t="str">
        <f>HYPERLINK("https://www.boe.es/gazeta/dias/1811/11/23/pdfs/GMD-1811-327.pdf#page=4","Abrir facsímil")</f>
        <v>Abrir facsímil</v>
      </c>
      <c r="K1113" s="3" t="s">
        <v>150</v>
      </c>
    </row>
    <row r="1114" spans="1:11" ht="42" customHeight="1">
      <c r="A1114" s="2" t="s">
        <v>3271</v>
      </c>
      <c r="B1114" s="2" t="s">
        <v>3272</v>
      </c>
      <c r="C1114" s="2" t="s">
        <v>17</v>
      </c>
      <c r="D1114" s="2" t="s">
        <v>18</v>
      </c>
      <c r="E1114" s="4">
        <v>-32421</v>
      </c>
      <c r="F1114" s="3" t="s">
        <v>79</v>
      </c>
      <c r="G1114" s="3" t="s">
        <v>80</v>
      </c>
      <c r="H1114" s="2" t="s">
        <v>148</v>
      </c>
      <c r="I1114" s="2" t="s">
        <v>3273</v>
      </c>
      <c r="J1114" s="3" t="str">
        <f>HYPERLINK("https://www.boe.es/gazeta/dias/1811/03/26/pdfs/GEI-1811-42.pdf#page=7","Abrir facsímil")</f>
        <v>Abrir facsímil</v>
      </c>
      <c r="K1114" s="3" t="s">
        <v>150</v>
      </c>
    </row>
    <row r="1115" spans="1:11" ht="42" customHeight="1">
      <c r="A1115" s="2" t="s">
        <v>3274</v>
      </c>
      <c r="B1115" s="2" t="s">
        <v>3275</v>
      </c>
      <c r="C1115" s="2" t="s">
        <v>26</v>
      </c>
      <c r="D1115" s="2" t="s">
        <v>18</v>
      </c>
      <c r="E1115" s="4">
        <v>-32259</v>
      </c>
      <c r="F1115" s="3" t="s">
        <v>3276</v>
      </c>
      <c r="G1115" s="3" t="s">
        <v>47</v>
      </c>
      <c r="H1115" s="2" t="s">
        <v>148</v>
      </c>
      <c r="I1115" s="2" t="s">
        <v>3277</v>
      </c>
      <c r="J1115" s="3" t="str">
        <f>HYPERLINK("https://www.boe.es/gazeta/dias/1811/09/04/pdfs/GMD-1811-247.pdf#page=4","Abrir facsímil")</f>
        <v>Abrir facsímil</v>
      </c>
      <c r="K1115" s="3" t="s">
        <v>150</v>
      </c>
    </row>
    <row r="1116" spans="1:11" ht="42" customHeight="1">
      <c r="A1116" s="2" t="s">
        <v>3278</v>
      </c>
      <c r="B1116" s="2" t="s">
        <v>3279</v>
      </c>
      <c r="C1116" s="2" t="s">
        <v>26</v>
      </c>
      <c r="D1116" s="2" t="s">
        <v>141</v>
      </c>
      <c r="E1116" s="4">
        <v>-32396</v>
      </c>
      <c r="F1116" s="3" t="s">
        <v>804</v>
      </c>
      <c r="G1116" s="3" t="s">
        <v>805</v>
      </c>
      <c r="H1116" s="2" t="s">
        <v>148</v>
      </c>
      <c r="I1116" s="2" t="s">
        <v>3280</v>
      </c>
      <c r="J1116" s="3" t="str">
        <f>HYPERLINK("https://www.boe.es/gazeta/dias/1811/04/20/pdfs/GEI-D-1811-53.pdf#page=4","Abrir facsímil")</f>
        <v>Abrir facsímil</v>
      </c>
      <c r="K1116" s="3" t="s">
        <v>150</v>
      </c>
    </row>
    <row r="1117" spans="1:11" ht="42" customHeight="1">
      <c r="A1117" s="2" t="s">
        <v>3281</v>
      </c>
      <c r="B1117" s="2" t="s">
        <v>3282</v>
      </c>
      <c r="C1117" s="2" t="s">
        <v>17</v>
      </c>
      <c r="D1117" s="2" t="s">
        <v>18</v>
      </c>
      <c r="E1117" s="4">
        <v>-32398</v>
      </c>
      <c r="F1117" s="3" t="s">
        <v>946</v>
      </c>
      <c r="G1117" s="3" t="s">
        <v>947</v>
      </c>
      <c r="H1117" s="2" t="s">
        <v>148</v>
      </c>
      <c r="I1117" s="2" t="s">
        <v>3283</v>
      </c>
      <c r="J1117" s="3" t="str">
        <f>HYPERLINK("https://www.boe.es/gazeta/dias/1811/04/18/pdfs/GEI-1811-52.pdf#page=6","Abrir facsímil")</f>
        <v>Abrir facsímil</v>
      </c>
      <c r="K1117" s="3" t="s">
        <v>150</v>
      </c>
    </row>
    <row r="1118" spans="1:11" ht="42" customHeight="1">
      <c r="A1118" s="2" t="s">
        <v>3284</v>
      </c>
      <c r="B1118" s="2" t="s">
        <v>3284</v>
      </c>
      <c r="C1118" s="2" t="s">
        <v>17</v>
      </c>
      <c r="D1118" s="2" t="s">
        <v>18</v>
      </c>
      <c r="E1118" s="4">
        <v>-32251</v>
      </c>
      <c r="F1118" s="3" t="s">
        <v>1089</v>
      </c>
      <c r="G1118" s="3" t="s">
        <v>488</v>
      </c>
      <c r="H1118" s="2" t="s">
        <v>148</v>
      </c>
      <c r="I1118" s="2" t="s">
        <v>3285</v>
      </c>
      <c r="J1118" s="3" t="str">
        <f>HYPERLINK("https://www.boe.es/gazeta/dias/1811/09/12/pdfs/GMD-1811-255.pdf#page=2","Abrir facsímil")</f>
        <v>Abrir facsímil</v>
      </c>
      <c r="K1118" s="3" t="s">
        <v>150</v>
      </c>
    </row>
    <row r="1119" spans="1:11" ht="42" customHeight="1">
      <c r="A1119" s="2" t="s">
        <v>3286</v>
      </c>
      <c r="B1119" s="2" t="s">
        <v>3287</v>
      </c>
      <c r="C1119" s="2" t="s">
        <v>26</v>
      </c>
      <c r="D1119" s="2" t="s">
        <v>18</v>
      </c>
      <c r="E1119" s="4">
        <v>-32386</v>
      </c>
      <c r="F1119" s="3" t="s">
        <v>1934</v>
      </c>
      <c r="G1119" s="3" t="s">
        <v>134</v>
      </c>
      <c r="H1119" s="2" t="s">
        <v>148</v>
      </c>
      <c r="I1119" s="2" t="s">
        <v>3288</v>
      </c>
      <c r="J1119" s="3" t="str">
        <f>HYPERLINK("https://www.boe.es/gazeta/dias/1811/04/30/pdfs/GEI-1811-57.pdf#page=8","Abrir facsímil")</f>
        <v>Abrir facsímil</v>
      </c>
      <c r="K1119" s="3" t="s">
        <v>150</v>
      </c>
    </row>
    <row r="1120" spans="1:11" ht="42" customHeight="1">
      <c r="A1120" s="2" t="s">
        <v>3289</v>
      </c>
      <c r="B1120" s="2" t="s">
        <v>3289</v>
      </c>
      <c r="C1120" s="2" t="s">
        <v>17</v>
      </c>
      <c r="D1120" s="2" t="s">
        <v>18</v>
      </c>
      <c r="E1120" s="4">
        <v>-32459</v>
      </c>
      <c r="F1120" s="3" t="s">
        <v>227</v>
      </c>
      <c r="G1120" s="3" t="s">
        <v>228</v>
      </c>
      <c r="H1120" s="2" t="s">
        <v>148</v>
      </c>
      <c r="I1120" s="2" t="s">
        <v>3290</v>
      </c>
      <c r="J1120" s="3" t="str">
        <f>HYPERLINK("https://www.boe.es/gazeta/dias/1811/02/16/pdfs/GMD-1811-47.pdf#page=3","Abrir facsímil")</f>
        <v>Abrir facsímil</v>
      </c>
      <c r="K1120" s="3" t="s">
        <v>150</v>
      </c>
    </row>
    <row r="1121" spans="1:11" ht="42" customHeight="1">
      <c r="A1121" s="2" t="s">
        <v>3291</v>
      </c>
      <c r="B1121" s="2" t="s">
        <v>3291</v>
      </c>
      <c r="C1121" s="2" t="s">
        <v>17</v>
      </c>
      <c r="D1121" s="2" t="s">
        <v>18</v>
      </c>
      <c r="E1121" s="4">
        <v>-32391</v>
      </c>
      <c r="F1121" s="3" t="s">
        <v>252</v>
      </c>
      <c r="G1121" s="3" t="s">
        <v>657</v>
      </c>
      <c r="H1121" s="2" t="s">
        <v>148</v>
      </c>
      <c r="I1121" s="2" t="s">
        <v>3292</v>
      </c>
      <c r="J1121" s="3" t="str">
        <f>HYPERLINK("https://www.boe.es/gazeta/dias/1811/04/25/pdfs/GEI-1811-55.pdf#page=2","Abrir facsímil")</f>
        <v>Abrir facsímil</v>
      </c>
      <c r="K1121" s="3" t="s">
        <v>150</v>
      </c>
    </row>
    <row r="1122" spans="1:11" ht="42" customHeight="1">
      <c r="A1122" s="2" t="s">
        <v>3293</v>
      </c>
      <c r="B1122" s="2" t="s">
        <v>3293</v>
      </c>
      <c r="C1122" s="2" t="s">
        <v>17</v>
      </c>
      <c r="D1122" s="2" t="s">
        <v>18</v>
      </c>
      <c r="E1122" s="4">
        <v>-32171</v>
      </c>
      <c r="F1122" s="3" t="s">
        <v>157</v>
      </c>
      <c r="G1122" s="3" t="s">
        <v>47</v>
      </c>
      <c r="H1122" s="2" t="s">
        <v>148</v>
      </c>
      <c r="I1122" s="2" t="s">
        <v>3294</v>
      </c>
      <c r="J1122" s="3" t="str">
        <f>HYPERLINK("https://www.boe.es/gazeta/dias/1811/12/01/pdfs/GMD-1811-335.pdf#page=2","Abrir facsímil")</f>
        <v>Abrir facsímil</v>
      </c>
      <c r="K1122" s="3" t="s">
        <v>150</v>
      </c>
    </row>
    <row r="1123" spans="1:11" ht="42" customHeight="1">
      <c r="A1123" s="2" t="s">
        <v>3295</v>
      </c>
      <c r="B1123" s="2" t="s">
        <v>3295</v>
      </c>
      <c r="C1123" s="2" t="s">
        <v>17</v>
      </c>
      <c r="D1123" s="2" t="s">
        <v>18</v>
      </c>
      <c r="E1123" s="4">
        <v>-32153</v>
      </c>
      <c r="F1123" s="3" t="s">
        <v>235</v>
      </c>
      <c r="G1123" s="3" t="s">
        <v>3296</v>
      </c>
      <c r="H1123" s="2" t="s">
        <v>148</v>
      </c>
      <c r="I1123" s="2" t="s">
        <v>3297</v>
      </c>
      <c r="J1123" s="3" t="str">
        <f>HYPERLINK("https://www.boe.es/gazeta/dias/1811/12/19/pdfs/GEI-1811-164.pdf#page=1","Abrir facsímil")</f>
        <v>Abrir facsímil</v>
      </c>
      <c r="K1123" s="3" t="s">
        <v>150</v>
      </c>
    </row>
    <row r="1124" spans="1:11" ht="42" customHeight="1">
      <c r="A1124" s="2" t="s">
        <v>3298</v>
      </c>
      <c r="B1124" s="2" t="s">
        <v>3299</v>
      </c>
      <c r="C1124" s="2" t="s">
        <v>26</v>
      </c>
      <c r="D1124" s="2" t="s">
        <v>18</v>
      </c>
      <c r="E1124" s="4">
        <v>-32158</v>
      </c>
      <c r="F1124" s="3" t="s">
        <v>46</v>
      </c>
      <c r="G1124" s="3" t="s">
        <v>47</v>
      </c>
      <c r="H1124" s="2" t="s">
        <v>148</v>
      </c>
      <c r="I1124" s="2" t="s">
        <v>3300</v>
      </c>
      <c r="J1124" s="3" t="str">
        <f>HYPERLINK("https://www.boe.es/gazeta/dias/1811/12/14/pdfs/GEI-1811-162.pdf#page=7","Abrir facsímil")</f>
        <v>Abrir facsímil</v>
      </c>
      <c r="K1124" s="3" t="s">
        <v>150</v>
      </c>
    </row>
    <row r="1125" spans="1:11" ht="42" customHeight="1">
      <c r="A1125" s="2" t="s">
        <v>3301</v>
      </c>
      <c r="B1125" s="2" t="s">
        <v>3302</v>
      </c>
      <c r="C1125" s="2" t="s">
        <v>26</v>
      </c>
      <c r="D1125" s="2" t="s">
        <v>141</v>
      </c>
      <c r="E1125" s="4">
        <v>-32249</v>
      </c>
      <c r="F1125" s="3" t="s">
        <v>743</v>
      </c>
      <c r="G1125" s="3" t="s">
        <v>1021</v>
      </c>
      <c r="H1125" s="2" t="s">
        <v>148</v>
      </c>
      <c r="I1125" s="2" t="s">
        <v>3303</v>
      </c>
      <c r="J1125" s="3" t="str">
        <f>HYPERLINK("https://www.boe.es/gazeta/dias/1811/09/14/pdfs/GMD-C-1811-257.pdf#page=2","Abrir facsímil")</f>
        <v>Abrir facsímil</v>
      </c>
      <c r="K1125" s="3" t="s">
        <v>150</v>
      </c>
    </row>
    <row r="1126" spans="1:11" ht="42" customHeight="1">
      <c r="A1126" s="2" t="s">
        <v>3304</v>
      </c>
      <c r="B1126" s="2" t="s">
        <v>3304</v>
      </c>
      <c r="C1126" s="2" t="s">
        <v>17</v>
      </c>
      <c r="D1126" s="2" t="s">
        <v>18</v>
      </c>
      <c r="E1126" s="4">
        <v>-32269</v>
      </c>
      <c r="F1126" s="3" t="s">
        <v>56</v>
      </c>
      <c r="G1126" s="3" t="s">
        <v>57</v>
      </c>
      <c r="H1126" s="2" t="s">
        <v>148</v>
      </c>
      <c r="I1126" s="2" t="s">
        <v>3305</v>
      </c>
      <c r="J1126" s="3" t="str">
        <f>HYPERLINK("https://www.boe.es/gazeta/dias/1811/08/25/pdfs/GMD-1811-237.pdf#page=2","Abrir facsímil")</f>
        <v>Abrir facsímil</v>
      </c>
      <c r="K1126" s="3" t="s">
        <v>150</v>
      </c>
    </row>
    <row r="1127" spans="1:11" ht="42" customHeight="1">
      <c r="A1127" s="2" t="s">
        <v>3306</v>
      </c>
      <c r="B1127" s="2" t="s">
        <v>3307</v>
      </c>
      <c r="C1127" s="2" t="s">
        <v>26</v>
      </c>
      <c r="D1127" s="2" t="s">
        <v>18</v>
      </c>
      <c r="E1127" s="4">
        <v>-32158</v>
      </c>
      <c r="F1127" s="3" t="s">
        <v>46</v>
      </c>
      <c r="G1127" s="3" t="s">
        <v>47</v>
      </c>
      <c r="H1127" s="2" t="s">
        <v>148</v>
      </c>
      <c r="I1127" s="2" t="s">
        <v>3308</v>
      </c>
      <c r="J1127" s="3" t="str">
        <f>HYPERLINK("https://www.boe.es/gazeta/dias/1811/12/14/pdfs/GEI-1811-162.pdf#page=7","Abrir facsímil")</f>
        <v>Abrir facsímil</v>
      </c>
      <c r="K1127" s="3" t="s">
        <v>150</v>
      </c>
    </row>
    <row r="1128" spans="1:11" ht="42" customHeight="1">
      <c r="A1128" s="2" t="s">
        <v>3309</v>
      </c>
      <c r="B1128" s="2" t="s">
        <v>3309</v>
      </c>
      <c r="C1128" s="2" t="s">
        <v>17</v>
      </c>
      <c r="D1128" s="2" t="s">
        <v>156</v>
      </c>
      <c r="E1128" s="4">
        <v>-32183</v>
      </c>
      <c r="F1128" s="3" t="s">
        <v>3310</v>
      </c>
      <c r="G1128" s="3" t="s">
        <v>44</v>
      </c>
      <c r="H1128" s="2" t="s">
        <v>148</v>
      </c>
      <c r="I1128" s="2" t="s">
        <v>3311</v>
      </c>
      <c r="J1128" s="3" t="str">
        <f>HYPERLINK("https://www.boe.es/gazeta/dias/1811/11/19/pdfs/GEI-1811-151.pdf#page=6","Abrir facsímil")</f>
        <v>Abrir facsímil</v>
      </c>
      <c r="K1128" s="3" t="s">
        <v>150</v>
      </c>
    </row>
    <row r="1129" spans="1:11" ht="42" customHeight="1">
      <c r="A1129" s="2" t="s">
        <v>3312</v>
      </c>
      <c r="B1129" s="2" t="s">
        <v>3312</v>
      </c>
      <c r="C1129" s="2" t="s">
        <v>17</v>
      </c>
      <c r="D1129" s="2" t="s">
        <v>156</v>
      </c>
      <c r="E1129" s="4">
        <v>-32384</v>
      </c>
      <c r="F1129" s="3" t="s">
        <v>338</v>
      </c>
      <c r="G1129" s="3" t="s">
        <v>2786</v>
      </c>
      <c r="H1129" s="2" t="s">
        <v>148</v>
      </c>
      <c r="I1129" s="2" t="s">
        <v>3313</v>
      </c>
      <c r="J1129" s="3" t="str">
        <f>HYPERLINK("https://www.boe.es/gazeta/dias/1811/05/02/pdfs/GEI-1811-58.pdf#page=7","Abrir facsímil")</f>
        <v>Abrir facsímil</v>
      </c>
      <c r="K1129" s="3" t="s">
        <v>150</v>
      </c>
    </row>
    <row r="1130" spans="1:11" ht="42" customHeight="1">
      <c r="A1130" s="2" t="s">
        <v>3314</v>
      </c>
      <c r="B1130" s="2" t="s">
        <v>3314</v>
      </c>
      <c r="C1130" s="2" t="s">
        <v>26</v>
      </c>
      <c r="D1130" s="2" t="s">
        <v>141</v>
      </c>
      <c r="E1130" s="4">
        <v>-32389</v>
      </c>
      <c r="F1130" s="3" t="s">
        <v>524</v>
      </c>
      <c r="G1130" s="3" t="s">
        <v>2565</v>
      </c>
      <c r="H1130" s="2" t="s">
        <v>148</v>
      </c>
      <c r="I1130" s="2" t="s">
        <v>3315</v>
      </c>
      <c r="J1130" s="3" t="str">
        <f>HYPERLINK("https://www.boe.es/gazeta/dias/1811/04/27/pdfs/GEI-D-1811-56.pdf#page=3","Abrir facsímil")</f>
        <v>Abrir facsímil</v>
      </c>
      <c r="K1130" s="3" t="s">
        <v>150</v>
      </c>
    </row>
    <row r="1131" spans="1:11" ht="42" customHeight="1">
      <c r="A1131" s="2" t="s">
        <v>3316</v>
      </c>
      <c r="B1131" s="2" t="s">
        <v>3316</v>
      </c>
      <c r="C1131" s="2" t="s">
        <v>17</v>
      </c>
      <c r="D1131" s="2" t="s">
        <v>156</v>
      </c>
      <c r="E1131" s="4">
        <v>-32342</v>
      </c>
      <c r="F1131" s="3" t="s">
        <v>1474</v>
      </c>
      <c r="G1131" s="3" t="s">
        <v>44</v>
      </c>
      <c r="H1131" s="2" t="s">
        <v>148</v>
      </c>
      <c r="I1131" s="2" t="s">
        <v>3317</v>
      </c>
      <c r="J1131" s="3" t="str">
        <f>HYPERLINK("https://www.boe.es/gazeta/dias/1811/06/13/pdfs/GEI-1811-79.pdf#page=3","Abrir facsímil")</f>
        <v>Abrir facsímil</v>
      </c>
      <c r="K1131" s="3" t="s">
        <v>150</v>
      </c>
    </row>
    <row r="1132" spans="1:11" ht="42" customHeight="1">
      <c r="A1132" s="2" t="s">
        <v>3318</v>
      </c>
      <c r="B1132" s="2" t="s">
        <v>3318</v>
      </c>
      <c r="C1132" s="2" t="s">
        <v>17</v>
      </c>
      <c r="D1132" s="2" t="s">
        <v>156</v>
      </c>
      <c r="E1132" s="4">
        <v>-32340</v>
      </c>
      <c r="F1132" s="3" t="s">
        <v>565</v>
      </c>
      <c r="G1132" s="3" t="s">
        <v>1054</v>
      </c>
      <c r="H1132" s="2" t="s">
        <v>148</v>
      </c>
      <c r="I1132" s="2" t="s">
        <v>3319</v>
      </c>
      <c r="J1132" s="3" t="str">
        <f>HYPERLINK("https://www.boe.es/gazeta/dias/1811/06/15/pdfs/GEI-1811-80.pdf#page=3","Abrir facsímil")</f>
        <v>Abrir facsímil</v>
      </c>
      <c r="K1132" s="3" t="s">
        <v>150</v>
      </c>
    </row>
    <row r="1133" spans="1:11" ht="42" customHeight="1">
      <c r="A1133" s="2" t="s">
        <v>3320</v>
      </c>
      <c r="B1133" s="2" t="s">
        <v>3320</v>
      </c>
      <c r="C1133" s="2" t="s">
        <v>17</v>
      </c>
      <c r="D1133" s="2" t="s">
        <v>156</v>
      </c>
      <c r="E1133" s="4">
        <v>-32428</v>
      </c>
      <c r="F1133" s="3" t="s">
        <v>351</v>
      </c>
      <c r="G1133" s="3" t="s">
        <v>352</v>
      </c>
      <c r="H1133" s="2" t="s">
        <v>148</v>
      </c>
      <c r="I1133" s="2" t="s">
        <v>3321</v>
      </c>
      <c r="J1133" s="3" t="str">
        <f>HYPERLINK("https://www.boe.es/gazeta/dias/1811/03/19/pdfs/GMD-1811-78.pdf#page=4","Abrir facsímil")</f>
        <v>Abrir facsímil</v>
      </c>
      <c r="K1133" s="3" t="s">
        <v>150</v>
      </c>
    </row>
    <row r="1134" spans="1:11" ht="42" customHeight="1">
      <c r="A1134" s="2" t="s">
        <v>3322</v>
      </c>
      <c r="B1134" s="2" t="s">
        <v>3322</v>
      </c>
      <c r="C1134" s="2" t="s">
        <v>17</v>
      </c>
      <c r="D1134" s="2" t="s">
        <v>18</v>
      </c>
      <c r="E1134" s="4">
        <v>-32307</v>
      </c>
      <c r="F1134" s="3" t="s">
        <v>1112</v>
      </c>
      <c r="G1134" s="3" t="s">
        <v>248</v>
      </c>
      <c r="H1134" s="2" t="s">
        <v>148</v>
      </c>
      <c r="I1134" s="2" t="s">
        <v>3323</v>
      </c>
      <c r="J1134" s="3" t="str">
        <f>HYPERLINK("https://www.boe.es/gazeta/dias/1811/07/18/pdfs/GEI-1811-94.pdf#page=6","Abrir facsímil")</f>
        <v>Abrir facsímil</v>
      </c>
      <c r="K1134" s="3" t="s">
        <v>150</v>
      </c>
    </row>
    <row r="1135" spans="1:11" ht="42" customHeight="1">
      <c r="A1135" s="2" t="s">
        <v>3324</v>
      </c>
      <c r="B1135" s="2" t="s">
        <v>3325</v>
      </c>
      <c r="C1135" s="2" t="s">
        <v>17</v>
      </c>
      <c r="D1135" s="2" t="s">
        <v>156</v>
      </c>
      <c r="E1135" s="4">
        <v>-32305</v>
      </c>
      <c r="F1135" s="3" t="s">
        <v>1575</v>
      </c>
      <c r="G1135" s="3" t="s">
        <v>1054</v>
      </c>
      <c r="H1135" s="2" t="s">
        <v>148</v>
      </c>
      <c r="I1135" s="2" t="s">
        <v>3326</v>
      </c>
      <c r="J1135" s="3" t="str">
        <f>HYPERLINK("https://www.boe.es/gazeta/dias/1811/07/20/pdfs/GEI-1811-95.pdf#page=2","Abrir facsímil")</f>
        <v>Abrir facsímil</v>
      </c>
      <c r="K1135" s="3" t="s">
        <v>150</v>
      </c>
    </row>
    <row r="1136" spans="1:11" ht="42" customHeight="1">
      <c r="A1136" s="2" t="s">
        <v>3327</v>
      </c>
      <c r="B1136" s="2" t="s">
        <v>3328</v>
      </c>
      <c r="C1136" s="2" t="s">
        <v>17</v>
      </c>
      <c r="D1136" s="2" t="s">
        <v>18</v>
      </c>
      <c r="E1136" s="4">
        <v>-32344</v>
      </c>
      <c r="F1136" s="3" t="s">
        <v>761</v>
      </c>
      <c r="G1136" s="3" t="s">
        <v>28</v>
      </c>
      <c r="H1136" s="2" t="s">
        <v>148</v>
      </c>
      <c r="I1136" s="2" t="s">
        <v>3329</v>
      </c>
      <c r="J1136" s="3" t="str">
        <f>HYPERLINK("https://www.boe.es/gazeta/dias/1811/06/11/pdfs/GEI-1811-78.pdf#page=8","Abrir facsímil")</f>
        <v>Abrir facsímil</v>
      </c>
      <c r="K1136" s="3" t="s">
        <v>150</v>
      </c>
    </row>
    <row r="1137" spans="1:11" ht="42" customHeight="1">
      <c r="A1137" s="2" t="s">
        <v>3330</v>
      </c>
      <c r="B1137" s="2" t="s">
        <v>3331</v>
      </c>
      <c r="C1137" s="2" t="s">
        <v>26</v>
      </c>
      <c r="D1137" s="2" t="s">
        <v>18</v>
      </c>
      <c r="E1137" s="4">
        <v>-32288</v>
      </c>
      <c r="F1137" s="3" t="s">
        <v>95</v>
      </c>
      <c r="G1137" s="3" t="s">
        <v>47</v>
      </c>
      <c r="H1137" s="2" t="s">
        <v>148</v>
      </c>
      <c r="I1137" s="2" t="s">
        <v>3332</v>
      </c>
      <c r="J1137" s="3" t="str">
        <f>HYPERLINK("https://www.boe.es/gazeta/dias/1811/08/06/pdfs/GEI-1811-102.pdf#page=8","Abrir facsímil")</f>
        <v>Abrir facsímil</v>
      </c>
      <c r="K1137" s="3" t="s">
        <v>150</v>
      </c>
    </row>
    <row r="1138" spans="1:11" ht="42" customHeight="1">
      <c r="A1138" s="2" t="s">
        <v>3333</v>
      </c>
      <c r="B1138" s="2" t="s">
        <v>3333</v>
      </c>
      <c r="C1138" s="2" t="s">
        <v>17</v>
      </c>
      <c r="D1138" s="2" t="s">
        <v>156</v>
      </c>
      <c r="E1138" s="4">
        <v>-32349</v>
      </c>
      <c r="F1138" s="3" t="s">
        <v>239</v>
      </c>
      <c r="G1138" s="3" t="s">
        <v>240</v>
      </c>
      <c r="H1138" s="2" t="s">
        <v>148</v>
      </c>
      <c r="I1138" s="2" t="s">
        <v>3334</v>
      </c>
      <c r="J1138" s="3" t="str">
        <f>HYPERLINK("https://www.boe.es/gazeta/dias/1811/06/06/pdfs/GEI-1811-76.pdf#page=6","Abrir facsímil")</f>
        <v>Abrir facsímil</v>
      </c>
      <c r="K1138" s="3" t="s">
        <v>150</v>
      </c>
    </row>
    <row r="1139" spans="1:11" ht="42" customHeight="1">
      <c r="A1139" s="2" t="s">
        <v>3335</v>
      </c>
      <c r="B1139" s="2" t="s">
        <v>3335</v>
      </c>
      <c r="C1139" s="2" t="s">
        <v>26</v>
      </c>
      <c r="D1139" s="2" t="s">
        <v>18</v>
      </c>
      <c r="E1139" s="4">
        <v>-32188</v>
      </c>
      <c r="F1139" s="3" t="s">
        <v>74</v>
      </c>
      <c r="G1139" s="3" t="s">
        <v>2196</v>
      </c>
      <c r="H1139" s="2" t="s">
        <v>148</v>
      </c>
      <c r="I1139" s="2" t="s">
        <v>3336</v>
      </c>
      <c r="J1139" s="3" t="str">
        <f>HYPERLINK("https://www.boe.es/gazeta/dias/1811/11/14/pdfs/GEI-1811-149.pdf#page=7","Abrir facsímil")</f>
        <v>Abrir facsímil</v>
      </c>
      <c r="K1139" s="3" t="s">
        <v>150</v>
      </c>
    </row>
    <row r="1140" spans="1:11" ht="42" customHeight="1">
      <c r="A1140" s="2" t="s">
        <v>3337</v>
      </c>
      <c r="B1140" s="2" t="s">
        <v>3338</v>
      </c>
      <c r="C1140" s="2" t="s">
        <v>17</v>
      </c>
      <c r="D1140" s="2" t="s">
        <v>18</v>
      </c>
      <c r="E1140" s="4">
        <v>-32505</v>
      </c>
      <c r="F1140" s="3" t="s">
        <v>475</v>
      </c>
      <c r="G1140" s="3" t="s">
        <v>755</v>
      </c>
      <c r="H1140" s="2" t="s">
        <v>148</v>
      </c>
      <c r="I1140" s="2" t="s">
        <v>3339</v>
      </c>
      <c r="J1140" s="3" t="str">
        <f>HYPERLINK("https://www.boe.es/gazeta/dias/1811/01/01/pdfs/GEI-1811-1.pdf#page=8","Abrir facsímil")</f>
        <v>Abrir facsímil</v>
      </c>
      <c r="K1140" s="3" t="s">
        <v>150</v>
      </c>
    </row>
    <row r="1141" spans="1:11" ht="42" customHeight="1">
      <c r="A1141" s="2" t="s">
        <v>3340</v>
      </c>
      <c r="B1141" s="2" t="s">
        <v>3340</v>
      </c>
      <c r="C1141" s="2" t="s">
        <v>26</v>
      </c>
      <c r="D1141" s="2" t="s">
        <v>18</v>
      </c>
      <c r="E1141" s="4">
        <v>-32172</v>
      </c>
      <c r="F1141" s="3" t="s">
        <v>300</v>
      </c>
      <c r="G1141" s="3" t="s">
        <v>301</v>
      </c>
      <c r="H1141" s="2" t="s">
        <v>148</v>
      </c>
      <c r="I1141" s="2" t="s">
        <v>3341</v>
      </c>
      <c r="J1141" s="3" t="str">
        <f>HYPERLINK("https://www.boe.es/gazeta/dias/1811/11/30/pdfs/GMD-1811-334.pdf#page=4","Abrir facsímil")</f>
        <v>Abrir facsímil</v>
      </c>
      <c r="K1141" s="3" t="s">
        <v>150</v>
      </c>
    </row>
    <row r="1142" spans="1:11" ht="42" customHeight="1">
      <c r="A1142" s="2" t="s">
        <v>3342</v>
      </c>
      <c r="B1142" s="2" t="s">
        <v>3342</v>
      </c>
      <c r="C1142" s="2" t="s">
        <v>17</v>
      </c>
      <c r="D1142" s="2" t="s">
        <v>18</v>
      </c>
      <c r="E1142" s="4">
        <v>-32400</v>
      </c>
      <c r="F1142" s="3" t="s">
        <v>3343</v>
      </c>
      <c r="G1142" s="3" t="s">
        <v>846</v>
      </c>
      <c r="H1142" s="2" t="s">
        <v>148</v>
      </c>
      <c r="I1142" s="2" t="s">
        <v>3344</v>
      </c>
      <c r="J1142" s="3" t="str">
        <f>HYPERLINK("https://www.boe.es/gazeta/dias/1811/04/16/pdfs/GMD-1811-106.pdf#page=3","Abrir facsímil")</f>
        <v>Abrir facsímil</v>
      </c>
      <c r="K1142" s="3" t="s">
        <v>150</v>
      </c>
    </row>
    <row r="1143" spans="1:11" ht="42" customHeight="1">
      <c r="A1143" s="2" t="s">
        <v>3345</v>
      </c>
      <c r="B1143" s="2" t="s">
        <v>3346</v>
      </c>
      <c r="C1143" s="2" t="s">
        <v>17</v>
      </c>
      <c r="D1143" s="2" t="s">
        <v>18</v>
      </c>
      <c r="E1143" s="4">
        <v>-32216</v>
      </c>
      <c r="F1143" s="3" t="s">
        <v>2739</v>
      </c>
      <c r="G1143" s="3" t="s">
        <v>3347</v>
      </c>
      <c r="H1143" s="2" t="s">
        <v>148</v>
      </c>
      <c r="I1143" s="2" t="s">
        <v>3348</v>
      </c>
      <c r="J1143" s="3" t="str">
        <f>HYPERLINK("https://www.boe.es/gazeta/dias/1811/10/17/pdfs/GEI-1811-134.pdf#page=2","Abrir facsímil")</f>
        <v>Abrir facsímil</v>
      </c>
      <c r="K1143" s="3" t="s">
        <v>150</v>
      </c>
    </row>
    <row r="1144" spans="1:11" ht="42" customHeight="1">
      <c r="A1144" s="2" t="s">
        <v>3345</v>
      </c>
      <c r="B1144" s="2" t="s">
        <v>3346</v>
      </c>
      <c r="C1144" s="2" t="s">
        <v>17</v>
      </c>
      <c r="D1144" s="2" t="s">
        <v>18</v>
      </c>
      <c r="E1144" s="4">
        <v>-32214</v>
      </c>
      <c r="F1144" s="3" t="s">
        <v>1753</v>
      </c>
      <c r="G1144" s="3" t="s">
        <v>91</v>
      </c>
      <c r="H1144" s="2" t="s">
        <v>148</v>
      </c>
      <c r="I1144" s="2" t="s">
        <v>3349</v>
      </c>
      <c r="J1144" s="3" t="str">
        <f>HYPERLINK("https://www.boe.es/gazeta/dias/1811/10/19/pdfs/GEI-1811-135.pdf#page=7","Abrir facsímil")</f>
        <v>Abrir facsímil</v>
      </c>
      <c r="K1144" s="3" t="s">
        <v>150</v>
      </c>
    </row>
    <row r="1145" spans="1:11" ht="42" customHeight="1">
      <c r="A1145" s="2" t="s">
        <v>3345</v>
      </c>
      <c r="B1145" s="2" t="s">
        <v>3346</v>
      </c>
      <c r="C1145" s="2" t="s">
        <v>17</v>
      </c>
      <c r="D1145" s="2" t="s">
        <v>18</v>
      </c>
      <c r="E1145" s="4">
        <v>-32214</v>
      </c>
      <c r="F1145" s="3" t="s">
        <v>1753</v>
      </c>
      <c r="G1145" s="3" t="s">
        <v>20</v>
      </c>
      <c r="H1145" s="2" t="s">
        <v>148</v>
      </c>
      <c r="I1145" s="2" t="s">
        <v>3350</v>
      </c>
      <c r="J1145" s="3" t="str">
        <f>HYPERLINK("https://www.boe.es/gazeta/dias/1811/10/19/pdfs/GEI-1811-135.pdf#page=8","Abrir facsímil")</f>
        <v>Abrir facsímil</v>
      </c>
      <c r="K1145" s="3" t="s">
        <v>150</v>
      </c>
    </row>
    <row r="1146" spans="1:11" ht="42" customHeight="1">
      <c r="A1146" s="2" t="s">
        <v>3351</v>
      </c>
      <c r="B1146" s="2" t="s">
        <v>3352</v>
      </c>
      <c r="C1146" s="2" t="s">
        <v>26</v>
      </c>
      <c r="D1146" s="2" t="s">
        <v>141</v>
      </c>
      <c r="E1146" s="4">
        <v>-32280</v>
      </c>
      <c r="F1146" s="3" t="s">
        <v>142</v>
      </c>
      <c r="G1146" s="3" t="s">
        <v>597</v>
      </c>
      <c r="H1146" s="2" t="s">
        <v>148</v>
      </c>
      <c r="I1146" s="2" t="s">
        <v>3353</v>
      </c>
      <c r="J1146" s="3" t="str">
        <f>HYPERLINK("https://www.boe.es/gazeta/dias/1811/08/14/pdfs/GMD-C-1811-226.pdf#page=2","Abrir facsímil")</f>
        <v>Abrir facsímil</v>
      </c>
      <c r="K1146" s="3" t="s">
        <v>150</v>
      </c>
    </row>
    <row r="1147" spans="1:11" ht="42" customHeight="1">
      <c r="A1147" s="2" t="s">
        <v>3354</v>
      </c>
      <c r="B1147" s="2" t="s">
        <v>3354</v>
      </c>
      <c r="C1147" s="2" t="s">
        <v>17</v>
      </c>
      <c r="D1147" s="2" t="s">
        <v>18</v>
      </c>
      <c r="E1147" s="4">
        <v>-32338</v>
      </c>
      <c r="F1147" s="3" t="s">
        <v>3355</v>
      </c>
      <c r="G1147" s="3" t="s">
        <v>3356</v>
      </c>
      <c r="H1147" s="2" t="s">
        <v>148</v>
      </c>
      <c r="I1147" s="2" t="s">
        <v>3357</v>
      </c>
      <c r="J1147" s="3" t="str">
        <f>HYPERLINK("https://www.boe.es/gazeta/dias/1811/06/17/pdfs/GMD-1811-168.pdf#page=2","Abrir facsímil")</f>
        <v>Abrir facsímil</v>
      </c>
      <c r="K1147" s="3" t="s">
        <v>150</v>
      </c>
    </row>
    <row r="1148" spans="1:11" ht="42" customHeight="1">
      <c r="A1148" s="2" t="s">
        <v>3358</v>
      </c>
      <c r="B1148" s="2" t="s">
        <v>3359</v>
      </c>
      <c r="C1148" s="2" t="s">
        <v>26</v>
      </c>
      <c r="D1148" s="2" t="s">
        <v>18</v>
      </c>
      <c r="E1148" s="4">
        <v>-32284</v>
      </c>
      <c r="F1148" s="3" t="s">
        <v>170</v>
      </c>
      <c r="G1148" s="3" t="s">
        <v>1388</v>
      </c>
      <c r="H1148" s="2" t="s">
        <v>148</v>
      </c>
      <c r="I1148" s="2" t="s">
        <v>3360</v>
      </c>
      <c r="J1148" s="3" t="str">
        <f>HYPERLINK("https://www.boe.es/gazeta/dias/1811/08/10/pdfs/GEI-1811-104.pdf#page=8","Abrir facsímil")</f>
        <v>Abrir facsímil</v>
      </c>
      <c r="K1148" s="3" t="s">
        <v>150</v>
      </c>
    </row>
    <row r="1149" spans="1:11" ht="42" customHeight="1">
      <c r="A1149" s="2" t="s">
        <v>3361</v>
      </c>
      <c r="B1149" s="2" t="s">
        <v>3361</v>
      </c>
      <c r="C1149" s="2" t="s">
        <v>17</v>
      </c>
      <c r="D1149" s="2" t="s">
        <v>156</v>
      </c>
      <c r="E1149" s="4">
        <v>-32386</v>
      </c>
      <c r="F1149" s="3" t="s">
        <v>1934</v>
      </c>
      <c r="G1149" s="3" t="s">
        <v>2384</v>
      </c>
      <c r="H1149" s="2" t="s">
        <v>148</v>
      </c>
      <c r="I1149" s="2" t="s">
        <v>3362</v>
      </c>
      <c r="J1149" s="3" t="str">
        <f>HYPERLINK("https://www.boe.es/gazeta/dias/1811/04/30/pdfs/GEI-1811-57.pdf#page=5","Abrir facsímil")</f>
        <v>Abrir facsímil</v>
      </c>
      <c r="K1149" s="3" t="s">
        <v>150</v>
      </c>
    </row>
    <row r="1150" spans="1:11" ht="42" customHeight="1">
      <c r="A1150" s="2" t="s">
        <v>3361</v>
      </c>
      <c r="B1150" s="2" t="s">
        <v>3361</v>
      </c>
      <c r="C1150" s="2" t="s">
        <v>17</v>
      </c>
      <c r="D1150" s="2" t="s">
        <v>18</v>
      </c>
      <c r="E1150" s="4">
        <v>-32386</v>
      </c>
      <c r="F1150" s="3" t="s">
        <v>1934</v>
      </c>
      <c r="G1150" s="3" t="s">
        <v>214</v>
      </c>
      <c r="H1150" s="2" t="s">
        <v>148</v>
      </c>
      <c r="I1150" s="2" t="s">
        <v>3363</v>
      </c>
      <c r="J1150" s="3" t="str">
        <f>HYPERLINK("https://www.boe.es/gazeta/dias/1811/04/30/pdfs/GEI-1811-57.pdf#page=6","Abrir facsímil")</f>
        <v>Abrir facsímil</v>
      </c>
      <c r="K1150" s="3" t="s">
        <v>150</v>
      </c>
    </row>
    <row r="1151" spans="1:11" ht="42" customHeight="1">
      <c r="A1151" s="2" t="s">
        <v>3364</v>
      </c>
      <c r="B1151" s="2" t="s">
        <v>3364</v>
      </c>
      <c r="C1151" s="2" t="s">
        <v>17</v>
      </c>
      <c r="D1151" s="2" t="s">
        <v>18</v>
      </c>
      <c r="E1151" s="4">
        <v>-32379</v>
      </c>
      <c r="F1151" s="3" t="s">
        <v>462</v>
      </c>
      <c r="G1151" s="3" t="s">
        <v>1179</v>
      </c>
      <c r="H1151" s="2" t="s">
        <v>148</v>
      </c>
      <c r="I1151" s="2" t="s">
        <v>3365</v>
      </c>
      <c r="J1151" s="3" t="str">
        <f>HYPERLINK("https://www.boe.es/gazeta/dias/1811/05/07/pdfs/GEI-1811-60.pdf#page=6","Abrir facsímil")</f>
        <v>Abrir facsímil</v>
      </c>
      <c r="K1151" s="3" t="s">
        <v>150</v>
      </c>
    </row>
    <row r="1152" spans="1:11" ht="42" customHeight="1">
      <c r="A1152" s="2" t="s">
        <v>3366</v>
      </c>
      <c r="B1152" s="2" t="s">
        <v>3366</v>
      </c>
      <c r="C1152" s="2" t="s">
        <v>104</v>
      </c>
      <c r="D1152" s="2" t="s">
        <v>18</v>
      </c>
      <c r="E1152" s="4">
        <v>-32265</v>
      </c>
      <c r="F1152" s="3" t="s">
        <v>2375</v>
      </c>
      <c r="G1152" s="3" t="s">
        <v>3367</v>
      </c>
      <c r="H1152" s="2" t="s">
        <v>148</v>
      </c>
      <c r="I1152" s="2" t="s">
        <v>3368</v>
      </c>
      <c r="J1152" s="3" t="str">
        <f>HYPERLINK("https://www.boe.es/gazeta/dias/1811/08/29/pdfs/GEI-1811-112.pdf#page=8","Abrir facsímil")</f>
        <v>Abrir facsímil</v>
      </c>
      <c r="K1152" s="3" t="s">
        <v>150</v>
      </c>
    </row>
    <row r="1153" spans="1:11" ht="42" customHeight="1">
      <c r="A1153" s="2" t="s">
        <v>3369</v>
      </c>
      <c r="B1153" s="2" t="s">
        <v>3370</v>
      </c>
      <c r="C1153" s="2" t="s">
        <v>17</v>
      </c>
      <c r="D1153" s="2" t="s">
        <v>18</v>
      </c>
      <c r="E1153" s="4">
        <v>-32218</v>
      </c>
      <c r="F1153" s="3" t="s">
        <v>938</v>
      </c>
      <c r="G1153" s="3" t="s">
        <v>3371</v>
      </c>
      <c r="H1153" s="2" t="s">
        <v>148</v>
      </c>
      <c r="I1153" s="2" t="s">
        <v>3372</v>
      </c>
      <c r="J1153" s="3" t="str">
        <f>HYPERLINK("https://www.boe.es/gazeta/dias/1811/10/15/pdfs/GEI-1811-133.pdf#page=5","Abrir facsímil")</f>
        <v>Abrir facsímil</v>
      </c>
      <c r="K1153" s="3" t="s">
        <v>150</v>
      </c>
    </row>
    <row r="1154" spans="1:11" ht="42" customHeight="1">
      <c r="A1154" s="2" t="s">
        <v>3373</v>
      </c>
      <c r="B1154" s="2" t="s">
        <v>3374</v>
      </c>
      <c r="C1154" s="2" t="s">
        <v>104</v>
      </c>
      <c r="D1154" s="2" t="s">
        <v>18</v>
      </c>
      <c r="E1154" s="4">
        <v>-32235</v>
      </c>
      <c r="F1154" s="3" t="s">
        <v>190</v>
      </c>
      <c r="G1154" s="3" t="s">
        <v>188</v>
      </c>
      <c r="H1154" s="2" t="s">
        <v>148</v>
      </c>
      <c r="I1154" s="2" t="s">
        <v>3375</v>
      </c>
      <c r="J1154" s="3" t="str">
        <f>HYPERLINK("https://www.boe.es/gazeta/dias/1811/09/28/pdfs/GEI-1811-125.pdf#page=8","Abrir facsímil")</f>
        <v>Abrir facsímil</v>
      </c>
      <c r="K1154" s="3" t="s">
        <v>150</v>
      </c>
    </row>
    <row r="1155" spans="1:11" ht="42" customHeight="1">
      <c r="A1155" s="2" t="s">
        <v>3376</v>
      </c>
      <c r="B1155" s="2" t="s">
        <v>3377</v>
      </c>
      <c r="C1155" s="2" t="s">
        <v>17</v>
      </c>
      <c r="D1155" s="2" t="s">
        <v>18</v>
      </c>
      <c r="E1155" s="4">
        <v>-32218</v>
      </c>
      <c r="F1155" s="3" t="s">
        <v>938</v>
      </c>
      <c r="G1155" s="3" t="s">
        <v>939</v>
      </c>
      <c r="H1155" s="2" t="s">
        <v>148</v>
      </c>
      <c r="I1155" s="2" t="s">
        <v>3378</v>
      </c>
      <c r="J1155" s="3" t="str">
        <f>HYPERLINK("https://www.boe.es/gazeta/dias/1811/10/15/pdfs/GEI-1811-133.pdf#page=8","Abrir facsímil")</f>
        <v>Abrir facsímil</v>
      </c>
      <c r="K1155" s="3" t="s">
        <v>150</v>
      </c>
    </row>
    <row r="1156" spans="1:11" ht="42" customHeight="1">
      <c r="A1156" s="2" t="s">
        <v>3379</v>
      </c>
      <c r="B1156" s="2" t="s">
        <v>3379</v>
      </c>
      <c r="C1156" s="2" t="s">
        <v>26</v>
      </c>
      <c r="D1156" s="2" t="s">
        <v>18</v>
      </c>
      <c r="E1156" s="4">
        <v>-32344</v>
      </c>
      <c r="F1156" s="3" t="s">
        <v>761</v>
      </c>
      <c r="G1156" s="3" t="s">
        <v>3380</v>
      </c>
      <c r="H1156" s="2" t="s">
        <v>148</v>
      </c>
      <c r="I1156" s="2" t="s">
        <v>3381</v>
      </c>
      <c r="J1156" s="3" t="str">
        <f>HYPERLINK("https://www.boe.es/gazeta/dias/1811/06/11/pdfs/GEI-1811-78.pdf#page=6","Abrir facsímil")</f>
        <v>Abrir facsímil</v>
      </c>
      <c r="K1156" s="3" t="s">
        <v>150</v>
      </c>
    </row>
    <row r="1157" spans="1:11" ht="42" customHeight="1">
      <c r="A1157" s="2" t="s">
        <v>3382</v>
      </c>
      <c r="B1157" s="2" t="s">
        <v>3383</v>
      </c>
      <c r="C1157" s="2" t="s">
        <v>84</v>
      </c>
      <c r="D1157" s="2" t="s">
        <v>18</v>
      </c>
      <c r="E1157" s="4">
        <v>-32368</v>
      </c>
      <c r="F1157" s="3" t="s">
        <v>1561</v>
      </c>
      <c r="G1157" s="3" t="s">
        <v>57</v>
      </c>
      <c r="H1157" s="2" t="s">
        <v>148</v>
      </c>
      <c r="I1157" s="2" t="s">
        <v>3384</v>
      </c>
      <c r="J1157" s="3" t="str">
        <f>HYPERLINK("https://www.boe.es/gazeta/dias/1811/05/18/pdfs/GMD-1811-138.pdf#page=2","Abrir facsímil")</f>
        <v>Abrir facsímil</v>
      </c>
      <c r="K1157" s="3" t="s">
        <v>150</v>
      </c>
    </row>
    <row r="1158" spans="1:11" ht="42" customHeight="1">
      <c r="A1158" s="2" t="s">
        <v>3385</v>
      </c>
      <c r="B1158" s="2" t="s">
        <v>3386</v>
      </c>
      <c r="C1158" s="2" t="s">
        <v>17</v>
      </c>
      <c r="D1158" s="2" t="s">
        <v>18</v>
      </c>
      <c r="E1158" s="4">
        <v>-32498</v>
      </c>
      <c r="F1158" s="3" t="s">
        <v>828</v>
      </c>
      <c r="G1158" s="3" t="s">
        <v>331</v>
      </c>
      <c r="H1158" s="2" t="s">
        <v>148</v>
      </c>
      <c r="I1158" s="2" t="s">
        <v>3387</v>
      </c>
      <c r="J1158" s="3" t="str">
        <f>HYPERLINK("https://www.boe.es/gazeta/dias/1811/01/08/pdfs/GEI-1811-4.pdf#page=3","Abrir facsímil")</f>
        <v>Abrir facsímil</v>
      </c>
      <c r="K1158" s="3" t="s">
        <v>150</v>
      </c>
    </row>
    <row r="1159" spans="1:11" ht="42" customHeight="1">
      <c r="A1159" s="2" t="s">
        <v>3388</v>
      </c>
      <c r="B1159" s="2" t="s">
        <v>3389</v>
      </c>
      <c r="C1159" s="2" t="s">
        <v>84</v>
      </c>
      <c r="D1159" s="2" t="s">
        <v>105</v>
      </c>
      <c r="E1159" s="4">
        <v>-32288</v>
      </c>
      <c r="F1159" s="3" t="s">
        <v>95</v>
      </c>
      <c r="G1159" s="3" t="s">
        <v>47</v>
      </c>
      <c r="H1159" s="2" t="s">
        <v>148</v>
      </c>
      <c r="I1159" s="2" t="s">
        <v>3390</v>
      </c>
      <c r="J1159" s="3" t="str">
        <f>HYPERLINK("https://www.boe.es/gazeta/dias/1811/08/06/pdfs/GEI-1811-102.pdf#page=8","Abrir facsímil")</f>
        <v>Abrir facsímil</v>
      </c>
      <c r="K1159" s="3" t="s">
        <v>150</v>
      </c>
    </row>
    <row r="1160" spans="1:11" ht="42" customHeight="1">
      <c r="A1160" s="2" t="s">
        <v>3391</v>
      </c>
      <c r="B1160" s="2" t="s">
        <v>3391</v>
      </c>
      <c r="C1160" s="2" t="s">
        <v>17</v>
      </c>
      <c r="D1160" s="2" t="s">
        <v>18</v>
      </c>
      <c r="E1160" s="4">
        <v>-32414</v>
      </c>
      <c r="F1160" s="3" t="s">
        <v>213</v>
      </c>
      <c r="G1160" s="3" t="s">
        <v>91</v>
      </c>
      <c r="H1160" s="2" t="s">
        <v>148</v>
      </c>
      <c r="I1160" s="2" t="s">
        <v>3392</v>
      </c>
      <c r="J1160" s="3" t="str">
        <f>HYPERLINK("https://www.boe.es/gazeta/dias/1811/04/02/pdfs/GEI-1811-45.pdf#page=2","Abrir facsímil")</f>
        <v>Abrir facsímil</v>
      </c>
      <c r="K1160" s="3" t="s">
        <v>150</v>
      </c>
    </row>
    <row r="1161" spans="1:11" ht="42" customHeight="1">
      <c r="A1161" s="2" t="s">
        <v>3393</v>
      </c>
      <c r="B1161" s="2" t="s">
        <v>3393</v>
      </c>
      <c r="C1161" s="2" t="s">
        <v>17</v>
      </c>
      <c r="D1161" s="2" t="s">
        <v>18</v>
      </c>
      <c r="E1161" s="4">
        <v>-32487</v>
      </c>
      <c r="F1161" s="3" t="s">
        <v>3104</v>
      </c>
      <c r="G1161" s="3" t="s">
        <v>553</v>
      </c>
      <c r="H1161" s="2" t="s">
        <v>148</v>
      </c>
      <c r="I1161" s="2" t="s">
        <v>3394</v>
      </c>
      <c r="J1161" s="3" t="str">
        <f>HYPERLINK("https://www.boe.es/gazeta/dias/1811/01/19/pdfs/GMD-1811-19.pdf#page=3","Abrir facsímil")</f>
        <v>Abrir facsímil</v>
      </c>
      <c r="K1161" s="3" t="s">
        <v>150</v>
      </c>
    </row>
    <row r="1162" spans="1:11" ht="42" customHeight="1">
      <c r="A1162" s="2" t="s">
        <v>3395</v>
      </c>
      <c r="B1162" s="2" t="s">
        <v>3395</v>
      </c>
      <c r="C1162" s="2" t="s">
        <v>17</v>
      </c>
      <c r="D1162" s="2" t="s">
        <v>18</v>
      </c>
      <c r="E1162" s="4">
        <v>-32487</v>
      </c>
      <c r="F1162" s="3" t="s">
        <v>3104</v>
      </c>
      <c r="G1162" s="3" t="s">
        <v>409</v>
      </c>
      <c r="H1162" s="2" t="s">
        <v>148</v>
      </c>
      <c r="I1162" s="2" t="s">
        <v>3396</v>
      </c>
      <c r="J1162" s="3" t="str">
        <f>HYPERLINK("https://www.boe.es/gazeta/dias/1811/01/19/pdfs/GMD-1811-19.pdf#page=2","Abrir facsímil")</f>
        <v>Abrir facsímil</v>
      </c>
      <c r="K1162" s="3" t="s">
        <v>150</v>
      </c>
    </row>
    <row r="1163" spans="1:11" ht="42" customHeight="1">
      <c r="A1163" s="2" t="s">
        <v>3397</v>
      </c>
      <c r="B1163" s="2" t="s">
        <v>3398</v>
      </c>
      <c r="C1163" s="2" t="s">
        <v>17</v>
      </c>
      <c r="D1163" s="2" t="s">
        <v>156</v>
      </c>
      <c r="E1163" s="4">
        <v>-32473</v>
      </c>
      <c r="F1163" s="3" t="s">
        <v>3399</v>
      </c>
      <c r="G1163" s="3" t="s">
        <v>3400</v>
      </c>
      <c r="H1163" s="2" t="s">
        <v>148</v>
      </c>
      <c r="I1163" s="2" t="s">
        <v>3401</v>
      </c>
      <c r="J1163" s="3" t="str">
        <f>HYPERLINK("https://www.boe.es/gazeta/dias/1811/02/02/pdfs/GEI-1811-15.pdf#page=6","Abrir facsímil")</f>
        <v>Abrir facsímil</v>
      </c>
      <c r="K1163" s="3" t="s">
        <v>150</v>
      </c>
    </row>
    <row r="1164" spans="1:11" ht="42" customHeight="1">
      <c r="A1164" s="2" t="s">
        <v>3402</v>
      </c>
      <c r="B1164" s="2" t="s">
        <v>3403</v>
      </c>
      <c r="C1164" s="2" t="s">
        <v>17</v>
      </c>
      <c r="D1164" s="2" t="s">
        <v>18</v>
      </c>
      <c r="E1164" s="4">
        <v>-32204</v>
      </c>
      <c r="F1164" s="3" t="s">
        <v>1053</v>
      </c>
      <c r="G1164" s="3" t="s">
        <v>1963</v>
      </c>
      <c r="H1164" s="2" t="s">
        <v>148</v>
      </c>
      <c r="I1164" s="2" t="s">
        <v>3404</v>
      </c>
      <c r="J1164" s="3" t="str">
        <f>HYPERLINK("https://www.boe.es/gazeta/dias/1811/10/29/pdfs/GEI-1811-139.pdf#page=6","Abrir facsímil")</f>
        <v>Abrir facsímil</v>
      </c>
      <c r="K1164" s="3" t="s">
        <v>150</v>
      </c>
    </row>
    <row r="1165" spans="1:11" ht="42" customHeight="1">
      <c r="A1165" s="2" t="s">
        <v>3405</v>
      </c>
      <c r="B1165" s="2" t="s">
        <v>3405</v>
      </c>
      <c r="C1165" s="2" t="s">
        <v>17</v>
      </c>
      <c r="D1165" s="2" t="s">
        <v>18</v>
      </c>
      <c r="E1165" s="4">
        <v>-32185</v>
      </c>
      <c r="F1165" s="3" t="s">
        <v>1329</v>
      </c>
      <c r="G1165" s="3" t="s">
        <v>120</v>
      </c>
      <c r="H1165" s="2" t="s">
        <v>148</v>
      </c>
      <c r="I1165" s="2" t="s">
        <v>3406</v>
      </c>
      <c r="J1165" s="3" t="str">
        <f>HYPERLINK("https://www.boe.es/gazeta/dias/1811/11/17/pdfs/GMD-1811-321.pdf#page=4","Abrir facsímil")</f>
        <v>Abrir facsímil</v>
      </c>
      <c r="K1165" s="3" t="s">
        <v>150</v>
      </c>
    </row>
    <row r="1166" spans="1:11" ht="42" customHeight="1">
      <c r="A1166" s="2" t="s">
        <v>3407</v>
      </c>
      <c r="B1166" s="2" t="s">
        <v>3407</v>
      </c>
      <c r="C1166" s="2" t="s">
        <v>26</v>
      </c>
      <c r="D1166" s="2" t="s">
        <v>204</v>
      </c>
      <c r="E1166" s="4">
        <v>-32338</v>
      </c>
      <c r="F1166" s="3" t="s">
        <v>3355</v>
      </c>
      <c r="G1166" s="3" t="s">
        <v>3408</v>
      </c>
      <c r="H1166" s="2" t="s">
        <v>148</v>
      </c>
      <c r="I1166" s="2" t="s">
        <v>3409</v>
      </c>
      <c r="J1166" s="3" t="str">
        <f>HYPERLINK("https://www.boe.es/gazeta/dias/1811/06/17/pdfs/GMD-1811-168.pdf#page=1","Abrir facsímil")</f>
        <v>Abrir facsímil</v>
      </c>
      <c r="K1166" s="3" t="s">
        <v>150</v>
      </c>
    </row>
    <row r="1167" spans="1:11" ht="42" customHeight="1">
      <c r="A1167" s="2" t="s">
        <v>3410</v>
      </c>
      <c r="B1167" s="2" t="s">
        <v>3411</v>
      </c>
      <c r="C1167" s="2" t="s">
        <v>37</v>
      </c>
      <c r="D1167" s="2" t="s">
        <v>528</v>
      </c>
      <c r="E1167" s="4">
        <v>-32219</v>
      </c>
      <c r="F1167" s="3" t="s">
        <v>529</v>
      </c>
      <c r="G1167" s="3" t="s">
        <v>530</v>
      </c>
      <c r="H1167" s="2" t="s">
        <v>148</v>
      </c>
      <c r="I1167" s="2" t="s">
        <v>3412</v>
      </c>
      <c r="J1167" s="3" t="str">
        <f>HYPERLINK("https://www.boe.es/gazeta/dias/1811/10/14/pdfs/GEI-1811-132E.pdf#page=4","Abrir facsímil")</f>
        <v>Abrir facsímil</v>
      </c>
      <c r="K1167" s="3" t="s">
        <v>150</v>
      </c>
    </row>
    <row r="1168" spans="1:11" ht="42" customHeight="1">
      <c r="A1168" s="2" t="s">
        <v>3413</v>
      </c>
      <c r="B1168" s="2" t="s">
        <v>3413</v>
      </c>
      <c r="C1168" s="2" t="s">
        <v>26</v>
      </c>
      <c r="D1168" s="2" t="s">
        <v>18</v>
      </c>
      <c r="E1168" s="4">
        <v>-32429</v>
      </c>
      <c r="F1168" s="3" t="s">
        <v>770</v>
      </c>
      <c r="G1168" s="3" t="s">
        <v>183</v>
      </c>
      <c r="H1168" s="2" t="s">
        <v>148</v>
      </c>
      <c r="I1168" s="2" t="s">
        <v>3414</v>
      </c>
      <c r="J1168" s="3" t="str">
        <f>HYPERLINK("https://www.boe.es/gazeta/dias/1811/03/18/pdfs/GMD-1811-77.pdf#page=4","Abrir facsímil")</f>
        <v>Abrir facsímil</v>
      </c>
      <c r="K1168" s="3" t="s">
        <v>150</v>
      </c>
    </row>
    <row r="1169" spans="1:11" ht="42" customHeight="1">
      <c r="A1169" s="2" t="s">
        <v>3415</v>
      </c>
      <c r="B1169" s="2" t="s">
        <v>3416</v>
      </c>
      <c r="C1169" s="2" t="s">
        <v>26</v>
      </c>
      <c r="D1169" s="2" t="s">
        <v>18</v>
      </c>
      <c r="E1169" s="4">
        <v>-32270</v>
      </c>
      <c r="F1169" s="3" t="s">
        <v>431</v>
      </c>
      <c r="G1169" s="3" t="s">
        <v>2080</v>
      </c>
      <c r="H1169" s="2" t="s">
        <v>148</v>
      </c>
      <c r="I1169" s="2" t="s">
        <v>3417</v>
      </c>
      <c r="J1169" s="3" t="str">
        <f>HYPERLINK("https://www.boe.es/gazeta/dias/1811/08/24/pdfs/GEI-1811-110.pdf#page=5","Abrir facsímil")</f>
        <v>Abrir facsímil</v>
      </c>
      <c r="K1169" s="3" t="s">
        <v>150</v>
      </c>
    </row>
    <row r="1170" spans="1:11" ht="42" customHeight="1">
      <c r="A1170" s="2" t="s">
        <v>3418</v>
      </c>
      <c r="B1170" s="2" t="s">
        <v>3418</v>
      </c>
      <c r="C1170" s="2" t="s">
        <v>17</v>
      </c>
      <c r="D1170" s="2" t="s">
        <v>156</v>
      </c>
      <c r="E1170" s="4">
        <v>-32309</v>
      </c>
      <c r="F1170" s="3" t="s">
        <v>2496</v>
      </c>
      <c r="G1170" s="3" t="s">
        <v>3419</v>
      </c>
      <c r="H1170" s="2" t="s">
        <v>148</v>
      </c>
      <c r="I1170" s="2" t="s">
        <v>3420</v>
      </c>
      <c r="J1170" s="3" t="str">
        <f>HYPERLINK("https://www.boe.es/gazeta/dias/1811/07/16/pdfs/GEI-1811-93.pdf#page=4","Abrir facsímil")</f>
        <v>Abrir facsímil</v>
      </c>
      <c r="K1170" s="3" t="s">
        <v>150</v>
      </c>
    </row>
    <row r="1171" spans="1:11" ht="42" customHeight="1">
      <c r="A1171" s="2" t="s">
        <v>3421</v>
      </c>
      <c r="B1171" s="2" t="s">
        <v>3421</v>
      </c>
      <c r="C1171" s="2" t="s">
        <v>26</v>
      </c>
      <c r="D1171" s="2" t="s">
        <v>18</v>
      </c>
      <c r="E1171" s="4">
        <v>-32281</v>
      </c>
      <c r="F1171" s="3" t="s">
        <v>982</v>
      </c>
      <c r="G1171" s="3" t="s">
        <v>2751</v>
      </c>
      <c r="H1171" s="2" t="s">
        <v>148</v>
      </c>
      <c r="I1171" s="2" t="s">
        <v>3422</v>
      </c>
      <c r="J1171" s="3" t="str">
        <f>HYPERLINK("https://www.boe.es/gazeta/dias/1811/08/13/pdfs/GEI-1811-105.pdf#page=1","Abrir facsímil")</f>
        <v>Abrir facsímil</v>
      </c>
      <c r="K1171" s="3" t="s">
        <v>150</v>
      </c>
    </row>
    <row r="1172" spans="1:11" ht="42" customHeight="1">
      <c r="A1172" s="2" t="s">
        <v>3423</v>
      </c>
      <c r="B1172" s="2" t="s">
        <v>3423</v>
      </c>
      <c r="C1172" s="2" t="s">
        <v>17</v>
      </c>
      <c r="D1172" s="2" t="s">
        <v>18</v>
      </c>
      <c r="E1172" s="4">
        <v>-32372</v>
      </c>
      <c r="F1172" s="3" t="s">
        <v>2690</v>
      </c>
      <c r="G1172" s="3" t="s">
        <v>44</v>
      </c>
      <c r="H1172" s="2" t="s">
        <v>148</v>
      </c>
      <c r="I1172" s="2" t="s">
        <v>3424</v>
      </c>
      <c r="J1172" s="3" t="str">
        <f>HYPERLINK("https://www.boe.es/gazeta/dias/1811/05/14/pdfs/GEI-1811-63.pdf#page=6","Abrir facsímil")</f>
        <v>Abrir facsímil</v>
      </c>
      <c r="K1172" s="3" t="s">
        <v>150</v>
      </c>
    </row>
    <row r="1173" spans="1:11" ht="42" customHeight="1">
      <c r="A1173" s="2" t="s">
        <v>3425</v>
      </c>
      <c r="B1173" s="2" t="s">
        <v>3426</v>
      </c>
      <c r="C1173" s="2" t="s">
        <v>17</v>
      </c>
      <c r="D1173" s="2" t="s">
        <v>18</v>
      </c>
      <c r="E1173" s="4">
        <v>-32505</v>
      </c>
      <c r="F1173" s="3" t="s">
        <v>475</v>
      </c>
      <c r="G1173" s="3" t="s">
        <v>755</v>
      </c>
      <c r="H1173" s="2" t="s">
        <v>148</v>
      </c>
      <c r="I1173" s="2" t="s">
        <v>3427</v>
      </c>
      <c r="J1173" s="3" t="str">
        <f>HYPERLINK("https://www.boe.es/gazeta/dias/1811/01/01/pdfs/GEI-1811-1.pdf#page=8","Abrir facsímil")</f>
        <v>Abrir facsímil</v>
      </c>
      <c r="K1173" s="3" t="s">
        <v>150</v>
      </c>
    </row>
    <row r="1174" spans="1:11" ht="42" customHeight="1">
      <c r="A1174" s="2" t="s">
        <v>3428</v>
      </c>
      <c r="B1174" s="2" t="s">
        <v>3429</v>
      </c>
      <c r="C1174" s="2" t="s">
        <v>17</v>
      </c>
      <c r="D1174" s="2" t="s">
        <v>156</v>
      </c>
      <c r="E1174" s="4">
        <v>-32442</v>
      </c>
      <c r="F1174" s="3" t="s">
        <v>634</v>
      </c>
      <c r="G1174" s="3" t="s">
        <v>3430</v>
      </c>
      <c r="H1174" s="2" t="s">
        <v>148</v>
      </c>
      <c r="I1174" s="2" t="s">
        <v>3431</v>
      </c>
      <c r="J1174" s="3" t="str">
        <f>HYPERLINK("https://www.boe.es/gazeta/dias/1811/03/05/pdfs/GEI-1811-29.pdf#page=3","Abrir facsímil")</f>
        <v>Abrir facsímil</v>
      </c>
      <c r="K1174" s="3" t="s">
        <v>150</v>
      </c>
    </row>
    <row r="1175" spans="1:11" ht="42" customHeight="1">
      <c r="A1175" s="2" t="s">
        <v>3432</v>
      </c>
      <c r="B1175" s="2" t="s">
        <v>3433</v>
      </c>
      <c r="C1175" s="2" t="s">
        <v>841</v>
      </c>
      <c r="D1175" s="2" t="s">
        <v>18</v>
      </c>
      <c r="E1175" s="4">
        <v>-32209</v>
      </c>
      <c r="F1175" s="3" t="s">
        <v>1324</v>
      </c>
      <c r="G1175" s="3" t="s">
        <v>1325</v>
      </c>
      <c r="H1175" s="2" t="s">
        <v>148</v>
      </c>
      <c r="I1175" s="2" t="s">
        <v>3434</v>
      </c>
      <c r="J1175" s="3" t="str">
        <f>HYPERLINK("https://www.boe.es/gazeta/dias/1811/10/24/pdfs/GMD-1811-297.pdf#page=2","Abrir facsímil")</f>
        <v>Abrir facsímil</v>
      </c>
      <c r="K1175" s="3" t="s">
        <v>150</v>
      </c>
    </row>
    <row r="1176" spans="1:11" ht="42" customHeight="1">
      <c r="A1176" s="2" t="s">
        <v>3435</v>
      </c>
      <c r="B1176" s="2" t="s">
        <v>3435</v>
      </c>
      <c r="C1176" s="2" t="s">
        <v>17</v>
      </c>
      <c r="D1176" s="2" t="s">
        <v>156</v>
      </c>
      <c r="E1176" s="4">
        <v>-32315</v>
      </c>
      <c r="F1176" s="3" t="s">
        <v>3189</v>
      </c>
      <c r="G1176" s="3" t="s">
        <v>57</v>
      </c>
      <c r="H1176" s="2" t="s">
        <v>148</v>
      </c>
      <c r="I1176" s="2" t="s">
        <v>3436</v>
      </c>
      <c r="J1176" s="3" t="str">
        <f>HYPERLINK("https://www.boe.es/gazeta/dias/1811/07/10/pdfs/GMD-1811-191.pdf#page=2","Abrir facsímil")</f>
        <v>Abrir facsímil</v>
      </c>
      <c r="K1176" s="3" t="s">
        <v>150</v>
      </c>
    </row>
    <row r="1177" spans="1:11" ht="42" customHeight="1">
      <c r="A1177" s="2" t="s">
        <v>3437</v>
      </c>
      <c r="B1177" s="2" t="s">
        <v>3438</v>
      </c>
      <c r="C1177" s="2" t="s">
        <v>17</v>
      </c>
      <c r="D1177" s="2" t="s">
        <v>18</v>
      </c>
      <c r="E1177" s="4">
        <v>-32505</v>
      </c>
      <c r="F1177" s="3" t="s">
        <v>475</v>
      </c>
      <c r="G1177" s="3" t="s">
        <v>134</v>
      </c>
      <c r="H1177" s="2" t="s">
        <v>148</v>
      </c>
      <c r="I1177" s="2" t="s">
        <v>3439</v>
      </c>
      <c r="J1177" s="3" t="str">
        <f>HYPERLINK("https://www.boe.es/gazeta/dias/1811/01/01/pdfs/GEI-1811-1.pdf#page=5","Abrir facsímil")</f>
        <v>Abrir facsímil</v>
      </c>
      <c r="K1177" s="3" t="s">
        <v>150</v>
      </c>
    </row>
    <row r="1178" spans="1:11" ht="42" customHeight="1">
      <c r="A1178" s="2" t="s">
        <v>3440</v>
      </c>
      <c r="B1178" s="2" t="s">
        <v>3440</v>
      </c>
      <c r="C1178" s="2" t="s">
        <v>17</v>
      </c>
      <c r="D1178" s="2" t="s">
        <v>18</v>
      </c>
      <c r="E1178" s="4">
        <v>-32487</v>
      </c>
      <c r="F1178" s="3" t="s">
        <v>842</v>
      </c>
      <c r="G1178" s="3" t="s">
        <v>3105</v>
      </c>
      <c r="H1178" s="2" t="s">
        <v>148</v>
      </c>
      <c r="I1178" s="2" t="s">
        <v>3441</v>
      </c>
      <c r="J1178" s="3" t="str">
        <f>HYPERLINK("https://www.boe.es/gazeta/dias/1811/01/19/pdfs/GEI-1811-9.pdf#page=5","Abrir facsímil")</f>
        <v>Abrir facsímil</v>
      </c>
      <c r="K1178" s="3" t="s">
        <v>150</v>
      </c>
    </row>
    <row r="1179" spans="1:11" ht="42" customHeight="1">
      <c r="A1179" s="2" t="s">
        <v>3440</v>
      </c>
      <c r="B1179" s="2" t="s">
        <v>3440</v>
      </c>
      <c r="C1179" s="2" t="s">
        <v>17</v>
      </c>
      <c r="D1179" s="2" t="s">
        <v>18</v>
      </c>
      <c r="E1179" s="4">
        <v>-32459</v>
      </c>
      <c r="F1179" s="3" t="s">
        <v>1034</v>
      </c>
      <c r="G1179" s="3" t="s">
        <v>2256</v>
      </c>
      <c r="H1179" s="2" t="s">
        <v>148</v>
      </c>
      <c r="I1179" s="2" t="s">
        <v>3442</v>
      </c>
      <c r="J1179" s="3" t="str">
        <f>HYPERLINK("https://www.boe.es/gazeta/dias/1811/02/16/pdfs/GEI-1811-21.pdf#page=6","Abrir facsímil")</f>
        <v>Abrir facsímil</v>
      </c>
      <c r="K1179" s="3" t="s">
        <v>150</v>
      </c>
    </row>
    <row r="1180" spans="1:11" ht="42" customHeight="1">
      <c r="A1180" s="2" t="s">
        <v>3443</v>
      </c>
      <c r="B1180" s="2" t="s">
        <v>3444</v>
      </c>
      <c r="C1180" s="2" t="s">
        <v>26</v>
      </c>
      <c r="D1180" s="2" t="s">
        <v>105</v>
      </c>
      <c r="E1180" s="4">
        <v>-32326</v>
      </c>
      <c r="F1180" s="3" t="s">
        <v>43</v>
      </c>
      <c r="G1180" s="3" t="s">
        <v>44</v>
      </c>
      <c r="H1180" s="2" t="s">
        <v>148</v>
      </c>
      <c r="I1180" s="2" t="s">
        <v>3445</v>
      </c>
      <c r="J1180" s="3" t="str">
        <f>HYPERLINK("https://www.boe.es/gazeta/dias/1811/06/29/pdfs/GEI-1811-86.pdf#page=6","Abrir facsímil")</f>
        <v>Abrir facsímil</v>
      </c>
      <c r="K1180" s="3" t="s">
        <v>150</v>
      </c>
    </row>
    <row r="1181" spans="1:11" ht="42" customHeight="1">
      <c r="A1181" s="2" t="s">
        <v>3446</v>
      </c>
      <c r="B1181" s="2" t="s">
        <v>3447</v>
      </c>
      <c r="C1181" s="2" t="s">
        <v>17</v>
      </c>
      <c r="D1181" s="2" t="s">
        <v>156</v>
      </c>
      <c r="E1181" s="4">
        <v>-32469</v>
      </c>
      <c r="F1181" s="3" t="s">
        <v>3448</v>
      </c>
      <c r="G1181" s="3" t="s">
        <v>20</v>
      </c>
      <c r="H1181" s="2" t="s">
        <v>148</v>
      </c>
      <c r="I1181" s="2" t="s">
        <v>3449</v>
      </c>
      <c r="J1181" s="3" t="str">
        <f>HYPERLINK("https://www.boe.es/gazeta/dias/1811/02/06/pdfs/GMD-1811-37.pdf#page=1","Abrir facsímil")</f>
        <v>Abrir facsímil</v>
      </c>
      <c r="K1181" s="3" t="s">
        <v>150</v>
      </c>
    </row>
    <row r="1182" spans="1:11" ht="42" customHeight="1">
      <c r="A1182" s="2" t="s">
        <v>3450</v>
      </c>
      <c r="B1182" s="2" t="s">
        <v>3450</v>
      </c>
      <c r="C1182" s="2" t="s">
        <v>17</v>
      </c>
      <c r="D1182" s="2" t="s">
        <v>204</v>
      </c>
      <c r="E1182" s="4">
        <v>-32232</v>
      </c>
      <c r="F1182" s="3" t="s">
        <v>1879</v>
      </c>
      <c r="G1182" s="3" t="s">
        <v>120</v>
      </c>
      <c r="H1182" s="2" t="s">
        <v>148</v>
      </c>
      <c r="I1182" s="2" t="s">
        <v>3451</v>
      </c>
      <c r="J1182" s="3" t="str">
        <f>HYPERLINK("https://www.boe.es/gazeta/dias/1811/10/01/pdfs/GMD-1811-274.pdf#page=1","Abrir facsímil")</f>
        <v>Abrir facsímil</v>
      </c>
      <c r="K1182" s="3" t="s">
        <v>150</v>
      </c>
    </row>
    <row r="1183" spans="1:11" ht="42" customHeight="1">
      <c r="A1183" s="2" t="s">
        <v>3452</v>
      </c>
      <c r="B1183" s="2" t="s">
        <v>3453</v>
      </c>
      <c r="C1183" s="2" t="s">
        <v>17</v>
      </c>
      <c r="D1183" s="2" t="s">
        <v>18</v>
      </c>
      <c r="E1183" s="4">
        <v>-32482</v>
      </c>
      <c r="F1183" s="3" t="s">
        <v>924</v>
      </c>
      <c r="G1183" s="3" t="s">
        <v>846</v>
      </c>
      <c r="H1183" s="2" t="s">
        <v>148</v>
      </c>
      <c r="I1183" s="2" t="s">
        <v>3454</v>
      </c>
      <c r="J1183" s="3" t="str">
        <f>HYPERLINK("https://www.boe.es/gazeta/dias/1811/01/24/pdfs/GEI-1811-11.pdf#page=8","Abrir facsímil")</f>
        <v>Abrir facsímil</v>
      </c>
      <c r="K1183" s="3" t="s">
        <v>150</v>
      </c>
    </row>
    <row r="1184" spans="1:11" ht="42" customHeight="1">
      <c r="A1184" s="2" t="s">
        <v>3455</v>
      </c>
      <c r="B1184" s="2" t="s">
        <v>3456</v>
      </c>
      <c r="C1184" s="2" t="s">
        <v>26</v>
      </c>
      <c r="D1184" s="2" t="s">
        <v>18</v>
      </c>
      <c r="E1184" s="4">
        <v>-32176</v>
      </c>
      <c r="F1184" s="3" t="s">
        <v>638</v>
      </c>
      <c r="G1184" s="3" t="s">
        <v>639</v>
      </c>
      <c r="H1184" s="2" t="s">
        <v>148</v>
      </c>
      <c r="I1184" s="2" t="s">
        <v>3457</v>
      </c>
      <c r="J1184" s="3" t="str">
        <f>HYPERLINK("https://www.boe.es/gazeta/dias/1811/11/26/pdfs/GEI-1811-154.pdf#page=7","Abrir facsímil")</f>
        <v>Abrir facsímil</v>
      </c>
      <c r="K1184" s="3" t="s">
        <v>150</v>
      </c>
    </row>
    <row r="1185" spans="1:11" ht="42" customHeight="1">
      <c r="A1185" s="2" t="s">
        <v>3458</v>
      </c>
      <c r="B1185" s="2" t="s">
        <v>3459</v>
      </c>
      <c r="C1185" s="2" t="s">
        <v>17</v>
      </c>
      <c r="D1185" s="2" t="s">
        <v>18</v>
      </c>
      <c r="E1185" s="4">
        <v>-32361</v>
      </c>
      <c r="F1185" s="3" t="s">
        <v>1104</v>
      </c>
      <c r="G1185" s="3" t="s">
        <v>44</v>
      </c>
      <c r="H1185" s="2" t="s">
        <v>21</v>
      </c>
      <c r="I1185" s="2" t="s">
        <v>3460</v>
      </c>
      <c r="J1185" s="3" t="str">
        <f>HYPERLINK("https://www.boe.es/gazeta/dias/1811/05/25/pdfs/GEI-1811-71.pdf#page=4","Abrir facsímil")</f>
        <v>Abrir facsímil</v>
      </c>
      <c r="K1185" s="3" t="s">
        <v>23</v>
      </c>
    </row>
    <row r="1186" spans="1:11" ht="42" customHeight="1">
      <c r="A1186" s="2" t="s">
        <v>3461</v>
      </c>
      <c r="B1186" s="2" t="s">
        <v>3462</v>
      </c>
      <c r="C1186" s="2" t="s">
        <v>26</v>
      </c>
      <c r="D1186" s="2" t="s">
        <v>18</v>
      </c>
      <c r="E1186" s="4">
        <v>-32179</v>
      </c>
      <c r="F1186" s="3" t="s">
        <v>614</v>
      </c>
      <c r="G1186" s="3" t="s">
        <v>47</v>
      </c>
      <c r="H1186" s="2" t="s">
        <v>21</v>
      </c>
      <c r="I1186" s="2" t="s">
        <v>3463</v>
      </c>
      <c r="J1186" s="3" t="str">
        <f>HYPERLINK("https://www.boe.es/gazeta/dias/1811/11/23/pdfs/GEI-1811-153.pdf#page=8","Abrir facsímil")</f>
        <v>Abrir facsímil</v>
      </c>
      <c r="K1186" s="3" t="s">
        <v>23</v>
      </c>
    </row>
    <row r="1187" spans="1:11" ht="42" customHeight="1">
      <c r="A1187" s="2" t="s">
        <v>3464</v>
      </c>
      <c r="B1187" s="2" t="s">
        <v>3465</v>
      </c>
      <c r="C1187" s="2" t="s">
        <v>17</v>
      </c>
      <c r="D1187" s="2" t="s">
        <v>18</v>
      </c>
      <c r="E1187" s="4">
        <v>-32403</v>
      </c>
      <c r="F1187" s="3" t="s">
        <v>1915</v>
      </c>
      <c r="G1187" s="3" t="s">
        <v>3466</v>
      </c>
      <c r="H1187" s="2" t="s">
        <v>21</v>
      </c>
      <c r="I1187" s="2" t="s">
        <v>3467</v>
      </c>
      <c r="J1187" s="3" t="str">
        <f>HYPERLINK("https://www.boe.es/gazeta/dias/1811/04/13/pdfs/GEI-1811-50.pdf#page=6","Abrir facsímil")</f>
        <v>Abrir facsímil</v>
      </c>
      <c r="K1187" s="3" t="s">
        <v>23</v>
      </c>
    </row>
    <row r="1188" spans="1:11" ht="42" customHeight="1">
      <c r="A1188" s="2" t="s">
        <v>3468</v>
      </c>
      <c r="B1188" s="2" t="s">
        <v>3469</v>
      </c>
      <c r="C1188" s="2" t="s">
        <v>17</v>
      </c>
      <c r="D1188" s="2" t="s">
        <v>18</v>
      </c>
      <c r="E1188" s="4">
        <v>-32258</v>
      </c>
      <c r="F1188" s="3" t="s">
        <v>449</v>
      </c>
      <c r="G1188" s="3" t="s">
        <v>391</v>
      </c>
      <c r="H1188" s="2" t="s">
        <v>21</v>
      </c>
      <c r="I1188" s="2" t="s">
        <v>3470</v>
      </c>
      <c r="J1188" s="3" t="str">
        <f>HYPERLINK("https://www.boe.es/gazeta/dias/1811/09/05/pdfs/GEI-1811-115.pdf#page=7","Abrir facsímil")</f>
        <v>Abrir facsímil</v>
      </c>
      <c r="K1188" s="3" t="s">
        <v>23</v>
      </c>
    </row>
    <row r="1189" spans="1:11" ht="42" customHeight="1">
      <c r="A1189" s="2" t="s">
        <v>3471</v>
      </c>
      <c r="B1189" s="2" t="s">
        <v>3472</v>
      </c>
      <c r="C1189" s="2" t="s">
        <v>26</v>
      </c>
      <c r="D1189" s="2" t="s">
        <v>18</v>
      </c>
      <c r="E1189" s="4">
        <v>-32300</v>
      </c>
      <c r="F1189" s="3" t="s">
        <v>61</v>
      </c>
      <c r="G1189" s="3" t="s">
        <v>62</v>
      </c>
      <c r="H1189" s="2" t="s">
        <v>21</v>
      </c>
      <c r="I1189" s="2" t="s">
        <v>3473</v>
      </c>
      <c r="J1189" s="3" t="str">
        <f>HYPERLINK("https://www.boe.es/gazeta/dias/1811/07/25/pdfs/GEI-1811-97.pdf#page=5","Abrir facsímil")</f>
        <v>Abrir facsímil</v>
      </c>
      <c r="K1189" s="3" t="s">
        <v>23</v>
      </c>
    </row>
    <row r="1190" spans="1:11" ht="42" customHeight="1">
      <c r="A1190" s="2" t="s">
        <v>3474</v>
      </c>
      <c r="B1190" s="2" t="s">
        <v>3475</v>
      </c>
      <c r="C1190" s="2" t="s">
        <v>37</v>
      </c>
      <c r="D1190" s="2" t="s">
        <v>18</v>
      </c>
      <c r="E1190" s="4">
        <v>-32416</v>
      </c>
      <c r="F1190" s="3" t="s">
        <v>954</v>
      </c>
      <c r="G1190" s="3" t="s">
        <v>47</v>
      </c>
      <c r="H1190" s="2" t="s">
        <v>148</v>
      </c>
      <c r="I1190" s="2" t="s">
        <v>3476</v>
      </c>
      <c r="J1190" s="3" t="str">
        <f>HYPERLINK("https://www.boe.es/gazeta/dias/1811/03/31/pdfs/GMD-1811-90.pdf#page=3","Abrir facsímil")</f>
        <v>Abrir facsímil</v>
      </c>
      <c r="K1190" s="3" t="s">
        <v>150</v>
      </c>
    </row>
    <row r="1191" spans="1:11" ht="42" customHeight="1">
      <c r="A1191" s="2" t="s">
        <v>3477</v>
      </c>
      <c r="B1191" s="2" t="s">
        <v>3478</v>
      </c>
      <c r="C1191" s="2" t="s">
        <v>26</v>
      </c>
      <c r="D1191" s="2" t="s">
        <v>105</v>
      </c>
      <c r="E1191" s="4">
        <v>-32230</v>
      </c>
      <c r="F1191" s="3" t="s">
        <v>625</v>
      </c>
      <c r="G1191" s="3" t="s">
        <v>162</v>
      </c>
      <c r="H1191" s="2" t="s">
        <v>148</v>
      </c>
      <c r="I1191" s="2" t="s">
        <v>3479</v>
      </c>
      <c r="J1191" s="3" t="str">
        <f>HYPERLINK("https://www.boe.es/gazeta/dias/1811/10/03/pdfs/GEI-1811-127.pdf#page=7","Abrir facsímil")</f>
        <v>Abrir facsímil</v>
      </c>
      <c r="K1191" s="3" t="s">
        <v>150</v>
      </c>
    </row>
    <row r="1192" spans="1:11" ht="42" customHeight="1">
      <c r="A1192" s="2" t="s">
        <v>3480</v>
      </c>
      <c r="B1192" s="2" t="s">
        <v>3481</v>
      </c>
      <c r="C1192" s="2" t="s">
        <v>17</v>
      </c>
      <c r="D1192" s="2" t="s">
        <v>156</v>
      </c>
      <c r="E1192" s="4">
        <v>-32326</v>
      </c>
      <c r="F1192" s="3" t="s">
        <v>43</v>
      </c>
      <c r="G1192" s="3" t="s">
        <v>91</v>
      </c>
      <c r="H1192" s="2" t="s">
        <v>148</v>
      </c>
      <c r="I1192" s="2" t="s">
        <v>3482</v>
      </c>
      <c r="J1192" s="3" t="str">
        <f>HYPERLINK("https://www.boe.es/gazeta/dias/1811/06/29/pdfs/GEI-1811-86.pdf#page=7","Abrir facsímil")</f>
        <v>Abrir facsímil</v>
      </c>
      <c r="K1192" s="3" t="s">
        <v>150</v>
      </c>
    </row>
    <row r="1193" spans="1:11" ht="42" customHeight="1">
      <c r="A1193" s="2" t="s">
        <v>3483</v>
      </c>
      <c r="B1193" s="2" t="s">
        <v>3484</v>
      </c>
      <c r="C1193" s="2" t="s">
        <v>122</v>
      </c>
      <c r="D1193" s="2" t="s">
        <v>18</v>
      </c>
      <c r="E1193" s="4">
        <v>-32339</v>
      </c>
      <c r="F1193" s="3" t="s">
        <v>1853</v>
      </c>
      <c r="G1193" s="3" t="s">
        <v>44</v>
      </c>
      <c r="H1193" s="2" t="s">
        <v>148</v>
      </c>
      <c r="I1193" s="2" t="s">
        <v>3485</v>
      </c>
      <c r="J1193" s="3" t="str">
        <f>HYPERLINK("https://www.boe.es/gazeta/dias/1811/06/16/pdfs/GMD-1811-167.pdf#page=2","Abrir facsímil")</f>
        <v>Abrir facsímil</v>
      </c>
      <c r="K1193" s="3" t="s">
        <v>150</v>
      </c>
    </row>
    <row r="1194" spans="1:11" ht="42" customHeight="1">
      <c r="A1194" s="2" t="s">
        <v>3486</v>
      </c>
      <c r="B1194" s="2" t="s">
        <v>3487</v>
      </c>
      <c r="C1194" s="2" t="s">
        <v>26</v>
      </c>
      <c r="D1194" s="2" t="s">
        <v>141</v>
      </c>
      <c r="E1194" s="4">
        <v>-32179</v>
      </c>
      <c r="F1194" s="3" t="s">
        <v>2924</v>
      </c>
      <c r="G1194" s="3" t="s">
        <v>39</v>
      </c>
      <c r="H1194" s="2" t="s">
        <v>148</v>
      </c>
      <c r="I1194" s="2" t="s">
        <v>3488</v>
      </c>
      <c r="J1194" s="3" t="str">
        <f>HYPERLINK("https://www.boe.es/gazeta/dias/1811/11/23/pdfs/GEI-D-1811-153.pdf#page=1","Abrir facsímil")</f>
        <v>Abrir facsímil</v>
      </c>
      <c r="K1194" s="3" t="s">
        <v>150</v>
      </c>
    </row>
    <row r="1195" spans="1:11" ht="42" customHeight="1">
      <c r="A1195" s="2" t="s">
        <v>3489</v>
      </c>
      <c r="B1195" s="2" t="s">
        <v>3490</v>
      </c>
      <c r="C1195" s="2" t="s">
        <v>26</v>
      </c>
      <c r="D1195" s="2" t="s">
        <v>18</v>
      </c>
      <c r="E1195" s="4">
        <v>-32272</v>
      </c>
      <c r="F1195" s="3" t="s">
        <v>1121</v>
      </c>
      <c r="G1195" s="3" t="s">
        <v>510</v>
      </c>
      <c r="H1195" s="2" t="s">
        <v>148</v>
      </c>
      <c r="I1195" s="2" t="s">
        <v>3491</v>
      </c>
      <c r="J1195" s="3" t="str">
        <f>HYPERLINK("https://www.boe.es/gazeta/dias/1811/08/22/pdfs/GEI-1811-109.pdf#page=8","Abrir facsímil")</f>
        <v>Abrir facsímil</v>
      </c>
      <c r="K1195" s="3" t="s">
        <v>150</v>
      </c>
    </row>
    <row r="1196" spans="1:11" ht="42" customHeight="1">
      <c r="A1196" s="2" t="s">
        <v>3492</v>
      </c>
      <c r="B1196" s="2" t="s">
        <v>3493</v>
      </c>
      <c r="C1196" s="2" t="s">
        <v>26</v>
      </c>
      <c r="D1196" s="2" t="s">
        <v>18</v>
      </c>
      <c r="E1196" s="4">
        <v>-32235</v>
      </c>
      <c r="F1196" s="3" t="s">
        <v>190</v>
      </c>
      <c r="G1196" s="3" t="s">
        <v>188</v>
      </c>
      <c r="H1196" s="2" t="s">
        <v>148</v>
      </c>
      <c r="I1196" s="2" t="s">
        <v>3494</v>
      </c>
      <c r="J1196" s="3" t="str">
        <f>HYPERLINK("https://www.boe.es/gazeta/dias/1811/09/28/pdfs/GEI-1811-125.pdf#page=8","Abrir facsímil")</f>
        <v>Abrir facsímil</v>
      </c>
      <c r="K1196" s="3" t="s">
        <v>150</v>
      </c>
    </row>
    <row r="1197" spans="1:11" ht="42" customHeight="1">
      <c r="A1197" s="2" t="s">
        <v>3495</v>
      </c>
      <c r="B1197" s="2" t="s">
        <v>3496</v>
      </c>
      <c r="C1197" s="2" t="s">
        <v>122</v>
      </c>
      <c r="D1197" s="2" t="s">
        <v>105</v>
      </c>
      <c r="E1197" s="4">
        <v>-32235</v>
      </c>
      <c r="F1197" s="3" t="s">
        <v>376</v>
      </c>
      <c r="G1197" s="3" t="s">
        <v>1280</v>
      </c>
      <c r="H1197" s="2" t="s">
        <v>148</v>
      </c>
      <c r="I1197" s="2" t="s">
        <v>3497</v>
      </c>
      <c r="J1197" s="3" t="str">
        <f>HYPERLINK("https://www.boe.es/gazeta/dias/1811/09/28/pdfs/GMD-1811-271.pdf#page=2","Abrir facsímil")</f>
        <v>Abrir facsímil</v>
      </c>
      <c r="K1197" s="3" t="s">
        <v>150</v>
      </c>
    </row>
    <row r="1198" spans="1:11" ht="42" customHeight="1">
      <c r="A1198" s="2" t="s">
        <v>3498</v>
      </c>
      <c r="B1198" s="2" t="s">
        <v>3499</v>
      </c>
      <c r="C1198" s="2" t="s">
        <v>122</v>
      </c>
      <c r="D1198" s="2" t="s">
        <v>18</v>
      </c>
      <c r="E1198" s="4">
        <v>-32284</v>
      </c>
      <c r="F1198" s="3" t="s">
        <v>170</v>
      </c>
      <c r="G1198" s="3" t="s">
        <v>1388</v>
      </c>
      <c r="H1198" s="2" t="s">
        <v>148</v>
      </c>
      <c r="I1198" s="2" t="s">
        <v>3500</v>
      </c>
      <c r="J1198" s="3" t="str">
        <f>HYPERLINK("https://www.boe.es/gazeta/dias/1811/08/10/pdfs/GEI-1811-104.pdf#page=8","Abrir facsímil")</f>
        <v>Abrir facsímil</v>
      </c>
      <c r="K1198" s="3" t="s">
        <v>150</v>
      </c>
    </row>
    <row r="1199" spans="1:11" ht="42" customHeight="1">
      <c r="A1199" s="2" t="s">
        <v>3501</v>
      </c>
      <c r="B1199" s="2" t="s">
        <v>3501</v>
      </c>
      <c r="C1199" s="2" t="s">
        <v>17</v>
      </c>
      <c r="D1199" s="2" t="s">
        <v>18</v>
      </c>
      <c r="E1199" s="4">
        <v>-32252</v>
      </c>
      <c r="F1199" s="3" t="s">
        <v>3502</v>
      </c>
      <c r="G1199" s="3" t="s">
        <v>488</v>
      </c>
      <c r="H1199" s="2" t="s">
        <v>148</v>
      </c>
      <c r="I1199" s="2" t="s">
        <v>3503</v>
      </c>
      <c r="J1199" s="3" t="str">
        <f>HYPERLINK("https://www.boe.es/gazeta/dias/1811/09/11/pdfs/GMD-1811-254.pdf#page=3","Abrir facsímil")</f>
        <v>Abrir facsímil</v>
      </c>
      <c r="K1199" s="3" t="s">
        <v>150</v>
      </c>
    </row>
    <row r="1200" spans="1:11" ht="42" customHeight="1">
      <c r="A1200" s="2" t="s">
        <v>3501</v>
      </c>
      <c r="B1200" s="2" t="s">
        <v>3501</v>
      </c>
      <c r="C1200" s="2" t="s">
        <v>17</v>
      </c>
      <c r="D1200" s="2" t="s">
        <v>18</v>
      </c>
      <c r="E1200" s="4">
        <v>-32233</v>
      </c>
      <c r="F1200" s="3" t="s">
        <v>3504</v>
      </c>
      <c r="G1200" s="3" t="s">
        <v>178</v>
      </c>
      <c r="H1200" s="2" t="s">
        <v>148</v>
      </c>
      <c r="I1200" s="2" t="s">
        <v>3505</v>
      </c>
      <c r="J1200" s="3" t="str">
        <f>HYPERLINK("https://www.boe.es/gazeta/dias/1811/09/30/pdfs/GMD-1811-273.pdf#page=4","Abrir facsímil")</f>
        <v>Abrir facsímil</v>
      </c>
      <c r="K1200" s="3" t="s">
        <v>150</v>
      </c>
    </row>
    <row r="1201" spans="1:11" ht="42" customHeight="1">
      <c r="A1201" s="2" t="s">
        <v>3506</v>
      </c>
      <c r="B1201" s="2" t="s">
        <v>3507</v>
      </c>
      <c r="C1201" s="2" t="s">
        <v>37</v>
      </c>
      <c r="D1201" s="2" t="s">
        <v>156</v>
      </c>
      <c r="E1201" s="4">
        <v>-32228</v>
      </c>
      <c r="F1201" s="3" t="s">
        <v>372</v>
      </c>
      <c r="G1201" s="3" t="s">
        <v>373</v>
      </c>
      <c r="H1201" s="2" t="s">
        <v>148</v>
      </c>
      <c r="I1201" s="2" t="s">
        <v>3508</v>
      </c>
      <c r="J1201" s="3" t="str">
        <f>HYPERLINK("https://www.boe.es/gazeta/dias/1811/10/05/pdfs/GEI-1811-128.pdf#page=7","Abrir facsímil")</f>
        <v>Abrir facsímil</v>
      </c>
      <c r="K1201" s="3" t="s">
        <v>150</v>
      </c>
    </row>
    <row r="1202" spans="1:11" ht="42" customHeight="1">
      <c r="A1202" s="2" t="s">
        <v>3509</v>
      </c>
      <c r="B1202" s="2" t="s">
        <v>3510</v>
      </c>
      <c r="C1202" s="2" t="s">
        <v>26</v>
      </c>
      <c r="D1202" s="2" t="s">
        <v>105</v>
      </c>
      <c r="E1202" s="4">
        <v>-32238</v>
      </c>
      <c r="F1202" s="3" t="s">
        <v>166</v>
      </c>
      <c r="G1202" s="3" t="s">
        <v>657</v>
      </c>
      <c r="H1202" s="2" t="s">
        <v>148</v>
      </c>
      <c r="I1202" s="2" t="s">
        <v>3511</v>
      </c>
      <c r="J1202" s="3" t="str">
        <f>HYPERLINK("https://www.boe.es/gazeta/dias/1811/09/25/pdfs/GMD-C-1811-268.pdf#page=3","Abrir facsímil")</f>
        <v>Abrir facsímil</v>
      </c>
      <c r="K1202" s="3" t="s">
        <v>150</v>
      </c>
    </row>
    <row r="1203" spans="1:11" ht="42" customHeight="1">
      <c r="A1203" s="2" t="s">
        <v>3512</v>
      </c>
      <c r="B1203" s="2" t="s">
        <v>3513</v>
      </c>
      <c r="C1203" s="2" t="s">
        <v>84</v>
      </c>
      <c r="D1203" s="2" t="s">
        <v>105</v>
      </c>
      <c r="E1203" s="4">
        <v>-32197</v>
      </c>
      <c r="F1203" s="3" t="s">
        <v>687</v>
      </c>
      <c r="G1203" s="3" t="s">
        <v>1240</v>
      </c>
      <c r="H1203" s="2" t="s">
        <v>148</v>
      </c>
      <c r="I1203" s="2" t="s">
        <v>3514</v>
      </c>
      <c r="J1203" s="3" t="str">
        <f>HYPERLINK("https://www.boe.es/gazeta/dias/1811/11/05/pdfs/GEI-1811-143.pdf#page=8","Abrir facsímil")</f>
        <v>Abrir facsímil</v>
      </c>
      <c r="K1203" s="3" t="s">
        <v>150</v>
      </c>
    </row>
    <row r="1204" spans="1:11" ht="42" customHeight="1">
      <c r="A1204" s="2" t="s">
        <v>3515</v>
      </c>
      <c r="B1204" s="2" t="s">
        <v>3516</v>
      </c>
      <c r="C1204" s="2" t="s">
        <v>37</v>
      </c>
      <c r="D1204" s="2" t="s">
        <v>18</v>
      </c>
      <c r="E1204" s="4">
        <v>-32192</v>
      </c>
      <c r="F1204" s="3" t="s">
        <v>673</v>
      </c>
      <c r="G1204" s="3" t="s">
        <v>305</v>
      </c>
      <c r="H1204" s="2" t="s">
        <v>148</v>
      </c>
      <c r="I1204" s="2" t="s">
        <v>3517</v>
      </c>
      <c r="J1204" s="3" t="str">
        <f>HYPERLINK("https://www.boe.es/gazeta/dias/1811/11/10/pdfs/GMD-1811-314.pdf#page=4","Abrir facsímil")</f>
        <v>Abrir facsímil</v>
      </c>
      <c r="K1204" s="3" t="s">
        <v>150</v>
      </c>
    </row>
    <row r="1205" spans="1:11" ht="42" customHeight="1">
      <c r="A1205" s="2" t="s">
        <v>3518</v>
      </c>
      <c r="B1205" s="2" t="s">
        <v>3519</v>
      </c>
      <c r="C1205" s="2" t="s">
        <v>17</v>
      </c>
      <c r="D1205" s="2" t="s">
        <v>18</v>
      </c>
      <c r="E1205" s="4">
        <v>-32163</v>
      </c>
      <c r="F1205" s="3" t="s">
        <v>497</v>
      </c>
      <c r="G1205" s="3" t="s">
        <v>498</v>
      </c>
      <c r="H1205" s="2" t="s">
        <v>148</v>
      </c>
      <c r="I1205" s="2" t="s">
        <v>3520</v>
      </c>
      <c r="J1205" s="3" t="str">
        <f>HYPERLINK("https://www.boe.es/gazeta/dias/1811/12/09/pdfs/GMD-1811-343.pdf#page=4","Abrir facsímil")</f>
        <v>Abrir facsímil</v>
      </c>
      <c r="K1205" s="3" t="s">
        <v>150</v>
      </c>
    </row>
    <row r="1206" spans="1:11" ht="42" customHeight="1">
      <c r="A1206" s="2" t="s">
        <v>3521</v>
      </c>
      <c r="B1206" s="2" t="s">
        <v>3522</v>
      </c>
      <c r="C1206" s="2" t="s">
        <v>84</v>
      </c>
      <c r="D1206" s="2" t="s">
        <v>18</v>
      </c>
      <c r="E1206" s="4">
        <v>-32256</v>
      </c>
      <c r="F1206" s="3" t="s">
        <v>161</v>
      </c>
      <c r="G1206" s="3" t="s">
        <v>2213</v>
      </c>
      <c r="H1206" s="2" t="s">
        <v>148</v>
      </c>
      <c r="I1206" s="2" t="s">
        <v>3523</v>
      </c>
      <c r="J1206" s="3" t="str">
        <f>HYPERLINK("https://www.boe.es/gazeta/dias/1811/09/07/pdfs/GEI-1811-116.pdf#page=2","Abrir facsímil")</f>
        <v>Abrir facsímil</v>
      </c>
      <c r="K1206" s="3" t="s">
        <v>150</v>
      </c>
    </row>
    <row r="1207" spans="1:11" ht="42" customHeight="1">
      <c r="A1207" s="2" t="s">
        <v>3521</v>
      </c>
      <c r="B1207" s="2" t="s">
        <v>3522</v>
      </c>
      <c r="C1207" s="2" t="s">
        <v>367</v>
      </c>
      <c r="D1207" s="2" t="s">
        <v>18</v>
      </c>
      <c r="E1207" s="4">
        <v>-32256</v>
      </c>
      <c r="F1207" s="3" t="s">
        <v>161</v>
      </c>
      <c r="G1207" s="3" t="s">
        <v>115</v>
      </c>
      <c r="H1207" s="2" t="s">
        <v>148</v>
      </c>
      <c r="I1207" s="2" t="s">
        <v>3524</v>
      </c>
      <c r="J1207" s="3" t="str">
        <f>HYPERLINK("https://www.boe.es/gazeta/dias/1811/09/07/pdfs/GEI-1811-116.pdf#page=3","Abrir facsímil")</f>
        <v>Abrir facsímil</v>
      </c>
      <c r="K1207" s="3" t="s">
        <v>150</v>
      </c>
    </row>
    <row r="1208" spans="1:11" ht="42" customHeight="1">
      <c r="A1208" s="2" t="s">
        <v>3521</v>
      </c>
      <c r="B1208" s="2" t="s">
        <v>3522</v>
      </c>
      <c r="C1208" s="2" t="s">
        <v>26</v>
      </c>
      <c r="D1208" s="2" t="s">
        <v>18</v>
      </c>
      <c r="E1208" s="4">
        <v>-32225</v>
      </c>
      <c r="F1208" s="3" t="s">
        <v>390</v>
      </c>
      <c r="G1208" s="3" t="s">
        <v>1368</v>
      </c>
      <c r="H1208" s="2" t="s">
        <v>148</v>
      </c>
      <c r="I1208" s="2" t="s">
        <v>3525</v>
      </c>
      <c r="J1208" s="3" t="str">
        <f>HYPERLINK("https://www.boe.es/gazeta/dias/1811/10/08/pdfs/GEI-1811-129.pdf#page=8","Abrir facsímil")</f>
        <v>Abrir facsímil</v>
      </c>
      <c r="K1208" s="3" t="s">
        <v>150</v>
      </c>
    </row>
    <row r="1209" spans="1:11" ht="42" customHeight="1">
      <c r="A1209" s="2" t="s">
        <v>3526</v>
      </c>
      <c r="B1209" s="2" t="s">
        <v>3527</v>
      </c>
      <c r="C1209" s="2" t="s">
        <v>26</v>
      </c>
      <c r="D1209" s="2" t="s">
        <v>18</v>
      </c>
      <c r="E1209" s="4">
        <v>-32309</v>
      </c>
      <c r="F1209" s="3" t="s">
        <v>2496</v>
      </c>
      <c r="G1209" s="3" t="s">
        <v>47</v>
      </c>
      <c r="H1209" s="2" t="s">
        <v>148</v>
      </c>
      <c r="I1209" s="2" t="s">
        <v>3528</v>
      </c>
      <c r="J1209" s="3" t="str">
        <f>HYPERLINK("https://www.boe.es/gazeta/dias/1811/07/16/pdfs/GEI-1811-93.pdf#page=8","Abrir facsímil")</f>
        <v>Abrir facsímil</v>
      </c>
      <c r="K1209" s="3" t="s">
        <v>150</v>
      </c>
    </row>
    <row r="1210" spans="1:11" ht="42" customHeight="1">
      <c r="A1210" s="2" t="s">
        <v>3529</v>
      </c>
      <c r="B1210" s="2" t="s">
        <v>3530</v>
      </c>
      <c r="C1210" s="2" t="s">
        <v>26</v>
      </c>
      <c r="D1210" s="2" t="s">
        <v>18</v>
      </c>
      <c r="E1210" s="4">
        <v>-32251</v>
      </c>
      <c r="F1210" s="3" t="s">
        <v>726</v>
      </c>
      <c r="G1210" s="3" t="s">
        <v>727</v>
      </c>
      <c r="H1210" s="2" t="s">
        <v>148</v>
      </c>
      <c r="I1210" s="2" t="s">
        <v>3531</v>
      </c>
      <c r="J1210" s="3" t="str">
        <f>HYPERLINK("https://www.boe.es/gazeta/dias/1811/09/12/pdfs/GEI-1811-118.pdf#page=8","Abrir facsímil")</f>
        <v>Abrir facsímil</v>
      </c>
      <c r="K1210" s="3" t="s">
        <v>150</v>
      </c>
    </row>
    <row r="1211" spans="1:11" ht="42" customHeight="1">
      <c r="A1211" s="2" t="s">
        <v>3529</v>
      </c>
      <c r="B1211" s="2" t="s">
        <v>3530</v>
      </c>
      <c r="C1211" s="2" t="s">
        <v>104</v>
      </c>
      <c r="D1211" s="2" t="s">
        <v>18</v>
      </c>
      <c r="E1211" s="4">
        <v>-32218</v>
      </c>
      <c r="F1211" s="3" t="s">
        <v>938</v>
      </c>
      <c r="G1211" s="3" t="s">
        <v>939</v>
      </c>
      <c r="H1211" s="2" t="s">
        <v>148</v>
      </c>
      <c r="I1211" s="2" t="s">
        <v>3532</v>
      </c>
      <c r="J1211" s="3" t="str">
        <f>HYPERLINK("https://www.boe.es/gazeta/dias/1811/10/15/pdfs/GEI-1811-133.pdf#page=8","Abrir facsímil")</f>
        <v>Abrir facsímil</v>
      </c>
      <c r="K1211" s="3" t="s">
        <v>150</v>
      </c>
    </row>
    <row r="1212" spans="1:11" ht="42" customHeight="1">
      <c r="A1212" s="2" t="s">
        <v>3533</v>
      </c>
      <c r="B1212" s="2" t="s">
        <v>3533</v>
      </c>
      <c r="C1212" s="2" t="s">
        <v>17</v>
      </c>
      <c r="D1212" s="2" t="s">
        <v>18</v>
      </c>
      <c r="E1212" s="4">
        <v>-32256</v>
      </c>
      <c r="F1212" s="3" t="s">
        <v>161</v>
      </c>
      <c r="G1212" s="3" t="s">
        <v>115</v>
      </c>
      <c r="H1212" s="2" t="s">
        <v>148</v>
      </c>
      <c r="I1212" s="2" t="s">
        <v>3534</v>
      </c>
      <c r="J1212" s="3" t="str">
        <f>HYPERLINK("https://www.boe.es/gazeta/dias/1811/09/07/pdfs/GEI-1811-116.pdf#page=3","Abrir facsímil")</f>
        <v>Abrir facsímil</v>
      </c>
      <c r="K1212" s="3" t="s">
        <v>150</v>
      </c>
    </row>
    <row r="1213" spans="1:11" ht="42" customHeight="1">
      <c r="A1213" s="2" t="s">
        <v>3535</v>
      </c>
      <c r="B1213" s="2" t="s">
        <v>3536</v>
      </c>
      <c r="C1213" s="2" t="s">
        <v>26</v>
      </c>
      <c r="D1213" s="2" t="s">
        <v>105</v>
      </c>
      <c r="E1213" s="4">
        <v>-32280</v>
      </c>
      <c r="F1213" s="3" t="s">
        <v>142</v>
      </c>
      <c r="G1213" s="3" t="s">
        <v>597</v>
      </c>
      <c r="H1213" s="2" t="s">
        <v>148</v>
      </c>
      <c r="I1213" s="2" t="s">
        <v>3537</v>
      </c>
      <c r="J1213" s="3" t="str">
        <f>HYPERLINK("https://www.boe.es/gazeta/dias/1811/08/14/pdfs/GMD-C-1811-226.pdf#page=2","Abrir facsímil")</f>
        <v>Abrir facsímil</v>
      </c>
      <c r="K1213" s="3" t="s">
        <v>150</v>
      </c>
    </row>
    <row r="1214" spans="1:11" ht="42" customHeight="1">
      <c r="A1214" s="2" t="s">
        <v>3538</v>
      </c>
      <c r="B1214" s="2" t="s">
        <v>3539</v>
      </c>
      <c r="C1214" s="2" t="s">
        <v>26</v>
      </c>
      <c r="D1214" s="2" t="s">
        <v>18</v>
      </c>
      <c r="E1214" s="4">
        <v>-32256</v>
      </c>
      <c r="F1214" s="3" t="s">
        <v>161</v>
      </c>
      <c r="G1214" s="3" t="s">
        <v>115</v>
      </c>
      <c r="H1214" s="2" t="s">
        <v>148</v>
      </c>
      <c r="I1214" s="2" t="s">
        <v>3540</v>
      </c>
      <c r="J1214" s="3" t="str">
        <f>HYPERLINK("https://www.boe.es/gazeta/dias/1811/09/07/pdfs/GEI-1811-116.pdf#page=3","Abrir facsímil")</f>
        <v>Abrir facsímil</v>
      </c>
      <c r="K1214" s="3" t="s">
        <v>150</v>
      </c>
    </row>
    <row r="1215" spans="1:11" ht="42" customHeight="1">
      <c r="A1215" s="2" t="s">
        <v>3541</v>
      </c>
      <c r="B1215" s="2" t="s">
        <v>3542</v>
      </c>
      <c r="C1215" s="2" t="s">
        <v>26</v>
      </c>
      <c r="D1215" s="2" t="s">
        <v>18</v>
      </c>
      <c r="E1215" s="4">
        <v>-32470</v>
      </c>
      <c r="F1215" s="3" t="s">
        <v>1432</v>
      </c>
      <c r="G1215" s="3" t="s">
        <v>3543</v>
      </c>
      <c r="H1215" s="2" t="s">
        <v>148</v>
      </c>
      <c r="I1215" s="2" t="s">
        <v>3544</v>
      </c>
      <c r="J1215" s="3" t="str">
        <f>HYPERLINK("https://www.boe.es/gazeta/dias/1811/02/05/pdfs/GEI-1811-16.pdf#page=8","Abrir facsímil")</f>
        <v>Abrir facsímil</v>
      </c>
      <c r="K1215" s="3" t="s">
        <v>150</v>
      </c>
    </row>
    <row r="1216" spans="1:11" ht="42" customHeight="1">
      <c r="A1216" s="2" t="s">
        <v>3545</v>
      </c>
      <c r="B1216" s="2" t="s">
        <v>3546</v>
      </c>
      <c r="C1216" s="2" t="s">
        <v>26</v>
      </c>
      <c r="D1216" s="2" t="s">
        <v>18</v>
      </c>
      <c r="E1216" s="4">
        <v>-32472</v>
      </c>
      <c r="F1216" s="3" t="s">
        <v>398</v>
      </c>
      <c r="G1216" s="3" t="s">
        <v>115</v>
      </c>
      <c r="H1216" s="2" t="s">
        <v>148</v>
      </c>
      <c r="I1216" s="2" t="s">
        <v>3547</v>
      </c>
      <c r="J1216" s="3" t="str">
        <f>HYPERLINK("https://www.boe.es/gazeta/dias/1811/02/03/pdfs/GMD-1811-34.pdf#page=3","Abrir facsímil")</f>
        <v>Abrir facsímil</v>
      </c>
      <c r="K1216" s="3" t="s">
        <v>150</v>
      </c>
    </row>
    <row r="1217" spans="1:11" ht="42" customHeight="1">
      <c r="A1217" s="2" t="s">
        <v>3548</v>
      </c>
      <c r="B1217" s="2" t="s">
        <v>3549</v>
      </c>
      <c r="C1217" s="2" t="s">
        <v>26</v>
      </c>
      <c r="D1217" s="2" t="s">
        <v>18</v>
      </c>
      <c r="E1217" s="4">
        <v>-32172</v>
      </c>
      <c r="F1217" s="3" t="s">
        <v>300</v>
      </c>
      <c r="G1217" s="3" t="s">
        <v>301</v>
      </c>
      <c r="H1217" s="2" t="s">
        <v>148</v>
      </c>
      <c r="I1217" s="2" t="s">
        <v>3550</v>
      </c>
      <c r="J1217" s="3" t="str">
        <f>HYPERLINK("https://www.boe.es/gazeta/dias/1811/11/30/pdfs/GMD-1811-334.pdf#page=4","Abrir facsímil")</f>
        <v>Abrir facsímil</v>
      </c>
      <c r="K1217" s="3" t="s">
        <v>150</v>
      </c>
    </row>
    <row r="1218" spans="1:11" ht="42" customHeight="1">
      <c r="A1218" s="2" t="s">
        <v>3551</v>
      </c>
      <c r="B1218" s="2" t="s">
        <v>3552</v>
      </c>
      <c r="C1218" s="2" t="s">
        <v>841</v>
      </c>
      <c r="D1218" s="2" t="s">
        <v>18</v>
      </c>
      <c r="E1218" s="4">
        <v>-32340</v>
      </c>
      <c r="F1218" s="3" t="s">
        <v>565</v>
      </c>
      <c r="G1218" s="3" t="s">
        <v>91</v>
      </c>
      <c r="H1218" s="2" t="s">
        <v>148</v>
      </c>
      <c r="I1218" s="2" t="s">
        <v>3553</v>
      </c>
      <c r="J1218" s="3" t="str">
        <f>HYPERLINK("https://www.boe.es/gazeta/dias/1811/06/15/pdfs/GEI-1811-80.pdf#page=8","Abrir facsímil")</f>
        <v>Abrir facsímil</v>
      </c>
      <c r="K1218" s="3" t="s">
        <v>150</v>
      </c>
    </row>
    <row r="1219" spans="1:11" ht="42" customHeight="1">
      <c r="A1219" s="2" t="s">
        <v>3554</v>
      </c>
      <c r="B1219" s="2" t="s">
        <v>3555</v>
      </c>
      <c r="C1219" s="2" t="s">
        <v>26</v>
      </c>
      <c r="D1219" s="2" t="s">
        <v>18</v>
      </c>
      <c r="E1219" s="4">
        <v>-32169</v>
      </c>
      <c r="F1219" s="3" t="s">
        <v>1702</v>
      </c>
      <c r="G1219" s="3" t="s">
        <v>1703</v>
      </c>
      <c r="H1219" s="2" t="s">
        <v>148</v>
      </c>
      <c r="I1219" s="2" t="s">
        <v>3556</v>
      </c>
      <c r="J1219" s="3" t="str">
        <f>HYPERLINK("https://www.boe.es/gazeta/dias/1811/12/03/pdfs/GEI-1811-157.pdf#page=4","Abrir facsímil")</f>
        <v>Abrir facsímil</v>
      </c>
      <c r="K1219" s="3" t="s">
        <v>150</v>
      </c>
    </row>
    <row r="1220" spans="1:11" ht="42" customHeight="1">
      <c r="A1220" s="2" t="s">
        <v>3557</v>
      </c>
      <c r="B1220" s="2" t="s">
        <v>3558</v>
      </c>
      <c r="C1220" s="2" t="s">
        <v>26</v>
      </c>
      <c r="D1220" s="2" t="s">
        <v>18</v>
      </c>
      <c r="E1220" s="4">
        <v>-32153</v>
      </c>
      <c r="F1220" s="3" t="s">
        <v>123</v>
      </c>
      <c r="G1220" s="3" t="s">
        <v>1067</v>
      </c>
      <c r="H1220" s="2" t="s">
        <v>148</v>
      </c>
      <c r="I1220" s="2" t="s">
        <v>3559</v>
      </c>
      <c r="J1220" s="3" t="str">
        <f>HYPERLINK("https://www.boe.es/gazeta/dias/1811/12/19/pdfs/GMD-1811-353.pdf#page=5","Abrir facsímil")</f>
        <v>Abrir facsímil</v>
      </c>
      <c r="K1220" s="3" t="s">
        <v>150</v>
      </c>
    </row>
    <row r="1221" spans="1:11" ht="42" customHeight="1">
      <c r="A1221" s="2" t="s">
        <v>3560</v>
      </c>
      <c r="B1221" s="2" t="s">
        <v>3561</v>
      </c>
      <c r="C1221" s="2" t="s">
        <v>26</v>
      </c>
      <c r="D1221" s="2" t="s">
        <v>18</v>
      </c>
      <c r="E1221" s="4">
        <v>-32241</v>
      </c>
      <c r="F1221" s="3" t="s">
        <v>514</v>
      </c>
      <c r="G1221" s="3" t="s">
        <v>515</v>
      </c>
      <c r="H1221" s="2" t="s">
        <v>148</v>
      </c>
      <c r="I1221" s="2" t="s">
        <v>3562</v>
      </c>
      <c r="J1221" s="3" t="str">
        <f>HYPERLINK("https://www.boe.es/gazeta/dias/1811/09/22/pdfs/GMD-1811-265.pdf#page=4","Abrir facsímil")</f>
        <v>Abrir facsímil</v>
      </c>
      <c r="K1221" s="3" t="s">
        <v>150</v>
      </c>
    </row>
    <row r="1222" spans="1:11" ht="42" customHeight="1">
      <c r="A1222" s="2" t="s">
        <v>3563</v>
      </c>
      <c r="B1222" s="2" t="s">
        <v>3563</v>
      </c>
      <c r="C1222" s="2" t="s">
        <v>26</v>
      </c>
      <c r="D1222" s="2" t="s">
        <v>18</v>
      </c>
      <c r="E1222" s="4">
        <v>-32246</v>
      </c>
      <c r="F1222" s="3" t="s">
        <v>1901</v>
      </c>
      <c r="G1222" s="3" t="s">
        <v>3564</v>
      </c>
      <c r="H1222" s="2" t="s">
        <v>148</v>
      </c>
      <c r="I1222" s="2" t="s">
        <v>3565</v>
      </c>
      <c r="J1222" s="3" t="str">
        <f>HYPERLINK("https://www.boe.es/gazeta/dias/1811/09/17/pdfs/GMD-1811-260.pdf#page=4","Abrir facsímil")</f>
        <v>Abrir facsímil</v>
      </c>
      <c r="K1222" s="3" t="s">
        <v>150</v>
      </c>
    </row>
    <row r="1223" spans="1:11" ht="42" customHeight="1">
      <c r="A1223" s="2" t="s">
        <v>3566</v>
      </c>
      <c r="B1223" s="2" t="s">
        <v>3567</v>
      </c>
      <c r="C1223" s="2" t="s">
        <v>17</v>
      </c>
      <c r="D1223" s="2" t="s">
        <v>18</v>
      </c>
      <c r="E1223" s="4">
        <v>-32272</v>
      </c>
      <c r="F1223" s="3" t="s">
        <v>1121</v>
      </c>
      <c r="G1223" s="3" t="s">
        <v>510</v>
      </c>
      <c r="H1223" s="2" t="s">
        <v>148</v>
      </c>
      <c r="I1223" s="2" t="s">
        <v>3568</v>
      </c>
      <c r="J1223" s="3" t="str">
        <f>HYPERLINK("https://www.boe.es/gazeta/dias/1811/08/22/pdfs/GEI-1811-109.pdf#page=8","Abrir facsímil")</f>
        <v>Abrir facsímil</v>
      </c>
      <c r="K1223" s="3" t="s">
        <v>150</v>
      </c>
    </row>
    <row r="1224" spans="1:11" ht="42" customHeight="1">
      <c r="A1224" s="2" t="s">
        <v>3569</v>
      </c>
      <c r="B1224" s="2" t="s">
        <v>3569</v>
      </c>
      <c r="C1224" s="2" t="s">
        <v>17</v>
      </c>
      <c r="D1224" s="2" t="s">
        <v>156</v>
      </c>
      <c r="E1224" s="4">
        <v>-32309</v>
      </c>
      <c r="F1224" s="3" t="s">
        <v>2496</v>
      </c>
      <c r="G1224" s="3" t="s">
        <v>178</v>
      </c>
      <c r="H1224" s="2" t="s">
        <v>148</v>
      </c>
      <c r="I1224" s="2" t="s">
        <v>3570</v>
      </c>
      <c r="J1224" s="3" t="str">
        <f>HYPERLINK("https://www.boe.es/gazeta/dias/1811/07/16/pdfs/GEI-1811-93.pdf#page=6","Abrir facsímil")</f>
        <v>Abrir facsímil</v>
      </c>
      <c r="K1224" s="3" t="s">
        <v>150</v>
      </c>
    </row>
    <row r="1225" spans="1:11" ht="42" customHeight="1">
      <c r="A1225" s="2" t="s">
        <v>3569</v>
      </c>
      <c r="B1225" s="2" t="s">
        <v>3569</v>
      </c>
      <c r="C1225" s="2" t="s">
        <v>17</v>
      </c>
      <c r="D1225" s="2" t="s">
        <v>156</v>
      </c>
      <c r="E1225" s="4">
        <v>-32239</v>
      </c>
      <c r="F1225" s="3" t="s">
        <v>1225</v>
      </c>
      <c r="G1225" s="3" t="s">
        <v>248</v>
      </c>
      <c r="H1225" s="2" t="s">
        <v>148</v>
      </c>
      <c r="I1225" s="2" t="s">
        <v>3571</v>
      </c>
      <c r="J1225" s="3" t="str">
        <f>HYPERLINK("https://www.boe.es/gazeta/dias/1811/09/24/pdfs/GEI-1811-123.pdf#page=7","Abrir facsímil")</f>
        <v>Abrir facsímil</v>
      </c>
      <c r="K1225" s="3" t="s">
        <v>150</v>
      </c>
    </row>
    <row r="1226" spans="1:11" ht="42" customHeight="1">
      <c r="A1226" s="2" t="s">
        <v>3572</v>
      </c>
      <c r="B1226" s="2" t="s">
        <v>3573</v>
      </c>
      <c r="C1226" s="2" t="s">
        <v>26</v>
      </c>
      <c r="D1226" s="2" t="s">
        <v>18</v>
      </c>
      <c r="E1226" s="4">
        <v>-32145</v>
      </c>
      <c r="F1226" s="3" t="s">
        <v>417</v>
      </c>
      <c r="G1226" s="3" t="s">
        <v>418</v>
      </c>
      <c r="H1226" s="2" t="s">
        <v>148</v>
      </c>
      <c r="I1226" s="2" t="s">
        <v>3574</v>
      </c>
      <c r="J1226" s="3" t="str">
        <f>HYPERLINK("https://www.boe.es/gazeta/dias/1811/12/27/pdfs/GMD-1811-361.pdf#page=4","Abrir facsímil")</f>
        <v>Abrir facsímil</v>
      </c>
      <c r="K1226" s="3" t="s">
        <v>150</v>
      </c>
    </row>
    <row r="1227" spans="1:11" ht="42" customHeight="1">
      <c r="A1227" s="2" t="s">
        <v>3575</v>
      </c>
      <c r="B1227" s="2" t="s">
        <v>3576</v>
      </c>
      <c r="C1227" s="2" t="s">
        <v>17</v>
      </c>
      <c r="D1227" s="2" t="s">
        <v>156</v>
      </c>
      <c r="E1227" s="4">
        <v>-32303</v>
      </c>
      <c r="F1227" s="3" t="s">
        <v>2811</v>
      </c>
      <c r="G1227" s="3" t="s">
        <v>3577</v>
      </c>
      <c r="H1227" s="2" t="s">
        <v>148</v>
      </c>
      <c r="I1227" s="2" t="s">
        <v>3578</v>
      </c>
      <c r="J1227" s="3" t="str">
        <f>HYPERLINK("https://www.boe.es/gazeta/dias/1811/07/22/pdfs/GMD-1811-203.pdf#page=4","Abrir facsímil")</f>
        <v>Abrir facsímil</v>
      </c>
      <c r="K1227" s="3" t="s">
        <v>150</v>
      </c>
    </row>
    <row r="1228" spans="1:11" ht="42" customHeight="1">
      <c r="A1228" s="2" t="s">
        <v>3579</v>
      </c>
      <c r="B1228" s="2" t="s">
        <v>3580</v>
      </c>
      <c r="C1228" s="2" t="s">
        <v>26</v>
      </c>
      <c r="D1228" s="2" t="s">
        <v>18</v>
      </c>
      <c r="E1228" s="4">
        <v>-32379</v>
      </c>
      <c r="F1228" s="3" t="s">
        <v>462</v>
      </c>
      <c r="G1228" s="3" t="s">
        <v>463</v>
      </c>
      <c r="H1228" s="2" t="s">
        <v>148</v>
      </c>
      <c r="I1228" s="2" t="s">
        <v>3581</v>
      </c>
      <c r="J1228" s="3" t="str">
        <f>HYPERLINK("https://www.boe.es/gazeta/dias/1811/05/07/pdfs/GEI-1811-60.pdf#page=8","Abrir facsímil")</f>
        <v>Abrir facsímil</v>
      </c>
      <c r="K1228" s="3" t="s">
        <v>150</v>
      </c>
    </row>
    <row r="1229" spans="1:11" ht="42" customHeight="1">
      <c r="A1229" s="2" t="s">
        <v>3582</v>
      </c>
      <c r="B1229" s="2" t="s">
        <v>3583</v>
      </c>
      <c r="C1229" s="2" t="s">
        <v>26</v>
      </c>
      <c r="D1229" s="2" t="s">
        <v>18</v>
      </c>
      <c r="E1229" s="4">
        <v>-32272</v>
      </c>
      <c r="F1229" s="3" t="s">
        <v>1121</v>
      </c>
      <c r="G1229" s="3" t="s">
        <v>468</v>
      </c>
      <c r="H1229" s="2" t="s">
        <v>21</v>
      </c>
      <c r="I1229" s="2" t="s">
        <v>3584</v>
      </c>
      <c r="J1229" s="3" t="str">
        <f>HYPERLINK("https://www.boe.es/gazeta/dias/1811/08/22/pdfs/GEI-1811-109.pdf#page=5","Abrir facsímil")</f>
        <v>Abrir facsímil</v>
      </c>
      <c r="K1229" s="3" t="s">
        <v>23</v>
      </c>
    </row>
    <row r="1230" spans="1:11" ht="42" customHeight="1">
      <c r="A1230" s="2" t="s">
        <v>3585</v>
      </c>
      <c r="B1230" s="2" t="s">
        <v>3586</v>
      </c>
      <c r="C1230" s="2" t="s">
        <v>26</v>
      </c>
      <c r="D1230" s="2" t="s">
        <v>18</v>
      </c>
      <c r="E1230" s="4">
        <v>-32452</v>
      </c>
      <c r="F1230" s="3" t="s">
        <v>106</v>
      </c>
      <c r="G1230" s="3" t="s">
        <v>20</v>
      </c>
      <c r="H1230" s="2" t="s">
        <v>148</v>
      </c>
      <c r="I1230" s="2" t="s">
        <v>3587</v>
      </c>
      <c r="J1230" s="3" t="str">
        <f>HYPERLINK("https://www.boe.es/gazeta/dias/1811/02/23/pdfs/GEI-1811-24.pdf#page=8","Abrir facsímil")</f>
        <v>Abrir facsímil</v>
      </c>
      <c r="K1230" s="3" t="s">
        <v>150</v>
      </c>
    </row>
    <row r="1231" spans="1:11" ht="42" customHeight="1">
      <c r="A1231" s="2" t="s">
        <v>3588</v>
      </c>
      <c r="B1231" s="2" t="s">
        <v>3589</v>
      </c>
      <c r="C1231" s="2" t="s">
        <v>26</v>
      </c>
      <c r="D1231" s="2" t="s">
        <v>18</v>
      </c>
      <c r="E1231" s="4">
        <v>-32297</v>
      </c>
      <c r="F1231" s="3" t="s">
        <v>2174</v>
      </c>
      <c r="G1231" s="3" t="s">
        <v>183</v>
      </c>
      <c r="H1231" s="2" t="s">
        <v>148</v>
      </c>
      <c r="I1231" s="2" t="s">
        <v>3590</v>
      </c>
      <c r="J1231" s="3" t="str">
        <f>HYPERLINK("https://www.boe.es/gazeta/dias/1811/07/28/pdfs/GMD-1811-209.pdf#page=4","Abrir facsímil")</f>
        <v>Abrir facsímil</v>
      </c>
      <c r="K1231" s="3" t="s">
        <v>150</v>
      </c>
    </row>
    <row r="1232" spans="1:11" ht="42" customHeight="1">
      <c r="A1232" s="2" t="s">
        <v>3591</v>
      </c>
      <c r="B1232" s="2" t="s">
        <v>3592</v>
      </c>
      <c r="C1232" s="2" t="s">
        <v>26</v>
      </c>
      <c r="D1232" s="2" t="s">
        <v>105</v>
      </c>
      <c r="E1232" s="4">
        <v>-32379</v>
      </c>
      <c r="F1232" s="3" t="s">
        <v>462</v>
      </c>
      <c r="G1232" s="3" t="s">
        <v>463</v>
      </c>
      <c r="H1232" s="2" t="s">
        <v>148</v>
      </c>
      <c r="I1232" s="2" t="s">
        <v>3593</v>
      </c>
      <c r="J1232" s="3" t="str">
        <f>HYPERLINK("https://www.boe.es/gazeta/dias/1811/05/07/pdfs/GEI-1811-60.pdf#page=8","Abrir facsímil")</f>
        <v>Abrir facsímil</v>
      </c>
      <c r="K1232" s="3" t="s">
        <v>150</v>
      </c>
    </row>
    <row r="1233" spans="1:11" ht="42" customHeight="1">
      <c r="A1233" s="2" t="s">
        <v>3594</v>
      </c>
      <c r="B1233" s="2" t="s">
        <v>3595</v>
      </c>
      <c r="C1233" s="2" t="s">
        <v>37</v>
      </c>
      <c r="D1233" s="2" t="s">
        <v>18</v>
      </c>
      <c r="E1233" s="4">
        <v>-32396</v>
      </c>
      <c r="F1233" s="3" t="s">
        <v>1267</v>
      </c>
      <c r="G1233" s="3" t="s">
        <v>1143</v>
      </c>
      <c r="H1233" s="2" t="s">
        <v>148</v>
      </c>
      <c r="I1233" s="2" t="s">
        <v>3596</v>
      </c>
      <c r="J1233" s="3" t="str">
        <f>HYPERLINK("https://www.boe.es/gazeta/dias/1811/04/20/pdfs/GMD-1811-110.pdf#page=3","Abrir facsímil")</f>
        <v>Abrir facsímil</v>
      </c>
      <c r="K1233" s="3" t="s">
        <v>150</v>
      </c>
    </row>
    <row r="1234" spans="1:11" ht="42" customHeight="1">
      <c r="A1234" s="2" t="s">
        <v>3597</v>
      </c>
      <c r="B1234" s="2" t="s">
        <v>3598</v>
      </c>
      <c r="C1234" s="2" t="s">
        <v>17</v>
      </c>
      <c r="D1234" s="2" t="s">
        <v>156</v>
      </c>
      <c r="E1234" s="4">
        <v>-32165</v>
      </c>
      <c r="F1234" s="3" t="s">
        <v>1462</v>
      </c>
      <c r="G1234" s="3" t="s">
        <v>1463</v>
      </c>
      <c r="H1234" s="2" t="s">
        <v>148</v>
      </c>
      <c r="I1234" s="2" t="s">
        <v>3599</v>
      </c>
      <c r="J1234" s="3" t="str">
        <f>HYPERLINK("https://www.boe.es/gazeta/dias/1811/12/07/pdfs/GMD-1811-341.pdf#page=3","Abrir facsímil")</f>
        <v>Abrir facsímil</v>
      </c>
      <c r="K1234" s="3" t="s">
        <v>150</v>
      </c>
    </row>
    <row r="1235" spans="1:11" ht="42" customHeight="1">
      <c r="A1235" s="2" t="s">
        <v>3600</v>
      </c>
      <c r="B1235" s="2" t="s">
        <v>3601</v>
      </c>
      <c r="C1235" s="2" t="s">
        <v>17</v>
      </c>
      <c r="D1235" s="2" t="s">
        <v>18</v>
      </c>
      <c r="E1235" s="4">
        <v>-32396</v>
      </c>
      <c r="F1235" s="3" t="s">
        <v>1267</v>
      </c>
      <c r="G1235" s="3" t="s">
        <v>382</v>
      </c>
      <c r="H1235" s="2" t="s">
        <v>148</v>
      </c>
      <c r="I1235" s="2" t="s">
        <v>3602</v>
      </c>
      <c r="J1235" s="3" t="str">
        <f>HYPERLINK("https://www.boe.es/gazeta/dias/1811/04/20/pdfs/GMD-1811-110.pdf#page=2","Abrir facsímil")</f>
        <v>Abrir facsímil</v>
      </c>
      <c r="K1235" s="3" t="s">
        <v>150</v>
      </c>
    </row>
    <row r="1236" spans="1:11" ht="42" customHeight="1">
      <c r="A1236" s="2" t="s">
        <v>3600</v>
      </c>
      <c r="B1236" s="2" t="s">
        <v>3601</v>
      </c>
      <c r="C1236" s="2" t="s">
        <v>26</v>
      </c>
      <c r="D1236" s="2" t="s">
        <v>18</v>
      </c>
      <c r="E1236" s="4">
        <v>-32379</v>
      </c>
      <c r="F1236" s="3" t="s">
        <v>462</v>
      </c>
      <c r="G1236" s="3" t="s">
        <v>463</v>
      </c>
      <c r="H1236" s="2" t="s">
        <v>148</v>
      </c>
      <c r="I1236" s="2" t="s">
        <v>3603</v>
      </c>
      <c r="J1236" s="3" t="str">
        <f>HYPERLINK("https://www.boe.es/gazeta/dias/1811/05/07/pdfs/GEI-1811-60.pdf#page=8","Abrir facsímil")</f>
        <v>Abrir facsímil</v>
      </c>
      <c r="K1236" s="3" t="s">
        <v>150</v>
      </c>
    </row>
    <row r="1237" spans="1:11" ht="42" customHeight="1">
      <c r="A1237" s="2" t="s">
        <v>3604</v>
      </c>
      <c r="B1237" s="2" t="s">
        <v>3605</v>
      </c>
      <c r="C1237" s="2" t="s">
        <v>17</v>
      </c>
      <c r="D1237" s="2" t="s">
        <v>18</v>
      </c>
      <c r="E1237" s="4">
        <v>-32246</v>
      </c>
      <c r="F1237" s="3" t="s">
        <v>19</v>
      </c>
      <c r="G1237" s="3" t="s">
        <v>3606</v>
      </c>
      <c r="H1237" s="2" t="s">
        <v>148</v>
      </c>
      <c r="I1237" s="2" t="s">
        <v>3607</v>
      </c>
      <c r="J1237" s="3" t="str">
        <f>HYPERLINK("https://www.boe.es/gazeta/dias/1811/09/17/pdfs/GEI-1811-120.pdf#page=8","Abrir facsímil")</f>
        <v>Abrir facsímil</v>
      </c>
      <c r="K1237" s="3" t="s">
        <v>150</v>
      </c>
    </row>
    <row r="1238" spans="1:11" ht="42" customHeight="1">
      <c r="A1238" s="2" t="s">
        <v>3608</v>
      </c>
      <c r="B1238" s="2" t="s">
        <v>3609</v>
      </c>
      <c r="C1238" s="2" t="s">
        <v>122</v>
      </c>
      <c r="D1238" s="2" t="s">
        <v>18</v>
      </c>
      <c r="E1238" s="4">
        <v>-32165</v>
      </c>
      <c r="F1238" s="3" t="s">
        <v>1462</v>
      </c>
      <c r="G1238" s="3" t="s">
        <v>3610</v>
      </c>
      <c r="H1238" s="2" t="s">
        <v>148</v>
      </c>
      <c r="I1238" s="2" t="s">
        <v>3611</v>
      </c>
      <c r="J1238" s="3" t="str">
        <f>HYPERLINK("https://www.boe.es/gazeta/dias/1811/12/07/pdfs/GMD-1811-341.pdf#page=4","Abrir facsímil")</f>
        <v>Abrir facsímil</v>
      </c>
      <c r="K1238" s="3" t="s">
        <v>150</v>
      </c>
    </row>
    <row r="1239" spans="1:11" ht="42" customHeight="1">
      <c r="A1239" s="2" t="s">
        <v>3612</v>
      </c>
      <c r="B1239" s="2" t="s">
        <v>3612</v>
      </c>
      <c r="C1239" s="2" t="s">
        <v>17</v>
      </c>
      <c r="D1239" s="2" t="s">
        <v>156</v>
      </c>
      <c r="E1239" s="4">
        <v>-32356</v>
      </c>
      <c r="F1239" s="3" t="s">
        <v>1992</v>
      </c>
      <c r="G1239" s="3" t="s">
        <v>3613</v>
      </c>
      <c r="H1239" s="2" t="s">
        <v>148</v>
      </c>
      <c r="I1239" s="2" t="s">
        <v>3614</v>
      </c>
      <c r="J1239" s="3" t="str">
        <f>HYPERLINK("https://www.boe.es/gazeta/dias/1811/05/30/pdfs/GEI-1811-73.pdf#page=5","Abrir facsímil")</f>
        <v>Abrir facsímil</v>
      </c>
      <c r="K1239" s="3" t="s">
        <v>150</v>
      </c>
    </row>
    <row r="1240" spans="1:11" ht="42" customHeight="1">
      <c r="A1240" s="2" t="s">
        <v>3615</v>
      </c>
      <c r="B1240" s="2" t="s">
        <v>3615</v>
      </c>
      <c r="C1240" s="2" t="s">
        <v>17</v>
      </c>
      <c r="D1240" s="2" t="s">
        <v>156</v>
      </c>
      <c r="E1240" s="4">
        <v>-32356</v>
      </c>
      <c r="F1240" s="3" t="s">
        <v>1992</v>
      </c>
      <c r="G1240" s="3" t="s">
        <v>409</v>
      </c>
      <c r="H1240" s="2" t="s">
        <v>148</v>
      </c>
      <c r="I1240" s="2" t="s">
        <v>3616</v>
      </c>
      <c r="J1240" s="3" t="str">
        <f>HYPERLINK("https://www.boe.es/gazeta/dias/1811/05/30/pdfs/GEI-1811-73.pdf#page=2","Abrir facsímil")</f>
        <v>Abrir facsímil</v>
      </c>
      <c r="K1240" s="3" t="s">
        <v>150</v>
      </c>
    </row>
    <row r="1241" spans="1:11" ht="42" customHeight="1">
      <c r="A1241" s="2" t="s">
        <v>3617</v>
      </c>
      <c r="B1241" s="2" t="s">
        <v>3618</v>
      </c>
      <c r="C1241" s="2" t="s">
        <v>17</v>
      </c>
      <c r="D1241" s="2" t="s">
        <v>18</v>
      </c>
      <c r="E1241" s="4">
        <v>-32494</v>
      </c>
      <c r="F1241" s="3" t="s">
        <v>3050</v>
      </c>
      <c r="G1241" s="3" t="s">
        <v>3619</v>
      </c>
      <c r="H1241" s="2" t="s">
        <v>148</v>
      </c>
      <c r="I1241" s="2" t="s">
        <v>3620</v>
      </c>
      <c r="J1241" s="3" t="str">
        <f>HYPERLINK("https://www.boe.es/gazeta/dias/1811/01/12/pdfs/GEI-1811-6.pdf#page=8","Abrir facsímil")</f>
        <v>Abrir facsímil</v>
      </c>
      <c r="K1241" s="3" t="s">
        <v>150</v>
      </c>
    </row>
    <row r="1242" spans="1:11" ht="42" customHeight="1">
      <c r="A1242" s="2" t="s">
        <v>3621</v>
      </c>
      <c r="B1242" s="2" t="s">
        <v>3622</v>
      </c>
      <c r="C1242" s="2" t="s">
        <v>17</v>
      </c>
      <c r="D1242" s="2" t="s">
        <v>18</v>
      </c>
      <c r="E1242" s="4">
        <v>-32503</v>
      </c>
      <c r="F1242" s="3" t="s">
        <v>487</v>
      </c>
      <c r="G1242" s="3" t="s">
        <v>1930</v>
      </c>
      <c r="H1242" s="2" t="s">
        <v>148</v>
      </c>
      <c r="I1242" s="2" t="s">
        <v>3623</v>
      </c>
      <c r="J1242" s="3" t="str">
        <f>HYPERLINK("https://www.boe.es/gazeta/dias/1811/01/03/pdfs/GEI-1811-2.pdf#page=8","Abrir facsímil")</f>
        <v>Abrir facsímil</v>
      </c>
      <c r="K1242" s="3" t="s">
        <v>150</v>
      </c>
    </row>
    <row r="1243" spans="1:11" ht="42" customHeight="1">
      <c r="A1243" s="2" t="s">
        <v>3624</v>
      </c>
      <c r="B1243" s="2" t="s">
        <v>3625</v>
      </c>
      <c r="C1243" s="2" t="s">
        <v>26</v>
      </c>
      <c r="D1243" s="2" t="s">
        <v>18</v>
      </c>
      <c r="E1243" s="4">
        <v>-32501</v>
      </c>
      <c r="F1243" s="3" t="s">
        <v>509</v>
      </c>
      <c r="G1243" s="3" t="s">
        <v>510</v>
      </c>
      <c r="H1243" s="2" t="s">
        <v>148</v>
      </c>
      <c r="I1243" s="2" t="s">
        <v>3626</v>
      </c>
      <c r="J1243" s="3" t="str">
        <f>HYPERLINK("https://www.boe.es/gazeta/dias/1811/01/05/pdfs/GEI-1811-3.pdf#page=8","Abrir facsímil")</f>
        <v>Abrir facsímil</v>
      </c>
      <c r="K1243" s="3" t="s">
        <v>150</v>
      </c>
    </row>
    <row r="1244" spans="1:11" ht="42" customHeight="1">
      <c r="A1244" s="2" t="s">
        <v>3627</v>
      </c>
      <c r="B1244" s="2" t="s">
        <v>3628</v>
      </c>
      <c r="C1244" s="2" t="s">
        <v>26</v>
      </c>
      <c r="D1244" s="2" t="s">
        <v>204</v>
      </c>
      <c r="E1244" s="4">
        <v>-32416</v>
      </c>
      <c r="F1244" s="3" t="s">
        <v>954</v>
      </c>
      <c r="G1244" s="3" t="s">
        <v>47</v>
      </c>
      <c r="H1244" s="2" t="s">
        <v>148</v>
      </c>
      <c r="I1244" s="2" t="s">
        <v>3629</v>
      </c>
      <c r="J1244" s="3" t="str">
        <f>HYPERLINK("https://www.boe.es/gazeta/dias/1811/03/31/pdfs/GMD-1811-90.pdf#page=3","Abrir facsímil")</f>
        <v>Abrir facsímil</v>
      </c>
      <c r="K1244" s="3" t="s">
        <v>150</v>
      </c>
    </row>
    <row r="1245" spans="1:11" ht="42" customHeight="1">
      <c r="A1245" s="2" t="s">
        <v>3630</v>
      </c>
      <c r="B1245" s="2" t="s">
        <v>3631</v>
      </c>
      <c r="C1245" s="2" t="s">
        <v>17</v>
      </c>
      <c r="D1245" s="2" t="s">
        <v>141</v>
      </c>
      <c r="E1245" s="4">
        <v>-32188</v>
      </c>
      <c r="F1245" s="3" t="s">
        <v>505</v>
      </c>
      <c r="G1245" s="3" t="s">
        <v>162</v>
      </c>
      <c r="H1245" s="2" t="s">
        <v>148</v>
      </c>
      <c r="I1245" s="2" t="s">
        <v>3632</v>
      </c>
      <c r="J1245" s="3" t="str">
        <f>HYPERLINK("https://www.boe.es/gazeta/dias/1811/11/14/pdfs/GEI-D-1811-149.pdf#page=4","Abrir facsímil")</f>
        <v>Abrir facsímil</v>
      </c>
      <c r="K1245" s="3" t="s">
        <v>150</v>
      </c>
    </row>
    <row r="1246" spans="1:11" ht="42" customHeight="1">
      <c r="A1246" s="2" t="s">
        <v>3633</v>
      </c>
      <c r="B1246" s="2" t="s">
        <v>3633</v>
      </c>
      <c r="C1246" s="2" t="s">
        <v>17</v>
      </c>
      <c r="D1246" s="2" t="s">
        <v>105</v>
      </c>
      <c r="E1246" s="4">
        <v>-32239</v>
      </c>
      <c r="F1246" s="3" t="s">
        <v>3634</v>
      </c>
      <c r="G1246" s="3" t="s">
        <v>515</v>
      </c>
      <c r="H1246" s="2" t="s">
        <v>148</v>
      </c>
      <c r="I1246" s="2" t="s">
        <v>3635</v>
      </c>
      <c r="J1246" s="3" t="str">
        <f>HYPERLINK("https://www.boe.es/gazeta/dias/1811/09/24/pdfs/GMD-1811-267.pdf#page=2","Abrir facsímil")</f>
        <v>Abrir facsímil</v>
      </c>
      <c r="K1246" s="3" t="s">
        <v>150</v>
      </c>
    </row>
    <row r="1247" spans="1:11" ht="42" customHeight="1">
      <c r="A1247" s="2" t="s">
        <v>3636</v>
      </c>
      <c r="B1247" s="2" t="s">
        <v>3636</v>
      </c>
      <c r="C1247" s="2" t="s">
        <v>17</v>
      </c>
      <c r="D1247" s="2" t="s">
        <v>105</v>
      </c>
      <c r="E1247" s="4">
        <v>-32179</v>
      </c>
      <c r="F1247" s="3" t="s">
        <v>2924</v>
      </c>
      <c r="G1247" s="3" t="s">
        <v>2931</v>
      </c>
      <c r="H1247" s="2" t="s">
        <v>21</v>
      </c>
      <c r="I1247" s="2" t="s">
        <v>3637</v>
      </c>
      <c r="J1247" s="3" t="str">
        <f>HYPERLINK("https://www.boe.es/gazeta/dias/1811/11/23/pdfs/GEI-D-1811-153.pdf#page=4","Abrir facsímil")</f>
        <v>Abrir facsímil</v>
      </c>
      <c r="K1247" s="3" t="s">
        <v>23</v>
      </c>
    </row>
    <row r="1248" spans="1:11" ht="42" customHeight="1">
      <c r="A1248" s="2" t="s">
        <v>3638</v>
      </c>
      <c r="B1248" s="2" t="s">
        <v>3639</v>
      </c>
      <c r="C1248" s="2" t="s">
        <v>17</v>
      </c>
      <c r="D1248" s="2" t="s">
        <v>156</v>
      </c>
      <c r="E1248" s="4">
        <v>-32232</v>
      </c>
      <c r="F1248" s="3" t="s">
        <v>1816</v>
      </c>
      <c r="G1248" s="3" t="s">
        <v>1817</v>
      </c>
      <c r="H1248" s="2" t="s">
        <v>148</v>
      </c>
      <c r="I1248" s="2" t="s">
        <v>3640</v>
      </c>
      <c r="J1248" s="3" t="str">
        <f>HYPERLINK("https://www.boe.es/gazeta/dias/1811/10/01/pdfs/GEI-1811-126.pdf#page=8","Abrir facsímil")</f>
        <v>Abrir facsímil</v>
      </c>
      <c r="K1248" s="3" t="s">
        <v>150</v>
      </c>
    </row>
    <row r="1249" spans="1:11" ht="42" customHeight="1">
      <c r="A1249" s="2" t="s">
        <v>3641</v>
      </c>
      <c r="B1249" s="2" t="s">
        <v>3642</v>
      </c>
      <c r="C1249" s="2" t="s">
        <v>104</v>
      </c>
      <c r="D1249" s="2" t="s">
        <v>204</v>
      </c>
      <c r="E1249" s="4">
        <v>-32466</v>
      </c>
      <c r="F1249" s="3" t="s">
        <v>1514</v>
      </c>
      <c r="G1249" s="3" t="s">
        <v>3643</v>
      </c>
      <c r="H1249" s="2" t="s">
        <v>148</v>
      </c>
      <c r="I1249" s="2" t="s">
        <v>3644</v>
      </c>
      <c r="J1249" s="3" t="str">
        <f>HYPERLINK("https://www.boe.es/gazeta/dias/1811/02/09/pdfs/GEI-1811-18.pdf#page=1","Abrir facsímil")</f>
        <v>Abrir facsímil</v>
      </c>
      <c r="K1249" s="3" t="s">
        <v>150</v>
      </c>
    </row>
    <row r="1250" spans="1:11" ht="42" customHeight="1">
      <c r="A1250" s="2" t="s">
        <v>3645</v>
      </c>
      <c r="B1250" s="2" t="s">
        <v>3645</v>
      </c>
      <c r="C1250" s="2" t="s">
        <v>17</v>
      </c>
      <c r="D1250" s="2" t="s">
        <v>156</v>
      </c>
      <c r="E1250" s="4">
        <v>-32457</v>
      </c>
      <c r="F1250" s="3" t="s">
        <v>3646</v>
      </c>
      <c r="G1250" s="3" t="s">
        <v>107</v>
      </c>
      <c r="H1250" s="2" t="s">
        <v>148</v>
      </c>
      <c r="I1250" s="2" t="s">
        <v>3647</v>
      </c>
      <c r="J1250" s="3" t="str">
        <f>HYPERLINK("https://www.boe.es/gazeta/dias/1811/02/18/pdfs/GMD-1811-49.pdf#page=4","Abrir facsímil")</f>
        <v>Abrir facsímil</v>
      </c>
      <c r="K1250" s="3" t="s">
        <v>150</v>
      </c>
    </row>
    <row r="1251" spans="1:11" ht="42" customHeight="1">
      <c r="A1251" s="2" t="s">
        <v>3648</v>
      </c>
      <c r="B1251" s="2" t="s">
        <v>3649</v>
      </c>
      <c r="C1251" s="2" t="s">
        <v>26</v>
      </c>
      <c r="D1251" s="2" t="s">
        <v>18</v>
      </c>
      <c r="E1251" s="4">
        <v>-32172</v>
      </c>
      <c r="F1251" s="3" t="s">
        <v>300</v>
      </c>
      <c r="G1251" s="3" t="s">
        <v>305</v>
      </c>
      <c r="H1251" s="2" t="s">
        <v>148</v>
      </c>
      <c r="I1251" s="2" t="s">
        <v>3650</v>
      </c>
      <c r="J1251" s="3" t="str">
        <f>HYPERLINK("https://www.boe.es/gazeta/dias/1811/11/30/pdfs/GMD-1811-334.pdf#page=3","Abrir facsímil")</f>
        <v>Abrir facsímil</v>
      </c>
      <c r="K1251" s="3" t="s">
        <v>150</v>
      </c>
    </row>
    <row r="1252" spans="1:11" ht="42" customHeight="1">
      <c r="A1252" s="2" t="s">
        <v>3651</v>
      </c>
      <c r="B1252" s="2" t="s">
        <v>3651</v>
      </c>
      <c r="C1252" s="2" t="s">
        <v>17</v>
      </c>
      <c r="D1252" s="2" t="s">
        <v>18</v>
      </c>
      <c r="E1252" s="4">
        <v>-32265</v>
      </c>
      <c r="F1252" s="3" t="s">
        <v>2375</v>
      </c>
      <c r="G1252" s="3" t="s">
        <v>3367</v>
      </c>
      <c r="H1252" s="2" t="s">
        <v>148</v>
      </c>
      <c r="I1252" s="2" t="s">
        <v>3652</v>
      </c>
      <c r="J1252" s="3" t="str">
        <f>HYPERLINK("https://www.boe.es/gazeta/dias/1811/08/29/pdfs/GEI-1811-112.pdf#page=8","Abrir facsímil")</f>
        <v>Abrir facsímil</v>
      </c>
      <c r="K1252" s="3" t="s">
        <v>150</v>
      </c>
    </row>
    <row r="1253" spans="1:11" ht="42" customHeight="1">
      <c r="A1253" s="2" t="s">
        <v>3653</v>
      </c>
      <c r="B1253" s="2" t="s">
        <v>3653</v>
      </c>
      <c r="C1253" s="2" t="s">
        <v>104</v>
      </c>
      <c r="D1253" s="2" t="s">
        <v>18</v>
      </c>
      <c r="E1253" s="4">
        <v>-32480</v>
      </c>
      <c r="F1253" s="3" t="s">
        <v>2421</v>
      </c>
      <c r="G1253" s="3" t="s">
        <v>57</v>
      </c>
      <c r="H1253" s="2" t="s">
        <v>148</v>
      </c>
      <c r="I1253" s="2" t="s">
        <v>3654</v>
      </c>
      <c r="J1253" s="3" t="str">
        <f>HYPERLINK("https://www.boe.es/gazeta/dias/1811/01/26/pdfs/GMD-1811-26.pdf#page=2","Abrir facsímil")</f>
        <v>Abrir facsímil</v>
      </c>
      <c r="K1253" s="3" t="s">
        <v>150</v>
      </c>
    </row>
    <row r="1254" spans="1:11" ht="42" customHeight="1">
      <c r="A1254" s="2" t="s">
        <v>3653</v>
      </c>
      <c r="B1254" s="2" t="s">
        <v>3653</v>
      </c>
      <c r="C1254" s="2" t="s">
        <v>26</v>
      </c>
      <c r="D1254" s="2" t="s">
        <v>204</v>
      </c>
      <c r="E1254" s="4">
        <v>-32447</v>
      </c>
      <c r="F1254" s="3" t="s">
        <v>3655</v>
      </c>
      <c r="G1254" s="3" t="s">
        <v>3656</v>
      </c>
      <c r="H1254" s="2" t="s">
        <v>148</v>
      </c>
      <c r="I1254" s="2" t="s">
        <v>3657</v>
      </c>
      <c r="J1254" s="3" t="str">
        <f>HYPERLINK("https://www.boe.es/gazeta/dias/1811/02/28/pdfs/GEI-1811-26.pdf#page=3","Abrir facsímil")</f>
        <v>Abrir facsímil</v>
      </c>
      <c r="K1254" s="3" t="s">
        <v>150</v>
      </c>
    </row>
    <row r="1255" spans="1:11" ht="42" customHeight="1">
      <c r="A1255" s="2" t="s">
        <v>3658</v>
      </c>
      <c r="B1255" s="2" t="s">
        <v>3658</v>
      </c>
      <c r="C1255" s="2" t="s">
        <v>17</v>
      </c>
      <c r="D1255" s="2" t="s">
        <v>18</v>
      </c>
      <c r="E1255" s="4">
        <v>-32267</v>
      </c>
      <c r="F1255" s="3" t="s">
        <v>1045</v>
      </c>
      <c r="G1255" s="3" t="s">
        <v>3659</v>
      </c>
      <c r="H1255" s="2" t="s">
        <v>148</v>
      </c>
      <c r="I1255" s="2" t="s">
        <v>3660</v>
      </c>
      <c r="J1255" s="3" t="str">
        <f>HYPERLINK("https://www.boe.es/gazeta/dias/1811/08/27/pdfs/GEI-1811-111.pdf#page=7","Abrir facsímil")</f>
        <v>Abrir facsímil</v>
      </c>
      <c r="K1255" s="3" t="s">
        <v>150</v>
      </c>
    </row>
    <row r="1256" spans="1:11" ht="42" customHeight="1">
      <c r="A1256" s="2" t="s">
        <v>3661</v>
      </c>
      <c r="B1256" s="2" t="s">
        <v>3661</v>
      </c>
      <c r="C1256" s="2" t="s">
        <v>17</v>
      </c>
      <c r="D1256" s="2" t="s">
        <v>204</v>
      </c>
      <c r="E1256" s="4">
        <v>-32186</v>
      </c>
      <c r="F1256" s="3" t="s">
        <v>1425</v>
      </c>
      <c r="G1256" s="3" t="s">
        <v>3662</v>
      </c>
      <c r="H1256" s="2" t="s">
        <v>148</v>
      </c>
      <c r="I1256" s="2" t="s">
        <v>3663</v>
      </c>
      <c r="J1256" s="3" t="str">
        <f>HYPERLINK("https://www.boe.es/gazeta/dias/1811/11/16/pdfs/GEI-1811-150.pdf#page=2","Abrir facsímil")</f>
        <v>Abrir facsímil</v>
      </c>
      <c r="K1256" s="3" t="s">
        <v>150</v>
      </c>
    </row>
    <row r="1257" spans="1:11" ht="42" customHeight="1">
      <c r="A1257" s="2" t="s">
        <v>3664</v>
      </c>
      <c r="B1257" s="2" t="s">
        <v>3664</v>
      </c>
      <c r="C1257" s="2" t="s">
        <v>17</v>
      </c>
      <c r="D1257" s="2" t="s">
        <v>18</v>
      </c>
      <c r="E1257" s="4">
        <v>-32293</v>
      </c>
      <c r="F1257" s="3" t="s">
        <v>2815</v>
      </c>
      <c r="G1257" s="3" t="s">
        <v>3665</v>
      </c>
      <c r="H1257" s="2" t="s">
        <v>148</v>
      </c>
      <c r="I1257" s="2" t="s">
        <v>3666</v>
      </c>
      <c r="J1257" s="3" t="str">
        <f>HYPERLINK("https://www.boe.es/gazeta/dias/1811/08/01/pdfs/GMD-1811-213.pdf#page=3","Abrir facsímil")</f>
        <v>Abrir facsímil</v>
      </c>
      <c r="K1257" s="3" t="s">
        <v>150</v>
      </c>
    </row>
    <row r="1258" spans="1:11" ht="42" customHeight="1">
      <c r="A1258" s="2" t="s">
        <v>3667</v>
      </c>
      <c r="B1258" s="2" t="s">
        <v>3668</v>
      </c>
      <c r="C1258" s="2" t="s">
        <v>17</v>
      </c>
      <c r="D1258" s="2" t="s">
        <v>156</v>
      </c>
      <c r="E1258" s="4">
        <v>-32354</v>
      </c>
      <c r="F1258" s="3" t="s">
        <v>2914</v>
      </c>
      <c r="G1258" s="3" t="s">
        <v>468</v>
      </c>
      <c r="H1258" s="2" t="s">
        <v>148</v>
      </c>
      <c r="I1258" s="2" t="s">
        <v>3669</v>
      </c>
      <c r="J1258" s="3" t="str">
        <f>HYPERLINK("https://www.boe.es/gazeta/dias/1811/06/01/pdfs/GEI-1811-74.pdf#page=8","Abrir facsímil")</f>
        <v>Abrir facsímil</v>
      </c>
      <c r="K1258" s="3" t="s">
        <v>150</v>
      </c>
    </row>
    <row r="1259" spans="1:11" ht="42" customHeight="1">
      <c r="A1259" s="2" t="s">
        <v>3670</v>
      </c>
      <c r="B1259" s="2" t="s">
        <v>3670</v>
      </c>
      <c r="C1259" s="2" t="s">
        <v>17</v>
      </c>
      <c r="D1259" s="2" t="s">
        <v>156</v>
      </c>
      <c r="E1259" s="4">
        <v>-32356</v>
      </c>
      <c r="F1259" s="3" t="s">
        <v>1992</v>
      </c>
      <c r="G1259" s="3" t="s">
        <v>3613</v>
      </c>
      <c r="H1259" s="2" t="s">
        <v>148</v>
      </c>
      <c r="I1259" s="2" t="s">
        <v>3671</v>
      </c>
      <c r="J1259" s="3" t="str">
        <f>HYPERLINK("https://www.boe.es/gazeta/dias/1811/05/30/pdfs/GEI-1811-73.pdf#page=5","Abrir facsímil")</f>
        <v>Abrir facsímil</v>
      </c>
      <c r="K1259" s="3" t="s">
        <v>150</v>
      </c>
    </row>
    <row r="1260" spans="1:11" ht="42" customHeight="1">
      <c r="A1260" s="2" t="s">
        <v>3672</v>
      </c>
      <c r="B1260" s="2" t="s">
        <v>3672</v>
      </c>
      <c r="C1260" s="2" t="s">
        <v>17</v>
      </c>
      <c r="D1260" s="2" t="s">
        <v>105</v>
      </c>
      <c r="E1260" s="4">
        <v>-32160</v>
      </c>
      <c r="F1260" s="3" t="s">
        <v>1013</v>
      </c>
      <c r="G1260" s="3" t="s">
        <v>20</v>
      </c>
      <c r="H1260" s="2" t="s">
        <v>148</v>
      </c>
      <c r="I1260" s="2" t="s">
        <v>3673</v>
      </c>
      <c r="J1260" s="3" t="str">
        <f>HYPERLINK("https://www.boe.es/gazeta/dias/1811/12/12/pdfs/GEI-1811-161.pdf#page=6","Abrir facsímil")</f>
        <v>Abrir facsímil</v>
      </c>
      <c r="K1260" s="3" t="s">
        <v>150</v>
      </c>
    </row>
    <row r="1261" spans="1:11" ht="42" customHeight="1">
      <c r="A1261" s="2" t="s">
        <v>3674</v>
      </c>
      <c r="B1261" s="2" t="s">
        <v>3675</v>
      </c>
      <c r="C1261" s="2" t="s">
        <v>26</v>
      </c>
      <c r="D1261" s="2" t="s">
        <v>18</v>
      </c>
      <c r="E1261" s="4">
        <v>-32163</v>
      </c>
      <c r="F1261" s="3" t="s">
        <v>497</v>
      </c>
      <c r="G1261" s="3" t="s">
        <v>498</v>
      </c>
      <c r="H1261" s="2" t="s">
        <v>148</v>
      </c>
      <c r="I1261" s="2" t="s">
        <v>3676</v>
      </c>
      <c r="J1261" s="3" t="str">
        <f>HYPERLINK("https://www.boe.es/gazeta/dias/1811/12/09/pdfs/GMD-1811-343.pdf#page=4","Abrir facsímil")</f>
        <v>Abrir facsímil</v>
      </c>
      <c r="K1261" s="3" t="s">
        <v>150</v>
      </c>
    </row>
    <row r="1262" spans="1:11" ht="42" customHeight="1">
      <c r="A1262" s="2" t="s">
        <v>3677</v>
      </c>
      <c r="B1262" s="2" t="s">
        <v>3677</v>
      </c>
      <c r="C1262" s="2" t="s">
        <v>104</v>
      </c>
      <c r="D1262" s="2" t="s">
        <v>18</v>
      </c>
      <c r="E1262" s="4">
        <v>-32486</v>
      </c>
      <c r="F1262" s="3" t="s">
        <v>556</v>
      </c>
      <c r="G1262" s="3" t="s">
        <v>3678</v>
      </c>
      <c r="H1262" s="2" t="s">
        <v>148</v>
      </c>
      <c r="I1262" s="2" t="s">
        <v>3679</v>
      </c>
      <c r="J1262" s="3" t="str">
        <f>HYPERLINK("https://www.boe.es/gazeta/dias/1811/01/20/pdfs/GMD-1811-20.pdf#page=3","Abrir facsímil")</f>
        <v>Abrir facsímil</v>
      </c>
      <c r="K1262" s="3" t="s">
        <v>150</v>
      </c>
    </row>
    <row r="1263" spans="1:11" ht="42" customHeight="1">
      <c r="A1263" s="2" t="s">
        <v>3680</v>
      </c>
      <c r="B1263" s="2" t="s">
        <v>3680</v>
      </c>
      <c r="C1263" s="2" t="s">
        <v>17</v>
      </c>
      <c r="D1263" s="2" t="s">
        <v>18</v>
      </c>
      <c r="E1263" s="4">
        <v>-32293</v>
      </c>
      <c r="F1263" s="3" t="s">
        <v>2815</v>
      </c>
      <c r="G1263" s="3" t="s">
        <v>3665</v>
      </c>
      <c r="H1263" s="2" t="s">
        <v>148</v>
      </c>
      <c r="I1263" s="2" t="s">
        <v>3681</v>
      </c>
      <c r="J1263" s="3" t="str">
        <f>HYPERLINK("https://www.boe.es/gazeta/dias/1811/08/01/pdfs/GMD-1811-213.pdf#page=3","Abrir facsímil")</f>
        <v>Abrir facsímil</v>
      </c>
      <c r="K1263" s="3" t="s">
        <v>150</v>
      </c>
    </row>
    <row r="1264" spans="1:11" ht="42" customHeight="1">
      <c r="A1264" s="2" t="s">
        <v>3682</v>
      </c>
      <c r="B1264" s="2" t="s">
        <v>3682</v>
      </c>
      <c r="C1264" s="2" t="s">
        <v>17</v>
      </c>
      <c r="D1264" s="2" t="s">
        <v>156</v>
      </c>
      <c r="E1264" s="4">
        <v>-32268</v>
      </c>
      <c r="F1264" s="3" t="s">
        <v>3683</v>
      </c>
      <c r="G1264" s="3" t="s">
        <v>91</v>
      </c>
      <c r="H1264" s="2" t="s">
        <v>148</v>
      </c>
      <c r="I1264" s="2" t="s">
        <v>3684</v>
      </c>
      <c r="J1264" s="3" t="str">
        <f>HYPERLINK("https://www.boe.es/gazeta/dias/1811/08/26/pdfs/GMD-1811-238.pdf#page=3","Abrir facsímil")</f>
        <v>Abrir facsímil</v>
      </c>
      <c r="K1264" s="3" t="s">
        <v>150</v>
      </c>
    </row>
    <row r="1265" spans="1:11" ht="42" customHeight="1">
      <c r="A1265" s="2" t="s">
        <v>3685</v>
      </c>
      <c r="B1265" s="2" t="s">
        <v>3686</v>
      </c>
      <c r="C1265" s="2" t="s">
        <v>17</v>
      </c>
      <c r="D1265" s="2" t="s">
        <v>18</v>
      </c>
      <c r="E1265" s="4">
        <v>-32144</v>
      </c>
      <c r="F1265" s="3" t="s">
        <v>1097</v>
      </c>
      <c r="G1265" s="3" t="s">
        <v>561</v>
      </c>
      <c r="H1265" s="2" t="s">
        <v>148</v>
      </c>
      <c r="I1265" s="2" t="s">
        <v>3687</v>
      </c>
      <c r="J1265" s="3" t="str">
        <f>HYPERLINK("https://www.boe.es/gazeta/dias/1811/12/28/pdfs/GEI-1811-168.pdf#page=5","Abrir facsímil")</f>
        <v>Abrir facsímil</v>
      </c>
      <c r="K1265" s="3" t="s">
        <v>150</v>
      </c>
    </row>
    <row r="1266" spans="1:11" ht="42" customHeight="1">
      <c r="A1266" s="2" t="s">
        <v>3688</v>
      </c>
      <c r="B1266" s="2" t="s">
        <v>3689</v>
      </c>
      <c r="C1266" s="2" t="s">
        <v>26</v>
      </c>
      <c r="D1266" s="2" t="s">
        <v>18</v>
      </c>
      <c r="E1266" s="4">
        <v>-32153</v>
      </c>
      <c r="F1266" s="3" t="s">
        <v>123</v>
      </c>
      <c r="G1266" s="3" t="s">
        <v>1067</v>
      </c>
      <c r="H1266" s="2" t="s">
        <v>148</v>
      </c>
      <c r="I1266" s="2" t="s">
        <v>3690</v>
      </c>
      <c r="J1266" s="3" t="str">
        <f>HYPERLINK("https://www.boe.es/gazeta/dias/1811/12/19/pdfs/GMD-1811-353.pdf#page=5","Abrir facsímil")</f>
        <v>Abrir facsímil</v>
      </c>
      <c r="K1266" s="3" t="s">
        <v>150</v>
      </c>
    </row>
    <row r="1267" spans="1:11" ht="42" customHeight="1">
      <c r="A1267" s="2" t="s">
        <v>3691</v>
      </c>
      <c r="B1267" s="2" t="s">
        <v>3692</v>
      </c>
      <c r="C1267" s="2" t="s">
        <v>26</v>
      </c>
      <c r="D1267" s="2" t="s">
        <v>18</v>
      </c>
      <c r="E1267" s="4">
        <v>-32242</v>
      </c>
      <c r="F1267" s="3" t="s">
        <v>1295</v>
      </c>
      <c r="G1267" s="3" t="s">
        <v>1296</v>
      </c>
      <c r="H1267" s="2" t="s">
        <v>148</v>
      </c>
      <c r="I1267" s="2" t="s">
        <v>3693</v>
      </c>
      <c r="J1267" s="3" t="str">
        <f>HYPERLINK("https://www.boe.es/gazeta/dias/1811/09/21/pdfs/GEI-1811-122.pdf#page=8","Abrir facsímil")</f>
        <v>Abrir facsímil</v>
      </c>
      <c r="K1267" s="3" t="s">
        <v>150</v>
      </c>
    </row>
    <row r="1268" spans="1:11" ht="42" customHeight="1">
      <c r="A1268" s="2" t="s">
        <v>3694</v>
      </c>
      <c r="B1268" s="2" t="s">
        <v>3695</v>
      </c>
      <c r="C1268" s="2" t="s">
        <v>26</v>
      </c>
      <c r="D1268" s="2" t="s">
        <v>18</v>
      </c>
      <c r="E1268" s="4">
        <v>-32283</v>
      </c>
      <c r="F1268" s="3" t="s">
        <v>90</v>
      </c>
      <c r="G1268" s="3" t="s">
        <v>91</v>
      </c>
      <c r="H1268" s="2" t="s">
        <v>148</v>
      </c>
      <c r="I1268" s="2" t="s">
        <v>3696</v>
      </c>
      <c r="J1268" s="3" t="str">
        <f>HYPERLINK("https://www.boe.es/gazeta/dias/1811/08/11/pdfs/GMD-1811-223.pdf#page=4","Abrir facsímil")</f>
        <v>Abrir facsímil</v>
      </c>
      <c r="K1268" s="3" t="s">
        <v>150</v>
      </c>
    </row>
    <row r="1269" spans="1:11" ht="42" customHeight="1">
      <c r="A1269" s="2" t="s">
        <v>3697</v>
      </c>
      <c r="B1269" s="2" t="s">
        <v>3698</v>
      </c>
      <c r="C1269" s="2" t="s">
        <v>17</v>
      </c>
      <c r="D1269" s="2" t="s">
        <v>105</v>
      </c>
      <c r="E1269" s="4">
        <v>-32249</v>
      </c>
      <c r="F1269" s="3" t="s">
        <v>182</v>
      </c>
      <c r="G1269" s="3" t="s">
        <v>183</v>
      </c>
      <c r="H1269" s="2" t="s">
        <v>148</v>
      </c>
      <c r="I1269" s="2" t="s">
        <v>3699</v>
      </c>
      <c r="J1269" s="3" t="str">
        <f>HYPERLINK("https://www.boe.es/gazeta/dias/1811/09/14/pdfs/GMD-1811-257.pdf#page=4","Abrir facsímil")</f>
        <v>Abrir facsímil</v>
      </c>
      <c r="K1269" s="3" t="s">
        <v>150</v>
      </c>
    </row>
    <row r="1270" spans="1:11" ht="42" customHeight="1">
      <c r="A1270" s="2" t="s">
        <v>3700</v>
      </c>
      <c r="B1270" s="2" t="s">
        <v>3700</v>
      </c>
      <c r="C1270" s="2" t="s">
        <v>367</v>
      </c>
      <c r="D1270" s="2" t="s">
        <v>18</v>
      </c>
      <c r="E1270" s="4">
        <v>-32480</v>
      </c>
      <c r="F1270" s="3" t="s">
        <v>3061</v>
      </c>
      <c r="G1270" s="3" t="s">
        <v>925</v>
      </c>
      <c r="H1270" s="2" t="s">
        <v>148</v>
      </c>
      <c r="I1270" s="2" t="s">
        <v>3701</v>
      </c>
      <c r="J1270" s="3" t="str">
        <f>HYPERLINK("https://www.boe.es/gazeta/dias/1811/01/26/pdfs/GEI-1811-12.pdf#page=4","Abrir facsímil")</f>
        <v>Abrir facsímil</v>
      </c>
      <c r="K1270" s="3" t="s">
        <v>150</v>
      </c>
    </row>
    <row r="1271" spans="1:11" ht="42" customHeight="1">
      <c r="A1271" s="2" t="s">
        <v>3702</v>
      </c>
      <c r="B1271" s="2" t="s">
        <v>3703</v>
      </c>
      <c r="C1271" s="2" t="s">
        <v>26</v>
      </c>
      <c r="D1271" s="2" t="s">
        <v>18</v>
      </c>
      <c r="E1271" s="4">
        <v>-32153</v>
      </c>
      <c r="F1271" s="3" t="s">
        <v>123</v>
      </c>
      <c r="G1271" s="3" t="s">
        <v>124</v>
      </c>
      <c r="H1271" s="2" t="s">
        <v>148</v>
      </c>
      <c r="I1271" s="2" t="s">
        <v>3704</v>
      </c>
      <c r="J1271" s="3" t="str">
        <f>HYPERLINK("https://www.boe.es/gazeta/dias/1811/12/19/pdfs/GMD-1811-353.pdf#page=6","Abrir facsímil")</f>
        <v>Abrir facsímil</v>
      </c>
      <c r="K1271" s="3" t="s">
        <v>150</v>
      </c>
    </row>
    <row r="1272" spans="1:11" ht="42" customHeight="1">
      <c r="A1272" s="2" t="s">
        <v>3705</v>
      </c>
      <c r="B1272" s="2" t="s">
        <v>3706</v>
      </c>
      <c r="C1272" s="2" t="s">
        <v>26</v>
      </c>
      <c r="D1272" s="2" t="s">
        <v>18</v>
      </c>
      <c r="E1272" s="4">
        <v>-32188</v>
      </c>
      <c r="F1272" s="3" t="s">
        <v>356</v>
      </c>
      <c r="G1272" s="3" t="s">
        <v>248</v>
      </c>
      <c r="H1272" s="2" t="s">
        <v>148</v>
      </c>
      <c r="I1272" s="2" t="s">
        <v>3707</v>
      </c>
      <c r="J1272" s="3" t="str">
        <f>HYPERLINK("https://www.boe.es/gazeta/dias/1811/11/14/pdfs/GMD-1811-318.pdf#page=5","Abrir facsímil")</f>
        <v>Abrir facsímil</v>
      </c>
      <c r="K1272" s="3" t="s">
        <v>150</v>
      </c>
    </row>
    <row r="1273" spans="1:11" ht="42" customHeight="1">
      <c r="A1273" s="2" t="s">
        <v>3708</v>
      </c>
      <c r="B1273" s="2" t="s">
        <v>3709</v>
      </c>
      <c r="C1273" s="2" t="s">
        <v>122</v>
      </c>
      <c r="D1273" s="2" t="s">
        <v>18</v>
      </c>
      <c r="E1273" s="4">
        <v>-32449</v>
      </c>
      <c r="F1273" s="3" t="s">
        <v>381</v>
      </c>
      <c r="G1273" s="3" t="s">
        <v>382</v>
      </c>
      <c r="H1273" s="2" t="s">
        <v>148</v>
      </c>
      <c r="I1273" s="2" t="s">
        <v>3710</v>
      </c>
      <c r="J1273" s="3" t="str">
        <f>HYPERLINK("https://www.boe.es/gazeta/dias/1811/02/26/pdfs/GEI-1811-25.pdf#page=8","Abrir facsímil")</f>
        <v>Abrir facsímil</v>
      </c>
      <c r="K1273" s="3" t="s">
        <v>150</v>
      </c>
    </row>
    <row r="1274" spans="1:11" ht="42" customHeight="1">
      <c r="A1274" s="2" t="s">
        <v>3711</v>
      </c>
      <c r="B1274" s="2" t="s">
        <v>3712</v>
      </c>
      <c r="C1274" s="2" t="s">
        <v>26</v>
      </c>
      <c r="D1274" s="2" t="s">
        <v>18</v>
      </c>
      <c r="E1274" s="4">
        <v>-32204</v>
      </c>
      <c r="F1274" s="3" t="s">
        <v>177</v>
      </c>
      <c r="G1274" s="3" t="s">
        <v>178</v>
      </c>
      <c r="H1274" s="2" t="s">
        <v>148</v>
      </c>
      <c r="I1274" s="2" t="s">
        <v>3713</v>
      </c>
      <c r="J1274" s="3" t="str">
        <f>HYPERLINK("https://www.boe.es/gazeta/dias/1811/10/29/pdfs/GMD-1811-302.pdf#page=4","Abrir facsímil")</f>
        <v>Abrir facsímil</v>
      </c>
      <c r="K1274" s="3" t="s">
        <v>150</v>
      </c>
    </row>
    <row r="1275" spans="1:11" ht="42" customHeight="1">
      <c r="A1275" s="2" t="s">
        <v>3714</v>
      </c>
      <c r="B1275" s="2" t="s">
        <v>3715</v>
      </c>
      <c r="C1275" s="2" t="s">
        <v>84</v>
      </c>
      <c r="D1275" s="2" t="s">
        <v>18</v>
      </c>
      <c r="E1275" s="4">
        <v>-32285</v>
      </c>
      <c r="F1275" s="3" t="s">
        <v>3716</v>
      </c>
      <c r="G1275" s="3" t="s">
        <v>468</v>
      </c>
      <c r="H1275" s="2" t="s">
        <v>148</v>
      </c>
      <c r="I1275" s="2" t="s">
        <v>3717</v>
      </c>
      <c r="J1275" s="3" t="str">
        <f>HYPERLINK("https://www.boe.es/gazeta/dias/1811/08/09/pdfs/GMD-1811-221.pdf#page=4","Abrir facsímil")</f>
        <v>Abrir facsímil</v>
      </c>
      <c r="K1275" s="3" t="s">
        <v>150</v>
      </c>
    </row>
    <row r="1276" spans="1:11" ht="42" customHeight="1">
      <c r="A1276" s="2" t="s">
        <v>3718</v>
      </c>
      <c r="B1276" s="2" t="s">
        <v>3719</v>
      </c>
      <c r="C1276" s="2" t="s">
        <v>26</v>
      </c>
      <c r="D1276" s="2" t="s">
        <v>18</v>
      </c>
      <c r="E1276" s="4">
        <v>-32452</v>
      </c>
      <c r="F1276" s="3" t="s">
        <v>106</v>
      </c>
      <c r="G1276" s="3" t="s">
        <v>20</v>
      </c>
      <c r="H1276" s="2" t="s">
        <v>21</v>
      </c>
      <c r="I1276" s="2" t="s">
        <v>3720</v>
      </c>
      <c r="J1276" s="3" t="str">
        <f>HYPERLINK("https://www.boe.es/gazeta/dias/1811/02/23/pdfs/GEI-1811-24.pdf#page=8","Abrir facsímil")</f>
        <v>Abrir facsímil</v>
      </c>
      <c r="K1276" s="3" t="s">
        <v>23</v>
      </c>
    </row>
    <row r="1277" spans="1:11" ht="42" customHeight="1">
      <c r="A1277" s="2" t="s">
        <v>3721</v>
      </c>
      <c r="B1277" s="2" t="s">
        <v>3722</v>
      </c>
      <c r="C1277" s="2" t="s">
        <v>26</v>
      </c>
      <c r="D1277" s="2" t="s">
        <v>105</v>
      </c>
      <c r="E1277" s="4">
        <v>-32379</v>
      </c>
      <c r="F1277" s="3" t="s">
        <v>462</v>
      </c>
      <c r="G1277" s="3" t="s">
        <v>463</v>
      </c>
      <c r="H1277" s="2" t="s">
        <v>148</v>
      </c>
      <c r="I1277" s="2" t="s">
        <v>3723</v>
      </c>
      <c r="J1277" s="3" t="str">
        <f>HYPERLINK("https://www.boe.es/gazeta/dias/1811/05/07/pdfs/GEI-1811-60.pdf#page=8","Abrir facsímil")</f>
        <v>Abrir facsímil</v>
      </c>
      <c r="K1277" s="3" t="s">
        <v>150</v>
      </c>
    </row>
    <row r="1278" spans="1:11" ht="42" customHeight="1">
      <c r="A1278" s="2" t="s">
        <v>3724</v>
      </c>
      <c r="B1278" s="2" t="s">
        <v>3724</v>
      </c>
      <c r="C1278" s="2" t="s">
        <v>26</v>
      </c>
      <c r="D1278" s="2" t="s">
        <v>18</v>
      </c>
      <c r="E1278" s="4">
        <v>-32258</v>
      </c>
      <c r="F1278" s="3" t="s">
        <v>449</v>
      </c>
      <c r="G1278" s="3" t="s">
        <v>3725</v>
      </c>
      <c r="H1278" s="2" t="s">
        <v>148</v>
      </c>
      <c r="I1278" s="2" t="s">
        <v>3726</v>
      </c>
      <c r="J1278" s="3" t="str">
        <f>HYPERLINK("https://www.boe.es/gazeta/dias/1811/09/05/pdfs/GEI-1811-115.pdf#page=1","Abrir facsímil")</f>
        <v>Abrir facsímil</v>
      </c>
      <c r="K1278" s="3" t="s">
        <v>150</v>
      </c>
    </row>
    <row r="1279" spans="1:11" ht="42" customHeight="1">
      <c r="A1279" s="2" t="s">
        <v>3727</v>
      </c>
      <c r="B1279" s="2" t="s">
        <v>3728</v>
      </c>
      <c r="C1279" s="2" t="s">
        <v>26</v>
      </c>
      <c r="D1279" s="2" t="s">
        <v>18</v>
      </c>
      <c r="E1279" s="4">
        <v>-32239</v>
      </c>
      <c r="F1279" s="3" t="s">
        <v>1225</v>
      </c>
      <c r="G1279" s="3" t="s">
        <v>1601</v>
      </c>
      <c r="H1279" s="2" t="s">
        <v>148</v>
      </c>
      <c r="I1279" s="2" t="s">
        <v>3729</v>
      </c>
      <c r="J1279" s="3" t="str">
        <f>HYPERLINK("https://www.boe.es/gazeta/dias/1811/09/24/pdfs/GEI-1811-123.pdf#page=8","Abrir facsímil")</f>
        <v>Abrir facsímil</v>
      </c>
      <c r="K1279" s="3" t="s">
        <v>150</v>
      </c>
    </row>
    <row r="1280" spans="1:11" ht="42" customHeight="1">
      <c r="A1280" s="2" t="s">
        <v>3730</v>
      </c>
      <c r="B1280" s="2" t="s">
        <v>3730</v>
      </c>
      <c r="C1280" s="2" t="s">
        <v>17</v>
      </c>
      <c r="D1280" s="2" t="s">
        <v>18</v>
      </c>
      <c r="E1280" s="4">
        <v>-32158</v>
      </c>
      <c r="F1280" s="3" t="s">
        <v>46</v>
      </c>
      <c r="G1280" s="3" t="s">
        <v>3731</v>
      </c>
      <c r="H1280" s="2" t="s">
        <v>148</v>
      </c>
      <c r="I1280" s="2" t="s">
        <v>3732</v>
      </c>
      <c r="J1280" s="3" t="str">
        <f>HYPERLINK("https://www.boe.es/gazeta/dias/1811/12/14/pdfs/GEI-1811-162.pdf#page=4","Abrir facsímil")</f>
        <v>Abrir facsímil</v>
      </c>
      <c r="K1280" s="3" t="s">
        <v>150</v>
      </c>
    </row>
    <row r="1281" spans="1:11" ht="42" customHeight="1">
      <c r="A1281" s="2" t="s">
        <v>3733</v>
      </c>
      <c r="B1281" s="2" t="s">
        <v>3733</v>
      </c>
      <c r="C1281" s="2" t="s">
        <v>17</v>
      </c>
      <c r="D1281" s="2" t="s">
        <v>156</v>
      </c>
      <c r="E1281" s="4">
        <v>-32302</v>
      </c>
      <c r="F1281" s="3" t="s">
        <v>864</v>
      </c>
      <c r="G1281" s="3" t="s">
        <v>248</v>
      </c>
      <c r="H1281" s="2" t="s">
        <v>148</v>
      </c>
      <c r="I1281" s="2" t="s">
        <v>3734</v>
      </c>
      <c r="J1281" s="3" t="str">
        <f>HYPERLINK("https://www.boe.es/gazeta/dias/1811/07/23/pdfs/GEI-1811-96.pdf#page=3","Abrir facsímil")</f>
        <v>Abrir facsímil</v>
      </c>
      <c r="K1281" s="3" t="s">
        <v>150</v>
      </c>
    </row>
    <row r="1282" spans="1:11" ht="42" customHeight="1">
      <c r="A1282" s="2" t="s">
        <v>3733</v>
      </c>
      <c r="B1282" s="2" t="s">
        <v>3733</v>
      </c>
      <c r="C1282" s="2" t="s">
        <v>17</v>
      </c>
      <c r="D1282" s="2" t="s">
        <v>156</v>
      </c>
      <c r="E1282" s="4">
        <v>-32258</v>
      </c>
      <c r="F1282" s="3" t="s">
        <v>449</v>
      </c>
      <c r="G1282" s="3" t="s">
        <v>3725</v>
      </c>
      <c r="H1282" s="2" t="s">
        <v>148</v>
      </c>
      <c r="I1282" s="2" t="s">
        <v>3735</v>
      </c>
      <c r="J1282" s="3" t="str">
        <f>HYPERLINK("https://www.boe.es/gazeta/dias/1811/09/05/pdfs/GEI-1811-115.pdf#page=1","Abrir facsímil")</f>
        <v>Abrir facsímil</v>
      </c>
      <c r="K1282" s="3" t="s">
        <v>150</v>
      </c>
    </row>
    <row r="1283" spans="1:11" ht="42" customHeight="1">
      <c r="A1283" s="2" t="s">
        <v>3733</v>
      </c>
      <c r="B1283" s="2" t="s">
        <v>3733</v>
      </c>
      <c r="C1283" s="2" t="s">
        <v>37</v>
      </c>
      <c r="D1283" s="2" t="s">
        <v>18</v>
      </c>
      <c r="E1283" s="4">
        <v>-32258</v>
      </c>
      <c r="F1283" s="3" t="s">
        <v>449</v>
      </c>
      <c r="G1283" s="3" t="s">
        <v>3736</v>
      </c>
      <c r="H1283" s="2" t="s">
        <v>148</v>
      </c>
      <c r="I1283" s="2" t="s">
        <v>3737</v>
      </c>
      <c r="J1283" s="3" t="str">
        <f>HYPERLINK("https://www.boe.es/gazeta/dias/1811/09/05/pdfs/GEI-1811-115.pdf#page=3","Abrir facsímil")</f>
        <v>Abrir facsímil</v>
      </c>
      <c r="K1283" s="3" t="s">
        <v>150</v>
      </c>
    </row>
    <row r="1284" spans="1:11" ht="42" customHeight="1">
      <c r="A1284" s="2" t="s">
        <v>3738</v>
      </c>
      <c r="B1284" s="2" t="s">
        <v>3739</v>
      </c>
      <c r="C1284" s="2" t="s">
        <v>17</v>
      </c>
      <c r="D1284" s="2" t="s">
        <v>18</v>
      </c>
      <c r="E1284" s="4">
        <v>-32491</v>
      </c>
      <c r="F1284" s="3" t="s">
        <v>533</v>
      </c>
      <c r="G1284" s="3" t="s">
        <v>597</v>
      </c>
      <c r="H1284" s="2" t="s">
        <v>148</v>
      </c>
      <c r="I1284" s="2" t="s">
        <v>3740</v>
      </c>
      <c r="J1284" s="3" t="str">
        <f>HYPERLINK("https://www.boe.es/gazeta/dias/1811/01/15/pdfs/GEI-1811-7.pdf#page=2","Abrir facsímil")</f>
        <v>Abrir facsímil</v>
      </c>
      <c r="K1284" s="3" t="s">
        <v>150</v>
      </c>
    </row>
    <row r="1285" spans="1:11" ht="42" customHeight="1">
      <c r="A1285" s="2" t="s">
        <v>3738</v>
      </c>
      <c r="B1285" s="2" t="s">
        <v>3739</v>
      </c>
      <c r="C1285" s="2" t="s">
        <v>17</v>
      </c>
      <c r="D1285" s="2" t="s">
        <v>156</v>
      </c>
      <c r="E1285" s="4">
        <v>-32491</v>
      </c>
      <c r="F1285" s="3" t="s">
        <v>533</v>
      </c>
      <c r="G1285" s="3" t="s">
        <v>3741</v>
      </c>
      <c r="H1285" s="2" t="s">
        <v>148</v>
      </c>
      <c r="I1285" s="2" t="s">
        <v>3742</v>
      </c>
      <c r="J1285" s="3" t="str">
        <f>HYPERLINK("https://www.boe.es/gazeta/dias/1811/01/15/pdfs/GEI-1811-7.pdf#page=4","Abrir facsímil")</f>
        <v>Abrir facsímil</v>
      </c>
      <c r="K1285" s="3" t="s">
        <v>150</v>
      </c>
    </row>
    <row r="1286" spans="1:11" ht="42" customHeight="1">
      <c r="A1286" s="2" t="s">
        <v>3743</v>
      </c>
      <c r="B1286" s="2" t="s">
        <v>3744</v>
      </c>
      <c r="C1286" s="2" t="s">
        <v>26</v>
      </c>
      <c r="D1286" s="2" t="s">
        <v>18</v>
      </c>
      <c r="E1286" s="4">
        <v>-32153</v>
      </c>
      <c r="F1286" s="3" t="s">
        <v>123</v>
      </c>
      <c r="G1286" s="3" t="s">
        <v>288</v>
      </c>
      <c r="H1286" s="2" t="s">
        <v>148</v>
      </c>
      <c r="I1286" s="2" t="s">
        <v>3745</v>
      </c>
      <c r="J1286" s="3" t="str">
        <f>HYPERLINK("https://www.boe.es/gazeta/dias/1811/12/19/pdfs/GMD-1811-353.pdf#page=4","Abrir facsímil")</f>
        <v>Abrir facsímil</v>
      </c>
      <c r="K1286" s="3" t="s">
        <v>150</v>
      </c>
    </row>
    <row r="1287" spans="1:11" ht="42" customHeight="1">
      <c r="A1287" s="2" t="s">
        <v>3746</v>
      </c>
      <c r="B1287" s="2" t="s">
        <v>3747</v>
      </c>
      <c r="C1287" s="2" t="s">
        <v>26</v>
      </c>
      <c r="D1287" s="2" t="s">
        <v>141</v>
      </c>
      <c r="E1287" s="4">
        <v>-32280</v>
      </c>
      <c r="F1287" s="3" t="s">
        <v>142</v>
      </c>
      <c r="G1287" s="3" t="s">
        <v>597</v>
      </c>
      <c r="H1287" s="2" t="s">
        <v>148</v>
      </c>
      <c r="I1287" s="2" t="s">
        <v>3748</v>
      </c>
      <c r="J1287" s="3" t="str">
        <f>HYPERLINK("https://www.boe.es/gazeta/dias/1811/08/14/pdfs/GMD-C-1811-226.pdf#page=2","Abrir facsímil")</f>
        <v>Abrir facsímil</v>
      </c>
      <c r="K1287" s="3" t="s">
        <v>150</v>
      </c>
    </row>
    <row r="1288" spans="1:11" ht="42" customHeight="1">
      <c r="A1288" s="2" t="s">
        <v>3749</v>
      </c>
      <c r="B1288" s="2" t="s">
        <v>3750</v>
      </c>
      <c r="C1288" s="2" t="s">
        <v>84</v>
      </c>
      <c r="D1288" s="2" t="s">
        <v>105</v>
      </c>
      <c r="E1288" s="4">
        <v>-32312</v>
      </c>
      <c r="F1288" s="3" t="s">
        <v>2640</v>
      </c>
      <c r="G1288" s="3" t="s">
        <v>3751</v>
      </c>
      <c r="H1288" s="2" t="s">
        <v>148</v>
      </c>
      <c r="I1288" s="2" t="s">
        <v>3752</v>
      </c>
      <c r="J1288" s="3" t="str">
        <f>HYPERLINK("https://www.boe.es/gazeta/dias/1811/07/13/pdfs/GEI-1811-92.pdf#page=8","Abrir facsímil")</f>
        <v>Abrir facsímil</v>
      </c>
      <c r="K1288" s="3" t="s">
        <v>150</v>
      </c>
    </row>
    <row r="1289" spans="1:11" ht="42" customHeight="1">
      <c r="A1289" s="2" t="s">
        <v>3753</v>
      </c>
      <c r="B1289" s="2" t="s">
        <v>3754</v>
      </c>
      <c r="C1289" s="2" t="s">
        <v>17</v>
      </c>
      <c r="D1289" s="2" t="s">
        <v>18</v>
      </c>
      <c r="E1289" s="4">
        <v>-32300</v>
      </c>
      <c r="F1289" s="3" t="s">
        <v>492</v>
      </c>
      <c r="G1289" s="3" t="s">
        <v>493</v>
      </c>
      <c r="H1289" s="2" t="s">
        <v>148</v>
      </c>
      <c r="I1289" s="2" t="s">
        <v>3755</v>
      </c>
      <c r="J1289" s="3" t="str">
        <f>HYPERLINK("https://www.boe.es/gazeta/dias/1811/07/25/pdfs/GMD-1811-206.pdf#page=4","Abrir facsímil")</f>
        <v>Abrir facsímil</v>
      </c>
      <c r="K1289" s="3" t="s">
        <v>150</v>
      </c>
    </row>
    <row r="1290" spans="1:11" ht="42" customHeight="1">
      <c r="A1290" s="2" t="s">
        <v>3756</v>
      </c>
      <c r="B1290" s="2" t="s">
        <v>3757</v>
      </c>
      <c r="C1290" s="2" t="s">
        <v>26</v>
      </c>
      <c r="D1290" s="2" t="s">
        <v>18</v>
      </c>
      <c r="E1290" s="4">
        <v>-32384</v>
      </c>
      <c r="F1290" s="3" t="s">
        <v>338</v>
      </c>
      <c r="G1290" s="3" t="s">
        <v>339</v>
      </c>
      <c r="H1290" s="2" t="s">
        <v>148</v>
      </c>
      <c r="I1290" s="2" t="s">
        <v>3758</v>
      </c>
      <c r="J1290" s="3" t="str">
        <f>HYPERLINK("https://www.boe.es/gazeta/dias/1811/05/02/pdfs/GEI-1811-58.pdf#page=8","Abrir facsímil")</f>
        <v>Abrir facsímil</v>
      </c>
      <c r="K1290" s="3" t="s">
        <v>150</v>
      </c>
    </row>
    <row r="1291" spans="1:11" ht="42" customHeight="1">
      <c r="A1291" s="2" t="s">
        <v>3759</v>
      </c>
      <c r="B1291" s="2" t="s">
        <v>3760</v>
      </c>
      <c r="C1291" s="2" t="s">
        <v>26</v>
      </c>
      <c r="D1291" s="2" t="s">
        <v>18</v>
      </c>
      <c r="E1291" s="4">
        <v>-32452</v>
      </c>
      <c r="F1291" s="3" t="s">
        <v>106</v>
      </c>
      <c r="G1291" s="3" t="s">
        <v>20</v>
      </c>
      <c r="H1291" s="2" t="s">
        <v>21</v>
      </c>
      <c r="I1291" s="2" t="s">
        <v>3761</v>
      </c>
      <c r="J1291" s="3" t="str">
        <f>HYPERLINK("https://www.boe.es/gazeta/dias/1811/02/23/pdfs/GEI-1811-24.pdf#page=8","Abrir facsímil")</f>
        <v>Abrir facsímil</v>
      </c>
      <c r="K1291" s="3" t="s">
        <v>23</v>
      </c>
    </row>
    <row r="1292" spans="1:11" ht="42" customHeight="1">
      <c r="A1292" s="2" t="s">
        <v>3762</v>
      </c>
      <c r="B1292" s="2" t="s">
        <v>3763</v>
      </c>
      <c r="C1292" s="2" t="s">
        <v>26</v>
      </c>
      <c r="D1292" s="2" t="s">
        <v>141</v>
      </c>
      <c r="E1292" s="4">
        <v>-32238</v>
      </c>
      <c r="F1292" s="3" t="s">
        <v>166</v>
      </c>
      <c r="G1292" s="3" t="s">
        <v>39</v>
      </c>
      <c r="H1292" s="2" t="s">
        <v>148</v>
      </c>
      <c r="I1292" s="2" t="s">
        <v>3764</v>
      </c>
      <c r="J1292" s="3" t="str">
        <f>HYPERLINK("https://www.boe.es/gazeta/dias/1811/09/25/pdfs/GMD-C-1811-268.pdf#page=2","Abrir facsímil")</f>
        <v>Abrir facsímil</v>
      </c>
      <c r="K1292" s="3" t="s">
        <v>150</v>
      </c>
    </row>
    <row r="1293" spans="1:11" ht="42" customHeight="1">
      <c r="A1293" s="2" t="s">
        <v>3765</v>
      </c>
      <c r="B1293" s="2" t="s">
        <v>3766</v>
      </c>
      <c r="C1293" s="2" t="s">
        <v>26</v>
      </c>
      <c r="D1293" s="2" t="s">
        <v>18</v>
      </c>
      <c r="E1293" s="4">
        <v>-32188</v>
      </c>
      <c r="F1293" s="3" t="s">
        <v>356</v>
      </c>
      <c r="G1293" s="3" t="s">
        <v>248</v>
      </c>
      <c r="H1293" s="2" t="s">
        <v>148</v>
      </c>
      <c r="I1293" s="2" t="s">
        <v>3767</v>
      </c>
      <c r="J1293" s="3" t="str">
        <f>HYPERLINK("https://www.boe.es/gazeta/dias/1811/11/14/pdfs/GMD-1811-318.pdf#page=5","Abrir facsímil")</f>
        <v>Abrir facsímil</v>
      </c>
      <c r="K1293" s="3" t="s">
        <v>150</v>
      </c>
    </row>
    <row r="1294" spans="1:11" ht="42" customHeight="1">
      <c r="A1294" s="2" t="s">
        <v>3768</v>
      </c>
      <c r="B1294" s="2" t="s">
        <v>3769</v>
      </c>
      <c r="C1294" s="2" t="s">
        <v>17</v>
      </c>
      <c r="D1294" s="2" t="s">
        <v>18</v>
      </c>
      <c r="E1294" s="4">
        <v>-32145</v>
      </c>
      <c r="F1294" s="3" t="s">
        <v>417</v>
      </c>
      <c r="G1294" s="3" t="s">
        <v>418</v>
      </c>
      <c r="H1294" s="2" t="s">
        <v>148</v>
      </c>
      <c r="I1294" s="2" t="s">
        <v>3770</v>
      </c>
      <c r="J1294" s="3" t="str">
        <f>HYPERLINK("https://www.boe.es/gazeta/dias/1811/12/27/pdfs/GMD-1811-361.pdf#page=4","Abrir facsímil")</f>
        <v>Abrir facsímil</v>
      </c>
      <c r="K1294" s="3" t="s">
        <v>150</v>
      </c>
    </row>
    <row r="1295" spans="1:11" ht="42" customHeight="1">
      <c r="A1295" s="2" t="s">
        <v>3771</v>
      </c>
      <c r="B1295" s="2" t="s">
        <v>3772</v>
      </c>
      <c r="C1295" s="2" t="s">
        <v>17</v>
      </c>
      <c r="D1295" s="2" t="s">
        <v>18</v>
      </c>
      <c r="E1295" s="4">
        <v>-32284</v>
      </c>
      <c r="F1295" s="3" t="s">
        <v>170</v>
      </c>
      <c r="G1295" s="3" t="s">
        <v>1388</v>
      </c>
      <c r="H1295" s="2" t="s">
        <v>148</v>
      </c>
      <c r="I1295" s="2" t="s">
        <v>3773</v>
      </c>
      <c r="J1295" s="3" t="str">
        <f>HYPERLINK("https://www.boe.es/gazeta/dias/1811/08/10/pdfs/GEI-1811-104.pdf#page=8","Abrir facsímil")</f>
        <v>Abrir facsímil</v>
      </c>
      <c r="K1295" s="3" t="s">
        <v>150</v>
      </c>
    </row>
    <row r="1296" spans="1:11" ht="42" customHeight="1">
      <c r="A1296" s="2" t="s">
        <v>3774</v>
      </c>
      <c r="B1296" s="2" t="s">
        <v>3775</v>
      </c>
      <c r="C1296" s="2" t="s">
        <v>26</v>
      </c>
      <c r="D1296" s="2" t="s">
        <v>18</v>
      </c>
      <c r="E1296" s="4">
        <v>-32335</v>
      </c>
      <c r="F1296" s="3" t="s">
        <v>3776</v>
      </c>
      <c r="G1296" s="3" t="s">
        <v>488</v>
      </c>
      <c r="H1296" s="2" t="s">
        <v>148</v>
      </c>
      <c r="I1296" s="2" t="s">
        <v>3777</v>
      </c>
      <c r="J1296" s="3" t="str">
        <f>HYPERLINK("https://www.boe.es/gazeta/dias/1811/06/20/pdfs/GEI-1811-82.pdf#page=8","Abrir facsímil")</f>
        <v>Abrir facsímil</v>
      </c>
      <c r="K1296" s="3" t="s">
        <v>150</v>
      </c>
    </row>
    <row r="1297" spans="1:11" ht="42" customHeight="1">
      <c r="A1297" s="2" t="s">
        <v>3778</v>
      </c>
      <c r="B1297" s="2" t="s">
        <v>3779</v>
      </c>
      <c r="C1297" s="2" t="s">
        <v>26</v>
      </c>
      <c r="D1297" s="2" t="s">
        <v>18</v>
      </c>
      <c r="E1297" s="4">
        <v>-32263</v>
      </c>
      <c r="F1297" s="3" t="s">
        <v>3780</v>
      </c>
      <c r="G1297" s="3" t="s">
        <v>3781</v>
      </c>
      <c r="H1297" s="2" t="s">
        <v>148</v>
      </c>
      <c r="I1297" s="2" t="s">
        <v>3782</v>
      </c>
      <c r="J1297" s="3" t="str">
        <f>HYPERLINK("https://www.boe.es/gazeta/dias/1811/08/31/pdfs/GMD-1811-243.pdf#page=4","Abrir facsímil")</f>
        <v>Abrir facsímil</v>
      </c>
      <c r="K1297" s="3" t="s">
        <v>150</v>
      </c>
    </row>
    <row r="1298" spans="1:11" ht="42" customHeight="1">
      <c r="A1298" s="2" t="s">
        <v>3783</v>
      </c>
      <c r="B1298" s="2" t="s">
        <v>3784</v>
      </c>
      <c r="C1298" s="2" t="s">
        <v>26</v>
      </c>
      <c r="D1298" s="2" t="s">
        <v>18</v>
      </c>
      <c r="E1298" s="4">
        <v>-32172</v>
      </c>
      <c r="F1298" s="3" t="s">
        <v>300</v>
      </c>
      <c r="G1298" s="3" t="s">
        <v>301</v>
      </c>
      <c r="H1298" s="2" t="s">
        <v>148</v>
      </c>
      <c r="I1298" s="2" t="s">
        <v>3785</v>
      </c>
      <c r="J1298" s="3" t="str">
        <f>HYPERLINK("https://www.boe.es/gazeta/dias/1811/11/30/pdfs/GMD-1811-334.pdf#page=4","Abrir facsímil")</f>
        <v>Abrir facsímil</v>
      </c>
      <c r="K1298" s="3" t="s">
        <v>150</v>
      </c>
    </row>
    <row r="1299" spans="1:11" ht="42" customHeight="1">
      <c r="A1299" s="2" t="s">
        <v>3786</v>
      </c>
      <c r="B1299" s="2" t="s">
        <v>3787</v>
      </c>
      <c r="C1299" s="2" t="s">
        <v>26</v>
      </c>
      <c r="D1299" s="2" t="s">
        <v>18</v>
      </c>
      <c r="E1299" s="4">
        <v>-32417</v>
      </c>
      <c r="F1299" s="3" t="s">
        <v>604</v>
      </c>
      <c r="G1299" s="3" t="s">
        <v>178</v>
      </c>
      <c r="H1299" s="2" t="s">
        <v>148</v>
      </c>
      <c r="I1299" s="2" t="s">
        <v>3788</v>
      </c>
      <c r="J1299" s="3" t="str">
        <f>HYPERLINK("https://www.boe.es/gazeta/dias/1811/03/30/pdfs/GMD-1811-89.pdf#page=3","Abrir facsímil")</f>
        <v>Abrir facsímil</v>
      </c>
      <c r="K1299" s="3" t="s">
        <v>150</v>
      </c>
    </row>
    <row r="1300" spans="1:11" ht="42" customHeight="1">
      <c r="A1300" s="2" t="s">
        <v>3789</v>
      </c>
      <c r="B1300" s="2" t="s">
        <v>3790</v>
      </c>
      <c r="C1300" s="2" t="s">
        <v>26</v>
      </c>
      <c r="D1300" s="2" t="s">
        <v>141</v>
      </c>
      <c r="E1300" s="4">
        <v>-32238</v>
      </c>
      <c r="F1300" s="3" t="s">
        <v>166</v>
      </c>
      <c r="G1300" s="3" t="s">
        <v>657</v>
      </c>
      <c r="H1300" s="2" t="s">
        <v>148</v>
      </c>
      <c r="I1300" s="2" t="s">
        <v>3791</v>
      </c>
      <c r="J1300" s="3" t="str">
        <f>HYPERLINK("https://www.boe.es/gazeta/dias/1811/09/25/pdfs/GMD-C-1811-268.pdf#page=3","Abrir facsímil")</f>
        <v>Abrir facsímil</v>
      </c>
      <c r="K1300" s="3" t="s">
        <v>150</v>
      </c>
    </row>
    <row r="1301" spans="1:11" ht="42" customHeight="1">
      <c r="A1301" s="2" t="s">
        <v>3792</v>
      </c>
      <c r="B1301" s="2" t="s">
        <v>3793</v>
      </c>
      <c r="C1301" s="2" t="s">
        <v>26</v>
      </c>
      <c r="D1301" s="2" t="s">
        <v>18</v>
      </c>
      <c r="E1301" s="4">
        <v>-32379</v>
      </c>
      <c r="F1301" s="3" t="s">
        <v>462</v>
      </c>
      <c r="G1301" s="3" t="s">
        <v>463</v>
      </c>
      <c r="H1301" s="2" t="s">
        <v>148</v>
      </c>
      <c r="I1301" s="2" t="s">
        <v>3794</v>
      </c>
      <c r="J1301" s="3" t="str">
        <f>HYPERLINK("https://www.boe.es/gazeta/dias/1811/05/07/pdfs/GEI-1811-60.pdf#page=8","Abrir facsímil")</f>
        <v>Abrir facsímil</v>
      </c>
      <c r="K1301" s="3" t="s">
        <v>150</v>
      </c>
    </row>
    <row r="1302" spans="1:11" ht="42" customHeight="1">
      <c r="A1302" s="2" t="s">
        <v>3795</v>
      </c>
      <c r="B1302" s="2" t="s">
        <v>3796</v>
      </c>
      <c r="C1302" s="2" t="s">
        <v>26</v>
      </c>
      <c r="D1302" s="2" t="s">
        <v>18</v>
      </c>
      <c r="E1302" s="4">
        <v>-32503</v>
      </c>
      <c r="F1302" s="3" t="s">
        <v>487</v>
      </c>
      <c r="G1302" s="3" t="s">
        <v>1930</v>
      </c>
      <c r="H1302" s="2" t="s">
        <v>148</v>
      </c>
      <c r="I1302" s="2" t="s">
        <v>3797</v>
      </c>
      <c r="J1302" s="3" t="str">
        <f>HYPERLINK("https://www.boe.es/gazeta/dias/1811/01/03/pdfs/GEI-1811-2.pdf#page=8","Abrir facsímil")</f>
        <v>Abrir facsímil</v>
      </c>
      <c r="K1302" s="3" t="s">
        <v>150</v>
      </c>
    </row>
    <row r="1303" spans="1:11" ht="42" customHeight="1">
      <c r="A1303" s="2" t="s">
        <v>3798</v>
      </c>
      <c r="B1303" s="2" t="s">
        <v>3799</v>
      </c>
      <c r="C1303" s="2" t="s">
        <v>367</v>
      </c>
      <c r="D1303" s="2" t="s">
        <v>18</v>
      </c>
      <c r="E1303" s="4">
        <v>-32297</v>
      </c>
      <c r="F1303" s="3" t="s">
        <v>2174</v>
      </c>
      <c r="G1303" s="3" t="s">
        <v>183</v>
      </c>
      <c r="H1303" s="2" t="s">
        <v>148</v>
      </c>
      <c r="I1303" s="2" t="s">
        <v>3800</v>
      </c>
      <c r="J1303" s="3" t="str">
        <f>HYPERLINK("https://www.boe.es/gazeta/dias/1811/07/28/pdfs/GMD-1811-209.pdf#page=4","Abrir facsímil")</f>
        <v>Abrir facsímil</v>
      </c>
      <c r="K1303" s="3" t="s">
        <v>150</v>
      </c>
    </row>
    <row r="1304" spans="1:11" ht="42" customHeight="1">
      <c r="A1304" s="2" t="s">
        <v>3801</v>
      </c>
      <c r="B1304" s="2" t="s">
        <v>3802</v>
      </c>
      <c r="C1304" s="2" t="s">
        <v>26</v>
      </c>
      <c r="D1304" s="2" t="s">
        <v>18</v>
      </c>
      <c r="E1304" s="4">
        <v>-32435</v>
      </c>
      <c r="F1304" s="3" t="s">
        <v>224</v>
      </c>
      <c r="G1304" s="3" t="s">
        <v>3803</v>
      </c>
      <c r="H1304" s="2" t="s">
        <v>148</v>
      </c>
      <c r="I1304" s="2" t="s">
        <v>3804</v>
      </c>
      <c r="J1304" s="3" t="str">
        <f>HYPERLINK("https://www.boe.es/gazeta/dias/1811/03/12/pdfs/GEI-1811-35.pdf#page=7","Abrir facsímil")</f>
        <v>Abrir facsímil</v>
      </c>
      <c r="K1304" s="3" t="s">
        <v>150</v>
      </c>
    </row>
    <row r="1305" spans="1:11" ht="42" customHeight="1">
      <c r="A1305" s="2" t="s">
        <v>3805</v>
      </c>
      <c r="B1305" s="2" t="s">
        <v>3806</v>
      </c>
      <c r="C1305" s="2" t="s">
        <v>17</v>
      </c>
      <c r="D1305" s="2" t="s">
        <v>18</v>
      </c>
      <c r="E1305" s="4">
        <v>-32300</v>
      </c>
      <c r="F1305" s="3" t="s">
        <v>61</v>
      </c>
      <c r="G1305" s="3" t="s">
        <v>221</v>
      </c>
      <c r="H1305" s="2" t="s">
        <v>148</v>
      </c>
      <c r="I1305" s="2" t="s">
        <v>3807</v>
      </c>
      <c r="J1305" s="3" t="str">
        <f>HYPERLINK("https://www.boe.es/gazeta/dias/1811/07/25/pdfs/GEI-1811-97.pdf#page=4","Abrir facsímil")</f>
        <v>Abrir facsímil</v>
      </c>
      <c r="K1305" s="3" t="s">
        <v>150</v>
      </c>
    </row>
    <row r="1306" spans="1:11" ht="42" customHeight="1">
      <c r="A1306" s="2" t="s">
        <v>3808</v>
      </c>
      <c r="B1306" s="2" t="s">
        <v>3809</v>
      </c>
      <c r="C1306" s="2" t="s">
        <v>17</v>
      </c>
      <c r="D1306" s="2" t="s">
        <v>18</v>
      </c>
      <c r="E1306" s="4">
        <v>-32228</v>
      </c>
      <c r="F1306" s="3" t="s">
        <v>372</v>
      </c>
      <c r="G1306" s="3" t="s">
        <v>20</v>
      </c>
      <c r="H1306" s="2" t="s">
        <v>148</v>
      </c>
      <c r="I1306" s="2" t="s">
        <v>3810</v>
      </c>
      <c r="J1306" s="3" t="str">
        <f>HYPERLINK("https://www.boe.es/gazeta/dias/1811/10/05/pdfs/GEI-1811-128.pdf#page=8","Abrir facsímil")</f>
        <v>Abrir facsímil</v>
      </c>
      <c r="K1306" s="3" t="s">
        <v>150</v>
      </c>
    </row>
    <row r="1307" spans="1:11" ht="42" customHeight="1">
      <c r="A1307" s="2" t="s">
        <v>3811</v>
      </c>
      <c r="B1307" s="2" t="s">
        <v>3812</v>
      </c>
      <c r="C1307" s="2" t="s">
        <v>841</v>
      </c>
      <c r="D1307" s="2" t="s">
        <v>18</v>
      </c>
      <c r="E1307" s="4">
        <v>-32251</v>
      </c>
      <c r="F1307" s="3" t="s">
        <v>726</v>
      </c>
      <c r="G1307" s="3" t="s">
        <v>727</v>
      </c>
      <c r="H1307" s="2" t="s">
        <v>148</v>
      </c>
      <c r="I1307" s="2" t="s">
        <v>3813</v>
      </c>
      <c r="J1307" s="3" t="str">
        <f>HYPERLINK("https://www.boe.es/gazeta/dias/1811/09/12/pdfs/GEI-1811-118.pdf#page=8","Abrir facsímil")</f>
        <v>Abrir facsímil</v>
      </c>
      <c r="K1307" s="3" t="s">
        <v>150</v>
      </c>
    </row>
    <row r="1308" spans="1:11" ht="42" customHeight="1">
      <c r="A1308" s="2" t="s">
        <v>3814</v>
      </c>
      <c r="B1308" s="2" t="s">
        <v>3815</v>
      </c>
      <c r="C1308" s="2" t="s">
        <v>26</v>
      </c>
      <c r="D1308" s="2" t="s">
        <v>18</v>
      </c>
      <c r="E1308" s="4">
        <v>-32200</v>
      </c>
      <c r="F1308" s="3" t="s">
        <v>109</v>
      </c>
      <c r="G1308" s="3" t="s">
        <v>110</v>
      </c>
      <c r="H1308" s="2" t="s">
        <v>148</v>
      </c>
      <c r="I1308" s="2" t="s">
        <v>3816</v>
      </c>
      <c r="J1308" s="3" t="str">
        <f>HYPERLINK("https://www.boe.es/gazeta/dias/1811/11/02/pdfs/GEI-1811-141.pdf#page=6","Abrir facsímil")</f>
        <v>Abrir facsímil</v>
      </c>
      <c r="K1308" s="3" t="s">
        <v>150</v>
      </c>
    </row>
    <row r="1309" spans="1:11" ht="42" customHeight="1">
      <c r="A1309" s="2" t="s">
        <v>3817</v>
      </c>
      <c r="B1309" s="2" t="s">
        <v>3818</v>
      </c>
      <c r="C1309" s="2" t="s">
        <v>26</v>
      </c>
      <c r="D1309" s="2" t="s">
        <v>18</v>
      </c>
      <c r="E1309" s="4">
        <v>-32197</v>
      </c>
      <c r="F1309" s="3" t="s">
        <v>687</v>
      </c>
      <c r="G1309" s="3" t="s">
        <v>1240</v>
      </c>
      <c r="H1309" s="2" t="s">
        <v>148</v>
      </c>
      <c r="I1309" s="2" t="s">
        <v>3819</v>
      </c>
      <c r="J1309" s="3" t="str">
        <f>HYPERLINK("https://www.boe.es/gazeta/dias/1811/11/05/pdfs/GEI-1811-143.pdf#page=8","Abrir facsímil")</f>
        <v>Abrir facsímil</v>
      </c>
      <c r="K1309" s="3" t="s">
        <v>150</v>
      </c>
    </row>
    <row r="1310" spans="1:11" ht="42" customHeight="1">
      <c r="A1310" s="2" t="s">
        <v>3820</v>
      </c>
      <c r="B1310" s="2" t="s">
        <v>3821</v>
      </c>
      <c r="C1310" s="2" t="s">
        <v>26</v>
      </c>
      <c r="D1310" s="2" t="s">
        <v>141</v>
      </c>
      <c r="E1310" s="4">
        <v>-32188</v>
      </c>
      <c r="F1310" s="3" t="s">
        <v>505</v>
      </c>
      <c r="G1310" s="3" t="s">
        <v>162</v>
      </c>
      <c r="H1310" s="2" t="s">
        <v>148</v>
      </c>
      <c r="I1310" s="2" t="s">
        <v>3822</v>
      </c>
      <c r="J1310" s="3" t="str">
        <f>HYPERLINK("https://www.boe.es/gazeta/dias/1811/11/14/pdfs/GEI-D-1811-149.pdf#page=4","Abrir facsímil")</f>
        <v>Abrir facsímil</v>
      </c>
      <c r="K1310" s="3" t="s">
        <v>150</v>
      </c>
    </row>
    <row r="1311" spans="1:11" ht="42" customHeight="1">
      <c r="A1311" s="2" t="s">
        <v>3823</v>
      </c>
      <c r="B1311" s="2" t="s">
        <v>3823</v>
      </c>
      <c r="C1311" s="2" t="s">
        <v>17</v>
      </c>
      <c r="D1311" s="2" t="s">
        <v>156</v>
      </c>
      <c r="E1311" s="4">
        <v>-32315</v>
      </c>
      <c r="F1311" s="3" t="s">
        <v>3189</v>
      </c>
      <c r="G1311" s="3" t="s">
        <v>57</v>
      </c>
      <c r="H1311" s="2" t="s">
        <v>148</v>
      </c>
      <c r="I1311" s="2" t="s">
        <v>3824</v>
      </c>
      <c r="J1311" s="3" t="str">
        <f>HYPERLINK("https://www.boe.es/gazeta/dias/1811/07/10/pdfs/GMD-1811-191.pdf#page=2","Abrir facsímil")</f>
        <v>Abrir facsímil</v>
      </c>
      <c r="K1311" s="3" t="s">
        <v>150</v>
      </c>
    </row>
    <row r="1312" spans="1:11" ht="42" customHeight="1">
      <c r="A1312" s="2" t="s">
        <v>3825</v>
      </c>
      <c r="B1312" s="2" t="s">
        <v>3826</v>
      </c>
      <c r="C1312" s="2" t="s">
        <v>104</v>
      </c>
      <c r="D1312" s="2" t="s">
        <v>18</v>
      </c>
      <c r="E1312" s="4">
        <v>-32141</v>
      </c>
      <c r="F1312" s="3" t="s">
        <v>327</v>
      </c>
      <c r="G1312" s="3" t="s">
        <v>20</v>
      </c>
      <c r="H1312" s="2" t="s">
        <v>148</v>
      </c>
      <c r="I1312" s="2" t="s">
        <v>3827</v>
      </c>
      <c r="J1312" s="3" t="str">
        <f>HYPERLINK("https://www.boe.es/gazeta/dias/1811/12/31/pdfs/GMD-1811-365.pdf#page=4","Abrir facsímil")</f>
        <v>Abrir facsímil</v>
      </c>
      <c r="K1312" s="3" t="s">
        <v>150</v>
      </c>
    </row>
    <row r="1313" spans="1:11" ht="42" customHeight="1">
      <c r="A1313" s="2" t="s">
        <v>3828</v>
      </c>
      <c r="B1313" s="2" t="s">
        <v>3829</v>
      </c>
      <c r="C1313" s="2" t="s">
        <v>26</v>
      </c>
      <c r="D1313" s="2" t="s">
        <v>18</v>
      </c>
      <c r="E1313" s="4">
        <v>-32193</v>
      </c>
      <c r="F1313" s="3" t="s">
        <v>1037</v>
      </c>
      <c r="G1313" s="3" t="s">
        <v>44</v>
      </c>
      <c r="H1313" s="2" t="s">
        <v>148</v>
      </c>
      <c r="I1313" s="2" t="s">
        <v>3830</v>
      </c>
      <c r="J1313" s="3" t="str">
        <f>HYPERLINK("https://www.boe.es/gazeta/dias/1811/11/09/pdfs/GEI-1811-145.pdf#page=4","Abrir facsímil")</f>
        <v>Abrir facsímil</v>
      </c>
      <c r="K1313" s="3" t="s">
        <v>150</v>
      </c>
    </row>
    <row r="1314" spans="1:11" ht="42" customHeight="1">
      <c r="A1314" s="2" t="s">
        <v>3831</v>
      </c>
      <c r="B1314" s="2" t="s">
        <v>3832</v>
      </c>
      <c r="C1314" s="2" t="s">
        <v>26</v>
      </c>
      <c r="D1314" s="2" t="s">
        <v>105</v>
      </c>
      <c r="E1314" s="4">
        <v>-32238</v>
      </c>
      <c r="F1314" s="3" t="s">
        <v>166</v>
      </c>
      <c r="G1314" s="3" t="s">
        <v>657</v>
      </c>
      <c r="H1314" s="2" t="s">
        <v>148</v>
      </c>
      <c r="I1314" s="2" t="s">
        <v>3833</v>
      </c>
      <c r="J1314" s="3" t="str">
        <f>HYPERLINK("https://www.boe.es/gazeta/dias/1811/09/25/pdfs/GMD-C-1811-268.pdf#page=3","Abrir facsímil")</f>
        <v>Abrir facsímil</v>
      </c>
      <c r="K1314" s="3" t="s">
        <v>150</v>
      </c>
    </row>
    <row r="1315" spans="1:11" ht="42" customHeight="1">
      <c r="A1315" s="2" t="s">
        <v>3834</v>
      </c>
      <c r="B1315" s="2" t="s">
        <v>3835</v>
      </c>
      <c r="C1315" s="2" t="s">
        <v>26</v>
      </c>
      <c r="D1315" s="2" t="s">
        <v>18</v>
      </c>
      <c r="E1315" s="4">
        <v>-32242</v>
      </c>
      <c r="F1315" s="3" t="s">
        <v>1295</v>
      </c>
      <c r="G1315" s="3" t="s">
        <v>1296</v>
      </c>
      <c r="H1315" s="2" t="s">
        <v>148</v>
      </c>
      <c r="I1315" s="2" t="s">
        <v>3836</v>
      </c>
      <c r="J1315" s="3" t="str">
        <f>HYPERLINK("https://www.boe.es/gazeta/dias/1811/09/21/pdfs/GEI-1811-122.pdf#page=8","Abrir facsímil")</f>
        <v>Abrir facsímil</v>
      </c>
      <c r="K1315" s="3" t="s">
        <v>150</v>
      </c>
    </row>
    <row r="1316" spans="1:11" ht="42" customHeight="1">
      <c r="A1316" s="2" t="s">
        <v>3837</v>
      </c>
      <c r="B1316" s="2" t="s">
        <v>3837</v>
      </c>
      <c r="C1316" s="2" t="s">
        <v>17</v>
      </c>
      <c r="D1316" s="2" t="s">
        <v>156</v>
      </c>
      <c r="E1316" s="4">
        <v>-32405</v>
      </c>
      <c r="F1316" s="3" t="s">
        <v>1413</v>
      </c>
      <c r="G1316" s="3" t="s">
        <v>248</v>
      </c>
      <c r="H1316" s="2" t="s">
        <v>148</v>
      </c>
      <c r="I1316" s="2" t="s">
        <v>3838</v>
      </c>
      <c r="J1316" s="3" t="str">
        <f>HYPERLINK("https://www.boe.es/gazeta/dias/1811/04/11/pdfs/GEI-1811-49.pdf#page=7","Abrir facsímil")</f>
        <v>Abrir facsímil</v>
      </c>
      <c r="K1316" s="3" t="s">
        <v>150</v>
      </c>
    </row>
    <row r="1317" spans="1:11" ht="42" customHeight="1">
      <c r="A1317" s="2" t="s">
        <v>3839</v>
      </c>
      <c r="B1317" s="2" t="s">
        <v>3839</v>
      </c>
      <c r="C1317" s="2" t="s">
        <v>17</v>
      </c>
      <c r="D1317" s="2" t="s">
        <v>156</v>
      </c>
      <c r="E1317" s="4">
        <v>-32391</v>
      </c>
      <c r="F1317" s="3" t="s">
        <v>252</v>
      </c>
      <c r="G1317" s="3" t="s">
        <v>657</v>
      </c>
      <c r="H1317" s="2" t="s">
        <v>148</v>
      </c>
      <c r="I1317" s="2" t="s">
        <v>3840</v>
      </c>
      <c r="J1317" s="3" t="str">
        <f>HYPERLINK("https://www.boe.es/gazeta/dias/1811/04/25/pdfs/GEI-1811-55.pdf#page=2","Abrir facsímil")</f>
        <v>Abrir facsímil</v>
      </c>
      <c r="K1317" s="3" t="s">
        <v>150</v>
      </c>
    </row>
    <row r="1318" spans="1:11" ht="42" customHeight="1">
      <c r="A1318" s="2" t="s">
        <v>3841</v>
      </c>
      <c r="B1318" s="2" t="s">
        <v>3841</v>
      </c>
      <c r="C1318" s="2" t="s">
        <v>17</v>
      </c>
      <c r="D1318" s="2" t="s">
        <v>156</v>
      </c>
      <c r="E1318" s="4">
        <v>-32347</v>
      </c>
      <c r="F1318" s="3" t="s">
        <v>1911</v>
      </c>
      <c r="G1318" s="3" t="s">
        <v>57</v>
      </c>
      <c r="H1318" s="2" t="s">
        <v>148</v>
      </c>
      <c r="I1318" s="2" t="s">
        <v>3842</v>
      </c>
      <c r="J1318" s="3" t="str">
        <f>HYPERLINK("https://www.boe.es/gazeta/dias/1811/06/08/pdfs/GEI-1811-77.pdf#page=2","Abrir facsímil")</f>
        <v>Abrir facsímil</v>
      </c>
      <c r="K1318" s="3" t="s">
        <v>150</v>
      </c>
    </row>
    <row r="1319" spans="1:11" ht="42" customHeight="1">
      <c r="A1319" s="2" t="s">
        <v>3841</v>
      </c>
      <c r="B1319" s="2" t="s">
        <v>3841</v>
      </c>
      <c r="C1319" s="2" t="s">
        <v>17</v>
      </c>
      <c r="D1319" s="2" t="s">
        <v>18</v>
      </c>
      <c r="E1319" s="4">
        <v>-32323</v>
      </c>
      <c r="F1319" s="3" t="s">
        <v>2289</v>
      </c>
      <c r="G1319" s="3" t="s">
        <v>3843</v>
      </c>
      <c r="H1319" s="2" t="s">
        <v>148</v>
      </c>
      <c r="I1319" s="2" t="s">
        <v>3844</v>
      </c>
      <c r="J1319" s="3" t="str">
        <f>HYPERLINK("https://www.boe.es/gazeta/dias/1811/07/02/pdfs/GMD-1811-183.pdf#page=2","Abrir facsímil")</f>
        <v>Abrir facsímil</v>
      </c>
      <c r="K1319" s="3" t="s">
        <v>150</v>
      </c>
    </row>
    <row r="1320" spans="1:11" ht="42" customHeight="1">
      <c r="A1320" s="2" t="s">
        <v>3841</v>
      </c>
      <c r="B1320" s="2" t="s">
        <v>3841</v>
      </c>
      <c r="C1320" s="2" t="s">
        <v>17</v>
      </c>
      <c r="D1320" s="2" t="s">
        <v>156</v>
      </c>
      <c r="E1320" s="4">
        <v>-32228</v>
      </c>
      <c r="F1320" s="3" t="s">
        <v>899</v>
      </c>
      <c r="G1320" s="3" t="s">
        <v>900</v>
      </c>
      <c r="H1320" s="2" t="s">
        <v>148</v>
      </c>
      <c r="I1320" s="2" t="s">
        <v>3845</v>
      </c>
      <c r="J1320" s="3" t="str">
        <f>HYPERLINK("https://www.boe.es/gazeta/dias/1811/10/05/pdfs/GMD-1811-278.pdf#page=2","Abrir facsímil")</f>
        <v>Abrir facsímil</v>
      </c>
      <c r="K1320" s="3" t="s">
        <v>150</v>
      </c>
    </row>
    <row r="1321" spans="1:11" ht="42" customHeight="1">
      <c r="A1321" s="2" t="s">
        <v>3841</v>
      </c>
      <c r="B1321" s="2" t="s">
        <v>3841</v>
      </c>
      <c r="C1321" s="2" t="s">
        <v>17</v>
      </c>
      <c r="D1321" s="2" t="s">
        <v>156</v>
      </c>
      <c r="E1321" s="4">
        <v>-32184</v>
      </c>
      <c r="F1321" s="3" t="s">
        <v>275</v>
      </c>
      <c r="G1321" s="3" t="s">
        <v>47</v>
      </c>
      <c r="H1321" s="2" t="s">
        <v>148</v>
      </c>
      <c r="I1321" s="2" t="s">
        <v>3846</v>
      </c>
      <c r="J1321" s="3" t="str">
        <f>HYPERLINK("https://www.boe.es/gazeta/dias/1811/11/18/pdfs/GMD-1811-322.pdf#page=2","Abrir facsímil")</f>
        <v>Abrir facsímil</v>
      </c>
      <c r="K1321" s="3" t="s">
        <v>150</v>
      </c>
    </row>
    <row r="1322" spans="1:11" ht="42" customHeight="1">
      <c r="A1322" s="2" t="s">
        <v>3841</v>
      </c>
      <c r="B1322" s="2" t="s">
        <v>3841</v>
      </c>
      <c r="C1322" s="2" t="s">
        <v>17</v>
      </c>
      <c r="D1322" s="2" t="s">
        <v>156</v>
      </c>
      <c r="E1322" s="4">
        <v>-32174</v>
      </c>
      <c r="F1322" s="3" t="s">
        <v>3847</v>
      </c>
      <c r="G1322" s="3" t="s">
        <v>3105</v>
      </c>
      <c r="H1322" s="2" t="s">
        <v>148</v>
      </c>
      <c r="I1322" s="2" t="s">
        <v>3848</v>
      </c>
      <c r="J1322" s="3" t="str">
        <f>HYPERLINK("https://www.boe.es/gazeta/dias/1811/11/28/pdfs/GMD-1811-332.pdf#page=3","Abrir facsímil")</f>
        <v>Abrir facsímil</v>
      </c>
      <c r="K1322" s="3" t="s">
        <v>150</v>
      </c>
    </row>
    <row r="1323" spans="1:11" ht="42" customHeight="1">
      <c r="A1323" s="2" t="s">
        <v>3841</v>
      </c>
      <c r="B1323" s="2" t="s">
        <v>3841</v>
      </c>
      <c r="C1323" s="2" t="s">
        <v>17</v>
      </c>
      <c r="D1323" s="2" t="s">
        <v>18</v>
      </c>
      <c r="E1323" s="4">
        <v>-32146</v>
      </c>
      <c r="F1323" s="3" t="s">
        <v>3210</v>
      </c>
      <c r="G1323" s="3" t="s">
        <v>3849</v>
      </c>
      <c r="H1323" s="2" t="s">
        <v>148</v>
      </c>
      <c r="I1323" s="2" t="s">
        <v>3850</v>
      </c>
      <c r="J1323" s="3" t="str">
        <f>HYPERLINK("https://www.boe.es/gazeta/dias/1811/12/26/pdfs/GMD-1811-360.pdf#page=3","Abrir facsímil")</f>
        <v>Abrir facsímil</v>
      </c>
      <c r="K1323" s="3" t="s">
        <v>150</v>
      </c>
    </row>
    <row r="1324" spans="1:11" ht="42" customHeight="1">
      <c r="A1324" s="2" t="s">
        <v>3851</v>
      </c>
      <c r="B1324" s="2" t="s">
        <v>3852</v>
      </c>
      <c r="C1324" s="2" t="s">
        <v>17</v>
      </c>
      <c r="D1324" s="2" t="s">
        <v>18</v>
      </c>
      <c r="E1324" s="4">
        <v>-32396</v>
      </c>
      <c r="F1324" s="3" t="s">
        <v>2393</v>
      </c>
      <c r="G1324" s="3" t="s">
        <v>3853</v>
      </c>
      <c r="H1324" s="2" t="s">
        <v>148</v>
      </c>
      <c r="I1324" s="2" t="s">
        <v>3854</v>
      </c>
      <c r="J1324" s="3" t="str">
        <f>HYPERLINK("https://www.boe.es/gazeta/dias/1811/04/20/pdfs/GEI-1811-53.pdf#page=4","Abrir facsímil")</f>
        <v>Abrir facsímil</v>
      </c>
      <c r="K1324" s="3" t="s">
        <v>150</v>
      </c>
    </row>
    <row r="1325" spans="1:11" ht="42" customHeight="1">
      <c r="A1325" s="2" t="s">
        <v>3855</v>
      </c>
      <c r="B1325" s="2" t="s">
        <v>3855</v>
      </c>
      <c r="C1325" s="2" t="s">
        <v>17</v>
      </c>
      <c r="D1325" s="2" t="s">
        <v>18</v>
      </c>
      <c r="E1325" s="4">
        <v>-32356</v>
      </c>
      <c r="F1325" s="3" t="s">
        <v>1992</v>
      </c>
      <c r="G1325" s="3" t="s">
        <v>409</v>
      </c>
      <c r="H1325" s="2" t="s">
        <v>148</v>
      </c>
      <c r="I1325" s="2" t="s">
        <v>3856</v>
      </c>
      <c r="J1325" s="3" t="str">
        <f>HYPERLINK("https://www.boe.es/gazeta/dias/1811/05/30/pdfs/GEI-1811-73.pdf#page=2","Abrir facsímil")</f>
        <v>Abrir facsímil</v>
      </c>
      <c r="K1325" s="3" t="s">
        <v>150</v>
      </c>
    </row>
    <row r="1326" spans="1:11" ht="42" customHeight="1">
      <c r="A1326" s="2" t="s">
        <v>3857</v>
      </c>
      <c r="B1326" s="2" t="s">
        <v>3858</v>
      </c>
      <c r="C1326" s="2" t="s">
        <v>26</v>
      </c>
      <c r="D1326" s="2" t="s">
        <v>18</v>
      </c>
      <c r="E1326" s="4">
        <v>-32186</v>
      </c>
      <c r="F1326" s="3" t="s">
        <v>1425</v>
      </c>
      <c r="G1326" s="3" t="s">
        <v>1928</v>
      </c>
      <c r="H1326" s="2" t="s">
        <v>148</v>
      </c>
      <c r="I1326" s="2" t="s">
        <v>3859</v>
      </c>
      <c r="J1326" s="3" t="str">
        <f>HYPERLINK("https://www.boe.es/gazeta/dias/1811/11/16/pdfs/GEI-1811-150.pdf#page=6","Abrir facsímil")</f>
        <v>Abrir facsímil</v>
      </c>
      <c r="K1326" s="3" t="s">
        <v>150</v>
      </c>
    </row>
    <row r="1327" spans="1:11" ht="42" customHeight="1">
      <c r="A1327" s="2" t="s">
        <v>3860</v>
      </c>
      <c r="B1327" s="2" t="s">
        <v>3861</v>
      </c>
      <c r="C1327" s="2" t="s">
        <v>104</v>
      </c>
      <c r="D1327" s="2" t="s">
        <v>18</v>
      </c>
      <c r="E1327" s="4">
        <v>-32249</v>
      </c>
      <c r="F1327" s="3" t="s">
        <v>182</v>
      </c>
      <c r="G1327" s="3" t="s">
        <v>183</v>
      </c>
      <c r="H1327" s="2" t="s">
        <v>148</v>
      </c>
      <c r="I1327" s="2" t="s">
        <v>3862</v>
      </c>
      <c r="J1327" s="3" t="str">
        <f>HYPERLINK("https://www.boe.es/gazeta/dias/1811/09/14/pdfs/GMD-1811-257.pdf#page=4","Abrir facsímil")</f>
        <v>Abrir facsímil</v>
      </c>
      <c r="K1327" s="3" t="s">
        <v>150</v>
      </c>
    </row>
    <row r="1328" spans="1:11" ht="42" customHeight="1">
      <c r="A1328" s="2" t="s">
        <v>3863</v>
      </c>
      <c r="B1328" s="2" t="s">
        <v>3864</v>
      </c>
      <c r="C1328" s="2" t="s">
        <v>26</v>
      </c>
      <c r="D1328" s="2" t="s">
        <v>18</v>
      </c>
      <c r="E1328" s="4">
        <v>-32263</v>
      </c>
      <c r="F1328" s="3" t="s">
        <v>128</v>
      </c>
      <c r="G1328" s="3" t="s">
        <v>20</v>
      </c>
      <c r="H1328" s="2" t="s">
        <v>148</v>
      </c>
      <c r="I1328" s="2" t="s">
        <v>3865</v>
      </c>
      <c r="J1328" s="3" t="str">
        <f>HYPERLINK("https://www.boe.es/gazeta/dias/1811/08/31/pdfs/GEI-1811-113.pdf#page=4","Abrir facsímil")</f>
        <v>Abrir facsímil</v>
      </c>
      <c r="K1328" s="3" t="s">
        <v>150</v>
      </c>
    </row>
    <row r="1329" spans="1:11" ht="42" customHeight="1">
      <c r="A1329" s="2" t="s">
        <v>3863</v>
      </c>
      <c r="B1329" s="2" t="s">
        <v>3864</v>
      </c>
      <c r="C1329" s="2" t="s">
        <v>17</v>
      </c>
      <c r="D1329" s="2" t="s">
        <v>156</v>
      </c>
      <c r="E1329" s="4">
        <v>-32181</v>
      </c>
      <c r="F1329" s="3" t="s">
        <v>368</v>
      </c>
      <c r="G1329" s="3" t="s">
        <v>3866</v>
      </c>
      <c r="H1329" s="2" t="s">
        <v>148</v>
      </c>
      <c r="I1329" s="2" t="s">
        <v>3867</v>
      </c>
      <c r="J1329" s="3" t="str">
        <f>HYPERLINK("https://www.boe.es/gazeta/dias/1811/11/21/pdfs/GEI-1811-152.pdf#page=4","Abrir facsímil")</f>
        <v>Abrir facsímil</v>
      </c>
      <c r="K1329" s="3" t="s">
        <v>150</v>
      </c>
    </row>
    <row r="1330" spans="1:11" ht="42" customHeight="1">
      <c r="A1330" s="2" t="s">
        <v>3868</v>
      </c>
      <c r="B1330" s="2" t="s">
        <v>3869</v>
      </c>
      <c r="C1330" s="2" t="s">
        <v>26</v>
      </c>
      <c r="D1330" s="2" t="s">
        <v>18</v>
      </c>
      <c r="E1330" s="4">
        <v>-32330</v>
      </c>
      <c r="F1330" s="3" t="s">
        <v>1824</v>
      </c>
      <c r="G1330" s="3" t="s">
        <v>891</v>
      </c>
      <c r="H1330" s="2" t="s">
        <v>148</v>
      </c>
      <c r="I1330" s="2" t="s">
        <v>3870</v>
      </c>
      <c r="J1330" s="3" t="str">
        <f>HYPERLINK("https://www.boe.es/gazeta/dias/1811/06/25/pdfs/GEI-1811-84.pdf#page=2","Abrir facsímil")</f>
        <v>Abrir facsímil</v>
      </c>
      <c r="K1330" s="3" t="s">
        <v>150</v>
      </c>
    </row>
    <row r="1331" spans="1:11" ht="42" customHeight="1">
      <c r="A1331" s="2" t="s">
        <v>3868</v>
      </c>
      <c r="B1331" s="2" t="s">
        <v>3869</v>
      </c>
      <c r="C1331" s="2" t="s">
        <v>17</v>
      </c>
      <c r="D1331" s="2" t="s">
        <v>156</v>
      </c>
      <c r="E1331" s="4">
        <v>-32330</v>
      </c>
      <c r="F1331" s="3" t="s">
        <v>1824</v>
      </c>
      <c r="G1331" s="3" t="s">
        <v>47</v>
      </c>
      <c r="H1331" s="2" t="s">
        <v>148</v>
      </c>
      <c r="I1331" s="2" t="s">
        <v>3871</v>
      </c>
      <c r="J1331" s="3" t="str">
        <f>HYPERLINK("https://www.boe.es/gazeta/dias/1811/06/25/pdfs/GEI-1811-84.pdf#page=3","Abrir facsímil")</f>
        <v>Abrir facsímil</v>
      </c>
      <c r="K1331" s="3" t="s">
        <v>150</v>
      </c>
    </row>
    <row r="1332" spans="1:11" ht="42" customHeight="1">
      <c r="A1332" s="2" t="s">
        <v>3872</v>
      </c>
      <c r="B1332" s="2" t="s">
        <v>3872</v>
      </c>
      <c r="C1332" s="2" t="s">
        <v>367</v>
      </c>
      <c r="D1332" s="2" t="s">
        <v>18</v>
      </c>
      <c r="E1332" s="4">
        <v>-32286</v>
      </c>
      <c r="F1332" s="3" t="s">
        <v>754</v>
      </c>
      <c r="G1332" s="3" t="s">
        <v>900</v>
      </c>
      <c r="H1332" s="2" t="s">
        <v>148</v>
      </c>
      <c r="I1332" s="2" t="s">
        <v>3873</v>
      </c>
      <c r="J1332" s="3" t="str">
        <f>HYPERLINK("https://www.boe.es/gazeta/dias/1811/08/08/pdfs/GEI-1811-103.pdf#page=4","Abrir facsímil")</f>
        <v>Abrir facsímil</v>
      </c>
      <c r="K1332" s="3" t="s">
        <v>150</v>
      </c>
    </row>
    <row r="1333" spans="1:11" ht="42" customHeight="1">
      <c r="A1333" s="2" t="s">
        <v>3874</v>
      </c>
      <c r="B1333" s="2" t="s">
        <v>3875</v>
      </c>
      <c r="C1333" s="2" t="s">
        <v>26</v>
      </c>
      <c r="D1333" s="2" t="s">
        <v>18</v>
      </c>
      <c r="E1333" s="4">
        <v>-32288</v>
      </c>
      <c r="F1333" s="3" t="s">
        <v>95</v>
      </c>
      <c r="G1333" s="3" t="s">
        <v>47</v>
      </c>
      <c r="H1333" s="2" t="s">
        <v>148</v>
      </c>
      <c r="I1333" s="2" t="s">
        <v>3876</v>
      </c>
      <c r="J1333" s="3" t="str">
        <f>HYPERLINK("https://www.boe.es/gazeta/dias/1811/08/06/pdfs/GEI-1811-102.pdf#page=8","Abrir facsímil")</f>
        <v>Abrir facsímil</v>
      </c>
      <c r="K1333" s="3" t="s">
        <v>150</v>
      </c>
    </row>
    <row r="1334" spans="1:11" ht="42" customHeight="1">
      <c r="A1334" s="2" t="s">
        <v>3877</v>
      </c>
      <c r="B1334" s="2" t="s">
        <v>3877</v>
      </c>
      <c r="C1334" s="2" t="s">
        <v>17</v>
      </c>
      <c r="D1334" s="2" t="s">
        <v>18</v>
      </c>
      <c r="E1334" s="4">
        <v>-32306</v>
      </c>
      <c r="F1334" s="3" t="s">
        <v>3878</v>
      </c>
      <c r="G1334" s="3" t="s">
        <v>44</v>
      </c>
      <c r="H1334" s="2" t="s">
        <v>148</v>
      </c>
      <c r="I1334" s="2" t="s">
        <v>3879</v>
      </c>
      <c r="J1334" s="3" t="str">
        <f>HYPERLINK("https://www.boe.es/gazeta/dias/1811/07/19/pdfs/GMD-1811-200.pdf#page=2","Abrir facsímil")</f>
        <v>Abrir facsímil</v>
      </c>
      <c r="K1334" s="3" t="s">
        <v>150</v>
      </c>
    </row>
    <row r="1335" spans="1:11" ht="42" customHeight="1">
      <c r="A1335" s="2" t="s">
        <v>3877</v>
      </c>
      <c r="B1335" s="2" t="s">
        <v>3877</v>
      </c>
      <c r="C1335" s="2" t="s">
        <v>17</v>
      </c>
      <c r="D1335" s="2" t="s">
        <v>18</v>
      </c>
      <c r="E1335" s="4">
        <v>-32229</v>
      </c>
      <c r="F1335" s="3" t="s">
        <v>2523</v>
      </c>
      <c r="G1335" s="3" t="s">
        <v>2524</v>
      </c>
      <c r="H1335" s="2" t="s">
        <v>148</v>
      </c>
      <c r="I1335" s="2" t="s">
        <v>3880</v>
      </c>
      <c r="J1335" s="3" t="str">
        <f>HYPERLINK("https://www.boe.es/gazeta/dias/1811/10/04/pdfs/GMD-1811-277.pdf#page=4","Abrir facsímil")</f>
        <v>Abrir facsímil</v>
      </c>
      <c r="K1335" s="3" t="s">
        <v>150</v>
      </c>
    </row>
    <row r="1336" spans="1:11" ht="42" customHeight="1">
      <c r="A1336" s="2" t="s">
        <v>3881</v>
      </c>
      <c r="B1336" s="2" t="s">
        <v>3882</v>
      </c>
      <c r="C1336" s="2" t="s">
        <v>26</v>
      </c>
      <c r="D1336" s="2" t="s">
        <v>18</v>
      </c>
      <c r="E1336" s="4">
        <v>-32188</v>
      </c>
      <c r="F1336" s="3" t="s">
        <v>356</v>
      </c>
      <c r="G1336" s="3" t="s">
        <v>248</v>
      </c>
      <c r="H1336" s="2" t="s">
        <v>148</v>
      </c>
      <c r="I1336" s="2" t="s">
        <v>3883</v>
      </c>
      <c r="J1336" s="3" t="str">
        <f>HYPERLINK("https://www.boe.es/gazeta/dias/1811/11/14/pdfs/GMD-1811-318.pdf#page=5","Abrir facsímil")</f>
        <v>Abrir facsímil</v>
      </c>
      <c r="K1336" s="3" t="s">
        <v>150</v>
      </c>
    </row>
    <row r="1337" spans="1:11" ht="42" customHeight="1">
      <c r="A1337" s="2" t="s">
        <v>3884</v>
      </c>
      <c r="B1337" s="2" t="s">
        <v>3885</v>
      </c>
      <c r="C1337" s="2" t="s">
        <v>26</v>
      </c>
      <c r="D1337" s="2" t="s">
        <v>18</v>
      </c>
      <c r="E1337" s="4">
        <v>-32153</v>
      </c>
      <c r="F1337" s="3" t="s">
        <v>235</v>
      </c>
      <c r="G1337" s="3" t="s">
        <v>2181</v>
      </c>
      <c r="H1337" s="2" t="s">
        <v>148</v>
      </c>
      <c r="I1337" s="2" t="s">
        <v>3886</v>
      </c>
      <c r="J1337" s="3" t="str">
        <f>HYPERLINK("https://www.boe.es/gazeta/dias/1811/12/19/pdfs/GEI-1811-164.pdf#page=8","Abrir facsímil")</f>
        <v>Abrir facsímil</v>
      </c>
      <c r="K1337" s="3" t="s">
        <v>150</v>
      </c>
    </row>
    <row r="1338" spans="1:11" ht="42" customHeight="1">
      <c r="A1338" s="2" t="s">
        <v>3887</v>
      </c>
      <c r="B1338" s="2" t="s">
        <v>3888</v>
      </c>
      <c r="C1338" s="2" t="s">
        <v>26</v>
      </c>
      <c r="D1338" s="2" t="s">
        <v>18</v>
      </c>
      <c r="E1338" s="4">
        <v>-32295</v>
      </c>
      <c r="F1338" s="3" t="s">
        <v>279</v>
      </c>
      <c r="G1338" s="3" t="s">
        <v>44</v>
      </c>
      <c r="H1338" s="2" t="s">
        <v>148</v>
      </c>
      <c r="I1338" s="2" t="s">
        <v>3889</v>
      </c>
      <c r="J1338" s="3" t="str">
        <f>HYPERLINK("https://www.boe.es/gazeta/dias/1811/07/30/pdfs/GEI-1811-99.pdf#page=8","Abrir facsímil")</f>
        <v>Abrir facsímil</v>
      </c>
      <c r="K1338" s="3" t="s">
        <v>150</v>
      </c>
    </row>
    <row r="1339" spans="1:11" ht="42" customHeight="1">
      <c r="A1339" s="2" t="s">
        <v>3890</v>
      </c>
      <c r="B1339" s="2" t="s">
        <v>3890</v>
      </c>
      <c r="C1339" s="2" t="s">
        <v>17</v>
      </c>
      <c r="D1339" s="2" t="s">
        <v>18</v>
      </c>
      <c r="E1339" s="4">
        <v>-32229</v>
      </c>
      <c r="F1339" s="3" t="s">
        <v>2523</v>
      </c>
      <c r="G1339" s="3" t="s">
        <v>3891</v>
      </c>
      <c r="H1339" s="2" t="s">
        <v>148</v>
      </c>
      <c r="I1339" s="2" t="s">
        <v>3892</v>
      </c>
      <c r="J1339" s="3" t="str">
        <f>HYPERLINK("https://www.boe.es/gazeta/dias/1811/10/04/pdfs/GMD-1811-277.pdf#page=1","Abrir facsímil")</f>
        <v>Abrir facsímil</v>
      </c>
      <c r="K1339" s="3" t="s">
        <v>150</v>
      </c>
    </row>
    <row r="1340" spans="1:11" ht="42" customHeight="1">
      <c r="A1340" s="2" t="s">
        <v>3893</v>
      </c>
      <c r="B1340" s="2" t="s">
        <v>3894</v>
      </c>
      <c r="C1340" s="2" t="s">
        <v>37</v>
      </c>
      <c r="D1340" s="2" t="s">
        <v>204</v>
      </c>
      <c r="E1340" s="4">
        <v>-32404</v>
      </c>
      <c r="F1340" s="3" t="s">
        <v>911</v>
      </c>
      <c r="G1340" s="3" t="s">
        <v>468</v>
      </c>
      <c r="H1340" s="2" t="s">
        <v>148</v>
      </c>
      <c r="I1340" s="2" t="s">
        <v>3895</v>
      </c>
      <c r="J1340" s="3" t="str">
        <f>HYPERLINK("https://www.boe.es/gazeta/dias/1811/04/12/pdfs/GMD-1811-102.pdf#page=3","Abrir facsímil")</f>
        <v>Abrir facsímil</v>
      </c>
      <c r="K1340" s="3" t="s">
        <v>150</v>
      </c>
    </row>
    <row r="1341" spans="1:11" ht="42" customHeight="1">
      <c r="A1341" s="2" t="s">
        <v>3896</v>
      </c>
      <c r="B1341" s="2" t="s">
        <v>3897</v>
      </c>
      <c r="C1341" s="2" t="s">
        <v>17</v>
      </c>
      <c r="D1341" s="2" t="s">
        <v>105</v>
      </c>
      <c r="E1341" s="4">
        <v>-32188</v>
      </c>
      <c r="F1341" s="3" t="s">
        <v>74</v>
      </c>
      <c r="G1341" s="3" t="s">
        <v>2196</v>
      </c>
      <c r="H1341" s="2" t="s">
        <v>148</v>
      </c>
      <c r="I1341" s="2" t="s">
        <v>3898</v>
      </c>
      <c r="J1341" s="3" t="str">
        <f>HYPERLINK("https://www.boe.es/gazeta/dias/1811/11/14/pdfs/GEI-1811-149.pdf#page=7","Abrir facsímil")</f>
        <v>Abrir facsímil</v>
      </c>
      <c r="K1341" s="3" t="s">
        <v>150</v>
      </c>
    </row>
    <row r="1342" spans="1:11" ht="42" customHeight="1">
      <c r="A1342" s="2" t="s">
        <v>3899</v>
      </c>
      <c r="B1342" s="2" t="s">
        <v>3900</v>
      </c>
      <c r="C1342" s="2" t="s">
        <v>26</v>
      </c>
      <c r="D1342" s="2" t="s">
        <v>141</v>
      </c>
      <c r="E1342" s="4">
        <v>-32238</v>
      </c>
      <c r="F1342" s="3" t="s">
        <v>166</v>
      </c>
      <c r="G1342" s="3" t="s">
        <v>39</v>
      </c>
      <c r="H1342" s="2" t="s">
        <v>148</v>
      </c>
      <c r="I1342" s="2" t="s">
        <v>3901</v>
      </c>
      <c r="J1342" s="3" t="str">
        <f>HYPERLINK("https://www.boe.es/gazeta/dias/1811/09/25/pdfs/GMD-C-1811-268.pdf#page=2","Abrir facsímil")</f>
        <v>Abrir facsímil</v>
      </c>
      <c r="K1342" s="3" t="s">
        <v>150</v>
      </c>
    </row>
    <row r="1343" spans="1:11" ht="42" customHeight="1">
      <c r="A1343" s="2" t="s">
        <v>3902</v>
      </c>
      <c r="B1343" s="2" t="s">
        <v>3903</v>
      </c>
      <c r="C1343" s="2" t="s">
        <v>26</v>
      </c>
      <c r="D1343" s="2" t="s">
        <v>18</v>
      </c>
      <c r="E1343" s="4">
        <v>-32300</v>
      </c>
      <c r="F1343" s="3" t="s">
        <v>61</v>
      </c>
      <c r="G1343" s="3" t="s">
        <v>62</v>
      </c>
      <c r="H1343" s="2" t="s">
        <v>148</v>
      </c>
      <c r="I1343" s="2" t="s">
        <v>3904</v>
      </c>
      <c r="J1343" s="3" t="str">
        <f>HYPERLINK("https://www.boe.es/gazeta/dias/1811/07/25/pdfs/GEI-1811-97.pdf#page=5","Abrir facsímil")</f>
        <v>Abrir facsímil</v>
      </c>
      <c r="K1343" s="3" t="s">
        <v>150</v>
      </c>
    </row>
    <row r="1344" spans="1:11" ht="42" customHeight="1">
      <c r="A1344" s="2" t="s">
        <v>3905</v>
      </c>
      <c r="B1344" s="2" t="s">
        <v>3905</v>
      </c>
      <c r="C1344" s="2" t="s">
        <v>17</v>
      </c>
      <c r="D1344" s="2" t="s">
        <v>18</v>
      </c>
      <c r="E1344" s="4">
        <v>-32260</v>
      </c>
      <c r="F1344" s="3" t="s">
        <v>1773</v>
      </c>
      <c r="G1344" s="3" t="s">
        <v>44</v>
      </c>
      <c r="H1344" s="2" t="s">
        <v>148</v>
      </c>
      <c r="I1344" s="2" t="s">
        <v>3906</v>
      </c>
      <c r="J1344" s="3" t="str">
        <f>HYPERLINK("https://www.boe.es/gazeta/dias/1811/09/03/pdfs/GMD-1811-246.pdf#page=4","Abrir facsímil")</f>
        <v>Abrir facsímil</v>
      </c>
      <c r="K1344" s="3" t="s">
        <v>150</v>
      </c>
    </row>
    <row r="1345" spans="1:11" ht="42" customHeight="1">
      <c r="A1345" s="2" t="s">
        <v>3907</v>
      </c>
      <c r="B1345" s="2" t="s">
        <v>3908</v>
      </c>
      <c r="C1345" s="2" t="s">
        <v>17</v>
      </c>
      <c r="D1345" s="2" t="s">
        <v>156</v>
      </c>
      <c r="E1345" s="4">
        <v>-32258</v>
      </c>
      <c r="F1345" s="3" t="s">
        <v>449</v>
      </c>
      <c r="G1345" s="3" t="s">
        <v>391</v>
      </c>
      <c r="H1345" s="2" t="s">
        <v>148</v>
      </c>
      <c r="I1345" s="2" t="s">
        <v>3909</v>
      </c>
      <c r="J1345" s="3" t="str">
        <f>HYPERLINK("https://www.boe.es/gazeta/dias/1811/09/05/pdfs/GEI-1811-115.pdf#page=7","Abrir facsímil")</f>
        <v>Abrir facsímil</v>
      </c>
      <c r="K1345" s="3" t="s">
        <v>150</v>
      </c>
    </row>
    <row r="1346" spans="1:11" ht="42" customHeight="1">
      <c r="A1346" s="2" t="s">
        <v>3910</v>
      </c>
      <c r="B1346" s="2" t="s">
        <v>3911</v>
      </c>
      <c r="C1346" s="2" t="s">
        <v>17</v>
      </c>
      <c r="D1346" s="2" t="s">
        <v>156</v>
      </c>
      <c r="E1346" s="4">
        <v>-32496</v>
      </c>
      <c r="F1346" s="3" t="s">
        <v>1927</v>
      </c>
      <c r="G1346" s="3" t="s">
        <v>1184</v>
      </c>
      <c r="H1346" s="2" t="s">
        <v>148</v>
      </c>
      <c r="I1346" s="2" t="s">
        <v>3912</v>
      </c>
      <c r="J1346" s="3" t="str">
        <f>HYPERLINK("https://www.boe.es/gazeta/dias/1811/01/10/pdfs/GEI-1811-5.pdf#page=5","Abrir facsímil")</f>
        <v>Abrir facsímil</v>
      </c>
      <c r="K1346" s="3" t="s">
        <v>150</v>
      </c>
    </row>
    <row r="1347" spans="1:11" ht="42" customHeight="1">
      <c r="A1347" s="2" t="s">
        <v>3913</v>
      </c>
      <c r="B1347" s="2" t="s">
        <v>3914</v>
      </c>
      <c r="C1347" s="2" t="s">
        <v>26</v>
      </c>
      <c r="D1347" s="2" t="s">
        <v>204</v>
      </c>
      <c r="E1347" s="4">
        <v>-32489</v>
      </c>
      <c r="F1347" s="3" t="s">
        <v>722</v>
      </c>
      <c r="G1347" s="3" t="s">
        <v>468</v>
      </c>
      <c r="H1347" s="2" t="s">
        <v>148</v>
      </c>
      <c r="I1347" s="2" t="s">
        <v>3915</v>
      </c>
      <c r="J1347" s="3" t="str">
        <f>HYPERLINK("https://www.boe.es/gazeta/dias/1811/01/17/pdfs/GMD-1811-17.pdf#page=4","Abrir facsímil")</f>
        <v>Abrir facsímil</v>
      </c>
      <c r="K1347" s="3" t="s">
        <v>150</v>
      </c>
    </row>
    <row r="1348" spans="1:11" ht="42" customHeight="1">
      <c r="A1348" s="2" t="s">
        <v>3916</v>
      </c>
      <c r="B1348" s="2" t="s">
        <v>3917</v>
      </c>
      <c r="C1348" s="2" t="s">
        <v>84</v>
      </c>
      <c r="D1348" s="2" t="s">
        <v>18</v>
      </c>
      <c r="E1348" s="4">
        <v>-32145</v>
      </c>
      <c r="F1348" s="3" t="s">
        <v>417</v>
      </c>
      <c r="G1348" s="3" t="s">
        <v>418</v>
      </c>
      <c r="H1348" s="2" t="s">
        <v>148</v>
      </c>
      <c r="I1348" s="2" t="s">
        <v>3918</v>
      </c>
      <c r="J1348" s="3" t="str">
        <f>HYPERLINK("https://www.boe.es/gazeta/dias/1811/12/27/pdfs/GMD-1811-361.pdf#page=4","Abrir facsímil")</f>
        <v>Abrir facsímil</v>
      </c>
      <c r="K1348" s="3" t="s">
        <v>150</v>
      </c>
    </row>
    <row r="1349" spans="1:11" ht="42" customHeight="1">
      <c r="A1349" s="2" t="s">
        <v>3919</v>
      </c>
      <c r="B1349" s="2" t="s">
        <v>3919</v>
      </c>
      <c r="C1349" s="2" t="s">
        <v>17</v>
      </c>
      <c r="D1349" s="2" t="s">
        <v>18</v>
      </c>
      <c r="E1349" s="4">
        <v>-32246</v>
      </c>
      <c r="F1349" s="3" t="s">
        <v>19</v>
      </c>
      <c r="G1349" s="3" t="s">
        <v>3606</v>
      </c>
      <c r="H1349" s="2" t="s">
        <v>148</v>
      </c>
      <c r="I1349" s="2" t="s">
        <v>3920</v>
      </c>
      <c r="J1349" s="3" t="str">
        <f>HYPERLINK("https://www.boe.es/gazeta/dias/1811/09/17/pdfs/GEI-1811-120.pdf#page=8","Abrir facsímil")</f>
        <v>Abrir facsímil</v>
      </c>
      <c r="K1349" s="3" t="s">
        <v>150</v>
      </c>
    </row>
    <row r="1350" spans="1:11" ht="42" customHeight="1">
      <c r="A1350" s="2" t="s">
        <v>3921</v>
      </c>
      <c r="B1350" s="2" t="s">
        <v>3922</v>
      </c>
      <c r="C1350" s="2" t="s">
        <v>17</v>
      </c>
      <c r="D1350" s="2" t="s">
        <v>18</v>
      </c>
      <c r="E1350" s="4">
        <v>-32421</v>
      </c>
      <c r="F1350" s="3" t="s">
        <v>79</v>
      </c>
      <c r="G1350" s="3" t="s">
        <v>488</v>
      </c>
      <c r="H1350" s="2" t="s">
        <v>148</v>
      </c>
      <c r="I1350" s="2" t="s">
        <v>3923</v>
      </c>
      <c r="J1350" s="3" t="str">
        <f>HYPERLINK("https://www.boe.es/gazeta/dias/1811/03/26/pdfs/GEI-1811-42.pdf#page=8","Abrir facsímil")</f>
        <v>Abrir facsímil</v>
      </c>
      <c r="K1350" s="3" t="s">
        <v>150</v>
      </c>
    </row>
    <row r="1351" spans="1:11" ht="42" customHeight="1">
      <c r="A1351" s="2" t="s">
        <v>3924</v>
      </c>
      <c r="B1351" s="2" t="s">
        <v>3925</v>
      </c>
      <c r="C1351" s="2" t="s">
        <v>37</v>
      </c>
      <c r="D1351" s="2" t="s">
        <v>18</v>
      </c>
      <c r="E1351" s="4">
        <v>-32416</v>
      </c>
      <c r="F1351" s="3" t="s">
        <v>954</v>
      </c>
      <c r="G1351" s="3" t="s">
        <v>183</v>
      </c>
      <c r="H1351" s="2" t="s">
        <v>148</v>
      </c>
      <c r="I1351" s="2" t="s">
        <v>3926</v>
      </c>
      <c r="J1351" s="3" t="str">
        <f>HYPERLINK("https://www.boe.es/gazeta/dias/1811/03/31/pdfs/GMD-1811-90.pdf#page=4","Abrir facsímil")</f>
        <v>Abrir facsímil</v>
      </c>
      <c r="K1351" s="3" t="s">
        <v>150</v>
      </c>
    </row>
    <row r="1352" spans="1:11" ht="42" customHeight="1">
      <c r="A1352" s="2" t="s">
        <v>3927</v>
      </c>
      <c r="B1352" s="2" t="s">
        <v>3928</v>
      </c>
      <c r="C1352" s="2" t="s">
        <v>26</v>
      </c>
      <c r="D1352" s="2" t="s">
        <v>141</v>
      </c>
      <c r="E1352" s="4">
        <v>-32355</v>
      </c>
      <c r="F1352" s="3" t="s">
        <v>537</v>
      </c>
      <c r="G1352" s="3" t="s">
        <v>44</v>
      </c>
      <c r="H1352" s="2" t="s">
        <v>148</v>
      </c>
      <c r="I1352" s="2" t="s">
        <v>3929</v>
      </c>
      <c r="J1352" s="3" t="str">
        <f>HYPERLINK("https://www.boe.es/gazeta/dias/1811/05/31/pdfs/GMD-C-1811-151.pdf#page=6","Abrir facsímil")</f>
        <v>Abrir facsímil</v>
      </c>
      <c r="K1352" s="3" t="s">
        <v>150</v>
      </c>
    </row>
    <row r="1353" spans="1:11" ht="42" customHeight="1">
      <c r="A1353" s="2" t="s">
        <v>3930</v>
      </c>
      <c r="B1353" s="2" t="s">
        <v>3931</v>
      </c>
      <c r="C1353" s="2" t="s">
        <v>26</v>
      </c>
      <c r="D1353" s="2" t="s">
        <v>18</v>
      </c>
      <c r="E1353" s="4">
        <v>-32176</v>
      </c>
      <c r="F1353" s="3" t="s">
        <v>638</v>
      </c>
      <c r="G1353" s="3" t="s">
        <v>639</v>
      </c>
      <c r="H1353" s="2" t="s">
        <v>148</v>
      </c>
      <c r="I1353" s="2" t="s">
        <v>3932</v>
      </c>
      <c r="J1353" s="3" t="str">
        <f>HYPERLINK("https://www.boe.es/gazeta/dias/1811/11/26/pdfs/GEI-1811-154.pdf#page=7","Abrir facsímil")</f>
        <v>Abrir facsímil</v>
      </c>
      <c r="K1353" s="3" t="s">
        <v>150</v>
      </c>
    </row>
    <row r="1354" spans="1:11" ht="42" customHeight="1">
      <c r="A1354" s="2" t="s">
        <v>3933</v>
      </c>
      <c r="B1354" s="2" t="s">
        <v>3934</v>
      </c>
      <c r="C1354" s="2" t="s">
        <v>26</v>
      </c>
      <c r="D1354" s="2" t="s">
        <v>18</v>
      </c>
      <c r="E1354" s="4">
        <v>-32197</v>
      </c>
      <c r="F1354" s="3" t="s">
        <v>2390</v>
      </c>
      <c r="G1354" s="3" t="s">
        <v>1433</v>
      </c>
      <c r="H1354" s="2" t="s">
        <v>148</v>
      </c>
      <c r="I1354" s="2" t="s">
        <v>3935</v>
      </c>
      <c r="J1354" s="3" t="str">
        <f>HYPERLINK("https://www.boe.es/gazeta/dias/1811/11/05/pdfs/GMD-1811-309.pdf#page=4","Abrir facsímil")</f>
        <v>Abrir facsímil</v>
      </c>
      <c r="K1354" s="3" t="s">
        <v>150</v>
      </c>
    </row>
    <row r="1355" spans="1:11" ht="42" customHeight="1">
      <c r="A1355" s="2" t="s">
        <v>3936</v>
      </c>
      <c r="B1355" s="2" t="s">
        <v>3937</v>
      </c>
      <c r="C1355" s="2" t="s">
        <v>26</v>
      </c>
      <c r="D1355" s="2" t="s">
        <v>18</v>
      </c>
      <c r="E1355" s="4">
        <v>-32141</v>
      </c>
      <c r="F1355" s="3" t="s">
        <v>327</v>
      </c>
      <c r="G1355" s="3" t="s">
        <v>20</v>
      </c>
      <c r="H1355" s="2" t="s">
        <v>148</v>
      </c>
      <c r="I1355" s="2" t="s">
        <v>3938</v>
      </c>
      <c r="J1355" s="3" t="str">
        <f>HYPERLINK("https://www.boe.es/gazeta/dias/1811/12/31/pdfs/GMD-1811-365.pdf#page=4","Abrir facsímil")</f>
        <v>Abrir facsímil</v>
      </c>
      <c r="K1355" s="3" t="s">
        <v>150</v>
      </c>
    </row>
    <row r="1356" spans="1:11" ht="42" customHeight="1">
      <c r="A1356" s="2" t="s">
        <v>3939</v>
      </c>
      <c r="B1356" s="2" t="s">
        <v>3940</v>
      </c>
      <c r="C1356" s="2" t="s">
        <v>104</v>
      </c>
      <c r="D1356" s="2" t="s">
        <v>528</v>
      </c>
      <c r="E1356" s="4">
        <v>-32219</v>
      </c>
      <c r="F1356" s="3" t="s">
        <v>529</v>
      </c>
      <c r="G1356" s="3" t="s">
        <v>530</v>
      </c>
      <c r="H1356" s="2" t="s">
        <v>148</v>
      </c>
      <c r="I1356" s="2" t="s">
        <v>3941</v>
      </c>
      <c r="J1356" s="3" t="str">
        <f>HYPERLINK("https://www.boe.es/gazeta/dias/1811/10/14/pdfs/GEI-1811-132E.pdf#page=4","Abrir facsímil")</f>
        <v>Abrir facsímil</v>
      </c>
      <c r="K1356" s="3" t="s">
        <v>150</v>
      </c>
    </row>
    <row r="1357" spans="1:11" ht="42" customHeight="1">
      <c r="A1357" s="2" t="s">
        <v>3942</v>
      </c>
      <c r="B1357" s="2" t="s">
        <v>3943</v>
      </c>
      <c r="C1357" s="2" t="s">
        <v>26</v>
      </c>
      <c r="D1357" s="2" t="s">
        <v>18</v>
      </c>
      <c r="E1357" s="4">
        <v>-32195</v>
      </c>
      <c r="F1357" s="3" t="s">
        <v>439</v>
      </c>
      <c r="G1357" s="3" t="s">
        <v>440</v>
      </c>
      <c r="H1357" s="2" t="s">
        <v>148</v>
      </c>
      <c r="I1357" s="2" t="s">
        <v>3944</v>
      </c>
      <c r="J1357" s="3" t="str">
        <f>HYPERLINK("https://www.boe.es/gazeta/dias/1811/11/07/pdfs/GEI-1811-144.pdf#page=8","Abrir facsímil")</f>
        <v>Abrir facsímil</v>
      </c>
      <c r="K1357" s="3" t="s">
        <v>150</v>
      </c>
    </row>
    <row r="1358" spans="1:11" ht="42" customHeight="1">
      <c r="A1358" s="2" t="s">
        <v>3945</v>
      </c>
      <c r="B1358" s="2" t="s">
        <v>3946</v>
      </c>
      <c r="C1358" s="2" t="s">
        <v>26</v>
      </c>
      <c r="D1358" s="2" t="s">
        <v>105</v>
      </c>
      <c r="E1358" s="4">
        <v>-32250</v>
      </c>
      <c r="F1358" s="3" t="s">
        <v>2823</v>
      </c>
      <c r="G1358" s="3" t="s">
        <v>3947</v>
      </c>
      <c r="H1358" s="2" t="s">
        <v>148</v>
      </c>
      <c r="I1358" s="2" t="s">
        <v>3948</v>
      </c>
      <c r="J1358" s="3" t="str">
        <f>HYPERLINK("https://www.boe.es/gazeta/dias/1811/09/13/pdfs/GMD-1811-256.pdf#page=4","Abrir facsímil")</f>
        <v>Abrir facsímil</v>
      </c>
      <c r="K1358" s="3" t="s">
        <v>150</v>
      </c>
    </row>
    <row r="1359" spans="1:11" ht="42" customHeight="1">
      <c r="A1359" s="2" t="s">
        <v>3949</v>
      </c>
      <c r="B1359" s="2" t="s">
        <v>3950</v>
      </c>
      <c r="C1359" s="2" t="s">
        <v>26</v>
      </c>
      <c r="D1359" s="2" t="s">
        <v>18</v>
      </c>
      <c r="E1359" s="4">
        <v>-32421</v>
      </c>
      <c r="F1359" s="3" t="s">
        <v>79</v>
      </c>
      <c r="G1359" s="3" t="s">
        <v>488</v>
      </c>
      <c r="H1359" s="2" t="s">
        <v>148</v>
      </c>
      <c r="I1359" s="2" t="s">
        <v>3951</v>
      </c>
      <c r="J1359" s="3" t="str">
        <f>HYPERLINK("https://www.boe.es/gazeta/dias/1811/03/26/pdfs/GEI-1811-42.pdf#page=8","Abrir facsímil")</f>
        <v>Abrir facsímil</v>
      </c>
      <c r="K1359" s="3" t="s">
        <v>150</v>
      </c>
    </row>
    <row r="1360" spans="1:11" ht="42" customHeight="1">
      <c r="A1360" s="2" t="s">
        <v>3952</v>
      </c>
      <c r="B1360" s="2" t="s">
        <v>3953</v>
      </c>
      <c r="C1360" s="2" t="s">
        <v>26</v>
      </c>
      <c r="D1360" s="2" t="s">
        <v>18</v>
      </c>
      <c r="E1360" s="4">
        <v>-32352</v>
      </c>
      <c r="F1360" s="3" t="s">
        <v>834</v>
      </c>
      <c r="G1360" s="3" t="s">
        <v>183</v>
      </c>
      <c r="H1360" s="2" t="s">
        <v>148</v>
      </c>
      <c r="I1360" s="2" t="s">
        <v>3954</v>
      </c>
      <c r="J1360" s="3" t="str">
        <f>HYPERLINK("https://www.boe.es/gazeta/dias/1811/06/03/pdfs/GMD-1811-154.pdf#page=4","Abrir facsímil")</f>
        <v>Abrir facsímil</v>
      </c>
      <c r="K1360" s="3" t="s">
        <v>150</v>
      </c>
    </row>
    <row r="1361" spans="1:11" ht="42" customHeight="1">
      <c r="A1361" s="2" t="s">
        <v>3955</v>
      </c>
      <c r="B1361" s="2" t="s">
        <v>3956</v>
      </c>
      <c r="C1361" s="2" t="s">
        <v>26</v>
      </c>
      <c r="D1361" s="2" t="s">
        <v>18</v>
      </c>
      <c r="E1361" s="4">
        <v>-32225</v>
      </c>
      <c r="F1361" s="3" t="s">
        <v>390</v>
      </c>
      <c r="G1361" s="3" t="s">
        <v>3957</v>
      </c>
      <c r="H1361" s="2" t="s">
        <v>148</v>
      </c>
      <c r="I1361" s="2" t="s">
        <v>3958</v>
      </c>
      <c r="J1361" s="3" t="str">
        <f>HYPERLINK("https://www.boe.es/gazeta/dias/1811/10/08/pdfs/GEI-1811-129.pdf#page=4","Abrir facsímil")</f>
        <v>Abrir facsímil</v>
      </c>
      <c r="K1361" s="3" t="s">
        <v>150</v>
      </c>
    </row>
    <row r="1362" spans="1:11" ht="42" customHeight="1">
      <c r="A1362" s="2" t="s">
        <v>3959</v>
      </c>
      <c r="B1362" s="2" t="s">
        <v>3960</v>
      </c>
      <c r="C1362" s="2" t="s">
        <v>26</v>
      </c>
      <c r="D1362" s="2" t="s">
        <v>141</v>
      </c>
      <c r="E1362" s="4">
        <v>-32396</v>
      </c>
      <c r="F1362" s="3" t="s">
        <v>804</v>
      </c>
      <c r="G1362" s="3" t="s">
        <v>805</v>
      </c>
      <c r="H1362" s="2" t="s">
        <v>148</v>
      </c>
      <c r="I1362" s="2" t="s">
        <v>3961</v>
      </c>
      <c r="J1362" s="3" t="str">
        <f>HYPERLINK("https://www.boe.es/gazeta/dias/1811/04/20/pdfs/GEI-D-1811-53.pdf#page=4","Abrir facsímil")</f>
        <v>Abrir facsímil</v>
      </c>
      <c r="K1362" s="3" t="s">
        <v>150</v>
      </c>
    </row>
    <row r="1363" spans="1:11" ht="42" customHeight="1">
      <c r="A1363" s="2" t="s">
        <v>3962</v>
      </c>
      <c r="B1363" s="2" t="s">
        <v>3963</v>
      </c>
      <c r="C1363" s="2" t="s">
        <v>17</v>
      </c>
      <c r="D1363" s="2" t="s">
        <v>156</v>
      </c>
      <c r="E1363" s="4">
        <v>-32494</v>
      </c>
      <c r="F1363" s="3" t="s">
        <v>3050</v>
      </c>
      <c r="G1363" s="3" t="s">
        <v>3619</v>
      </c>
      <c r="H1363" s="2" t="s">
        <v>148</v>
      </c>
      <c r="I1363" s="2" t="s">
        <v>3964</v>
      </c>
      <c r="J1363" s="3" t="str">
        <f>HYPERLINK("https://www.boe.es/gazeta/dias/1811/01/12/pdfs/GEI-1811-6.pdf#page=8","Abrir facsímil")</f>
        <v>Abrir facsímil</v>
      </c>
      <c r="K1363" s="3" t="s">
        <v>150</v>
      </c>
    </row>
    <row r="1364" spans="1:11" ht="42" customHeight="1">
      <c r="A1364" s="2" t="s">
        <v>3965</v>
      </c>
      <c r="B1364" s="2" t="s">
        <v>3966</v>
      </c>
      <c r="C1364" s="2" t="s">
        <v>26</v>
      </c>
      <c r="D1364" s="2" t="s">
        <v>18</v>
      </c>
      <c r="E1364" s="4">
        <v>-32150</v>
      </c>
      <c r="F1364" s="3" t="s">
        <v>1174</v>
      </c>
      <c r="G1364" s="3" t="s">
        <v>20</v>
      </c>
      <c r="H1364" s="2" t="s">
        <v>148</v>
      </c>
      <c r="I1364" s="2" t="s">
        <v>3967</v>
      </c>
      <c r="J1364" s="3" t="str">
        <f>HYPERLINK("https://www.boe.es/gazeta/dias/1811/12/22/pdfs/GMD-1811-356.pdf#page=4","Abrir facsímil")</f>
        <v>Abrir facsímil</v>
      </c>
      <c r="K1364" s="3" t="s">
        <v>150</v>
      </c>
    </row>
    <row r="1365" spans="1:11" ht="42" customHeight="1">
      <c r="A1365" s="2" t="s">
        <v>3968</v>
      </c>
      <c r="B1365" s="2" t="s">
        <v>3969</v>
      </c>
      <c r="C1365" s="2" t="s">
        <v>122</v>
      </c>
      <c r="D1365" s="2" t="s">
        <v>18</v>
      </c>
      <c r="E1365" s="4">
        <v>-32421</v>
      </c>
      <c r="F1365" s="3" t="s">
        <v>79</v>
      </c>
      <c r="G1365" s="3" t="s">
        <v>80</v>
      </c>
      <c r="H1365" s="2" t="s">
        <v>148</v>
      </c>
      <c r="I1365" s="2" t="s">
        <v>3970</v>
      </c>
      <c r="J1365" s="3" t="str">
        <f>HYPERLINK("https://www.boe.es/gazeta/dias/1811/03/26/pdfs/GEI-1811-42.pdf#page=7","Abrir facsímil")</f>
        <v>Abrir facsímil</v>
      </c>
      <c r="K1365" s="3" t="s">
        <v>150</v>
      </c>
    </row>
    <row r="1366" spans="1:11" ht="42" customHeight="1">
      <c r="A1366" s="2" t="s">
        <v>3971</v>
      </c>
      <c r="B1366" s="2" t="s">
        <v>3972</v>
      </c>
      <c r="C1366" s="2" t="s">
        <v>26</v>
      </c>
      <c r="D1366" s="2" t="s">
        <v>141</v>
      </c>
      <c r="E1366" s="4">
        <v>-32167</v>
      </c>
      <c r="F1366" s="3" t="s">
        <v>347</v>
      </c>
      <c r="G1366" s="3" t="s">
        <v>183</v>
      </c>
      <c r="H1366" s="2" t="s">
        <v>148</v>
      </c>
      <c r="I1366" s="2" t="s">
        <v>3973</v>
      </c>
      <c r="J1366" s="3" t="str">
        <f>HYPERLINK("https://www.boe.es/gazeta/dias/1811/12/05/pdfs/GEI-D-1811-158.pdf#page=4","Abrir facsímil")</f>
        <v>Abrir facsímil</v>
      </c>
      <c r="K1366" s="3" t="s">
        <v>150</v>
      </c>
    </row>
    <row r="1367" spans="1:11" ht="42" customHeight="1">
      <c r="A1367" s="2" t="s">
        <v>3974</v>
      </c>
      <c r="B1367" s="2" t="s">
        <v>3975</v>
      </c>
      <c r="C1367" s="2" t="s">
        <v>26</v>
      </c>
      <c r="D1367" s="2" t="s">
        <v>18</v>
      </c>
      <c r="E1367" s="4">
        <v>-32505</v>
      </c>
      <c r="F1367" s="3" t="s">
        <v>475</v>
      </c>
      <c r="G1367" s="3" t="s">
        <v>755</v>
      </c>
      <c r="H1367" s="2" t="s">
        <v>148</v>
      </c>
      <c r="I1367" s="2" t="s">
        <v>3976</v>
      </c>
      <c r="J1367" s="3" t="str">
        <f>HYPERLINK("https://www.boe.es/gazeta/dias/1811/01/01/pdfs/GEI-1811-1.pdf#page=8","Abrir facsímil")</f>
        <v>Abrir facsímil</v>
      </c>
      <c r="K1367" s="3" t="s">
        <v>150</v>
      </c>
    </row>
    <row r="1368" spans="1:11" ht="42" customHeight="1">
      <c r="A1368" s="2" t="s">
        <v>3977</v>
      </c>
      <c r="B1368" s="2" t="s">
        <v>3977</v>
      </c>
      <c r="C1368" s="2" t="s">
        <v>26</v>
      </c>
      <c r="D1368" s="2" t="s">
        <v>204</v>
      </c>
      <c r="E1368" s="4">
        <v>-32491</v>
      </c>
      <c r="F1368" s="3" t="s">
        <v>2280</v>
      </c>
      <c r="G1368" s="3" t="s">
        <v>115</v>
      </c>
      <c r="H1368" s="2" t="s">
        <v>148</v>
      </c>
      <c r="I1368" s="2" t="s">
        <v>3978</v>
      </c>
      <c r="J1368" s="3" t="str">
        <f>HYPERLINK("https://www.boe.es/gazeta/dias/1811/01/15/pdfs/GMD-1811-15.pdf#page=3","Abrir facsímil")</f>
        <v>Abrir facsímil</v>
      </c>
      <c r="K1368" s="3" t="s">
        <v>150</v>
      </c>
    </row>
    <row r="1369" spans="1:11" ht="42" customHeight="1">
      <c r="A1369" s="2" t="s">
        <v>3979</v>
      </c>
      <c r="B1369" s="2" t="s">
        <v>3979</v>
      </c>
      <c r="C1369" s="2" t="s">
        <v>17</v>
      </c>
      <c r="D1369" s="2" t="s">
        <v>18</v>
      </c>
      <c r="E1369" s="4">
        <v>-32386</v>
      </c>
      <c r="F1369" s="3" t="s">
        <v>1934</v>
      </c>
      <c r="G1369" s="3" t="s">
        <v>134</v>
      </c>
      <c r="H1369" s="2" t="s">
        <v>148</v>
      </c>
      <c r="I1369" s="2" t="s">
        <v>3980</v>
      </c>
      <c r="J1369" s="3" t="str">
        <f>HYPERLINK("https://www.boe.es/gazeta/dias/1811/04/30/pdfs/GEI-1811-57.pdf#page=8","Abrir facsímil")</f>
        <v>Abrir facsímil</v>
      </c>
      <c r="K1369" s="3" t="s">
        <v>150</v>
      </c>
    </row>
    <row r="1370" spans="1:11" ht="42" customHeight="1">
      <c r="A1370" s="2" t="s">
        <v>3979</v>
      </c>
      <c r="B1370" s="2" t="s">
        <v>3979</v>
      </c>
      <c r="C1370" s="2" t="s">
        <v>26</v>
      </c>
      <c r="D1370" s="2" t="s">
        <v>18</v>
      </c>
      <c r="E1370" s="4">
        <v>-32377</v>
      </c>
      <c r="F1370" s="3" t="s">
        <v>2461</v>
      </c>
      <c r="G1370" s="3" t="s">
        <v>183</v>
      </c>
      <c r="H1370" s="2" t="s">
        <v>148</v>
      </c>
      <c r="I1370" s="2" t="s">
        <v>3981</v>
      </c>
      <c r="J1370" s="3" t="str">
        <f>HYPERLINK("https://www.boe.es/gazeta/dias/1811/05/09/pdfs/GMD-1811-129.pdf#page=4","Abrir facsímil")</f>
        <v>Abrir facsímil</v>
      </c>
      <c r="K1370" s="3" t="s">
        <v>150</v>
      </c>
    </row>
    <row r="1371" spans="1:11" ht="42" customHeight="1">
      <c r="A1371" s="2" t="s">
        <v>3982</v>
      </c>
      <c r="B1371" s="2" t="s">
        <v>3982</v>
      </c>
      <c r="C1371" s="2" t="s">
        <v>17</v>
      </c>
      <c r="D1371" s="2" t="s">
        <v>18</v>
      </c>
      <c r="E1371" s="4">
        <v>-32349</v>
      </c>
      <c r="F1371" s="3" t="s">
        <v>3983</v>
      </c>
      <c r="G1371" s="3" t="s">
        <v>183</v>
      </c>
      <c r="H1371" s="2" t="s">
        <v>148</v>
      </c>
      <c r="I1371" s="2" t="s">
        <v>3984</v>
      </c>
      <c r="J1371" s="3" t="str">
        <f>HYPERLINK("https://www.boe.es/gazeta/dias/1811/06/06/pdfs/GMD-1811-157.pdf#page=4","Abrir facsímil")</f>
        <v>Abrir facsímil</v>
      </c>
      <c r="K1371" s="3" t="s">
        <v>150</v>
      </c>
    </row>
    <row r="1372" spans="1:11" ht="42" customHeight="1">
      <c r="A1372" s="2" t="s">
        <v>3985</v>
      </c>
      <c r="B1372" s="2" t="s">
        <v>3985</v>
      </c>
      <c r="C1372" s="2" t="s">
        <v>104</v>
      </c>
      <c r="D1372" s="2" t="s">
        <v>105</v>
      </c>
      <c r="E1372" s="4">
        <v>-32270</v>
      </c>
      <c r="F1372" s="3" t="s">
        <v>2617</v>
      </c>
      <c r="G1372" s="3" t="s">
        <v>846</v>
      </c>
      <c r="H1372" s="2" t="s">
        <v>148</v>
      </c>
      <c r="I1372" s="2" t="s">
        <v>3986</v>
      </c>
      <c r="J1372" s="3" t="str">
        <f>HYPERLINK("https://www.boe.es/gazeta/dias/1811/08/24/pdfs/GMD-1811-236.pdf#page=3","Abrir facsímil")</f>
        <v>Abrir facsímil</v>
      </c>
      <c r="K1372" s="3" t="s">
        <v>150</v>
      </c>
    </row>
    <row r="1373" spans="1:11" ht="42" customHeight="1">
      <c r="A1373" s="2" t="s">
        <v>3987</v>
      </c>
      <c r="B1373" s="2" t="s">
        <v>3988</v>
      </c>
      <c r="C1373" s="2" t="s">
        <v>17</v>
      </c>
      <c r="D1373" s="2" t="s">
        <v>18</v>
      </c>
      <c r="E1373" s="4">
        <v>-32300</v>
      </c>
      <c r="F1373" s="3" t="s">
        <v>61</v>
      </c>
      <c r="G1373" s="3" t="s">
        <v>62</v>
      </c>
      <c r="H1373" s="2" t="s">
        <v>148</v>
      </c>
      <c r="I1373" s="2" t="s">
        <v>3989</v>
      </c>
      <c r="J1373" s="3" t="str">
        <f>HYPERLINK("https://www.boe.es/gazeta/dias/1811/07/25/pdfs/GEI-1811-97.pdf#page=5","Abrir facsímil")</f>
        <v>Abrir facsímil</v>
      </c>
      <c r="K1373" s="3" t="s">
        <v>150</v>
      </c>
    </row>
    <row r="1374" spans="1:11" ht="42" customHeight="1">
      <c r="A1374" s="2" t="s">
        <v>3990</v>
      </c>
      <c r="B1374" s="2" t="s">
        <v>3991</v>
      </c>
      <c r="C1374" s="2" t="s">
        <v>17</v>
      </c>
      <c r="D1374" s="2" t="s">
        <v>18</v>
      </c>
      <c r="E1374" s="4">
        <v>-32276</v>
      </c>
      <c r="F1374" s="3" t="s">
        <v>1361</v>
      </c>
      <c r="G1374" s="3" t="s">
        <v>183</v>
      </c>
      <c r="H1374" s="2" t="s">
        <v>148</v>
      </c>
      <c r="I1374" s="2" t="s">
        <v>3992</v>
      </c>
      <c r="J1374" s="3" t="str">
        <f>HYPERLINK("https://www.boe.es/gazeta/dias/1811/08/18/pdfs/GMD-1811-230.pdf#page=4","Abrir facsímil")</f>
        <v>Abrir facsímil</v>
      </c>
      <c r="K1374" s="3" t="s">
        <v>150</v>
      </c>
    </row>
    <row r="1375" spans="1:11" ht="42" customHeight="1">
      <c r="A1375" s="2" t="s">
        <v>3993</v>
      </c>
      <c r="B1375" s="2" t="s">
        <v>3994</v>
      </c>
      <c r="C1375" s="2" t="s">
        <v>17</v>
      </c>
      <c r="D1375" s="2" t="s">
        <v>18</v>
      </c>
      <c r="E1375" s="4">
        <v>-32396</v>
      </c>
      <c r="F1375" s="3" t="s">
        <v>1267</v>
      </c>
      <c r="G1375" s="3" t="s">
        <v>1143</v>
      </c>
      <c r="H1375" s="2" t="s">
        <v>148</v>
      </c>
      <c r="I1375" s="2" t="s">
        <v>3995</v>
      </c>
      <c r="J1375" s="3" t="str">
        <f>HYPERLINK("https://www.boe.es/gazeta/dias/1811/04/20/pdfs/GMD-1811-110.pdf#page=3","Abrir facsímil")</f>
        <v>Abrir facsímil</v>
      </c>
      <c r="K1375" s="3" t="s">
        <v>150</v>
      </c>
    </row>
    <row r="1376" spans="1:11" ht="42" customHeight="1">
      <c r="A1376" s="2" t="s">
        <v>3996</v>
      </c>
      <c r="B1376" s="2" t="s">
        <v>3997</v>
      </c>
      <c r="C1376" s="2" t="s">
        <v>26</v>
      </c>
      <c r="D1376" s="2" t="s">
        <v>18</v>
      </c>
      <c r="E1376" s="4">
        <v>-32179</v>
      </c>
      <c r="F1376" s="3" t="s">
        <v>614</v>
      </c>
      <c r="G1376" s="3" t="s">
        <v>47</v>
      </c>
      <c r="H1376" s="2" t="s">
        <v>148</v>
      </c>
      <c r="I1376" s="2" t="s">
        <v>3998</v>
      </c>
      <c r="J1376" s="3" t="str">
        <f>HYPERLINK("https://www.boe.es/gazeta/dias/1811/11/23/pdfs/GEI-1811-153.pdf#page=8","Abrir facsímil")</f>
        <v>Abrir facsímil</v>
      </c>
      <c r="K1376" s="3" t="s">
        <v>150</v>
      </c>
    </row>
    <row r="1377" spans="1:11" ht="42" customHeight="1">
      <c r="A1377" s="2" t="s">
        <v>3999</v>
      </c>
      <c r="B1377" s="2" t="s">
        <v>4000</v>
      </c>
      <c r="C1377" s="2" t="s">
        <v>26</v>
      </c>
      <c r="D1377" s="2" t="s">
        <v>18</v>
      </c>
      <c r="E1377" s="4">
        <v>-32265</v>
      </c>
      <c r="F1377" s="3" t="s">
        <v>2375</v>
      </c>
      <c r="G1377" s="3" t="s">
        <v>2376</v>
      </c>
      <c r="H1377" s="2" t="s">
        <v>148</v>
      </c>
      <c r="I1377" s="2" t="s">
        <v>4001</v>
      </c>
      <c r="J1377" s="3" t="str">
        <f>HYPERLINK("https://www.boe.es/gazeta/dias/1811/08/29/pdfs/GEI-1811-112.pdf#page=5","Abrir facsímil")</f>
        <v>Abrir facsímil</v>
      </c>
      <c r="K1377" s="3" t="s">
        <v>150</v>
      </c>
    </row>
    <row r="1378" spans="1:11" ht="42" customHeight="1">
      <c r="A1378" s="2" t="s">
        <v>4002</v>
      </c>
      <c r="B1378" s="2" t="s">
        <v>4003</v>
      </c>
      <c r="C1378" s="2" t="s">
        <v>26</v>
      </c>
      <c r="D1378" s="2" t="s">
        <v>18</v>
      </c>
      <c r="E1378" s="4">
        <v>-32452</v>
      </c>
      <c r="F1378" s="3" t="s">
        <v>106</v>
      </c>
      <c r="G1378" s="3" t="s">
        <v>20</v>
      </c>
      <c r="H1378" s="2" t="s">
        <v>148</v>
      </c>
      <c r="I1378" s="2" t="s">
        <v>4004</v>
      </c>
      <c r="J1378" s="3" t="str">
        <f>HYPERLINK("https://www.boe.es/gazeta/dias/1811/02/23/pdfs/GEI-1811-24.pdf#page=8","Abrir facsímil")</f>
        <v>Abrir facsímil</v>
      </c>
      <c r="K1378" s="3" t="s">
        <v>150</v>
      </c>
    </row>
    <row r="1379" spans="1:11" ht="42" customHeight="1">
      <c r="A1379" s="2" t="s">
        <v>4005</v>
      </c>
      <c r="B1379" s="2" t="s">
        <v>4006</v>
      </c>
      <c r="C1379" s="2" t="s">
        <v>26</v>
      </c>
      <c r="D1379" s="2" t="s">
        <v>105</v>
      </c>
      <c r="E1379" s="4">
        <v>-32195</v>
      </c>
      <c r="F1379" s="3" t="s">
        <v>439</v>
      </c>
      <c r="G1379" s="3" t="s">
        <v>440</v>
      </c>
      <c r="H1379" s="2" t="s">
        <v>148</v>
      </c>
      <c r="I1379" s="2" t="s">
        <v>4007</v>
      </c>
      <c r="J1379" s="3" t="str">
        <f>HYPERLINK("https://www.boe.es/gazeta/dias/1811/11/07/pdfs/GEI-1811-144.pdf#page=8","Abrir facsímil")</f>
        <v>Abrir facsímil</v>
      </c>
      <c r="K1379" s="3" t="s">
        <v>150</v>
      </c>
    </row>
    <row r="1380" spans="1:11" ht="42" customHeight="1">
      <c r="A1380" s="2" t="s">
        <v>4008</v>
      </c>
      <c r="B1380" s="2" t="s">
        <v>4008</v>
      </c>
      <c r="C1380" s="2" t="s">
        <v>104</v>
      </c>
      <c r="D1380" s="2" t="s">
        <v>18</v>
      </c>
      <c r="E1380" s="4">
        <v>-32293</v>
      </c>
      <c r="F1380" s="3" t="s">
        <v>3064</v>
      </c>
      <c r="G1380" s="3" t="s">
        <v>669</v>
      </c>
      <c r="H1380" s="2" t="s">
        <v>148</v>
      </c>
      <c r="I1380" s="2" t="s">
        <v>4009</v>
      </c>
      <c r="J1380" s="3" t="str">
        <f>HYPERLINK("https://www.boe.es/gazeta/dias/1811/08/01/pdfs/GEI-1811-100.pdf#page=1","Abrir facsímil")</f>
        <v>Abrir facsímil</v>
      </c>
      <c r="K1380" s="3" t="s">
        <v>150</v>
      </c>
    </row>
    <row r="1381" spans="1:11" ht="42" customHeight="1">
      <c r="A1381" s="2" t="s">
        <v>4010</v>
      </c>
      <c r="B1381" s="2" t="s">
        <v>4011</v>
      </c>
      <c r="C1381" s="2" t="s">
        <v>17</v>
      </c>
      <c r="D1381" s="2" t="s">
        <v>156</v>
      </c>
      <c r="E1381" s="4">
        <v>-32169</v>
      </c>
      <c r="F1381" s="3" t="s">
        <v>4012</v>
      </c>
      <c r="G1381" s="3" t="s">
        <v>183</v>
      </c>
      <c r="H1381" s="2" t="s">
        <v>148</v>
      </c>
      <c r="I1381" s="2" t="s">
        <v>4013</v>
      </c>
      <c r="J1381" s="3" t="str">
        <f>HYPERLINK("https://www.boe.es/gazeta/dias/1811/12/03/pdfs/GMD-1811-337.pdf#page=4","Abrir facsímil")</f>
        <v>Abrir facsímil</v>
      </c>
      <c r="K1381" s="3" t="s">
        <v>150</v>
      </c>
    </row>
    <row r="1382" spans="1:11" ht="42" customHeight="1">
      <c r="A1382" s="2" t="s">
        <v>4014</v>
      </c>
      <c r="B1382" s="2" t="s">
        <v>4015</v>
      </c>
      <c r="C1382" s="2" t="s">
        <v>26</v>
      </c>
      <c r="D1382" s="2" t="s">
        <v>18</v>
      </c>
      <c r="E1382" s="4">
        <v>-32407</v>
      </c>
      <c r="F1382" s="3" t="s">
        <v>38</v>
      </c>
      <c r="G1382" s="3" t="s">
        <v>39</v>
      </c>
      <c r="H1382" s="2" t="s">
        <v>148</v>
      </c>
      <c r="I1382" s="2" t="s">
        <v>4016</v>
      </c>
      <c r="J1382" s="3" t="str">
        <f>HYPERLINK("https://www.boe.es/gazeta/dias/1811/04/09/pdfs/GEI-1811-48.pdf#page=3","Abrir facsímil")</f>
        <v>Abrir facsímil</v>
      </c>
      <c r="K1382" s="3" t="s">
        <v>150</v>
      </c>
    </row>
    <row r="1383" spans="1:11" ht="42" customHeight="1">
      <c r="A1383" s="2" t="s">
        <v>4017</v>
      </c>
      <c r="B1383" s="2" t="s">
        <v>4018</v>
      </c>
      <c r="C1383" s="2" t="s">
        <v>37</v>
      </c>
      <c r="D1383" s="2" t="s">
        <v>18</v>
      </c>
      <c r="E1383" s="4">
        <v>-32361</v>
      </c>
      <c r="F1383" s="3" t="s">
        <v>1104</v>
      </c>
      <c r="G1383" s="3" t="s">
        <v>2213</v>
      </c>
      <c r="H1383" s="2" t="s">
        <v>148</v>
      </c>
      <c r="I1383" s="2" t="s">
        <v>4019</v>
      </c>
      <c r="J1383" s="3" t="str">
        <f>HYPERLINK("https://www.boe.es/gazeta/dias/1811/05/25/pdfs/GEI-1811-71.pdf#page=8","Abrir facsímil")</f>
        <v>Abrir facsímil</v>
      </c>
      <c r="K1383" s="3" t="s">
        <v>150</v>
      </c>
    </row>
    <row r="1384" spans="1:11" ht="42" customHeight="1">
      <c r="A1384" s="2" t="s">
        <v>4020</v>
      </c>
      <c r="B1384" s="2" t="s">
        <v>4021</v>
      </c>
      <c r="C1384" s="2" t="s">
        <v>26</v>
      </c>
      <c r="D1384" s="2" t="s">
        <v>18</v>
      </c>
      <c r="E1384" s="4">
        <v>-32491</v>
      </c>
      <c r="F1384" s="3" t="s">
        <v>533</v>
      </c>
      <c r="G1384" s="3" t="s">
        <v>3741</v>
      </c>
      <c r="H1384" s="2" t="s">
        <v>148</v>
      </c>
      <c r="I1384" s="2" t="s">
        <v>4022</v>
      </c>
      <c r="J1384" s="3" t="str">
        <f>HYPERLINK("https://www.boe.es/gazeta/dias/1811/01/15/pdfs/GEI-1811-7.pdf#page=4","Abrir facsímil")</f>
        <v>Abrir facsímil</v>
      </c>
      <c r="K1384" s="3" t="s">
        <v>150</v>
      </c>
    </row>
    <row r="1385" spans="1:11" ht="42" customHeight="1">
      <c r="A1385" s="2" t="s">
        <v>4023</v>
      </c>
      <c r="B1385" s="2" t="s">
        <v>4023</v>
      </c>
      <c r="C1385" s="2" t="s">
        <v>17</v>
      </c>
      <c r="D1385" s="2" t="s">
        <v>156</v>
      </c>
      <c r="E1385" s="4">
        <v>-32410</v>
      </c>
      <c r="F1385" s="3" t="s">
        <v>2678</v>
      </c>
      <c r="G1385" s="3" t="s">
        <v>4024</v>
      </c>
      <c r="H1385" s="2" t="s">
        <v>148</v>
      </c>
      <c r="I1385" s="2" t="s">
        <v>4025</v>
      </c>
      <c r="J1385" s="3" t="str">
        <f>HYPERLINK("https://www.boe.es/gazeta/dias/1811/04/06/pdfs/GEI-1811-47.pdf#page=7","Abrir facsímil")</f>
        <v>Abrir facsímil</v>
      </c>
      <c r="K1385" s="3" t="s">
        <v>150</v>
      </c>
    </row>
    <row r="1386" spans="1:11" ht="42" customHeight="1">
      <c r="A1386" s="2" t="s">
        <v>4026</v>
      </c>
      <c r="B1386" s="2" t="s">
        <v>4027</v>
      </c>
      <c r="C1386" s="2" t="s">
        <v>841</v>
      </c>
      <c r="D1386" s="2" t="s">
        <v>18</v>
      </c>
      <c r="E1386" s="4">
        <v>-32200</v>
      </c>
      <c r="F1386" s="3" t="s">
        <v>109</v>
      </c>
      <c r="G1386" s="3" t="s">
        <v>268</v>
      </c>
      <c r="H1386" s="2" t="s">
        <v>148</v>
      </c>
      <c r="I1386" s="2" t="s">
        <v>4028</v>
      </c>
      <c r="J1386" s="3" t="str">
        <f>HYPERLINK("https://www.boe.es/gazeta/dias/1811/11/02/pdfs/GEI-1811-141.pdf#page=7","Abrir facsímil")</f>
        <v>Abrir facsímil</v>
      </c>
      <c r="K1386" s="3" t="s">
        <v>150</v>
      </c>
    </row>
    <row r="1387" spans="1:11" ht="42" customHeight="1">
      <c r="A1387" s="2" t="s">
        <v>4029</v>
      </c>
      <c r="B1387" s="2" t="s">
        <v>4030</v>
      </c>
      <c r="C1387" s="2" t="s">
        <v>17</v>
      </c>
      <c r="D1387" s="2" t="s">
        <v>18</v>
      </c>
      <c r="E1387" s="4">
        <v>-32438</v>
      </c>
      <c r="F1387" s="3" t="s">
        <v>114</v>
      </c>
      <c r="G1387" s="3" t="s">
        <v>115</v>
      </c>
      <c r="H1387" s="2" t="s">
        <v>148</v>
      </c>
      <c r="I1387" s="2" t="s">
        <v>4031</v>
      </c>
      <c r="J1387" s="3" t="str">
        <f>HYPERLINK("https://www.boe.es/gazeta/dias/1811/03/09/pdfs/GEI-1811-33.pdf#page=3","Abrir facsímil")</f>
        <v>Abrir facsímil</v>
      </c>
      <c r="K1387" s="3" t="s">
        <v>150</v>
      </c>
    </row>
    <row r="1388" spans="1:11" ht="42" customHeight="1">
      <c r="A1388" s="2" t="s">
        <v>4032</v>
      </c>
      <c r="B1388" s="2" t="s">
        <v>4033</v>
      </c>
      <c r="C1388" s="2" t="s">
        <v>26</v>
      </c>
      <c r="D1388" s="2" t="s">
        <v>18</v>
      </c>
      <c r="E1388" s="4">
        <v>-32379</v>
      </c>
      <c r="F1388" s="3" t="s">
        <v>462</v>
      </c>
      <c r="G1388" s="3" t="s">
        <v>228</v>
      </c>
      <c r="H1388" s="2" t="s">
        <v>148</v>
      </c>
      <c r="I1388" s="2" t="s">
        <v>4034</v>
      </c>
      <c r="J1388" s="3" t="str">
        <f>HYPERLINK("https://www.boe.es/gazeta/dias/1811/05/07/pdfs/GEI-1811-60.pdf#page=3","Abrir facsímil")</f>
        <v>Abrir facsímil</v>
      </c>
      <c r="K1388" s="3" t="s">
        <v>150</v>
      </c>
    </row>
    <row r="1389" spans="1:11" ht="42" customHeight="1">
      <c r="A1389" s="2" t="s">
        <v>4035</v>
      </c>
      <c r="B1389" s="2" t="s">
        <v>4036</v>
      </c>
      <c r="C1389" s="2" t="s">
        <v>26</v>
      </c>
      <c r="D1389" s="2" t="s">
        <v>18</v>
      </c>
      <c r="E1389" s="4">
        <v>-32263</v>
      </c>
      <c r="F1389" s="3" t="s">
        <v>128</v>
      </c>
      <c r="G1389" s="3" t="s">
        <v>162</v>
      </c>
      <c r="H1389" s="2" t="s">
        <v>148</v>
      </c>
      <c r="I1389" s="2" t="s">
        <v>4037</v>
      </c>
      <c r="J1389" s="3" t="str">
        <f>HYPERLINK("https://www.boe.es/gazeta/dias/1811/08/31/pdfs/GEI-1811-113.pdf#page=8","Abrir facsímil")</f>
        <v>Abrir facsímil</v>
      </c>
      <c r="K1389" s="3" t="s">
        <v>150</v>
      </c>
    </row>
    <row r="1390" spans="1:11" ht="42" customHeight="1">
      <c r="A1390" s="2" t="s">
        <v>4038</v>
      </c>
      <c r="B1390" s="2" t="s">
        <v>4039</v>
      </c>
      <c r="C1390" s="2" t="s">
        <v>26</v>
      </c>
      <c r="D1390" s="2" t="s">
        <v>204</v>
      </c>
      <c r="E1390" s="4">
        <v>-32143</v>
      </c>
      <c r="F1390" s="3" t="s">
        <v>1455</v>
      </c>
      <c r="G1390" s="3" t="s">
        <v>284</v>
      </c>
      <c r="H1390" s="2" t="s">
        <v>148</v>
      </c>
      <c r="I1390" s="2" t="s">
        <v>4040</v>
      </c>
      <c r="J1390" s="3" t="str">
        <f>HYPERLINK("https://www.boe.es/gazeta/dias/1811/12/29/pdfs/GMD-1811-363.pdf#page=3","Abrir facsímil")</f>
        <v>Abrir facsímil</v>
      </c>
      <c r="K1390" s="3" t="s">
        <v>150</v>
      </c>
    </row>
    <row r="1391" spans="1:11" ht="42" customHeight="1">
      <c r="A1391" s="2" t="s">
        <v>4041</v>
      </c>
      <c r="B1391" s="2" t="s">
        <v>4041</v>
      </c>
      <c r="C1391" s="2" t="s">
        <v>26</v>
      </c>
      <c r="D1391" s="2" t="s">
        <v>18</v>
      </c>
      <c r="E1391" s="4">
        <v>-32503</v>
      </c>
      <c r="F1391" s="3" t="s">
        <v>487</v>
      </c>
      <c r="G1391" s="3" t="s">
        <v>488</v>
      </c>
      <c r="H1391" s="2" t="s">
        <v>148</v>
      </c>
      <c r="I1391" s="2" t="s">
        <v>4042</v>
      </c>
      <c r="J1391" s="3" t="str">
        <f>HYPERLINK("https://www.boe.es/gazeta/dias/1811/01/03/pdfs/GEI-1811-2.pdf#page=2","Abrir facsímil")</f>
        <v>Abrir facsímil</v>
      </c>
      <c r="K1391" s="3" t="s">
        <v>150</v>
      </c>
    </row>
    <row r="1392" spans="1:11" ht="42" customHeight="1">
      <c r="A1392" s="2" t="s">
        <v>4043</v>
      </c>
      <c r="B1392" s="2" t="s">
        <v>4043</v>
      </c>
      <c r="C1392" s="2" t="s">
        <v>367</v>
      </c>
      <c r="D1392" s="2" t="s">
        <v>18</v>
      </c>
      <c r="E1392" s="4">
        <v>-32464</v>
      </c>
      <c r="F1392" s="3" t="s">
        <v>4044</v>
      </c>
      <c r="G1392" s="3" t="s">
        <v>515</v>
      </c>
      <c r="H1392" s="2" t="s">
        <v>148</v>
      </c>
      <c r="I1392" s="2" t="s">
        <v>4045</v>
      </c>
      <c r="J1392" s="3" t="str">
        <f>HYPERLINK("https://www.boe.es/gazeta/dias/1811/02/11/pdfs/GMD-1811-42.pdf#page=1","Abrir facsímil")</f>
        <v>Abrir facsímil</v>
      </c>
      <c r="K1392" s="3" t="s">
        <v>150</v>
      </c>
    </row>
    <row r="1393" spans="1:11" ht="42" customHeight="1">
      <c r="A1393" s="2" t="s">
        <v>4043</v>
      </c>
      <c r="B1393" s="2" t="s">
        <v>4043</v>
      </c>
      <c r="C1393" s="2" t="s">
        <v>26</v>
      </c>
      <c r="D1393" s="2" t="s">
        <v>18</v>
      </c>
      <c r="E1393" s="4">
        <v>-32377</v>
      </c>
      <c r="F1393" s="3" t="s">
        <v>2461</v>
      </c>
      <c r="G1393" s="3" t="s">
        <v>183</v>
      </c>
      <c r="H1393" s="2" t="s">
        <v>148</v>
      </c>
      <c r="I1393" s="2" t="s">
        <v>4046</v>
      </c>
      <c r="J1393" s="3" t="str">
        <f>HYPERLINK("https://www.boe.es/gazeta/dias/1811/05/09/pdfs/GMD-1811-129.pdf#page=4","Abrir facsímil")</f>
        <v>Abrir facsímil</v>
      </c>
      <c r="K1393" s="3" t="s">
        <v>150</v>
      </c>
    </row>
    <row r="1394" spans="1:11" ht="42" customHeight="1">
      <c r="A1394" s="2" t="s">
        <v>4043</v>
      </c>
      <c r="B1394" s="2" t="s">
        <v>4043</v>
      </c>
      <c r="C1394" s="2" t="s">
        <v>37</v>
      </c>
      <c r="D1394" s="2" t="s">
        <v>156</v>
      </c>
      <c r="E1394" s="4">
        <v>-32323</v>
      </c>
      <c r="F1394" s="3" t="s">
        <v>322</v>
      </c>
      <c r="G1394" s="3" t="s">
        <v>2164</v>
      </c>
      <c r="H1394" s="2" t="s">
        <v>148</v>
      </c>
      <c r="I1394" s="2" t="s">
        <v>4047</v>
      </c>
      <c r="J1394" s="3" t="str">
        <f>HYPERLINK("https://www.boe.es/gazeta/dias/1811/07/02/pdfs/GEI-1811-87.pdf#page=7","Abrir facsímil")</f>
        <v>Abrir facsímil</v>
      </c>
      <c r="K1394" s="3" t="s">
        <v>150</v>
      </c>
    </row>
    <row r="1395" spans="1:11" ht="42" customHeight="1">
      <c r="A1395" s="2" t="s">
        <v>4043</v>
      </c>
      <c r="B1395" s="2" t="s">
        <v>4043</v>
      </c>
      <c r="C1395" s="2" t="s">
        <v>26</v>
      </c>
      <c r="D1395" s="2" t="s">
        <v>18</v>
      </c>
      <c r="E1395" s="4">
        <v>-32301</v>
      </c>
      <c r="F1395" s="3" t="s">
        <v>4048</v>
      </c>
      <c r="G1395" s="3" t="s">
        <v>4049</v>
      </c>
      <c r="H1395" s="2" t="s">
        <v>148</v>
      </c>
      <c r="I1395" s="2" t="s">
        <v>4050</v>
      </c>
      <c r="J1395" s="3" t="str">
        <f>HYPERLINK("https://www.boe.es/gazeta/dias/1811/07/24/pdfs/GMD-1811-205.pdf#page=1","Abrir facsímil")</f>
        <v>Abrir facsímil</v>
      </c>
      <c r="K1395" s="3" t="s">
        <v>150</v>
      </c>
    </row>
    <row r="1396" spans="1:11" ht="42" customHeight="1">
      <c r="A1396" s="2" t="s">
        <v>4043</v>
      </c>
      <c r="B1396" s="2" t="s">
        <v>4043</v>
      </c>
      <c r="C1396" s="2" t="s">
        <v>26</v>
      </c>
      <c r="D1396" s="2" t="s">
        <v>18</v>
      </c>
      <c r="E1396" s="4">
        <v>-32288</v>
      </c>
      <c r="F1396" s="3" t="s">
        <v>95</v>
      </c>
      <c r="G1396" s="3" t="s">
        <v>47</v>
      </c>
      <c r="H1396" s="2" t="s">
        <v>148</v>
      </c>
      <c r="I1396" s="2" t="s">
        <v>4051</v>
      </c>
      <c r="J1396" s="3" t="str">
        <f>HYPERLINK("https://www.boe.es/gazeta/dias/1811/08/06/pdfs/GEI-1811-102.pdf#page=8","Abrir facsímil")</f>
        <v>Abrir facsímil</v>
      </c>
      <c r="K1396" s="3" t="s">
        <v>150</v>
      </c>
    </row>
    <row r="1397" spans="1:11" ht="42" customHeight="1">
      <c r="A1397" s="2" t="s">
        <v>4043</v>
      </c>
      <c r="B1397" s="2" t="s">
        <v>4043</v>
      </c>
      <c r="C1397" s="2" t="s">
        <v>17</v>
      </c>
      <c r="D1397" s="2" t="s">
        <v>156</v>
      </c>
      <c r="E1397" s="4">
        <v>-32279</v>
      </c>
      <c r="F1397" s="3" t="s">
        <v>540</v>
      </c>
      <c r="G1397" s="3" t="s">
        <v>20</v>
      </c>
      <c r="H1397" s="2" t="s">
        <v>148</v>
      </c>
      <c r="I1397" s="2" t="s">
        <v>4052</v>
      </c>
      <c r="J1397" s="3" t="str">
        <f>HYPERLINK("https://www.boe.es/gazeta/dias/1811/08/15/pdfs/GMD-1811-227.pdf#page=4","Abrir facsímil")</f>
        <v>Abrir facsímil</v>
      </c>
      <c r="K1397" s="3" t="s">
        <v>150</v>
      </c>
    </row>
    <row r="1398" spans="1:11" ht="42" customHeight="1">
      <c r="A1398" s="2" t="s">
        <v>4043</v>
      </c>
      <c r="B1398" s="2" t="s">
        <v>4043</v>
      </c>
      <c r="C1398" s="2" t="s">
        <v>104</v>
      </c>
      <c r="D1398" s="2" t="s">
        <v>18</v>
      </c>
      <c r="E1398" s="4">
        <v>-32249</v>
      </c>
      <c r="F1398" s="3" t="s">
        <v>824</v>
      </c>
      <c r="G1398" s="3" t="s">
        <v>4053</v>
      </c>
      <c r="H1398" s="2" t="s">
        <v>148</v>
      </c>
      <c r="I1398" s="2" t="s">
        <v>4054</v>
      </c>
      <c r="J1398" s="3" t="str">
        <f>HYPERLINK("https://www.boe.es/gazeta/dias/1811/09/14/pdfs/GEI-1811-119.pdf#page=1","Abrir facsímil")</f>
        <v>Abrir facsímil</v>
      </c>
      <c r="K1398" s="3" t="s">
        <v>150</v>
      </c>
    </row>
    <row r="1399" spans="1:11" ht="42" customHeight="1">
      <c r="A1399" s="2" t="s">
        <v>4043</v>
      </c>
      <c r="B1399" s="2" t="s">
        <v>4043</v>
      </c>
      <c r="C1399" s="2" t="s">
        <v>26</v>
      </c>
      <c r="D1399" s="2" t="s">
        <v>18</v>
      </c>
      <c r="E1399" s="4">
        <v>-32207</v>
      </c>
      <c r="F1399" s="3" t="s">
        <v>152</v>
      </c>
      <c r="G1399" s="3" t="s">
        <v>607</v>
      </c>
      <c r="H1399" s="2" t="s">
        <v>148</v>
      </c>
      <c r="I1399" s="2" t="s">
        <v>4055</v>
      </c>
      <c r="J1399" s="3" t="str">
        <f>HYPERLINK("https://www.boe.es/gazeta/dias/1811/10/26/pdfs/GEI-1811-138.pdf#page=4","Abrir facsímil")</f>
        <v>Abrir facsímil</v>
      </c>
      <c r="K1399" s="3" t="s">
        <v>150</v>
      </c>
    </row>
    <row r="1400" spans="1:11" ht="42" customHeight="1">
      <c r="A1400" s="2" t="s">
        <v>4043</v>
      </c>
      <c r="B1400" s="2" t="s">
        <v>4043</v>
      </c>
      <c r="C1400" s="2" t="s">
        <v>37</v>
      </c>
      <c r="D1400" s="2" t="s">
        <v>18</v>
      </c>
      <c r="E1400" s="4">
        <v>-32190</v>
      </c>
      <c r="F1400" s="3" t="s">
        <v>85</v>
      </c>
      <c r="G1400" s="3" t="s">
        <v>4056</v>
      </c>
      <c r="H1400" s="2" t="s">
        <v>148</v>
      </c>
      <c r="I1400" s="2" t="s">
        <v>4057</v>
      </c>
      <c r="J1400" s="3" t="str">
        <f>HYPERLINK("https://www.boe.es/gazeta/dias/1811/11/12/pdfs/GEI-1811-148.pdf#page=4","Abrir facsímil")</f>
        <v>Abrir facsímil</v>
      </c>
      <c r="K1400" s="3" t="s">
        <v>150</v>
      </c>
    </row>
    <row r="1401" spans="1:11" ht="42" customHeight="1">
      <c r="A1401" s="2" t="s">
        <v>4043</v>
      </c>
      <c r="B1401" s="2" t="s">
        <v>4043</v>
      </c>
      <c r="C1401" s="2" t="s">
        <v>26</v>
      </c>
      <c r="D1401" s="2" t="s">
        <v>18</v>
      </c>
      <c r="E1401" s="4">
        <v>-32151</v>
      </c>
      <c r="F1401" s="3" t="s">
        <v>313</v>
      </c>
      <c r="G1401" s="3" t="s">
        <v>515</v>
      </c>
      <c r="H1401" s="2" t="s">
        <v>148</v>
      </c>
      <c r="I1401" s="2" t="s">
        <v>4058</v>
      </c>
      <c r="J1401" s="3" t="str">
        <f>HYPERLINK("https://www.boe.es/gazeta/dias/1811/12/21/pdfs/GEI-1811-165.pdf#page=3","Abrir facsímil")</f>
        <v>Abrir facsímil</v>
      </c>
      <c r="K1401" s="3" t="s">
        <v>150</v>
      </c>
    </row>
    <row r="1402" spans="1:11" ht="42" customHeight="1">
      <c r="A1402" s="2" t="s">
        <v>4059</v>
      </c>
      <c r="B1402" s="2" t="s">
        <v>4060</v>
      </c>
      <c r="C1402" s="2" t="s">
        <v>84</v>
      </c>
      <c r="D1402" s="2" t="s">
        <v>18</v>
      </c>
      <c r="E1402" s="4">
        <v>-32436</v>
      </c>
      <c r="F1402" s="3" t="s">
        <v>1972</v>
      </c>
      <c r="G1402" s="3" t="s">
        <v>698</v>
      </c>
      <c r="H1402" s="2" t="s">
        <v>148</v>
      </c>
      <c r="I1402" s="2" t="s">
        <v>4061</v>
      </c>
      <c r="J1402" s="3" t="str">
        <f>HYPERLINK("https://www.boe.es/gazeta/dias/1811/03/11/pdfs/GMD-1811-70.pdf#page=1","Abrir facsímil")</f>
        <v>Abrir facsímil</v>
      </c>
      <c r="K1402" s="3" t="s">
        <v>150</v>
      </c>
    </row>
    <row r="1403" spans="1:11" ht="42" customHeight="1">
      <c r="A1403" s="2" t="s">
        <v>4062</v>
      </c>
      <c r="B1403" s="2" t="s">
        <v>4062</v>
      </c>
      <c r="C1403" s="2" t="s">
        <v>367</v>
      </c>
      <c r="D1403" s="2" t="s">
        <v>18</v>
      </c>
      <c r="E1403" s="4">
        <v>-32437</v>
      </c>
      <c r="F1403" s="3" t="s">
        <v>4063</v>
      </c>
      <c r="G1403" s="3" t="s">
        <v>1054</v>
      </c>
      <c r="H1403" s="2" t="s">
        <v>148</v>
      </c>
      <c r="I1403" s="2" t="s">
        <v>4064</v>
      </c>
      <c r="J1403" s="3" t="str">
        <f>HYPERLINK("https://www.boe.es/gazeta/dias/1811/03/10/pdfs/GMD-1811-69.pdf#page=1","Abrir facsímil")</f>
        <v>Abrir facsímil</v>
      </c>
      <c r="K1403" s="3" t="s">
        <v>150</v>
      </c>
    </row>
    <row r="1404" spans="1:11" ht="42" customHeight="1">
      <c r="A1404" s="2" t="s">
        <v>4062</v>
      </c>
      <c r="B1404" s="2" t="s">
        <v>4062</v>
      </c>
      <c r="C1404" s="2" t="s">
        <v>26</v>
      </c>
      <c r="D1404" s="2" t="s">
        <v>204</v>
      </c>
      <c r="E1404" s="4">
        <v>-32259</v>
      </c>
      <c r="F1404" s="3" t="s">
        <v>3276</v>
      </c>
      <c r="G1404" s="3" t="s">
        <v>4065</v>
      </c>
      <c r="H1404" s="2" t="s">
        <v>148</v>
      </c>
      <c r="I1404" s="2" t="s">
        <v>4066</v>
      </c>
      <c r="J1404" s="3" t="str">
        <f>HYPERLINK("https://www.boe.es/gazeta/dias/1811/09/04/pdfs/GMD-1811-247.pdf#page=3","Abrir facsímil")</f>
        <v>Abrir facsímil</v>
      </c>
      <c r="K1404" s="3" t="s">
        <v>150</v>
      </c>
    </row>
    <row r="1405" spans="1:11" ht="42" customHeight="1">
      <c r="A1405" s="2" t="s">
        <v>4062</v>
      </c>
      <c r="B1405" s="2" t="s">
        <v>4062</v>
      </c>
      <c r="C1405" s="2" t="s">
        <v>104</v>
      </c>
      <c r="D1405" s="2" t="s">
        <v>18</v>
      </c>
      <c r="E1405" s="4">
        <v>-32233</v>
      </c>
      <c r="F1405" s="3" t="s">
        <v>3504</v>
      </c>
      <c r="G1405" s="3" t="s">
        <v>178</v>
      </c>
      <c r="H1405" s="2" t="s">
        <v>148</v>
      </c>
      <c r="I1405" s="2" t="s">
        <v>4067</v>
      </c>
      <c r="J1405" s="3" t="str">
        <f>HYPERLINK("https://www.boe.es/gazeta/dias/1811/09/30/pdfs/GMD-1811-273.pdf#page=4","Abrir facsímil")</f>
        <v>Abrir facsímil</v>
      </c>
      <c r="K1405" s="3" t="s">
        <v>150</v>
      </c>
    </row>
    <row r="1406" spans="1:11" ht="42" customHeight="1">
      <c r="A1406" s="2" t="s">
        <v>4062</v>
      </c>
      <c r="B1406" s="2" t="s">
        <v>4062</v>
      </c>
      <c r="C1406" s="2" t="s">
        <v>841</v>
      </c>
      <c r="D1406" s="2" t="s">
        <v>18</v>
      </c>
      <c r="E1406" s="4">
        <v>-32229</v>
      </c>
      <c r="F1406" s="3" t="s">
        <v>2523</v>
      </c>
      <c r="G1406" s="3" t="s">
        <v>4068</v>
      </c>
      <c r="H1406" s="2" t="s">
        <v>148</v>
      </c>
      <c r="I1406" s="2" t="s">
        <v>4069</v>
      </c>
      <c r="J1406" s="3" t="str">
        <f>HYPERLINK("https://www.boe.es/gazeta/dias/1811/10/04/pdfs/GMD-1811-277.pdf#page=2","Abrir facsímil")</f>
        <v>Abrir facsímil</v>
      </c>
      <c r="K1406" s="3" t="s">
        <v>150</v>
      </c>
    </row>
    <row r="1407" spans="1:11" ht="42" customHeight="1">
      <c r="A1407" s="2" t="s">
        <v>4062</v>
      </c>
      <c r="B1407" s="2" t="s">
        <v>4062</v>
      </c>
      <c r="C1407" s="2" t="s">
        <v>17</v>
      </c>
      <c r="D1407" s="2" t="s">
        <v>18</v>
      </c>
      <c r="E1407" s="4">
        <v>-32153</v>
      </c>
      <c r="F1407" s="3" t="s">
        <v>123</v>
      </c>
      <c r="G1407" s="3" t="s">
        <v>20</v>
      </c>
      <c r="H1407" s="2" t="s">
        <v>148</v>
      </c>
      <c r="I1407" s="2" t="s">
        <v>4070</v>
      </c>
      <c r="J1407" s="3" t="str">
        <f>HYPERLINK("https://www.boe.es/gazeta/dias/1811/12/19/pdfs/GMD-1811-353.pdf#page=3","Abrir facsímil")</f>
        <v>Abrir facsímil</v>
      </c>
      <c r="K1407" s="3" t="s">
        <v>150</v>
      </c>
    </row>
    <row r="1408" spans="1:11" ht="42" customHeight="1">
      <c r="A1408" s="2" t="s">
        <v>4062</v>
      </c>
      <c r="B1408" s="2" t="s">
        <v>4062</v>
      </c>
      <c r="C1408" s="2" t="s">
        <v>26</v>
      </c>
      <c r="D1408" s="2" t="s">
        <v>18</v>
      </c>
      <c r="E1408" s="4">
        <v>-32148</v>
      </c>
      <c r="F1408" s="3" t="s">
        <v>1616</v>
      </c>
      <c r="G1408" s="3" t="s">
        <v>4071</v>
      </c>
      <c r="H1408" s="2" t="s">
        <v>148</v>
      </c>
      <c r="I1408" s="2" t="s">
        <v>4072</v>
      </c>
      <c r="J1408" s="3" t="str">
        <f>HYPERLINK("https://www.boe.es/gazeta/dias/1811/12/24/pdfs/GEI-1811-166.pdf#page=5","Abrir facsímil")</f>
        <v>Abrir facsímil</v>
      </c>
      <c r="K1408" s="3" t="s">
        <v>150</v>
      </c>
    </row>
    <row r="1409" spans="1:11" ht="42" customHeight="1">
      <c r="A1409" s="2" t="s">
        <v>4073</v>
      </c>
      <c r="B1409" s="2" t="s">
        <v>4074</v>
      </c>
      <c r="C1409" s="2" t="s">
        <v>66</v>
      </c>
      <c r="D1409" s="2" t="s">
        <v>18</v>
      </c>
      <c r="E1409" s="4">
        <v>-32238</v>
      </c>
      <c r="F1409" s="3" t="s">
        <v>4075</v>
      </c>
      <c r="G1409" s="3" t="s">
        <v>178</v>
      </c>
      <c r="H1409" s="2" t="s">
        <v>148</v>
      </c>
      <c r="I1409" s="2" t="s">
        <v>4076</v>
      </c>
      <c r="J1409" s="3" t="str">
        <f>HYPERLINK("https://www.boe.es/gazeta/dias/1811/09/25/pdfs/GMD-1811-268.pdf#page=1","Abrir facsímil")</f>
        <v>Abrir facsímil</v>
      </c>
      <c r="K1409" s="3" t="s">
        <v>150</v>
      </c>
    </row>
    <row r="1410" spans="1:11" ht="42" customHeight="1">
      <c r="A1410" s="2" t="s">
        <v>4077</v>
      </c>
      <c r="B1410" s="2" t="s">
        <v>4078</v>
      </c>
      <c r="C1410" s="2" t="s">
        <v>84</v>
      </c>
      <c r="D1410" s="2" t="s">
        <v>18</v>
      </c>
      <c r="E1410" s="4">
        <v>-32264</v>
      </c>
      <c r="F1410" s="3" t="s">
        <v>3038</v>
      </c>
      <c r="G1410" s="3" t="s">
        <v>778</v>
      </c>
      <c r="H1410" s="2" t="s">
        <v>148</v>
      </c>
      <c r="I1410" s="2" t="s">
        <v>4079</v>
      </c>
      <c r="J1410" s="3" t="str">
        <f>HYPERLINK("https://www.boe.es/gazeta/dias/1811/08/30/pdfs/GMD-1811-242.pdf#page=1","Abrir facsímil")</f>
        <v>Abrir facsímil</v>
      </c>
      <c r="K1410" s="3" t="s">
        <v>150</v>
      </c>
    </row>
    <row r="1411" spans="1:11" ht="42" customHeight="1">
      <c r="A1411" s="2" t="s">
        <v>4080</v>
      </c>
      <c r="B1411" s="2" t="s">
        <v>4081</v>
      </c>
      <c r="C1411" s="2" t="s">
        <v>367</v>
      </c>
      <c r="D1411" s="2" t="s">
        <v>18</v>
      </c>
      <c r="E1411" s="4">
        <v>-32352</v>
      </c>
      <c r="F1411" s="3" t="s">
        <v>834</v>
      </c>
      <c r="G1411" s="3" t="s">
        <v>183</v>
      </c>
      <c r="H1411" s="2" t="s">
        <v>148</v>
      </c>
      <c r="I1411" s="2" t="s">
        <v>4082</v>
      </c>
      <c r="J1411" s="3" t="str">
        <f>HYPERLINK("https://www.boe.es/gazeta/dias/1811/06/03/pdfs/GMD-1811-154.pdf#page=4","Abrir facsímil")</f>
        <v>Abrir facsímil</v>
      </c>
      <c r="K1411" s="3" t="s">
        <v>150</v>
      </c>
    </row>
    <row r="1412" spans="1:11" ht="42" customHeight="1">
      <c r="A1412" s="2" t="s">
        <v>4083</v>
      </c>
      <c r="B1412" s="2" t="s">
        <v>4084</v>
      </c>
      <c r="C1412" s="2" t="s">
        <v>26</v>
      </c>
      <c r="D1412" s="2" t="s">
        <v>18</v>
      </c>
      <c r="E1412" s="4">
        <v>-32493</v>
      </c>
      <c r="F1412" s="3" t="s">
        <v>4085</v>
      </c>
      <c r="G1412" s="3" t="s">
        <v>4086</v>
      </c>
      <c r="H1412" s="2" t="s">
        <v>148</v>
      </c>
      <c r="I1412" s="2" t="s">
        <v>4087</v>
      </c>
      <c r="J1412" s="3" t="str">
        <f>HYPERLINK("https://www.boe.es/gazeta/dias/1811/01/13/pdfs/GMD-1811-13.pdf#page=1","Abrir facsímil")</f>
        <v>Abrir facsímil</v>
      </c>
      <c r="K1412" s="3" t="s">
        <v>150</v>
      </c>
    </row>
    <row r="1413" spans="1:11" ht="42" customHeight="1">
      <c r="A1413" s="2" t="s">
        <v>4088</v>
      </c>
      <c r="B1413" s="2" t="s">
        <v>4088</v>
      </c>
      <c r="C1413" s="2" t="s">
        <v>37</v>
      </c>
      <c r="D1413" s="2" t="s">
        <v>156</v>
      </c>
      <c r="E1413" s="4">
        <v>-32481</v>
      </c>
      <c r="F1413" s="3" t="s">
        <v>1687</v>
      </c>
      <c r="G1413" s="3" t="s">
        <v>4089</v>
      </c>
      <c r="H1413" s="2" t="s">
        <v>148</v>
      </c>
      <c r="I1413" s="2" t="s">
        <v>4090</v>
      </c>
      <c r="J1413" s="3" t="str">
        <f>HYPERLINK("https://www.boe.es/gazeta/dias/1811/01/25/pdfs/GMD-1811-25.pdf#page=4","Abrir facsímil")</f>
        <v>Abrir facsímil</v>
      </c>
      <c r="K1413" s="3" t="s">
        <v>150</v>
      </c>
    </row>
    <row r="1414" spans="1:11" ht="42" customHeight="1">
      <c r="A1414" s="2" t="s">
        <v>4091</v>
      </c>
      <c r="B1414" s="2" t="s">
        <v>4092</v>
      </c>
      <c r="C1414" s="2" t="s">
        <v>17</v>
      </c>
      <c r="D1414" s="2" t="s">
        <v>18</v>
      </c>
      <c r="E1414" s="4">
        <v>-32421</v>
      </c>
      <c r="F1414" s="3" t="s">
        <v>79</v>
      </c>
      <c r="G1414" s="3" t="s">
        <v>80</v>
      </c>
      <c r="H1414" s="2" t="s">
        <v>148</v>
      </c>
      <c r="I1414" s="2" t="s">
        <v>4093</v>
      </c>
      <c r="J1414" s="3" t="str">
        <f>HYPERLINK("https://www.boe.es/gazeta/dias/1811/03/26/pdfs/GEI-1811-42.pdf#page=7","Abrir facsímil")</f>
        <v>Abrir facsímil</v>
      </c>
      <c r="K1414" s="3" t="s">
        <v>150</v>
      </c>
    </row>
    <row r="1415" spans="1:11" ht="42" customHeight="1">
      <c r="A1415" s="2" t="s">
        <v>4094</v>
      </c>
      <c r="B1415" s="2" t="s">
        <v>4095</v>
      </c>
      <c r="C1415" s="2" t="s">
        <v>26</v>
      </c>
      <c r="D1415" s="2" t="s">
        <v>18</v>
      </c>
      <c r="E1415" s="4">
        <v>-32286</v>
      </c>
      <c r="F1415" s="3" t="s">
        <v>754</v>
      </c>
      <c r="G1415" s="3" t="s">
        <v>1728</v>
      </c>
      <c r="H1415" s="2" t="s">
        <v>148</v>
      </c>
      <c r="I1415" s="2" t="s">
        <v>4096</v>
      </c>
      <c r="J1415" s="3" t="str">
        <f>HYPERLINK("https://www.boe.es/gazeta/dias/1811/08/08/pdfs/GEI-1811-103.pdf#page=8","Abrir facsímil")</f>
        <v>Abrir facsímil</v>
      </c>
      <c r="K1415" s="3" t="s">
        <v>150</v>
      </c>
    </row>
    <row r="1416" spans="1:11" ht="42" customHeight="1">
      <c r="A1416" s="2" t="s">
        <v>4097</v>
      </c>
      <c r="B1416" s="2" t="s">
        <v>4098</v>
      </c>
      <c r="C1416" s="2" t="s">
        <v>26</v>
      </c>
      <c r="D1416" s="2" t="s">
        <v>18</v>
      </c>
      <c r="E1416" s="4">
        <v>-32141</v>
      </c>
      <c r="F1416" s="3" t="s">
        <v>327</v>
      </c>
      <c r="G1416" s="3" t="s">
        <v>20</v>
      </c>
      <c r="H1416" s="2" t="s">
        <v>148</v>
      </c>
      <c r="I1416" s="2" t="s">
        <v>4099</v>
      </c>
      <c r="J1416" s="3" t="str">
        <f>HYPERLINK("https://www.boe.es/gazeta/dias/1811/12/31/pdfs/GMD-1811-365.pdf#page=4","Abrir facsímil")</f>
        <v>Abrir facsímil</v>
      </c>
      <c r="K1416" s="3" t="s">
        <v>150</v>
      </c>
    </row>
    <row r="1417" spans="1:11" ht="42" customHeight="1">
      <c r="A1417" s="2" t="s">
        <v>4100</v>
      </c>
      <c r="B1417" s="2" t="s">
        <v>4100</v>
      </c>
      <c r="C1417" s="2" t="s">
        <v>17</v>
      </c>
      <c r="D1417" s="2" t="s">
        <v>141</v>
      </c>
      <c r="E1417" s="4">
        <v>-32179</v>
      </c>
      <c r="F1417" s="3" t="s">
        <v>2924</v>
      </c>
      <c r="G1417" s="3" t="s">
        <v>39</v>
      </c>
      <c r="H1417" s="2" t="s">
        <v>148</v>
      </c>
      <c r="I1417" s="2" t="s">
        <v>4101</v>
      </c>
      <c r="J1417" s="3" t="str">
        <f>HYPERLINK("https://www.boe.es/gazeta/dias/1811/11/23/pdfs/GEI-D-1811-153.pdf#page=1","Abrir facsímil")</f>
        <v>Abrir facsímil</v>
      </c>
      <c r="K1417" s="3" t="s">
        <v>150</v>
      </c>
    </row>
    <row r="1418" spans="1:11" ht="42" customHeight="1">
      <c r="A1418" s="2" t="s">
        <v>4102</v>
      </c>
      <c r="B1418" s="2" t="s">
        <v>4103</v>
      </c>
      <c r="C1418" s="2" t="s">
        <v>17</v>
      </c>
      <c r="D1418" s="2" t="s">
        <v>18</v>
      </c>
      <c r="E1418" s="4">
        <v>-32433</v>
      </c>
      <c r="F1418" s="3" t="s">
        <v>209</v>
      </c>
      <c r="G1418" s="3" t="s">
        <v>488</v>
      </c>
      <c r="H1418" s="2" t="s">
        <v>148</v>
      </c>
      <c r="I1418" s="2" t="s">
        <v>4104</v>
      </c>
      <c r="J1418" s="3" t="str">
        <f>HYPERLINK("https://www.boe.es/gazeta/dias/1811/03/14/pdfs/GMD-1811-73.pdf#page=2","Abrir facsímil")</f>
        <v>Abrir facsímil</v>
      </c>
      <c r="K1418" s="3" t="s">
        <v>150</v>
      </c>
    </row>
    <row r="1419" spans="1:11" ht="42" customHeight="1">
      <c r="A1419" s="2" t="s">
        <v>4102</v>
      </c>
      <c r="B1419" s="2" t="s">
        <v>4103</v>
      </c>
      <c r="C1419" s="2" t="s">
        <v>84</v>
      </c>
      <c r="D1419" s="2" t="s">
        <v>18</v>
      </c>
      <c r="E1419" s="4">
        <v>-32433</v>
      </c>
      <c r="F1419" s="3" t="s">
        <v>209</v>
      </c>
      <c r="G1419" s="3" t="s">
        <v>115</v>
      </c>
      <c r="H1419" s="2" t="s">
        <v>148</v>
      </c>
      <c r="I1419" s="2" t="s">
        <v>4105</v>
      </c>
      <c r="J1419" s="3" t="str">
        <f>HYPERLINK("https://www.boe.es/gazeta/dias/1811/03/14/pdfs/GMD-1811-73.pdf#page=3","Abrir facsímil")</f>
        <v>Abrir facsímil</v>
      </c>
      <c r="K1419" s="3" t="s">
        <v>150</v>
      </c>
    </row>
    <row r="1420" spans="1:11" ht="42" customHeight="1">
      <c r="A1420" s="2" t="s">
        <v>4106</v>
      </c>
      <c r="B1420" s="2" t="s">
        <v>4107</v>
      </c>
      <c r="C1420" s="2" t="s">
        <v>26</v>
      </c>
      <c r="D1420" s="2" t="s">
        <v>18</v>
      </c>
      <c r="E1420" s="4">
        <v>-32162</v>
      </c>
      <c r="F1420" s="3" t="s">
        <v>317</v>
      </c>
      <c r="G1420" s="3" t="s">
        <v>318</v>
      </c>
      <c r="H1420" s="2" t="s">
        <v>148</v>
      </c>
      <c r="I1420" s="2" t="s">
        <v>4108</v>
      </c>
      <c r="J1420" s="3" t="str">
        <f>HYPERLINK("https://www.boe.es/gazeta/dias/1811/12/10/pdfs/GEI-1811-160.pdf#page=8","Abrir facsímil")</f>
        <v>Abrir facsímil</v>
      </c>
      <c r="K1420" s="3" t="s">
        <v>150</v>
      </c>
    </row>
    <row r="1421" spans="1:11" ht="42" customHeight="1">
      <c r="A1421" s="2" t="s">
        <v>4109</v>
      </c>
      <c r="B1421" s="2" t="s">
        <v>4110</v>
      </c>
      <c r="C1421" s="2" t="s">
        <v>367</v>
      </c>
      <c r="D1421" s="2" t="s">
        <v>156</v>
      </c>
      <c r="E1421" s="4">
        <v>-32452</v>
      </c>
      <c r="F1421" s="3" t="s">
        <v>106</v>
      </c>
      <c r="G1421" s="3" t="s">
        <v>39</v>
      </c>
      <c r="H1421" s="2" t="s">
        <v>148</v>
      </c>
      <c r="I1421" s="2" t="s">
        <v>4111</v>
      </c>
      <c r="J1421" s="3" t="str">
        <f>HYPERLINK("https://www.boe.es/gazeta/dias/1811/02/23/pdfs/GEI-1811-24.pdf#page=1","Abrir facsímil")</f>
        <v>Abrir facsímil</v>
      </c>
      <c r="K1421" s="3" t="s">
        <v>150</v>
      </c>
    </row>
    <row r="1422" spans="1:11" ht="42" customHeight="1">
      <c r="A1422" s="2" t="s">
        <v>4112</v>
      </c>
      <c r="B1422" s="2" t="s">
        <v>4113</v>
      </c>
      <c r="C1422" s="2" t="s">
        <v>26</v>
      </c>
      <c r="D1422" s="2" t="s">
        <v>105</v>
      </c>
      <c r="E1422" s="4">
        <v>-32288</v>
      </c>
      <c r="F1422" s="3" t="s">
        <v>95</v>
      </c>
      <c r="G1422" s="3" t="s">
        <v>47</v>
      </c>
      <c r="H1422" s="2" t="s">
        <v>148</v>
      </c>
      <c r="I1422" s="2" t="s">
        <v>4114</v>
      </c>
      <c r="J1422" s="3" t="str">
        <f>HYPERLINK("https://www.boe.es/gazeta/dias/1811/08/06/pdfs/GEI-1811-102.pdf#page=8","Abrir facsímil")</f>
        <v>Abrir facsímil</v>
      </c>
      <c r="K1422" s="3" t="s">
        <v>150</v>
      </c>
    </row>
    <row r="1423" spans="1:11" ht="42" customHeight="1">
      <c r="A1423" s="2" t="s">
        <v>4115</v>
      </c>
      <c r="B1423" s="2" t="s">
        <v>4116</v>
      </c>
      <c r="C1423" s="2" t="s">
        <v>104</v>
      </c>
      <c r="D1423" s="2" t="s">
        <v>18</v>
      </c>
      <c r="E1423" s="4">
        <v>-32297</v>
      </c>
      <c r="F1423" s="3" t="s">
        <v>2174</v>
      </c>
      <c r="G1423" s="3" t="s">
        <v>183</v>
      </c>
      <c r="H1423" s="2" t="s">
        <v>148</v>
      </c>
      <c r="I1423" s="2" t="s">
        <v>4117</v>
      </c>
      <c r="J1423" s="3" t="str">
        <f>HYPERLINK("https://www.boe.es/gazeta/dias/1811/07/28/pdfs/GMD-1811-209.pdf#page=4","Abrir facsímil")</f>
        <v>Abrir facsímil</v>
      </c>
      <c r="K1423" s="3" t="s">
        <v>150</v>
      </c>
    </row>
    <row r="1424" spans="1:11" ht="42" customHeight="1">
      <c r="A1424" s="2" t="s">
        <v>4118</v>
      </c>
      <c r="B1424" s="2" t="s">
        <v>4119</v>
      </c>
      <c r="C1424" s="2" t="s">
        <v>26</v>
      </c>
      <c r="D1424" s="2" t="s">
        <v>18</v>
      </c>
      <c r="E1424" s="4">
        <v>-32181</v>
      </c>
      <c r="F1424" s="3" t="s">
        <v>1169</v>
      </c>
      <c r="G1424" s="3" t="s">
        <v>1170</v>
      </c>
      <c r="H1424" s="2" t="s">
        <v>148</v>
      </c>
      <c r="I1424" s="2" t="s">
        <v>4120</v>
      </c>
      <c r="J1424" s="3" t="str">
        <f>HYPERLINK("https://www.boe.es/gazeta/dias/1811/11/21/pdfs/GMD-1811-325.pdf#page=4","Abrir facsímil")</f>
        <v>Abrir facsímil</v>
      </c>
      <c r="K1424" s="3" t="s">
        <v>150</v>
      </c>
    </row>
    <row r="1425" spans="1:11" ht="42" customHeight="1">
      <c r="A1425" s="2" t="s">
        <v>4121</v>
      </c>
      <c r="B1425" s="2" t="s">
        <v>4122</v>
      </c>
      <c r="C1425" s="2" t="s">
        <v>26</v>
      </c>
      <c r="D1425" s="2" t="s">
        <v>141</v>
      </c>
      <c r="E1425" s="4">
        <v>-32238</v>
      </c>
      <c r="F1425" s="3" t="s">
        <v>166</v>
      </c>
      <c r="G1425" s="3" t="s">
        <v>129</v>
      </c>
      <c r="H1425" s="2" t="s">
        <v>148</v>
      </c>
      <c r="I1425" s="2" t="s">
        <v>4123</v>
      </c>
      <c r="J1425" s="3" t="str">
        <f>HYPERLINK("https://www.boe.es/gazeta/dias/1811/09/25/pdfs/GMD-C-1811-268.pdf#page=1","Abrir facsímil")</f>
        <v>Abrir facsímil</v>
      </c>
      <c r="K1425" s="3" t="s">
        <v>150</v>
      </c>
    </row>
    <row r="1426" spans="1:11" ht="42" customHeight="1">
      <c r="A1426" s="2" t="s">
        <v>4124</v>
      </c>
      <c r="B1426" s="2" t="s">
        <v>4125</v>
      </c>
      <c r="C1426" s="2" t="s">
        <v>17</v>
      </c>
      <c r="D1426" s="2" t="s">
        <v>156</v>
      </c>
      <c r="E1426" s="4">
        <v>-32403</v>
      </c>
      <c r="F1426" s="3" t="s">
        <v>1915</v>
      </c>
      <c r="G1426" s="3" t="s">
        <v>4126</v>
      </c>
      <c r="H1426" s="2" t="s">
        <v>148</v>
      </c>
      <c r="I1426" s="2" t="s">
        <v>4127</v>
      </c>
      <c r="J1426" s="3" t="str">
        <f>HYPERLINK("https://www.boe.es/gazeta/dias/1811/04/13/pdfs/GEI-1811-50.pdf#page=8","Abrir facsímil")</f>
        <v>Abrir facsímil</v>
      </c>
      <c r="K1426" s="3" t="s">
        <v>150</v>
      </c>
    </row>
    <row r="1427" spans="1:11" ht="42" customHeight="1">
      <c r="A1427" s="2" t="s">
        <v>4128</v>
      </c>
      <c r="B1427" s="2" t="s">
        <v>4129</v>
      </c>
      <c r="C1427" s="2" t="s">
        <v>26</v>
      </c>
      <c r="D1427" s="2" t="s">
        <v>18</v>
      </c>
      <c r="E1427" s="4">
        <v>-32393</v>
      </c>
      <c r="F1427" s="3" t="s">
        <v>32</v>
      </c>
      <c r="G1427" s="3" t="s">
        <v>4130</v>
      </c>
      <c r="H1427" s="2" t="s">
        <v>148</v>
      </c>
      <c r="I1427" s="2" t="s">
        <v>4131</v>
      </c>
      <c r="J1427" s="3" t="str">
        <f>HYPERLINK("https://www.boe.es/gazeta/dias/1811/04/23/pdfs/GEI-1811-54.pdf#page=6","Abrir facsímil")</f>
        <v>Abrir facsímil</v>
      </c>
      <c r="K1427" s="3" t="s">
        <v>150</v>
      </c>
    </row>
    <row r="1428" spans="1:11" ht="42" customHeight="1">
      <c r="A1428" s="2" t="s">
        <v>4132</v>
      </c>
      <c r="B1428" s="2" t="s">
        <v>4133</v>
      </c>
      <c r="C1428" s="2" t="s">
        <v>26</v>
      </c>
      <c r="D1428" s="2" t="s">
        <v>141</v>
      </c>
      <c r="E1428" s="4">
        <v>-32188</v>
      </c>
      <c r="F1428" s="3" t="s">
        <v>505</v>
      </c>
      <c r="G1428" s="3" t="s">
        <v>47</v>
      </c>
      <c r="H1428" s="2" t="s">
        <v>148</v>
      </c>
      <c r="I1428" s="2" t="s">
        <v>4134</v>
      </c>
      <c r="J1428" s="3" t="str">
        <f>HYPERLINK("https://www.boe.es/gazeta/dias/1811/11/14/pdfs/GEI-D-1811-149.pdf#page=3","Abrir facsímil")</f>
        <v>Abrir facsímil</v>
      </c>
      <c r="K1428" s="3" t="s">
        <v>150</v>
      </c>
    </row>
    <row r="1429" spans="1:11" ht="42" customHeight="1">
      <c r="A1429" s="2" t="s">
        <v>4135</v>
      </c>
      <c r="B1429" s="2" t="s">
        <v>4136</v>
      </c>
      <c r="C1429" s="2" t="s">
        <v>26</v>
      </c>
      <c r="D1429" s="2" t="s">
        <v>141</v>
      </c>
      <c r="E1429" s="4">
        <v>-32238</v>
      </c>
      <c r="F1429" s="3" t="s">
        <v>166</v>
      </c>
      <c r="G1429" s="3" t="s">
        <v>129</v>
      </c>
      <c r="H1429" s="2" t="s">
        <v>148</v>
      </c>
      <c r="I1429" s="2" t="s">
        <v>4137</v>
      </c>
      <c r="J1429" s="3" t="str">
        <f>HYPERLINK("https://www.boe.es/gazeta/dias/1811/09/25/pdfs/GMD-C-1811-268.pdf#page=1","Abrir facsímil")</f>
        <v>Abrir facsímil</v>
      </c>
      <c r="K1429" s="3" t="s">
        <v>150</v>
      </c>
    </row>
    <row r="1430" spans="1:11" ht="42" customHeight="1">
      <c r="A1430" s="2" t="s">
        <v>4138</v>
      </c>
      <c r="B1430" s="2" t="s">
        <v>4139</v>
      </c>
      <c r="C1430" s="2" t="s">
        <v>122</v>
      </c>
      <c r="D1430" s="2" t="s">
        <v>18</v>
      </c>
      <c r="E1430" s="4">
        <v>-32328</v>
      </c>
      <c r="F1430" s="3" t="s">
        <v>1653</v>
      </c>
      <c r="G1430" s="3" t="s">
        <v>4140</v>
      </c>
      <c r="H1430" s="2" t="s">
        <v>148</v>
      </c>
      <c r="I1430" s="2" t="s">
        <v>4141</v>
      </c>
      <c r="J1430" s="3" t="str">
        <f>HYPERLINK("https://www.boe.es/gazeta/dias/1811/06/27/pdfs/GEI-1811-85.pdf#page=2","Abrir facsímil")</f>
        <v>Abrir facsímil</v>
      </c>
      <c r="K1430" s="3" t="s">
        <v>150</v>
      </c>
    </row>
    <row r="1431" spans="1:11" ht="42" customHeight="1">
      <c r="A1431" s="2" t="s">
        <v>4142</v>
      </c>
      <c r="B1431" s="2" t="s">
        <v>4143</v>
      </c>
      <c r="C1431" s="2" t="s">
        <v>17</v>
      </c>
      <c r="D1431" s="2" t="s">
        <v>18</v>
      </c>
      <c r="E1431" s="4">
        <v>-32412</v>
      </c>
      <c r="F1431" s="3" t="s">
        <v>998</v>
      </c>
      <c r="G1431" s="3" t="s">
        <v>4144</v>
      </c>
      <c r="H1431" s="2" t="s">
        <v>148</v>
      </c>
      <c r="I1431" s="2" t="s">
        <v>4145</v>
      </c>
      <c r="J1431" s="3" t="str">
        <f>HYPERLINK("https://www.boe.es/gazeta/dias/1811/04/04/pdfs/GEI-1811-46.pdf#page=2","Abrir facsímil")</f>
        <v>Abrir facsímil</v>
      </c>
      <c r="K1431" s="3" t="s">
        <v>150</v>
      </c>
    </row>
    <row r="1432" spans="1:11" ht="42" customHeight="1">
      <c r="A1432" s="2" t="s">
        <v>4146</v>
      </c>
      <c r="B1432" s="2" t="s">
        <v>4147</v>
      </c>
      <c r="C1432" s="2" t="s">
        <v>26</v>
      </c>
      <c r="D1432" s="2" t="s">
        <v>18</v>
      </c>
      <c r="E1432" s="4">
        <v>-32270</v>
      </c>
      <c r="F1432" s="3" t="s">
        <v>431</v>
      </c>
      <c r="G1432" s="3" t="s">
        <v>2080</v>
      </c>
      <c r="H1432" s="2" t="s">
        <v>148</v>
      </c>
      <c r="I1432" s="2" t="s">
        <v>4148</v>
      </c>
      <c r="J1432" s="3" t="str">
        <f>HYPERLINK("https://www.boe.es/gazeta/dias/1811/08/24/pdfs/GEI-1811-110.pdf#page=5","Abrir facsímil")</f>
        <v>Abrir facsímil</v>
      </c>
      <c r="K1432" s="3" t="s">
        <v>150</v>
      </c>
    </row>
    <row r="1433" spans="1:11" ht="42" customHeight="1">
      <c r="A1433" s="2" t="s">
        <v>4149</v>
      </c>
      <c r="B1433" s="2" t="s">
        <v>4150</v>
      </c>
      <c r="C1433" s="2" t="s">
        <v>26</v>
      </c>
      <c r="D1433" s="2" t="s">
        <v>18</v>
      </c>
      <c r="E1433" s="4">
        <v>-32223</v>
      </c>
      <c r="F1433" s="3" t="s">
        <v>1788</v>
      </c>
      <c r="G1433" s="3" t="s">
        <v>4151</v>
      </c>
      <c r="H1433" s="2" t="s">
        <v>148</v>
      </c>
      <c r="I1433" s="2" t="s">
        <v>4152</v>
      </c>
      <c r="J1433" s="3" t="str">
        <f>HYPERLINK("https://www.boe.es/gazeta/dias/1811/10/10/pdfs/GEI-1811-130.pdf#page=7","Abrir facsímil")</f>
        <v>Abrir facsímil</v>
      </c>
      <c r="K1433" s="3" t="s">
        <v>150</v>
      </c>
    </row>
    <row r="1434" spans="1:11" ht="42" customHeight="1">
      <c r="A1434" s="2" t="s">
        <v>4153</v>
      </c>
      <c r="B1434" s="2" t="s">
        <v>4154</v>
      </c>
      <c r="C1434" s="2" t="s">
        <v>26</v>
      </c>
      <c r="D1434" s="2" t="s">
        <v>18</v>
      </c>
      <c r="E1434" s="4">
        <v>-32179</v>
      </c>
      <c r="F1434" s="3" t="s">
        <v>614</v>
      </c>
      <c r="G1434" s="3" t="s">
        <v>47</v>
      </c>
      <c r="H1434" s="2" t="s">
        <v>148</v>
      </c>
      <c r="I1434" s="2" t="s">
        <v>4155</v>
      </c>
      <c r="J1434" s="3" t="str">
        <f>HYPERLINK("https://www.boe.es/gazeta/dias/1811/11/23/pdfs/GEI-1811-153.pdf#page=8","Abrir facsímil")</f>
        <v>Abrir facsímil</v>
      </c>
      <c r="K1434" s="3" t="s">
        <v>150</v>
      </c>
    </row>
    <row r="1435" spans="1:11" ht="42" customHeight="1">
      <c r="A1435" s="2" t="s">
        <v>4156</v>
      </c>
      <c r="B1435" s="2" t="s">
        <v>4157</v>
      </c>
      <c r="C1435" s="2" t="s">
        <v>26</v>
      </c>
      <c r="D1435" s="2" t="s">
        <v>18</v>
      </c>
      <c r="E1435" s="4">
        <v>-32223</v>
      </c>
      <c r="F1435" s="3" t="s">
        <v>1788</v>
      </c>
      <c r="G1435" s="3" t="s">
        <v>1908</v>
      </c>
      <c r="H1435" s="2" t="s">
        <v>148</v>
      </c>
      <c r="I1435" s="2" t="s">
        <v>4158</v>
      </c>
      <c r="J1435" s="3" t="str">
        <f>HYPERLINK("https://www.boe.es/gazeta/dias/1811/10/10/pdfs/GEI-1811-130.pdf#page=1","Abrir facsímil")</f>
        <v>Abrir facsímil</v>
      </c>
      <c r="K1435" s="3" t="s">
        <v>150</v>
      </c>
    </row>
    <row r="1436" spans="1:11" ht="42" customHeight="1">
      <c r="A1436" s="2" t="s">
        <v>4159</v>
      </c>
      <c r="B1436" s="2" t="s">
        <v>4160</v>
      </c>
      <c r="C1436" s="2" t="s">
        <v>37</v>
      </c>
      <c r="D1436" s="2" t="s">
        <v>18</v>
      </c>
      <c r="E1436" s="4">
        <v>-32158</v>
      </c>
      <c r="F1436" s="3" t="s">
        <v>46</v>
      </c>
      <c r="G1436" s="3" t="s">
        <v>47</v>
      </c>
      <c r="H1436" s="2" t="s">
        <v>148</v>
      </c>
      <c r="I1436" s="2" t="s">
        <v>4161</v>
      </c>
      <c r="J1436" s="3" t="str">
        <f>HYPERLINK("https://www.boe.es/gazeta/dias/1811/12/14/pdfs/GEI-1811-162.pdf#page=7","Abrir facsímil")</f>
        <v>Abrir facsímil</v>
      </c>
      <c r="K1436" s="3" t="s">
        <v>150</v>
      </c>
    </row>
    <row r="1437" spans="1:11" ht="42" customHeight="1">
      <c r="A1437" s="2" t="s">
        <v>4162</v>
      </c>
      <c r="B1437" s="2" t="s">
        <v>4163</v>
      </c>
      <c r="C1437" s="2" t="s">
        <v>26</v>
      </c>
      <c r="D1437" s="2" t="s">
        <v>18</v>
      </c>
      <c r="E1437" s="4">
        <v>-32452</v>
      </c>
      <c r="F1437" s="3" t="s">
        <v>106</v>
      </c>
      <c r="G1437" s="3" t="s">
        <v>20</v>
      </c>
      <c r="H1437" s="2" t="s">
        <v>148</v>
      </c>
      <c r="I1437" s="2" t="s">
        <v>4164</v>
      </c>
      <c r="J1437" s="3" t="str">
        <f>HYPERLINK("https://www.boe.es/gazeta/dias/1811/02/23/pdfs/GEI-1811-24.pdf#page=8","Abrir facsímil")</f>
        <v>Abrir facsímil</v>
      </c>
      <c r="K1437" s="3" t="s">
        <v>150</v>
      </c>
    </row>
    <row r="1438" spans="1:11" ht="42" customHeight="1">
      <c r="A1438" s="2" t="s">
        <v>4165</v>
      </c>
      <c r="B1438" s="2" t="s">
        <v>4166</v>
      </c>
      <c r="C1438" s="2" t="s">
        <v>26</v>
      </c>
      <c r="D1438" s="2" t="s">
        <v>18</v>
      </c>
      <c r="E1438" s="4">
        <v>-32283</v>
      </c>
      <c r="F1438" s="3" t="s">
        <v>90</v>
      </c>
      <c r="G1438" s="3" t="s">
        <v>91</v>
      </c>
      <c r="H1438" s="2" t="s">
        <v>148</v>
      </c>
      <c r="I1438" s="2" t="s">
        <v>4167</v>
      </c>
      <c r="J1438" s="3" t="str">
        <f>HYPERLINK("https://www.boe.es/gazeta/dias/1811/08/11/pdfs/GMD-1811-223.pdf#page=4","Abrir facsímil")</f>
        <v>Abrir facsímil</v>
      </c>
      <c r="K1438" s="3" t="s">
        <v>150</v>
      </c>
    </row>
    <row r="1439" spans="1:11" ht="42" customHeight="1">
      <c r="A1439" s="2" t="s">
        <v>4168</v>
      </c>
      <c r="B1439" s="2" t="s">
        <v>4168</v>
      </c>
      <c r="C1439" s="2" t="s">
        <v>17</v>
      </c>
      <c r="D1439" s="2" t="s">
        <v>18</v>
      </c>
      <c r="E1439" s="4">
        <v>-32183</v>
      </c>
      <c r="F1439" s="3" t="s">
        <v>3310</v>
      </c>
      <c r="G1439" s="3" t="s">
        <v>44</v>
      </c>
      <c r="H1439" s="2" t="s">
        <v>148</v>
      </c>
      <c r="I1439" s="2" t="s">
        <v>4169</v>
      </c>
      <c r="J1439" s="3" t="str">
        <f>HYPERLINK("https://www.boe.es/gazeta/dias/1811/11/19/pdfs/GEI-1811-151.pdf#page=1","Abrir facsímil")</f>
        <v>Abrir facsímil</v>
      </c>
      <c r="K1439" s="3" t="s">
        <v>150</v>
      </c>
    </row>
    <row r="1440" spans="1:11" ht="42" customHeight="1">
      <c r="A1440" s="2" t="s">
        <v>4170</v>
      </c>
      <c r="B1440" s="2" t="s">
        <v>4170</v>
      </c>
      <c r="C1440" s="2" t="s">
        <v>17</v>
      </c>
      <c r="D1440" s="2" t="s">
        <v>18</v>
      </c>
      <c r="E1440" s="4">
        <v>-32501</v>
      </c>
      <c r="F1440" s="3" t="s">
        <v>509</v>
      </c>
      <c r="G1440" s="3" t="s">
        <v>47</v>
      </c>
      <c r="H1440" s="2" t="s">
        <v>148</v>
      </c>
      <c r="I1440" s="2" t="s">
        <v>4171</v>
      </c>
      <c r="J1440" s="3" t="str">
        <f>HYPERLINK("https://www.boe.es/gazeta/dias/1811/01/05/pdfs/GEI-1811-3.pdf#page=2","Abrir facsímil")</f>
        <v>Abrir facsímil</v>
      </c>
      <c r="K1440" s="3" t="s">
        <v>150</v>
      </c>
    </row>
    <row r="1441" spans="1:11" ht="42" customHeight="1">
      <c r="A1441" s="2" t="s">
        <v>4170</v>
      </c>
      <c r="B1441" s="2" t="s">
        <v>4170</v>
      </c>
      <c r="C1441" s="2" t="s">
        <v>17</v>
      </c>
      <c r="D1441" s="2" t="s">
        <v>156</v>
      </c>
      <c r="E1441" s="4">
        <v>-32498</v>
      </c>
      <c r="F1441" s="3" t="s">
        <v>828</v>
      </c>
      <c r="G1441" s="3" t="s">
        <v>57</v>
      </c>
      <c r="H1441" s="2" t="s">
        <v>148</v>
      </c>
      <c r="I1441" s="2" t="s">
        <v>4172</v>
      </c>
      <c r="J1441" s="3" t="str">
        <f>HYPERLINK("https://www.boe.es/gazeta/dias/1811/01/08/pdfs/GEI-1811-4.pdf#page=2","Abrir facsímil")</f>
        <v>Abrir facsímil</v>
      </c>
      <c r="K1441" s="3" t="s">
        <v>150</v>
      </c>
    </row>
    <row r="1442" spans="1:11" ht="42" customHeight="1">
      <c r="A1442" s="2" t="s">
        <v>4170</v>
      </c>
      <c r="B1442" s="2" t="s">
        <v>4170</v>
      </c>
      <c r="C1442" s="2" t="s">
        <v>17</v>
      </c>
      <c r="D1442" s="2" t="s">
        <v>18</v>
      </c>
      <c r="E1442" s="4">
        <v>-32495</v>
      </c>
      <c r="F1442" s="3" t="s">
        <v>1681</v>
      </c>
      <c r="G1442" s="3" t="s">
        <v>129</v>
      </c>
      <c r="H1442" s="2" t="s">
        <v>148</v>
      </c>
      <c r="I1442" s="2" t="s">
        <v>4173</v>
      </c>
      <c r="J1442" s="3" t="str">
        <f>HYPERLINK("https://www.boe.es/gazeta/dias/1811/01/11/pdfs/GMD-1811-11.pdf#page=4","Abrir facsímil")</f>
        <v>Abrir facsímil</v>
      </c>
      <c r="K1442" s="3" t="s">
        <v>150</v>
      </c>
    </row>
    <row r="1443" spans="1:11" ht="42" customHeight="1">
      <c r="A1443" s="2" t="s">
        <v>4174</v>
      </c>
      <c r="B1443" s="2" t="s">
        <v>4175</v>
      </c>
      <c r="C1443" s="2" t="s">
        <v>17</v>
      </c>
      <c r="D1443" s="2" t="s">
        <v>18</v>
      </c>
      <c r="E1443" s="4">
        <v>-32195</v>
      </c>
      <c r="F1443" s="3" t="s">
        <v>439</v>
      </c>
      <c r="G1443" s="3" t="s">
        <v>440</v>
      </c>
      <c r="H1443" s="2" t="s">
        <v>148</v>
      </c>
      <c r="I1443" s="2" t="s">
        <v>4176</v>
      </c>
      <c r="J1443" s="3" t="str">
        <f>HYPERLINK("https://www.boe.es/gazeta/dias/1811/11/07/pdfs/GEI-1811-144.pdf#page=8","Abrir facsímil")</f>
        <v>Abrir facsímil</v>
      </c>
      <c r="K1443" s="3" t="s">
        <v>150</v>
      </c>
    </row>
    <row r="1444" spans="1:11" ht="42" customHeight="1">
      <c r="A1444" s="2" t="s">
        <v>4177</v>
      </c>
      <c r="B1444" s="2" t="s">
        <v>4178</v>
      </c>
      <c r="C1444" s="2" t="s">
        <v>84</v>
      </c>
      <c r="D1444" s="2" t="s">
        <v>18</v>
      </c>
      <c r="E1444" s="4">
        <v>-32145</v>
      </c>
      <c r="F1444" s="3" t="s">
        <v>417</v>
      </c>
      <c r="G1444" s="3" t="s">
        <v>418</v>
      </c>
      <c r="H1444" s="2" t="s">
        <v>148</v>
      </c>
      <c r="I1444" s="2" t="s">
        <v>4179</v>
      </c>
      <c r="J1444" s="3" t="str">
        <f>HYPERLINK("https://www.boe.es/gazeta/dias/1811/12/27/pdfs/GMD-1811-361.pdf#page=4","Abrir facsímil")</f>
        <v>Abrir facsímil</v>
      </c>
      <c r="K1444" s="3" t="s">
        <v>150</v>
      </c>
    </row>
    <row r="1445" spans="1:11" ht="42" customHeight="1">
      <c r="A1445" s="2" t="s">
        <v>4180</v>
      </c>
      <c r="B1445" s="2" t="s">
        <v>4181</v>
      </c>
      <c r="C1445" s="2" t="s">
        <v>26</v>
      </c>
      <c r="D1445" s="2" t="s">
        <v>18</v>
      </c>
      <c r="E1445" s="4">
        <v>-32152</v>
      </c>
      <c r="F1445" s="3" t="s">
        <v>1673</v>
      </c>
      <c r="G1445" s="3" t="s">
        <v>2565</v>
      </c>
      <c r="H1445" s="2" t="s">
        <v>148</v>
      </c>
      <c r="I1445" s="2" t="s">
        <v>4182</v>
      </c>
      <c r="J1445" s="3" t="str">
        <f>HYPERLINK("https://www.boe.es/gazeta/dias/1811/12/20/pdfs/GMD-1811-354.pdf#page=3","Abrir facsímil")</f>
        <v>Abrir facsímil</v>
      </c>
      <c r="K1445" s="3" t="s">
        <v>150</v>
      </c>
    </row>
    <row r="1446" spans="1:11" ht="42" customHeight="1">
      <c r="A1446" s="2" t="s">
        <v>4183</v>
      </c>
      <c r="B1446" s="2" t="s">
        <v>4183</v>
      </c>
      <c r="C1446" s="2" t="s">
        <v>17</v>
      </c>
      <c r="D1446" s="2" t="s">
        <v>18</v>
      </c>
      <c r="E1446" s="4">
        <v>-32381</v>
      </c>
      <c r="F1446" s="3" t="s">
        <v>1698</v>
      </c>
      <c r="G1446" s="3" t="s">
        <v>4184</v>
      </c>
      <c r="H1446" s="2" t="s">
        <v>148</v>
      </c>
      <c r="I1446" s="2" t="s">
        <v>4185</v>
      </c>
      <c r="J1446" s="3" t="str">
        <f>HYPERLINK("https://www.boe.es/gazeta/dias/1811/05/05/pdfs/GMD-1811-125.pdf#page=2","Abrir facsímil")</f>
        <v>Abrir facsímil</v>
      </c>
      <c r="K1446" s="3" t="s">
        <v>150</v>
      </c>
    </row>
    <row r="1447" spans="1:11" ht="42" customHeight="1">
      <c r="A1447" s="2" t="s">
        <v>4186</v>
      </c>
      <c r="B1447" s="2" t="s">
        <v>4187</v>
      </c>
      <c r="C1447" s="2" t="s">
        <v>17</v>
      </c>
      <c r="D1447" s="2" t="s">
        <v>156</v>
      </c>
      <c r="E1447" s="4">
        <v>-32176</v>
      </c>
      <c r="F1447" s="3" t="s">
        <v>638</v>
      </c>
      <c r="G1447" s="3" t="s">
        <v>639</v>
      </c>
      <c r="H1447" s="2" t="s">
        <v>148</v>
      </c>
      <c r="I1447" s="2" t="s">
        <v>4188</v>
      </c>
      <c r="J1447" s="3" t="str">
        <f>HYPERLINK("https://www.boe.es/gazeta/dias/1811/11/26/pdfs/GEI-1811-154.pdf#page=7","Abrir facsímil")</f>
        <v>Abrir facsímil</v>
      </c>
      <c r="K1447" s="3" t="s">
        <v>150</v>
      </c>
    </row>
    <row r="1448" spans="1:11" ht="42" customHeight="1">
      <c r="A1448" s="2" t="s">
        <v>4189</v>
      </c>
      <c r="B1448" s="2" t="s">
        <v>4190</v>
      </c>
      <c r="C1448" s="2" t="s">
        <v>26</v>
      </c>
      <c r="D1448" s="2" t="s">
        <v>18</v>
      </c>
      <c r="E1448" s="4">
        <v>-32143</v>
      </c>
      <c r="F1448" s="3" t="s">
        <v>1455</v>
      </c>
      <c r="G1448" s="3" t="s">
        <v>284</v>
      </c>
      <c r="H1448" s="2" t="s">
        <v>148</v>
      </c>
      <c r="I1448" s="2" t="s">
        <v>4191</v>
      </c>
      <c r="J1448" s="3" t="str">
        <f>HYPERLINK("https://www.boe.es/gazeta/dias/1811/12/29/pdfs/GMD-1811-363.pdf#page=3","Abrir facsímil")</f>
        <v>Abrir facsímil</v>
      </c>
      <c r="K1448" s="3" t="s">
        <v>150</v>
      </c>
    </row>
    <row r="1449" spans="1:11" ht="42" customHeight="1">
      <c r="A1449" s="2" t="s">
        <v>4192</v>
      </c>
      <c r="B1449" s="2" t="s">
        <v>4193</v>
      </c>
      <c r="C1449" s="2" t="s">
        <v>17</v>
      </c>
      <c r="D1449" s="2" t="s">
        <v>156</v>
      </c>
      <c r="E1449" s="4">
        <v>-32143</v>
      </c>
      <c r="F1449" s="3" t="s">
        <v>1455</v>
      </c>
      <c r="G1449" s="3" t="s">
        <v>183</v>
      </c>
      <c r="H1449" s="2" t="s">
        <v>148</v>
      </c>
      <c r="I1449" s="2" t="s">
        <v>4194</v>
      </c>
      <c r="J1449" s="3" t="str">
        <f>HYPERLINK("https://www.boe.es/gazeta/dias/1811/12/29/pdfs/GMD-1811-363.pdf#page=4","Abrir facsímil")</f>
        <v>Abrir facsímil</v>
      </c>
      <c r="K1449" s="3" t="s">
        <v>150</v>
      </c>
    </row>
    <row r="1450" spans="1:11" ht="42" customHeight="1">
      <c r="A1450" s="2" t="s">
        <v>4195</v>
      </c>
      <c r="B1450" s="2" t="s">
        <v>4196</v>
      </c>
      <c r="C1450" s="2" t="s">
        <v>37</v>
      </c>
      <c r="D1450" s="2" t="s">
        <v>528</v>
      </c>
      <c r="E1450" s="4">
        <v>-32219</v>
      </c>
      <c r="F1450" s="3" t="s">
        <v>529</v>
      </c>
      <c r="G1450" s="3" t="s">
        <v>530</v>
      </c>
      <c r="H1450" s="2" t="s">
        <v>148</v>
      </c>
      <c r="I1450" s="2" t="s">
        <v>4197</v>
      </c>
      <c r="J1450" s="3" t="str">
        <f>HYPERLINK("https://www.boe.es/gazeta/dias/1811/10/14/pdfs/GEI-1811-132E.pdf#page=4","Abrir facsímil")</f>
        <v>Abrir facsímil</v>
      </c>
      <c r="K1450" s="3" t="s">
        <v>150</v>
      </c>
    </row>
    <row r="1451" spans="1:11" ht="42" customHeight="1">
      <c r="A1451" s="2" t="s">
        <v>4198</v>
      </c>
      <c r="B1451" s="2" t="s">
        <v>4199</v>
      </c>
      <c r="C1451" s="2" t="s">
        <v>26</v>
      </c>
      <c r="D1451" s="2" t="s">
        <v>141</v>
      </c>
      <c r="E1451" s="4">
        <v>-32355</v>
      </c>
      <c r="F1451" s="3" t="s">
        <v>537</v>
      </c>
      <c r="G1451" s="3" t="s">
        <v>3105</v>
      </c>
      <c r="H1451" s="2" t="s">
        <v>148</v>
      </c>
      <c r="I1451" s="2" t="s">
        <v>4200</v>
      </c>
      <c r="J1451" s="3" t="str">
        <f>HYPERLINK("https://www.boe.es/gazeta/dias/1811/05/31/pdfs/GMD-C-1811-151.pdf#page=12","Abrir facsímil")</f>
        <v>Abrir facsímil</v>
      </c>
      <c r="K1451" s="3" t="s">
        <v>150</v>
      </c>
    </row>
    <row r="1452" spans="1:11" ht="42" customHeight="1">
      <c r="A1452" s="2" t="s">
        <v>4201</v>
      </c>
      <c r="B1452" s="2" t="s">
        <v>4202</v>
      </c>
      <c r="C1452" s="2" t="s">
        <v>26</v>
      </c>
      <c r="D1452" s="2" t="s">
        <v>18</v>
      </c>
      <c r="E1452" s="4">
        <v>-32326</v>
      </c>
      <c r="F1452" s="3" t="s">
        <v>43</v>
      </c>
      <c r="G1452" s="3" t="s">
        <v>44</v>
      </c>
      <c r="H1452" s="2" t="s">
        <v>148</v>
      </c>
      <c r="I1452" s="2" t="s">
        <v>4203</v>
      </c>
      <c r="J1452" s="3" t="str">
        <f>HYPERLINK("https://www.boe.es/gazeta/dias/1811/06/29/pdfs/GEI-1811-86.pdf#page=6","Abrir facsímil")</f>
        <v>Abrir facsímil</v>
      </c>
      <c r="K1452" s="3" t="s">
        <v>150</v>
      </c>
    </row>
    <row r="1453" spans="1:11" ht="42" customHeight="1">
      <c r="A1453" s="2" t="s">
        <v>4204</v>
      </c>
      <c r="B1453" s="2" t="s">
        <v>4205</v>
      </c>
      <c r="C1453" s="2" t="s">
        <v>17</v>
      </c>
      <c r="D1453" s="2" t="s">
        <v>18</v>
      </c>
      <c r="E1453" s="4">
        <v>-32459</v>
      </c>
      <c r="F1453" s="3" t="s">
        <v>1034</v>
      </c>
      <c r="G1453" s="3" t="s">
        <v>510</v>
      </c>
      <c r="H1453" s="2" t="s">
        <v>148</v>
      </c>
      <c r="I1453" s="2" t="s">
        <v>4206</v>
      </c>
      <c r="J1453" s="3" t="str">
        <f>HYPERLINK("https://www.boe.es/gazeta/dias/1811/02/16/pdfs/GEI-1811-21.pdf#page=8","Abrir facsímil")</f>
        <v>Abrir facsímil</v>
      </c>
      <c r="K1453" s="3" t="s">
        <v>150</v>
      </c>
    </row>
    <row r="1454" spans="1:11" ht="42" customHeight="1">
      <c r="A1454" s="2" t="s">
        <v>4207</v>
      </c>
      <c r="B1454" s="2" t="s">
        <v>4208</v>
      </c>
      <c r="C1454" s="2" t="s">
        <v>26</v>
      </c>
      <c r="D1454" s="2" t="s">
        <v>18</v>
      </c>
      <c r="E1454" s="4">
        <v>-32195</v>
      </c>
      <c r="F1454" s="3" t="s">
        <v>439</v>
      </c>
      <c r="G1454" s="3" t="s">
        <v>440</v>
      </c>
      <c r="H1454" s="2" t="s">
        <v>148</v>
      </c>
      <c r="I1454" s="2" t="s">
        <v>4209</v>
      </c>
      <c r="J1454" s="3" t="str">
        <f>HYPERLINK("https://www.boe.es/gazeta/dias/1811/11/07/pdfs/GEI-1811-144.pdf#page=8","Abrir facsímil")</f>
        <v>Abrir facsímil</v>
      </c>
      <c r="K1454" s="3" t="s">
        <v>150</v>
      </c>
    </row>
    <row r="1455" spans="1:11" ht="42" customHeight="1">
      <c r="A1455" s="2" t="s">
        <v>4210</v>
      </c>
      <c r="B1455" s="2" t="s">
        <v>4211</v>
      </c>
      <c r="C1455" s="2" t="s">
        <v>17</v>
      </c>
      <c r="D1455" s="2" t="s">
        <v>156</v>
      </c>
      <c r="E1455" s="4">
        <v>-32235</v>
      </c>
      <c r="F1455" s="3" t="s">
        <v>190</v>
      </c>
      <c r="G1455" s="3" t="s">
        <v>188</v>
      </c>
      <c r="H1455" s="2" t="s">
        <v>148</v>
      </c>
      <c r="I1455" s="2" t="s">
        <v>4212</v>
      </c>
      <c r="J1455" s="3" t="str">
        <f>HYPERLINK("https://www.boe.es/gazeta/dias/1811/09/28/pdfs/GEI-1811-125.pdf#page=8","Abrir facsímil")</f>
        <v>Abrir facsímil</v>
      </c>
      <c r="K1455" s="3" t="s">
        <v>150</v>
      </c>
    </row>
    <row r="1456" spans="1:11" ht="42" customHeight="1">
      <c r="A1456" s="2" t="s">
        <v>4213</v>
      </c>
      <c r="B1456" s="2" t="s">
        <v>4214</v>
      </c>
      <c r="C1456" s="2" t="s">
        <v>17</v>
      </c>
      <c r="D1456" s="2" t="s">
        <v>18</v>
      </c>
      <c r="E1456" s="4">
        <v>-32200</v>
      </c>
      <c r="F1456" s="3" t="s">
        <v>109</v>
      </c>
      <c r="G1456" s="3" t="s">
        <v>268</v>
      </c>
      <c r="H1456" s="2" t="s">
        <v>148</v>
      </c>
      <c r="I1456" s="2" t="s">
        <v>4215</v>
      </c>
      <c r="J1456" s="3" t="str">
        <f>HYPERLINK("https://www.boe.es/gazeta/dias/1811/11/02/pdfs/GEI-1811-141.pdf#page=7","Abrir facsímil")</f>
        <v>Abrir facsímil</v>
      </c>
      <c r="K1456" s="3" t="s">
        <v>150</v>
      </c>
    </row>
    <row r="1457" spans="1:11" ht="42" customHeight="1">
      <c r="A1457" s="2" t="s">
        <v>4216</v>
      </c>
      <c r="B1457" s="2" t="s">
        <v>4217</v>
      </c>
      <c r="C1457" s="2" t="s">
        <v>17</v>
      </c>
      <c r="D1457" s="2" t="s">
        <v>18</v>
      </c>
      <c r="E1457" s="4">
        <v>-32181</v>
      </c>
      <c r="F1457" s="3" t="s">
        <v>1169</v>
      </c>
      <c r="G1457" s="3" t="s">
        <v>1170</v>
      </c>
      <c r="H1457" s="2" t="s">
        <v>148</v>
      </c>
      <c r="I1457" s="2" t="s">
        <v>4218</v>
      </c>
      <c r="J1457" s="3" t="str">
        <f>HYPERLINK("https://www.boe.es/gazeta/dias/1811/11/21/pdfs/GMD-1811-325.pdf#page=4","Abrir facsímil")</f>
        <v>Abrir facsímil</v>
      </c>
      <c r="K1457" s="3" t="s">
        <v>150</v>
      </c>
    </row>
    <row r="1458" spans="1:11" ht="42" customHeight="1">
      <c r="A1458" s="2" t="s">
        <v>4219</v>
      </c>
      <c r="B1458" s="2" t="s">
        <v>4220</v>
      </c>
      <c r="C1458" s="2" t="s">
        <v>122</v>
      </c>
      <c r="D1458" s="2" t="s">
        <v>18</v>
      </c>
      <c r="E1458" s="4">
        <v>-32141</v>
      </c>
      <c r="F1458" s="3" t="s">
        <v>327</v>
      </c>
      <c r="G1458" s="3" t="s">
        <v>20</v>
      </c>
      <c r="H1458" s="2" t="s">
        <v>148</v>
      </c>
      <c r="I1458" s="2" t="s">
        <v>4221</v>
      </c>
      <c r="J1458" s="3" t="str">
        <f>HYPERLINK("https://www.boe.es/gazeta/dias/1811/12/31/pdfs/GMD-1811-365.pdf#page=4","Abrir facsímil")</f>
        <v>Abrir facsímil</v>
      </c>
      <c r="K1458" s="3" t="s">
        <v>150</v>
      </c>
    </row>
    <row r="1459" spans="1:11" ht="42" customHeight="1">
      <c r="A1459" s="2" t="s">
        <v>4222</v>
      </c>
      <c r="B1459" s="2" t="s">
        <v>4223</v>
      </c>
      <c r="C1459" s="2" t="s">
        <v>26</v>
      </c>
      <c r="D1459" s="2" t="s">
        <v>18</v>
      </c>
      <c r="E1459" s="4">
        <v>-32141</v>
      </c>
      <c r="F1459" s="3" t="s">
        <v>327</v>
      </c>
      <c r="G1459" s="3" t="s">
        <v>20</v>
      </c>
      <c r="H1459" s="2" t="s">
        <v>148</v>
      </c>
      <c r="I1459" s="2" t="s">
        <v>4224</v>
      </c>
      <c r="J1459" s="3" t="str">
        <f>HYPERLINK("https://www.boe.es/gazeta/dias/1811/12/31/pdfs/GMD-1811-365.pdf#page=4","Abrir facsímil")</f>
        <v>Abrir facsímil</v>
      </c>
      <c r="K1459" s="3" t="s">
        <v>150</v>
      </c>
    </row>
    <row r="1460" spans="1:11" ht="42" customHeight="1">
      <c r="A1460" s="2" t="s">
        <v>4225</v>
      </c>
      <c r="B1460" s="2" t="s">
        <v>4226</v>
      </c>
      <c r="C1460" s="2" t="s">
        <v>26</v>
      </c>
      <c r="D1460" s="2" t="s">
        <v>141</v>
      </c>
      <c r="E1460" s="4">
        <v>-32280</v>
      </c>
      <c r="F1460" s="3" t="s">
        <v>142</v>
      </c>
      <c r="G1460" s="3" t="s">
        <v>47</v>
      </c>
      <c r="H1460" s="2" t="s">
        <v>148</v>
      </c>
      <c r="I1460" s="2" t="s">
        <v>4227</v>
      </c>
      <c r="J1460" s="3" t="str">
        <f>HYPERLINK("https://www.boe.es/gazeta/dias/1811/08/14/pdfs/GMD-C-1811-226.pdf#page=1","Abrir facsímil")</f>
        <v>Abrir facsímil</v>
      </c>
      <c r="K1460" s="3" t="s">
        <v>150</v>
      </c>
    </row>
    <row r="1461" spans="1:11" ht="42" customHeight="1">
      <c r="A1461" s="2" t="s">
        <v>4228</v>
      </c>
      <c r="B1461" s="2" t="s">
        <v>4228</v>
      </c>
      <c r="C1461" s="2" t="s">
        <v>17</v>
      </c>
      <c r="D1461" s="2" t="s">
        <v>156</v>
      </c>
      <c r="E1461" s="4">
        <v>-32176</v>
      </c>
      <c r="F1461" s="3" t="s">
        <v>638</v>
      </c>
      <c r="G1461" s="3" t="s">
        <v>515</v>
      </c>
      <c r="H1461" s="2" t="s">
        <v>148</v>
      </c>
      <c r="I1461" s="2" t="s">
        <v>4229</v>
      </c>
      <c r="J1461" s="3" t="str">
        <f>HYPERLINK("https://www.boe.es/gazeta/dias/1811/11/26/pdfs/GEI-1811-154.pdf#page=3","Abrir facsímil")</f>
        <v>Abrir facsímil</v>
      </c>
      <c r="K1461" s="3" t="s">
        <v>150</v>
      </c>
    </row>
    <row r="1462" spans="1:11" ht="42" customHeight="1">
      <c r="A1462" s="2" t="s">
        <v>4228</v>
      </c>
      <c r="B1462" s="2" t="s">
        <v>4228</v>
      </c>
      <c r="C1462" s="2" t="s">
        <v>17</v>
      </c>
      <c r="D1462" s="2" t="s">
        <v>18</v>
      </c>
      <c r="E1462" s="4">
        <v>-32176</v>
      </c>
      <c r="F1462" s="3" t="s">
        <v>638</v>
      </c>
      <c r="G1462" s="3" t="s">
        <v>178</v>
      </c>
      <c r="H1462" s="2" t="s">
        <v>148</v>
      </c>
      <c r="I1462" s="2" t="s">
        <v>4230</v>
      </c>
      <c r="J1462" s="3" t="str">
        <f>HYPERLINK("https://www.boe.es/gazeta/dias/1811/11/26/pdfs/GEI-1811-154.pdf#page=4","Abrir facsímil")</f>
        <v>Abrir facsímil</v>
      </c>
      <c r="K1462" s="3" t="s">
        <v>150</v>
      </c>
    </row>
    <row r="1463" spans="1:11" ht="42" customHeight="1">
      <c r="A1463" s="2" t="s">
        <v>4228</v>
      </c>
      <c r="B1463" s="2" t="s">
        <v>4228</v>
      </c>
      <c r="C1463" s="2" t="s">
        <v>17</v>
      </c>
      <c r="D1463" s="2" t="s">
        <v>18</v>
      </c>
      <c r="E1463" s="4">
        <v>-32176</v>
      </c>
      <c r="F1463" s="3" t="s">
        <v>638</v>
      </c>
      <c r="G1463" s="3" t="s">
        <v>44</v>
      </c>
      <c r="H1463" s="2" t="s">
        <v>148</v>
      </c>
      <c r="I1463" s="2" t="s">
        <v>4231</v>
      </c>
      <c r="J1463" s="3" t="str">
        <f>HYPERLINK("https://www.boe.es/gazeta/dias/1811/11/26/pdfs/GEI-1811-154.pdf#page=8","Abrir facsímil")</f>
        <v>Abrir facsímil</v>
      </c>
      <c r="K1463" s="3" t="s">
        <v>150</v>
      </c>
    </row>
    <row r="1464" spans="1:11" ht="42" customHeight="1">
      <c r="A1464" s="2" t="s">
        <v>4232</v>
      </c>
      <c r="B1464" s="2" t="s">
        <v>4233</v>
      </c>
      <c r="C1464" s="2" t="s">
        <v>26</v>
      </c>
      <c r="D1464" s="2" t="s">
        <v>18</v>
      </c>
      <c r="E1464" s="4">
        <v>-32176</v>
      </c>
      <c r="F1464" s="3" t="s">
        <v>638</v>
      </c>
      <c r="G1464" s="3" t="s">
        <v>1063</v>
      </c>
      <c r="H1464" s="2" t="s">
        <v>148</v>
      </c>
      <c r="I1464" s="2" t="s">
        <v>4234</v>
      </c>
      <c r="J1464" s="3" t="str">
        <f>HYPERLINK("https://www.boe.es/gazeta/dias/1811/11/26/pdfs/GEI-1811-154.pdf#page=2","Abrir facsímil")</f>
        <v>Abrir facsímil</v>
      </c>
      <c r="K1464" s="3" t="s">
        <v>150</v>
      </c>
    </row>
    <row r="1465" spans="1:11" ht="42" customHeight="1">
      <c r="A1465" s="2" t="s">
        <v>4235</v>
      </c>
      <c r="B1465" s="2" t="s">
        <v>4236</v>
      </c>
      <c r="C1465" s="2" t="s">
        <v>26</v>
      </c>
      <c r="D1465" s="2" t="s">
        <v>18</v>
      </c>
      <c r="E1465" s="4">
        <v>-32300</v>
      </c>
      <c r="F1465" s="3" t="s">
        <v>492</v>
      </c>
      <c r="G1465" s="3" t="s">
        <v>493</v>
      </c>
      <c r="H1465" s="2" t="s">
        <v>148</v>
      </c>
      <c r="I1465" s="2" t="s">
        <v>4237</v>
      </c>
      <c r="J1465" s="3" t="str">
        <f>HYPERLINK("https://www.boe.es/gazeta/dias/1811/07/25/pdfs/GMD-1811-206.pdf#page=4","Abrir facsímil")</f>
        <v>Abrir facsímil</v>
      </c>
      <c r="K1465" s="3" t="s">
        <v>150</v>
      </c>
    </row>
    <row r="1466" spans="1:11" ht="42" customHeight="1">
      <c r="A1466" s="2" t="s">
        <v>4238</v>
      </c>
      <c r="B1466" s="2" t="s">
        <v>4239</v>
      </c>
      <c r="C1466" s="2" t="s">
        <v>17</v>
      </c>
      <c r="D1466" s="2" t="s">
        <v>18</v>
      </c>
      <c r="E1466" s="4">
        <v>-32151</v>
      </c>
      <c r="F1466" s="3" t="s">
        <v>313</v>
      </c>
      <c r="G1466" s="3" t="s">
        <v>4240</v>
      </c>
      <c r="H1466" s="2" t="s">
        <v>148</v>
      </c>
      <c r="I1466" s="2" t="s">
        <v>4241</v>
      </c>
      <c r="J1466" s="3" t="str">
        <f>HYPERLINK("https://www.boe.es/gazeta/dias/1811/12/21/pdfs/GEI-1811-165.pdf#page=5","Abrir facsímil")</f>
        <v>Abrir facsímil</v>
      </c>
      <c r="K1466" s="3" t="s">
        <v>150</v>
      </c>
    </row>
    <row r="1467" spans="1:11" ht="42" customHeight="1">
      <c r="A1467" s="2" t="s">
        <v>4242</v>
      </c>
      <c r="B1467" s="2" t="s">
        <v>4243</v>
      </c>
      <c r="C1467" s="2" t="s">
        <v>17</v>
      </c>
      <c r="D1467" s="2" t="s">
        <v>156</v>
      </c>
      <c r="E1467" s="4">
        <v>-32496</v>
      </c>
      <c r="F1467" s="3" t="s">
        <v>1927</v>
      </c>
      <c r="G1467" s="3" t="s">
        <v>1184</v>
      </c>
      <c r="H1467" s="2" t="s">
        <v>148</v>
      </c>
      <c r="I1467" s="2" t="s">
        <v>4244</v>
      </c>
      <c r="J1467" s="3" t="str">
        <f>HYPERLINK("https://www.boe.es/gazeta/dias/1811/01/10/pdfs/GEI-1811-5.pdf#page=5","Abrir facsímil")</f>
        <v>Abrir facsímil</v>
      </c>
      <c r="K1467" s="3" t="s">
        <v>150</v>
      </c>
    </row>
    <row r="1468" spans="1:11" ht="42" customHeight="1">
      <c r="A1468" s="2" t="s">
        <v>4245</v>
      </c>
      <c r="B1468" s="2" t="s">
        <v>4246</v>
      </c>
      <c r="C1468" s="2" t="s">
        <v>26</v>
      </c>
      <c r="D1468" s="2" t="s">
        <v>18</v>
      </c>
      <c r="E1468" s="4">
        <v>-32295</v>
      </c>
      <c r="F1468" s="3" t="s">
        <v>279</v>
      </c>
      <c r="G1468" s="3" t="s">
        <v>3613</v>
      </c>
      <c r="H1468" s="2" t="s">
        <v>148</v>
      </c>
      <c r="I1468" s="2" t="s">
        <v>4247</v>
      </c>
      <c r="J1468" s="3" t="str">
        <f>HYPERLINK("https://www.boe.es/gazeta/dias/1811/07/30/pdfs/GEI-1811-99.pdf#page=7","Abrir facsímil")</f>
        <v>Abrir facsímil</v>
      </c>
      <c r="K1468" s="3" t="s">
        <v>150</v>
      </c>
    </row>
    <row r="1469" spans="1:11" ht="42" customHeight="1">
      <c r="A1469" s="2" t="s">
        <v>4248</v>
      </c>
      <c r="B1469" s="2" t="s">
        <v>4249</v>
      </c>
      <c r="C1469" s="2" t="s">
        <v>17</v>
      </c>
      <c r="D1469" s="2" t="s">
        <v>18</v>
      </c>
      <c r="E1469" s="4">
        <v>-32503</v>
      </c>
      <c r="F1469" s="3" t="s">
        <v>487</v>
      </c>
      <c r="G1469" s="3" t="s">
        <v>162</v>
      </c>
      <c r="H1469" s="2" t="s">
        <v>21</v>
      </c>
      <c r="I1469" s="2" t="s">
        <v>4250</v>
      </c>
      <c r="J1469" s="3" t="str">
        <f>HYPERLINK("https://www.boe.es/gazeta/dias/1811/01/03/pdfs/GEI-1811-2.pdf#page=1","Abrir facsímil")</f>
        <v>Abrir facsímil</v>
      </c>
      <c r="K1469" s="3" t="s">
        <v>23</v>
      </c>
    </row>
    <row r="1470" spans="1:11" ht="42" customHeight="1">
      <c r="A1470" s="2" t="s">
        <v>4251</v>
      </c>
      <c r="B1470" s="2" t="s">
        <v>4251</v>
      </c>
      <c r="C1470" s="2" t="s">
        <v>17</v>
      </c>
      <c r="D1470" s="2" t="s">
        <v>18</v>
      </c>
      <c r="E1470" s="4">
        <v>-32361</v>
      </c>
      <c r="F1470" s="3" t="s">
        <v>1104</v>
      </c>
      <c r="G1470" s="3" t="s">
        <v>1105</v>
      </c>
      <c r="H1470" s="2" t="s">
        <v>148</v>
      </c>
      <c r="I1470" s="2" t="s">
        <v>4252</v>
      </c>
      <c r="J1470" s="3" t="str">
        <f>HYPERLINK("https://www.boe.es/gazeta/dias/1811/05/25/pdfs/GEI-1811-71.pdf#page=7","Abrir facsímil")</f>
        <v>Abrir facsímil</v>
      </c>
      <c r="K1470" s="3" t="s">
        <v>150</v>
      </c>
    </row>
    <row r="1471" spans="1:11" ht="42" customHeight="1">
      <c r="A1471" s="2" t="s">
        <v>4253</v>
      </c>
      <c r="B1471" s="2" t="s">
        <v>4254</v>
      </c>
      <c r="C1471" s="2" t="s">
        <v>26</v>
      </c>
      <c r="D1471" s="2" t="s">
        <v>18</v>
      </c>
      <c r="E1471" s="4">
        <v>-32410</v>
      </c>
      <c r="F1471" s="3" t="s">
        <v>2678</v>
      </c>
      <c r="G1471" s="3" t="s">
        <v>4024</v>
      </c>
      <c r="H1471" s="2" t="s">
        <v>148</v>
      </c>
      <c r="I1471" s="2" t="s">
        <v>4255</v>
      </c>
      <c r="J1471" s="3" t="str">
        <f>HYPERLINK("https://www.boe.es/gazeta/dias/1811/04/06/pdfs/GEI-1811-47.pdf#page=7","Abrir facsímil")</f>
        <v>Abrir facsímil</v>
      </c>
      <c r="K1471" s="3" t="s">
        <v>150</v>
      </c>
    </row>
    <row r="1472" spans="1:11" ht="42" customHeight="1">
      <c r="A1472" s="2" t="s">
        <v>4256</v>
      </c>
      <c r="B1472" s="2" t="s">
        <v>4257</v>
      </c>
      <c r="C1472" s="2" t="s">
        <v>26</v>
      </c>
      <c r="D1472" s="2" t="s">
        <v>18</v>
      </c>
      <c r="E1472" s="4">
        <v>-32501</v>
      </c>
      <c r="F1472" s="3" t="s">
        <v>509</v>
      </c>
      <c r="G1472" s="3" t="s">
        <v>510</v>
      </c>
      <c r="H1472" s="2" t="s">
        <v>148</v>
      </c>
      <c r="I1472" s="2" t="s">
        <v>4258</v>
      </c>
      <c r="J1472" s="3" t="str">
        <f>HYPERLINK("https://www.boe.es/gazeta/dias/1811/01/05/pdfs/GEI-1811-3.pdf#page=8","Abrir facsímil")</f>
        <v>Abrir facsímil</v>
      </c>
      <c r="K1472" s="3" t="s">
        <v>150</v>
      </c>
    </row>
    <row r="1473" spans="1:11" ht="42" customHeight="1">
      <c r="A1473" s="2" t="s">
        <v>4259</v>
      </c>
      <c r="B1473" s="2" t="s">
        <v>4259</v>
      </c>
      <c r="C1473" s="2" t="s">
        <v>17</v>
      </c>
      <c r="D1473" s="2" t="s">
        <v>156</v>
      </c>
      <c r="E1473" s="4">
        <v>-32340</v>
      </c>
      <c r="F1473" s="3" t="s">
        <v>565</v>
      </c>
      <c r="G1473" s="3" t="s">
        <v>91</v>
      </c>
      <c r="H1473" s="2" t="s">
        <v>148</v>
      </c>
      <c r="I1473" s="2" t="s">
        <v>4260</v>
      </c>
      <c r="J1473" s="3" t="str">
        <f>HYPERLINK("https://www.boe.es/gazeta/dias/1811/06/15/pdfs/GEI-1811-80.pdf#page=2","Abrir facsímil")</f>
        <v>Abrir facsímil</v>
      </c>
      <c r="K1473" s="3" t="s">
        <v>150</v>
      </c>
    </row>
    <row r="1474" spans="1:11" ht="42" customHeight="1">
      <c r="A1474" s="2" t="s">
        <v>4261</v>
      </c>
      <c r="B1474" s="2" t="s">
        <v>4262</v>
      </c>
      <c r="C1474" s="2" t="s">
        <v>17</v>
      </c>
      <c r="D1474" s="2" t="s">
        <v>204</v>
      </c>
      <c r="E1474" s="4">
        <v>-32407</v>
      </c>
      <c r="F1474" s="3" t="s">
        <v>38</v>
      </c>
      <c r="G1474" s="3" t="s">
        <v>39</v>
      </c>
      <c r="H1474" s="2" t="s">
        <v>148</v>
      </c>
      <c r="I1474" s="2" t="s">
        <v>4263</v>
      </c>
      <c r="J1474" s="3" t="str">
        <f>HYPERLINK("https://www.boe.es/gazeta/dias/1811/04/09/pdfs/GEI-1811-48.pdf#page=3","Abrir facsímil")</f>
        <v>Abrir facsímil</v>
      </c>
      <c r="K1474" s="3" t="s">
        <v>150</v>
      </c>
    </row>
    <row r="1475" spans="1:11" ht="42" customHeight="1">
      <c r="A1475" s="2" t="s">
        <v>4264</v>
      </c>
      <c r="B1475" s="2" t="s">
        <v>4264</v>
      </c>
      <c r="C1475" s="2" t="s">
        <v>17</v>
      </c>
      <c r="D1475" s="2" t="s">
        <v>18</v>
      </c>
      <c r="E1475" s="4">
        <v>-32363</v>
      </c>
      <c r="F1475" s="3" t="s">
        <v>1645</v>
      </c>
      <c r="G1475" s="3" t="s">
        <v>20</v>
      </c>
      <c r="H1475" s="2" t="s">
        <v>148</v>
      </c>
      <c r="I1475" s="2" t="s">
        <v>4265</v>
      </c>
      <c r="J1475" s="3" t="str">
        <f>HYPERLINK("https://www.boe.es/gazeta/dias/1811/05/23/pdfs/GEI-1811-68.pdf#page=7","Abrir facsímil")</f>
        <v>Abrir facsímil</v>
      </c>
      <c r="K1475" s="3" t="s">
        <v>150</v>
      </c>
    </row>
    <row r="1476" spans="1:11" ht="42" customHeight="1">
      <c r="A1476" s="2" t="s">
        <v>4266</v>
      </c>
      <c r="B1476" s="2" t="s">
        <v>4267</v>
      </c>
      <c r="C1476" s="2" t="s">
        <v>17</v>
      </c>
      <c r="D1476" s="2" t="s">
        <v>156</v>
      </c>
      <c r="E1476" s="4">
        <v>-32384</v>
      </c>
      <c r="F1476" s="3" t="s">
        <v>2599</v>
      </c>
      <c r="G1476" s="3" t="s">
        <v>20</v>
      </c>
      <c r="H1476" s="2" t="s">
        <v>148</v>
      </c>
      <c r="I1476" s="2" t="s">
        <v>4268</v>
      </c>
      <c r="J1476" s="3" t="str">
        <f>HYPERLINK("https://www.boe.es/gazeta/dias/1811/05/02/pdfs/GEI-D-1811-58.pdf#page=1","Abrir facsímil")</f>
        <v>Abrir facsímil</v>
      </c>
      <c r="K1476" s="3" t="s">
        <v>150</v>
      </c>
    </row>
    <row r="1477" spans="1:11" ht="42" customHeight="1">
      <c r="A1477" s="2" t="s">
        <v>4269</v>
      </c>
      <c r="B1477" s="2" t="s">
        <v>4269</v>
      </c>
      <c r="C1477" s="2" t="s">
        <v>17</v>
      </c>
      <c r="D1477" s="2" t="s">
        <v>18</v>
      </c>
      <c r="E1477" s="4">
        <v>-32381</v>
      </c>
      <c r="F1477" s="3" t="s">
        <v>1698</v>
      </c>
      <c r="G1477" s="3" t="s">
        <v>4184</v>
      </c>
      <c r="H1477" s="2" t="s">
        <v>148</v>
      </c>
      <c r="I1477" s="2" t="s">
        <v>4270</v>
      </c>
      <c r="J1477" s="3" t="str">
        <f>HYPERLINK("https://www.boe.es/gazeta/dias/1811/05/05/pdfs/GMD-1811-125.pdf#page=2","Abrir facsímil")</f>
        <v>Abrir facsímil</v>
      </c>
      <c r="K1477" s="3" t="s">
        <v>150</v>
      </c>
    </row>
    <row r="1478" spans="1:11" ht="42" customHeight="1">
      <c r="A1478" s="2" t="s">
        <v>4271</v>
      </c>
      <c r="B1478" s="2" t="s">
        <v>4271</v>
      </c>
      <c r="C1478" s="2" t="s">
        <v>17</v>
      </c>
      <c r="D1478" s="2" t="s">
        <v>18</v>
      </c>
      <c r="E1478" s="4">
        <v>-32410</v>
      </c>
      <c r="F1478" s="3" t="s">
        <v>2678</v>
      </c>
      <c r="G1478" s="3" t="s">
        <v>515</v>
      </c>
      <c r="H1478" s="2" t="s">
        <v>148</v>
      </c>
      <c r="I1478" s="2" t="s">
        <v>4272</v>
      </c>
      <c r="J1478" s="3" t="str">
        <f>HYPERLINK("https://www.boe.es/gazeta/dias/1811/04/06/pdfs/GEI-1811-47.pdf#page=3","Abrir facsímil")</f>
        <v>Abrir facsímil</v>
      </c>
      <c r="K1478" s="3" t="s">
        <v>150</v>
      </c>
    </row>
    <row r="1479" spans="1:11" ht="42" customHeight="1">
      <c r="A1479" s="2" t="s">
        <v>4273</v>
      </c>
      <c r="B1479" s="2" t="s">
        <v>4274</v>
      </c>
      <c r="C1479" s="2" t="s">
        <v>26</v>
      </c>
      <c r="D1479" s="2" t="s">
        <v>18</v>
      </c>
      <c r="E1479" s="4">
        <v>-32416</v>
      </c>
      <c r="F1479" s="3" t="s">
        <v>954</v>
      </c>
      <c r="G1479" s="3" t="s">
        <v>183</v>
      </c>
      <c r="H1479" s="2" t="s">
        <v>148</v>
      </c>
      <c r="I1479" s="2" t="s">
        <v>4275</v>
      </c>
      <c r="J1479" s="3" t="str">
        <f>HYPERLINK("https://www.boe.es/gazeta/dias/1811/03/31/pdfs/GMD-1811-90.pdf#page=4","Abrir facsímil")</f>
        <v>Abrir facsímil</v>
      </c>
      <c r="K1479" s="3" t="s">
        <v>150</v>
      </c>
    </row>
    <row r="1480" spans="1:11" ht="42" customHeight="1">
      <c r="A1480" s="2" t="s">
        <v>4276</v>
      </c>
      <c r="B1480" s="2" t="s">
        <v>4276</v>
      </c>
      <c r="C1480" s="2" t="s">
        <v>17</v>
      </c>
      <c r="D1480" s="2" t="s">
        <v>156</v>
      </c>
      <c r="E1480" s="4">
        <v>-32419</v>
      </c>
      <c r="F1480" s="3" t="s">
        <v>2585</v>
      </c>
      <c r="G1480" s="3" t="s">
        <v>20</v>
      </c>
      <c r="H1480" s="2" t="s">
        <v>148</v>
      </c>
      <c r="I1480" s="2" t="s">
        <v>4277</v>
      </c>
      <c r="J1480" s="3" t="str">
        <f>HYPERLINK("https://www.boe.es/gazeta/dias/1811/03/28/pdfs/GEI-1811-43.pdf#page=4","Abrir facsímil")</f>
        <v>Abrir facsímil</v>
      </c>
      <c r="K1480" s="3" t="s">
        <v>150</v>
      </c>
    </row>
    <row r="1481" spans="1:11" ht="42" customHeight="1">
      <c r="A1481" s="2" t="s">
        <v>4276</v>
      </c>
      <c r="B1481" s="2" t="s">
        <v>4276</v>
      </c>
      <c r="C1481" s="2" t="s">
        <v>17</v>
      </c>
      <c r="D1481" s="2" t="s">
        <v>156</v>
      </c>
      <c r="E1481" s="4">
        <v>-32381</v>
      </c>
      <c r="F1481" s="3" t="s">
        <v>1698</v>
      </c>
      <c r="G1481" s="3" t="s">
        <v>4184</v>
      </c>
      <c r="H1481" s="2" t="s">
        <v>148</v>
      </c>
      <c r="I1481" s="2" t="s">
        <v>4278</v>
      </c>
      <c r="J1481" s="3" t="str">
        <f>HYPERLINK("https://www.boe.es/gazeta/dias/1811/05/05/pdfs/GMD-1811-125.pdf#page=2","Abrir facsímil")</f>
        <v>Abrir facsímil</v>
      </c>
      <c r="K1481" s="3" t="s">
        <v>150</v>
      </c>
    </row>
    <row r="1482" spans="1:11" ht="42" customHeight="1">
      <c r="A1482" s="2" t="s">
        <v>4276</v>
      </c>
      <c r="B1482" s="2" t="s">
        <v>4276</v>
      </c>
      <c r="C1482" s="2" t="s">
        <v>17</v>
      </c>
      <c r="D1482" s="2" t="s">
        <v>18</v>
      </c>
      <c r="E1482" s="4">
        <v>-32381</v>
      </c>
      <c r="F1482" s="3" t="s">
        <v>1698</v>
      </c>
      <c r="G1482" s="3" t="s">
        <v>134</v>
      </c>
      <c r="H1482" s="2" t="s">
        <v>148</v>
      </c>
      <c r="I1482" s="2" t="s">
        <v>4279</v>
      </c>
      <c r="J1482" s="3" t="str">
        <f>HYPERLINK("https://www.boe.es/gazeta/dias/1811/05/05/pdfs/GMD-1811-125.pdf#page=3","Abrir facsímil")</f>
        <v>Abrir facsímil</v>
      </c>
      <c r="K1482" s="3" t="s">
        <v>150</v>
      </c>
    </row>
    <row r="1483" spans="1:11" ht="42" customHeight="1">
      <c r="A1483" s="2" t="s">
        <v>4276</v>
      </c>
      <c r="B1483" s="2" t="s">
        <v>4276</v>
      </c>
      <c r="C1483" s="2" t="s">
        <v>17</v>
      </c>
      <c r="D1483" s="2" t="s">
        <v>18</v>
      </c>
      <c r="E1483" s="4">
        <v>-32232</v>
      </c>
      <c r="F1483" s="3" t="s">
        <v>1879</v>
      </c>
      <c r="G1483" s="3" t="s">
        <v>20</v>
      </c>
      <c r="H1483" s="2" t="s">
        <v>148</v>
      </c>
      <c r="I1483" s="2" t="s">
        <v>4280</v>
      </c>
      <c r="J1483" s="3" t="str">
        <f>HYPERLINK("https://www.boe.es/gazeta/dias/1811/10/01/pdfs/GMD-1811-274.pdf#page=4","Abrir facsímil")</f>
        <v>Abrir facsímil</v>
      </c>
      <c r="K1483" s="3" t="s">
        <v>150</v>
      </c>
    </row>
    <row r="1484" spans="1:11" ht="42" customHeight="1">
      <c r="A1484" s="2" t="s">
        <v>4281</v>
      </c>
      <c r="B1484" s="2" t="s">
        <v>4281</v>
      </c>
      <c r="C1484" s="2" t="s">
        <v>17</v>
      </c>
      <c r="D1484" s="2" t="s">
        <v>156</v>
      </c>
      <c r="E1484" s="4">
        <v>-32381</v>
      </c>
      <c r="F1484" s="3" t="s">
        <v>1698</v>
      </c>
      <c r="G1484" s="3" t="s">
        <v>4184</v>
      </c>
      <c r="H1484" s="2" t="s">
        <v>148</v>
      </c>
      <c r="I1484" s="2" t="s">
        <v>4282</v>
      </c>
      <c r="J1484" s="3" t="str">
        <f>HYPERLINK("https://www.boe.es/gazeta/dias/1811/05/05/pdfs/GMD-1811-125.pdf#page=2","Abrir facsímil")</f>
        <v>Abrir facsímil</v>
      </c>
      <c r="K1484" s="3" t="s">
        <v>150</v>
      </c>
    </row>
    <row r="1485" spans="1:11" ht="42" customHeight="1">
      <c r="A1485" s="2" t="s">
        <v>4283</v>
      </c>
      <c r="B1485" s="2" t="s">
        <v>4283</v>
      </c>
      <c r="C1485" s="2" t="s">
        <v>26</v>
      </c>
      <c r="D1485" s="2" t="s">
        <v>18</v>
      </c>
      <c r="E1485" s="4">
        <v>-32438</v>
      </c>
      <c r="F1485" s="3" t="s">
        <v>4284</v>
      </c>
      <c r="G1485" s="3" t="s">
        <v>91</v>
      </c>
      <c r="H1485" s="2" t="s">
        <v>148</v>
      </c>
      <c r="I1485" s="2" t="s">
        <v>4285</v>
      </c>
      <c r="J1485" s="3" t="str">
        <f>HYPERLINK("https://www.boe.es/gazeta/dias/1811/03/09/pdfs/GMD-1811-68.pdf#page=3","Abrir facsímil")</f>
        <v>Abrir facsímil</v>
      </c>
      <c r="K1485" s="3" t="s">
        <v>150</v>
      </c>
    </row>
    <row r="1486" spans="1:11" ht="42" customHeight="1">
      <c r="A1486" s="2" t="s">
        <v>4286</v>
      </c>
      <c r="B1486" s="2" t="s">
        <v>4287</v>
      </c>
      <c r="C1486" s="2" t="s">
        <v>26</v>
      </c>
      <c r="D1486" s="2" t="s">
        <v>18</v>
      </c>
      <c r="E1486" s="4">
        <v>-32312</v>
      </c>
      <c r="F1486" s="3" t="s">
        <v>2640</v>
      </c>
      <c r="G1486" s="3" t="s">
        <v>3105</v>
      </c>
      <c r="H1486" s="2" t="s">
        <v>148</v>
      </c>
      <c r="I1486" s="2" t="s">
        <v>4288</v>
      </c>
      <c r="J1486" s="3" t="str">
        <f>HYPERLINK("https://www.boe.es/gazeta/dias/1811/07/13/pdfs/GEI-1811-92.pdf#page=5","Abrir facsímil")</f>
        <v>Abrir facsímil</v>
      </c>
      <c r="K1486" s="3" t="s">
        <v>150</v>
      </c>
    </row>
    <row r="1487" spans="1:11" ht="42" customHeight="1">
      <c r="A1487" s="2" t="s">
        <v>4289</v>
      </c>
      <c r="B1487" s="2" t="s">
        <v>4289</v>
      </c>
      <c r="C1487" s="2" t="s">
        <v>17</v>
      </c>
      <c r="D1487" s="2" t="s">
        <v>156</v>
      </c>
      <c r="E1487" s="4">
        <v>-32288</v>
      </c>
      <c r="F1487" s="3" t="s">
        <v>95</v>
      </c>
      <c r="G1487" s="3" t="s">
        <v>4290</v>
      </c>
      <c r="H1487" s="2" t="s">
        <v>148</v>
      </c>
      <c r="I1487" s="2" t="s">
        <v>4291</v>
      </c>
      <c r="J1487" s="3" t="str">
        <f>HYPERLINK("https://www.boe.es/gazeta/dias/1811/08/06/pdfs/GEI-1811-102.pdf#page=5","Abrir facsímil")</f>
        <v>Abrir facsímil</v>
      </c>
      <c r="K1487" s="3" t="s">
        <v>150</v>
      </c>
    </row>
    <row r="1488" spans="1:11" ht="42" customHeight="1">
      <c r="A1488" s="2" t="s">
        <v>4292</v>
      </c>
      <c r="B1488" s="2" t="s">
        <v>4293</v>
      </c>
      <c r="C1488" s="2" t="s">
        <v>17</v>
      </c>
      <c r="D1488" s="2" t="s">
        <v>18</v>
      </c>
      <c r="E1488" s="4">
        <v>-32193</v>
      </c>
      <c r="F1488" s="3" t="s">
        <v>1037</v>
      </c>
      <c r="G1488" s="3" t="s">
        <v>4294</v>
      </c>
      <c r="H1488" s="2" t="s">
        <v>148</v>
      </c>
      <c r="I1488" s="2" t="s">
        <v>4295</v>
      </c>
      <c r="J1488" s="3" t="str">
        <f>HYPERLINK("https://www.boe.es/gazeta/dias/1811/11/09/pdfs/GEI-1811-145.pdf#page=6","Abrir facsímil")</f>
        <v>Abrir facsímil</v>
      </c>
      <c r="K1488" s="3" t="s">
        <v>150</v>
      </c>
    </row>
    <row r="1489" spans="1:11" ht="42" customHeight="1">
      <c r="A1489" s="2" t="s">
        <v>4296</v>
      </c>
      <c r="B1489" s="2" t="s">
        <v>4297</v>
      </c>
      <c r="C1489" s="2" t="s">
        <v>84</v>
      </c>
      <c r="D1489" s="2" t="s">
        <v>141</v>
      </c>
      <c r="E1489" s="4">
        <v>-32188</v>
      </c>
      <c r="F1489" s="3" t="s">
        <v>505</v>
      </c>
      <c r="G1489" s="3" t="s">
        <v>162</v>
      </c>
      <c r="H1489" s="2" t="s">
        <v>148</v>
      </c>
      <c r="I1489" s="2" t="s">
        <v>4298</v>
      </c>
      <c r="J1489" s="3" t="str">
        <f>HYPERLINK("https://www.boe.es/gazeta/dias/1811/11/14/pdfs/GEI-D-1811-149.pdf#page=4","Abrir facsímil")</f>
        <v>Abrir facsímil</v>
      </c>
      <c r="K1489" s="3" t="s">
        <v>150</v>
      </c>
    </row>
    <row r="1490" spans="1:11" ht="42" customHeight="1">
      <c r="A1490" s="2" t="s">
        <v>4299</v>
      </c>
      <c r="B1490" s="2" t="s">
        <v>4300</v>
      </c>
      <c r="C1490" s="2" t="s">
        <v>17</v>
      </c>
      <c r="D1490" s="2" t="s">
        <v>18</v>
      </c>
      <c r="E1490" s="4">
        <v>-32244</v>
      </c>
      <c r="F1490" s="3" t="s">
        <v>4301</v>
      </c>
      <c r="G1490" s="3" t="s">
        <v>4302</v>
      </c>
      <c r="H1490" s="2" t="s">
        <v>148</v>
      </c>
      <c r="I1490" s="2" t="s">
        <v>4303</v>
      </c>
      <c r="J1490" s="3" t="str">
        <f>HYPERLINK("https://www.boe.es/gazeta/dias/1811/09/19/pdfs/GEI-1811-121.pdf#page=7","Abrir facsímil")</f>
        <v>Abrir facsímil</v>
      </c>
      <c r="K1490" s="3" t="s">
        <v>150</v>
      </c>
    </row>
    <row r="1491" spans="1:11" ht="42" customHeight="1">
      <c r="A1491" s="2" t="s">
        <v>4304</v>
      </c>
      <c r="B1491" s="2" t="s">
        <v>4305</v>
      </c>
      <c r="C1491" s="2" t="s">
        <v>26</v>
      </c>
      <c r="D1491" s="2" t="s">
        <v>18</v>
      </c>
      <c r="E1491" s="4">
        <v>-32379</v>
      </c>
      <c r="F1491" s="3" t="s">
        <v>462</v>
      </c>
      <c r="G1491" s="3" t="s">
        <v>228</v>
      </c>
      <c r="H1491" s="2" t="s">
        <v>148</v>
      </c>
      <c r="I1491" s="2" t="s">
        <v>4306</v>
      </c>
      <c r="J1491" s="3" t="str">
        <f>HYPERLINK("https://www.boe.es/gazeta/dias/1811/05/07/pdfs/GEI-1811-60.pdf#page=3","Abrir facsímil")</f>
        <v>Abrir facsímil</v>
      </c>
      <c r="K1491" s="3" t="s">
        <v>150</v>
      </c>
    </row>
    <row r="1492" spans="1:11" ht="42" customHeight="1">
      <c r="A1492" s="2" t="s">
        <v>4307</v>
      </c>
      <c r="B1492" s="2" t="s">
        <v>4308</v>
      </c>
      <c r="C1492" s="2" t="s">
        <v>104</v>
      </c>
      <c r="D1492" s="2" t="s">
        <v>18</v>
      </c>
      <c r="E1492" s="4">
        <v>-32452</v>
      </c>
      <c r="F1492" s="3" t="s">
        <v>106</v>
      </c>
      <c r="G1492" s="3" t="s">
        <v>20</v>
      </c>
      <c r="H1492" s="2" t="s">
        <v>148</v>
      </c>
      <c r="I1492" s="2" t="s">
        <v>4309</v>
      </c>
      <c r="J1492" s="3" t="str">
        <f>HYPERLINK("https://www.boe.es/gazeta/dias/1811/02/23/pdfs/GEI-1811-24.pdf#page=8","Abrir facsímil")</f>
        <v>Abrir facsímil</v>
      </c>
      <c r="K1492" s="3" t="s">
        <v>150</v>
      </c>
    </row>
    <row r="1493" spans="1:11" ht="42" customHeight="1">
      <c r="A1493" s="2" t="s">
        <v>4310</v>
      </c>
      <c r="B1493" s="2" t="s">
        <v>4311</v>
      </c>
      <c r="C1493" s="2" t="s">
        <v>17</v>
      </c>
      <c r="D1493" s="2" t="s">
        <v>18</v>
      </c>
      <c r="E1493" s="4">
        <v>-32433</v>
      </c>
      <c r="F1493" s="3" t="s">
        <v>209</v>
      </c>
      <c r="G1493" s="3" t="s">
        <v>488</v>
      </c>
      <c r="H1493" s="2" t="s">
        <v>148</v>
      </c>
      <c r="I1493" s="2" t="s">
        <v>4312</v>
      </c>
      <c r="J1493" s="3" t="str">
        <f>HYPERLINK("https://www.boe.es/gazeta/dias/1811/03/14/pdfs/GMD-1811-73.pdf#page=2","Abrir facsímil")</f>
        <v>Abrir facsímil</v>
      </c>
      <c r="K1493" s="3" t="s">
        <v>150</v>
      </c>
    </row>
    <row r="1494" spans="1:11" ht="42" customHeight="1">
      <c r="A1494" s="2" t="s">
        <v>4313</v>
      </c>
      <c r="B1494" s="2" t="s">
        <v>4314</v>
      </c>
      <c r="C1494" s="2" t="s">
        <v>26</v>
      </c>
      <c r="D1494" s="2" t="s">
        <v>18</v>
      </c>
      <c r="E1494" s="4">
        <v>-32433</v>
      </c>
      <c r="F1494" s="3" t="s">
        <v>209</v>
      </c>
      <c r="G1494" s="3" t="s">
        <v>488</v>
      </c>
      <c r="H1494" s="2" t="s">
        <v>148</v>
      </c>
      <c r="I1494" s="2" t="s">
        <v>4315</v>
      </c>
      <c r="J1494" s="3" t="str">
        <f>HYPERLINK("https://www.boe.es/gazeta/dias/1811/03/14/pdfs/GMD-1811-73.pdf#page=2","Abrir facsímil")</f>
        <v>Abrir facsímil</v>
      </c>
      <c r="K1494" s="3" t="s">
        <v>150</v>
      </c>
    </row>
    <row r="1495" spans="1:11" ht="42" customHeight="1">
      <c r="A1495" s="2" t="s">
        <v>4316</v>
      </c>
      <c r="B1495" s="2" t="s">
        <v>4316</v>
      </c>
      <c r="C1495" s="2" t="s">
        <v>367</v>
      </c>
      <c r="D1495" s="2" t="s">
        <v>156</v>
      </c>
      <c r="E1495" s="4">
        <v>-32330</v>
      </c>
      <c r="F1495" s="3" t="s">
        <v>1824</v>
      </c>
      <c r="G1495" s="3" t="s">
        <v>891</v>
      </c>
      <c r="H1495" s="2" t="s">
        <v>148</v>
      </c>
      <c r="I1495" s="2" t="s">
        <v>4317</v>
      </c>
      <c r="J1495" s="3" t="str">
        <f>HYPERLINK("https://www.boe.es/gazeta/dias/1811/06/25/pdfs/GEI-1811-84.pdf#page=2","Abrir facsímil")</f>
        <v>Abrir facsímil</v>
      </c>
      <c r="K1495" s="3" t="s">
        <v>150</v>
      </c>
    </row>
    <row r="1496" spans="1:11" ht="42" customHeight="1">
      <c r="A1496" s="2" t="s">
        <v>4318</v>
      </c>
      <c r="B1496" s="2" t="s">
        <v>4319</v>
      </c>
      <c r="C1496" s="2" t="s">
        <v>26</v>
      </c>
      <c r="D1496" s="2" t="s">
        <v>18</v>
      </c>
      <c r="E1496" s="4">
        <v>-32288</v>
      </c>
      <c r="F1496" s="3" t="s">
        <v>95</v>
      </c>
      <c r="G1496" s="3" t="s">
        <v>47</v>
      </c>
      <c r="H1496" s="2" t="s">
        <v>148</v>
      </c>
      <c r="I1496" s="2" t="s">
        <v>4320</v>
      </c>
      <c r="J1496" s="3" t="str">
        <f>HYPERLINK("https://www.boe.es/gazeta/dias/1811/08/06/pdfs/GEI-1811-102.pdf#page=8","Abrir facsímil")</f>
        <v>Abrir facsímil</v>
      </c>
      <c r="K1496" s="3" t="s">
        <v>150</v>
      </c>
    </row>
    <row r="1497" spans="1:11" ht="42" customHeight="1">
      <c r="A1497" s="2" t="s">
        <v>4321</v>
      </c>
      <c r="B1497" s="2" t="s">
        <v>4321</v>
      </c>
      <c r="C1497" s="2" t="s">
        <v>17</v>
      </c>
      <c r="D1497" s="2" t="s">
        <v>105</v>
      </c>
      <c r="E1497" s="4">
        <v>-32284</v>
      </c>
      <c r="F1497" s="3" t="s">
        <v>170</v>
      </c>
      <c r="G1497" s="3" t="s">
        <v>386</v>
      </c>
      <c r="H1497" s="2" t="s">
        <v>148</v>
      </c>
      <c r="I1497" s="2" t="s">
        <v>4322</v>
      </c>
      <c r="J1497" s="3" t="str">
        <f>HYPERLINK("https://www.boe.es/gazeta/dias/1811/08/10/pdfs/GEI-1811-104.pdf#page=3","Abrir facsímil")</f>
        <v>Abrir facsímil</v>
      </c>
      <c r="K1497" s="3" t="s">
        <v>150</v>
      </c>
    </row>
    <row r="1498" spans="1:11" ht="42" customHeight="1">
      <c r="A1498" s="2" t="s">
        <v>4321</v>
      </c>
      <c r="B1498" s="2" t="s">
        <v>4321</v>
      </c>
      <c r="C1498" s="2" t="s">
        <v>17</v>
      </c>
      <c r="D1498" s="2" t="s">
        <v>156</v>
      </c>
      <c r="E1498" s="4">
        <v>-32141</v>
      </c>
      <c r="F1498" s="3" t="s">
        <v>308</v>
      </c>
      <c r="G1498" s="3" t="s">
        <v>91</v>
      </c>
      <c r="H1498" s="2" t="s">
        <v>148</v>
      </c>
      <c r="I1498" s="2" t="s">
        <v>4323</v>
      </c>
      <c r="J1498" s="3" t="str">
        <f>HYPERLINK("https://www.boe.es/gazeta/dias/1811/12/31/pdfs/GEI-1811-169.pdf#page=7","Abrir facsímil")</f>
        <v>Abrir facsímil</v>
      </c>
      <c r="K1498" s="3" t="s">
        <v>150</v>
      </c>
    </row>
    <row r="1499" spans="1:11" ht="42" customHeight="1">
      <c r="A1499" s="2" t="s">
        <v>4324</v>
      </c>
      <c r="B1499" s="2" t="s">
        <v>4325</v>
      </c>
      <c r="C1499" s="2" t="s">
        <v>26</v>
      </c>
      <c r="D1499" s="2" t="s">
        <v>105</v>
      </c>
      <c r="E1499" s="4">
        <v>-32195</v>
      </c>
      <c r="F1499" s="3" t="s">
        <v>439</v>
      </c>
      <c r="G1499" s="3" t="s">
        <v>440</v>
      </c>
      <c r="H1499" s="2" t="s">
        <v>148</v>
      </c>
      <c r="I1499" s="2" t="s">
        <v>4326</v>
      </c>
      <c r="J1499" s="3" t="str">
        <f>HYPERLINK("https://www.boe.es/gazeta/dias/1811/11/07/pdfs/GEI-1811-144.pdf#page=8","Abrir facsímil")</f>
        <v>Abrir facsímil</v>
      </c>
      <c r="K1499" s="3" t="s">
        <v>150</v>
      </c>
    </row>
    <row r="1500" spans="1:11" ht="42" customHeight="1">
      <c r="A1500" s="2" t="s">
        <v>4327</v>
      </c>
      <c r="B1500" s="2" t="s">
        <v>4327</v>
      </c>
      <c r="C1500" s="2" t="s">
        <v>17</v>
      </c>
      <c r="D1500" s="2" t="s">
        <v>156</v>
      </c>
      <c r="E1500" s="4">
        <v>-32281</v>
      </c>
      <c r="F1500" s="3" t="s">
        <v>982</v>
      </c>
      <c r="G1500" s="3" t="s">
        <v>305</v>
      </c>
      <c r="H1500" s="2" t="s">
        <v>148</v>
      </c>
      <c r="I1500" s="2" t="s">
        <v>4328</v>
      </c>
      <c r="J1500" s="3" t="str">
        <f>HYPERLINK("https://www.boe.es/gazeta/dias/1811/08/13/pdfs/GEI-1811-105.pdf#page=3","Abrir facsímil")</f>
        <v>Abrir facsímil</v>
      </c>
      <c r="K1500" s="3" t="s">
        <v>150</v>
      </c>
    </row>
    <row r="1501" spans="1:11" ht="42" customHeight="1">
      <c r="A1501" s="2" t="s">
        <v>4329</v>
      </c>
      <c r="B1501" s="2" t="s">
        <v>4329</v>
      </c>
      <c r="C1501" s="2" t="s">
        <v>17</v>
      </c>
      <c r="D1501" s="2" t="s">
        <v>156</v>
      </c>
      <c r="E1501" s="4">
        <v>-32330</v>
      </c>
      <c r="F1501" s="3" t="s">
        <v>1824</v>
      </c>
      <c r="G1501" s="3" t="s">
        <v>248</v>
      </c>
      <c r="H1501" s="2" t="s">
        <v>148</v>
      </c>
      <c r="I1501" s="2" t="s">
        <v>4330</v>
      </c>
      <c r="J1501" s="3" t="str">
        <f>HYPERLINK("https://www.boe.es/gazeta/dias/1811/06/25/pdfs/GEI-1811-84.pdf#page=1","Abrir facsímil")</f>
        <v>Abrir facsímil</v>
      </c>
      <c r="K1501" s="3" t="s">
        <v>150</v>
      </c>
    </row>
    <row r="1502" spans="1:11" ht="42" customHeight="1">
      <c r="A1502" s="2" t="s">
        <v>4329</v>
      </c>
      <c r="B1502" s="2" t="s">
        <v>4329</v>
      </c>
      <c r="C1502" s="2" t="s">
        <v>17</v>
      </c>
      <c r="D1502" s="2" t="s">
        <v>156</v>
      </c>
      <c r="E1502" s="4">
        <v>-32239</v>
      </c>
      <c r="F1502" s="3" t="s">
        <v>1225</v>
      </c>
      <c r="G1502" s="3" t="s">
        <v>248</v>
      </c>
      <c r="H1502" s="2" t="s">
        <v>148</v>
      </c>
      <c r="I1502" s="2" t="s">
        <v>4331</v>
      </c>
      <c r="J1502" s="3" t="str">
        <f>HYPERLINK("https://www.boe.es/gazeta/dias/1811/09/24/pdfs/GEI-1811-123.pdf#page=7","Abrir facsímil")</f>
        <v>Abrir facsímil</v>
      </c>
      <c r="K1502" s="3" t="s">
        <v>150</v>
      </c>
    </row>
    <row r="1503" spans="1:11" ht="42" customHeight="1">
      <c r="A1503" s="2" t="s">
        <v>4332</v>
      </c>
      <c r="B1503" s="2" t="s">
        <v>4333</v>
      </c>
      <c r="C1503" s="2" t="s">
        <v>17</v>
      </c>
      <c r="D1503" s="2" t="s">
        <v>156</v>
      </c>
      <c r="E1503" s="4">
        <v>-32482</v>
      </c>
      <c r="F1503" s="3" t="s">
        <v>924</v>
      </c>
      <c r="G1503" s="3" t="s">
        <v>925</v>
      </c>
      <c r="H1503" s="2" t="s">
        <v>148</v>
      </c>
      <c r="I1503" s="2" t="s">
        <v>4334</v>
      </c>
      <c r="J1503" s="3" t="str">
        <f>HYPERLINK("https://www.boe.es/gazeta/dias/1811/01/24/pdfs/GEI-1811-11.pdf#page=6","Abrir facsímil")</f>
        <v>Abrir facsímil</v>
      </c>
      <c r="K1503" s="3" t="s">
        <v>150</v>
      </c>
    </row>
    <row r="1504" spans="1:11" ht="42" customHeight="1">
      <c r="A1504" s="2" t="s">
        <v>4335</v>
      </c>
      <c r="B1504" s="2" t="s">
        <v>4336</v>
      </c>
      <c r="C1504" s="2" t="s">
        <v>26</v>
      </c>
      <c r="D1504" s="2" t="s">
        <v>18</v>
      </c>
      <c r="E1504" s="4">
        <v>-32260</v>
      </c>
      <c r="F1504" s="3" t="s">
        <v>27</v>
      </c>
      <c r="G1504" s="3" t="s">
        <v>1048</v>
      </c>
      <c r="H1504" s="2" t="s">
        <v>148</v>
      </c>
      <c r="I1504" s="2" t="s">
        <v>4337</v>
      </c>
      <c r="J1504" s="3" t="str">
        <f>HYPERLINK("https://www.boe.es/gazeta/dias/1811/09/03/pdfs/GEI-1811-114.pdf#page=2","Abrir facsímil")</f>
        <v>Abrir facsímil</v>
      </c>
      <c r="K1504" s="3" t="s">
        <v>150</v>
      </c>
    </row>
    <row r="1505" spans="1:11" ht="42" customHeight="1">
      <c r="A1505" s="2" t="s">
        <v>4338</v>
      </c>
      <c r="B1505" s="2" t="s">
        <v>4338</v>
      </c>
      <c r="C1505" s="2" t="s">
        <v>17</v>
      </c>
      <c r="D1505" s="2" t="s">
        <v>18</v>
      </c>
      <c r="E1505" s="4">
        <v>-32281</v>
      </c>
      <c r="F1505" s="3" t="s">
        <v>982</v>
      </c>
      <c r="G1505" s="3" t="s">
        <v>983</v>
      </c>
      <c r="H1505" s="2" t="s">
        <v>148</v>
      </c>
      <c r="I1505" s="2" t="s">
        <v>4339</v>
      </c>
      <c r="J1505" s="3" t="str">
        <f>HYPERLINK("https://www.boe.es/gazeta/dias/1811/08/13/pdfs/GEI-1811-105.pdf#page=4","Abrir facsímil")</f>
        <v>Abrir facsímil</v>
      </c>
      <c r="K1505" s="3" t="s">
        <v>150</v>
      </c>
    </row>
    <row r="1506" spans="1:11" ht="42" customHeight="1">
      <c r="A1506" s="2" t="s">
        <v>4340</v>
      </c>
      <c r="B1506" s="2" t="s">
        <v>4340</v>
      </c>
      <c r="C1506" s="2" t="s">
        <v>37</v>
      </c>
      <c r="D1506" s="2" t="s">
        <v>156</v>
      </c>
      <c r="E1506" s="4">
        <v>-32410</v>
      </c>
      <c r="F1506" s="3" t="s">
        <v>2678</v>
      </c>
      <c r="G1506" s="3" t="s">
        <v>515</v>
      </c>
      <c r="H1506" s="2" t="s">
        <v>148</v>
      </c>
      <c r="I1506" s="2" t="s">
        <v>4341</v>
      </c>
      <c r="J1506" s="3" t="str">
        <f>HYPERLINK("https://www.boe.es/gazeta/dias/1811/04/06/pdfs/GEI-1811-47.pdf#page=3","Abrir facsímil")</f>
        <v>Abrir facsímil</v>
      </c>
      <c r="K1506" s="3" t="s">
        <v>150</v>
      </c>
    </row>
    <row r="1507" spans="1:11" ht="42" customHeight="1">
      <c r="A1507" s="2" t="s">
        <v>4340</v>
      </c>
      <c r="B1507" s="2" t="s">
        <v>4340</v>
      </c>
      <c r="C1507" s="2" t="s">
        <v>37</v>
      </c>
      <c r="D1507" s="2" t="s">
        <v>18</v>
      </c>
      <c r="E1507" s="4">
        <v>-32392</v>
      </c>
      <c r="F1507" s="3" t="s">
        <v>3140</v>
      </c>
      <c r="G1507" s="3" t="s">
        <v>248</v>
      </c>
      <c r="H1507" s="2" t="s">
        <v>148</v>
      </c>
      <c r="I1507" s="2" t="s">
        <v>4342</v>
      </c>
      <c r="J1507" s="3" t="str">
        <f>HYPERLINK("https://www.boe.es/gazeta/dias/1811/04/24/pdfs/GMD-1811-114.pdf#page=3","Abrir facsímil")</f>
        <v>Abrir facsímil</v>
      </c>
      <c r="K1507" s="3" t="s">
        <v>150</v>
      </c>
    </row>
    <row r="1508" spans="1:11" ht="42" customHeight="1">
      <c r="A1508" s="2" t="s">
        <v>4340</v>
      </c>
      <c r="B1508" s="2" t="s">
        <v>4340</v>
      </c>
      <c r="C1508" s="2" t="s">
        <v>17</v>
      </c>
      <c r="D1508" s="2" t="s">
        <v>141</v>
      </c>
      <c r="E1508" s="4">
        <v>-32389</v>
      </c>
      <c r="F1508" s="3" t="s">
        <v>524</v>
      </c>
      <c r="G1508" s="3" t="s">
        <v>2573</v>
      </c>
      <c r="H1508" s="2" t="s">
        <v>148</v>
      </c>
      <c r="I1508" s="2" t="s">
        <v>4343</v>
      </c>
      <c r="J1508" s="3" t="str">
        <f>HYPERLINK("https://www.boe.es/gazeta/dias/1811/04/27/pdfs/GEI-D-1811-56.pdf#page=1","Abrir facsímil")</f>
        <v>Abrir facsímil</v>
      </c>
      <c r="K1508" s="3" t="s">
        <v>150</v>
      </c>
    </row>
    <row r="1509" spans="1:11" ht="42" customHeight="1">
      <c r="A1509" s="2" t="s">
        <v>4340</v>
      </c>
      <c r="B1509" s="2" t="s">
        <v>4340</v>
      </c>
      <c r="C1509" s="2" t="s">
        <v>17</v>
      </c>
      <c r="D1509" s="2" t="s">
        <v>141</v>
      </c>
      <c r="E1509" s="4">
        <v>-32389</v>
      </c>
      <c r="F1509" s="3" t="s">
        <v>524</v>
      </c>
      <c r="G1509" s="3" t="s">
        <v>530</v>
      </c>
      <c r="H1509" s="2" t="s">
        <v>148</v>
      </c>
      <c r="I1509" s="2" t="s">
        <v>4344</v>
      </c>
      <c r="J1509" s="3" t="str">
        <f>HYPERLINK("https://www.boe.es/gazeta/dias/1811/04/27/pdfs/GEI-D-1811-56.pdf#page=2","Abrir facsímil")</f>
        <v>Abrir facsímil</v>
      </c>
      <c r="K1509" s="3" t="s">
        <v>150</v>
      </c>
    </row>
    <row r="1510" spans="1:11" ht="42" customHeight="1">
      <c r="A1510" s="2" t="s">
        <v>4340</v>
      </c>
      <c r="B1510" s="2" t="s">
        <v>4340</v>
      </c>
      <c r="C1510" s="2" t="s">
        <v>17</v>
      </c>
      <c r="D1510" s="2" t="s">
        <v>18</v>
      </c>
      <c r="E1510" s="4">
        <v>-32386</v>
      </c>
      <c r="F1510" s="3" t="s">
        <v>1934</v>
      </c>
      <c r="G1510" s="3" t="s">
        <v>597</v>
      </c>
      <c r="H1510" s="2" t="s">
        <v>148</v>
      </c>
      <c r="I1510" s="2" t="s">
        <v>4345</v>
      </c>
      <c r="J1510" s="3" t="str">
        <f>HYPERLINK("https://www.boe.es/gazeta/dias/1811/04/30/pdfs/GEI-1811-57.pdf#page=2","Abrir facsímil")</f>
        <v>Abrir facsímil</v>
      </c>
      <c r="K1510" s="3" t="s">
        <v>150</v>
      </c>
    </row>
    <row r="1511" spans="1:11" ht="42" customHeight="1">
      <c r="A1511" s="2" t="s">
        <v>4340</v>
      </c>
      <c r="B1511" s="2" t="s">
        <v>4340</v>
      </c>
      <c r="C1511" s="2" t="s">
        <v>17</v>
      </c>
      <c r="D1511" s="2" t="s">
        <v>18</v>
      </c>
      <c r="E1511" s="4">
        <v>-32375</v>
      </c>
      <c r="F1511" s="3" t="s">
        <v>1209</v>
      </c>
      <c r="G1511" s="3" t="s">
        <v>1984</v>
      </c>
      <c r="H1511" s="2" t="s">
        <v>148</v>
      </c>
      <c r="I1511" s="2" t="s">
        <v>4346</v>
      </c>
      <c r="J1511" s="3" t="str">
        <f>HYPERLINK("https://www.boe.es/gazeta/dias/1811/05/11/pdfs/GEI-1811-62.pdf#page=8","Abrir facsímil")</f>
        <v>Abrir facsímil</v>
      </c>
      <c r="K1511" s="3" t="s">
        <v>150</v>
      </c>
    </row>
    <row r="1512" spans="1:11" ht="42" customHeight="1">
      <c r="A1512" s="2" t="s">
        <v>4340</v>
      </c>
      <c r="B1512" s="2" t="s">
        <v>4340</v>
      </c>
      <c r="C1512" s="2" t="s">
        <v>17</v>
      </c>
      <c r="D1512" s="2" t="s">
        <v>156</v>
      </c>
      <c r="E1512" s="4">
        <v>-32363</v>
      </c>
      <c r="F1512" s="3" t="s">
        <v>1645</v>
      </c>
      <c r="G1512" s="3" t="s">
        <v>4347</v>
      </c>
      <c r="H1512" s="2" t="s">
        <v>148</v>
      </c>
      <c r="I1512" s="2" t="s">
        <v>4348</v>
      </c>
      <c r="J1512" s="3" t="str">
        <f>HYPERLINK("https://www.boe.es/gazeta/dias/1811/05/23/pdfs/GEI-1811-68.pdf#page=6","Abrir facsímil")</f>
        <v>Abrir facsímil</v>
      </c>
      <c r="K1512" s="3" t="s">
        <v>150</v>
      </c>
    </row>
    <row r="1513" spans="1:11" ht="42" customHeight="1">
      <c r="A1513" s="2" t="s">
        <v>4340</v>
      </c>
      <c r="B1513" s="2" t="s">
        <v>4340</v>
      </c>
      <c r="C1513" s="2" t="s">
        <v>17</v>
      </c>
      <c r="D1513" s="2" t="s">
        <v>528</v>
      </c>
      <c r="E1513" s="4">
        <v>-32362</v>
      </c>
      <c r="F1513" s="3" t="s">
        <v>1990</v>
      </c>
      <c r="G1513" s="3" t="s">
        <v>47</v>
      </c>
      <c r="H1513" s="2" t="s">
        <v>148</v>
      </c>
      <c r="I1513" s="2" t="s">
        <v>4349</v>
      </c>
      <c r="J1513" s="3" t="str">
        <f>HYPERLINK("https://www.boe.es/gazeta/dias/1811/05/24/pdfs/GEI-1811-70E.pdf#page=5","Abrir facsímil")</f>
        <v>Abrir facsímil</v>
      </c>
      <c r="K1513" s="3" t="s">
        <v>150</v>
      </c>
    </row>
    <row r="1514" spans="1:11" ht="42" customHeight="1">
      <c r="A1514" s="2" t="s">
        <v>4340</v>
      </c>
      <c r="B1514" s="2" t="s">
        <v>4340</v>
      </c>
      <c r="C1514" s="2" t="s">
        <v>17</v>
      </c>
      <c r="D1514" s="2" t="s">
        <v>18</v>
      </c>
      <c r="E1514" s="4">
        <v>-32356</v>
      </c>
      <c r="F1514" s="3" t="s">
        <v>1992</v>
      </c>
      <c r="G1514" s="3" t="s">
        <v>1993</v>
      </c>
      <c r="H1514" s="2" t="s">
        <v>148</v>
      </c>
      <c r="I1514" s="2" t="s">
        <v>4350</v>
      </c>
      <c r="J1514" s="3" t="str">
        <f>HYPERLINK("https://www.boe.es/gazeta/dias/1811/05/30/pdfs/GEI-1811-73.pdf#page=7","Abrir facsímil")</f>
        <v>Abrir facsímil</v>
      </c>
      <c r="K1514" s="3" t="s">
        <v>150</v>
      </c>
    </row>
    <row r="1515" spans="1:11" ht="42" customHeight="1">
      <c r="A1515" s="2" t="s">
        <v>4340</v>
      </c>
      <c r="B1515" s="2" t="s">
        <v>4340</v>
      </c>
      <c r="C1515" s="2" t="s">
        <v>17</v>
      </c>
      <c r="D1515" s="2" t="s">
        <v>105</v>
      </c>
      <c r="E1515" s="4">
        <v>-32351</v>
      </c>
      <c r="F1515" s="3" t="s">
        <v>2163</v>
      </c>
      <c r="G1515" s="3" t="s">
        <v>4351</v>
      </c>
      <c r="H1515" s="2" t="s">
        <v>148</v>
      </c>
      <c r="I1515" s="2" t="s">
        <v>4352</v>
      </c>
      <c r="J1515" s="3" t="str">
        <f>HYPERLINK("https://www.boe.es/gazeta/dias/1811/06/04/pdfs/GEI-1811-75.pdf#page=8","Abrir facsímil")</f>
        <v>Abrir facsímil</v>
      </c>
      <c r="K1515" s="3" t="s">
        <v>150</v>
      </c>
    </row>
    <row r="1516" spans="1:11" ht="42" customHeight="1">
      <c r="A1516" s="2" t="s">
        <v>4340</v>
      </c>
      <c r="B1516" s="2" t="s">
        <v>4340</v>
      </c>
      <c r="C1516" s="2" t="s">
        <v>17</v>
      </c>
      <c r="D1516" s="2" t="s">
        <v>18</v>
      </c>
      <c r="E1516" s="4">
        <v>-32349</v>
      </c>
      <c r="F1516" s="3" t="s">
        <v>239</v>
      </c>
      <c r="G1516" s="3" t="s">
        <v>162</v>
      </c>
      <c r="H1516" s="2" t="s">
        <v>148</v>
      </c>
      <c r="I1516" s="2" t="s">
        <v>4353</v>
      </c>
      <c r="J1516" s="3" t="str">
        <f>HYPERLINK("https://www.boe.es/gazeta/dias/1811/06/06/pdfs/GEI-1811-76.pdf#page=2","Abrir facsímil")</f>
        <v>Abrir facsímil</v>
      </c>
      <c r="K1516" s="3" t="s">
        <v>150</v>
      </c>
    </row>
    <row r="1517" spans="1:11" ht="42" customHeight="1">
      <c r="A1517" s="2" t="s">
        <v>4340</v>
      </c>
      <c r="B1517" s="2" t="s">
        <v>4340</v>
      </c>
      <c r="C1517" s="2" t="s">
        <v>17</v>
      </c>
      <c r="D1517" s="2" t="s">
        <v>18</v>
      </c>
      <c r="E1517" s="4">
        <v>-32349</v>
      </c>
      <c r="F1517" s="3" t="s">
        <v>239</v>
      </c>
      <c r="G1517" s="3" t="s">
        <v>1841</v>
      </c>
      <c r="H1517" s="2" t="s">
        <v>148</v>
      </c>
      <c r="I1517" s="2" t="s">
        <v>4354</v>
      </c>
      <c r="J1517" s="3" t="str">
        <f>HYPERLINK("https://www.boe.es/gazeta/dias/1811/06/06/pdfs/GEI-1811-76.pdf#page=3","Abrir facsímil")</f>
        <v>Abrir facsímil</v>
      </c>
      <c r="K1517" s="3" t="s">
        <v>150</v>
      </c>
    </row>
    <row r="1518" spans="1:11" ht="42" customHeight="1">
      <c r="A1518" s="2" t="s">
        <v>4340</v>
      </c>
      <c r="B1518" s="2" t="s">
        <v>4340</v>
      </c>
      <c r="C1518" s="2" t="s">
        <v>17</v>
      </c>
      <c r="D1518" s="2" t="s">
        <v>156</v>
      </c>
      <c r="E1518" s="4">
        <v>-32349</v>
      </c>
      <c r="F1518" s="3" t="s">
        <v>239</v>
      </c>
      <c r="G1518" s="3" t="s">
        <v>1995</v>
      </c>
      <c r="H1518" s="2" t="s">
        <v>148</v>
      </c>
      <c r="I1518" s="2" t="s">
        <v>4355</v>
      </c>
      <c r="J1518" s="3" t="str">
        <f>HYPERLINK("https://www.boe.es/gazeta/dias/1811/06/06/pdfs/GEI-1811-76.pdf#page=7","Abrir facsímil")</f>
        <v>Abrir facsímil</v>
      </c>
      <c r="K1518" s="3" t="s">
        <v>150</v>
      </c>
    </row>
    <row r="1519" spans="1:11" ht="42" customHeight="1">
      <c r="A1519" s="2" t="s">
        <v>4340</v>
      </c>
      <c r="B1519" s="2" t="s">
        <v>4340</v>
      </c>
      <c r="C1519" s="2" t="s">
        <v>17</v>
      </c>
      <c r="D1519" s="2" t="s">
        <v>18</v>
      </c>
      <c r="E1519" s="4">
        <v>-32340</v>
      </c>
      <c r="F1519" s="3" t="s">
        <v>565</v>
      </c>
      <c r="G1519" s="3" t="s">
        <v>1054</v>
      </c>
      <c r="H1519" s="2" t="s">
        <v>148</v>
      </c>
      <c r="I1519" s="2" t="s">
        <v>4356</v>
      </c>
      <c r="J1519" s="3" t="str">
        <f>HYPERLINK("https://www.boe.es/gazeta/dias/1811/06/15/pdfs/GEI-1811-80.pdf#page=3","Abrir facsímil")</f>
        <v>Abrir facsímil</v>
      </c>
      <c r="K1519" s="3" t="s">
        <v>150</v>
      </c>
    </row>
    <row r="1520" spans="1:11" ht="42" customHeight="1">
      <c r="A1520" s="2" t="s">
        <v>4340</v>
      </c>
      <c r="B1520" s="2" t="s">
        <v>4340</v>
      </c>
      <c r="C1520" s="2" t="s">
        <v>17</v>
      </c>
      <c r="D1520" s="2" t="s">
        <v>156</v>
      </c>
      <c r="E1520" s="4">
        <v>-32340</v>
      </c>
      <c r="F1520" s="3" t="s">
        <v>565</v>
      </c>
      <c r="G1520" s="3" t="s">
        <v>1489</v>
      </c>
      <c r="H1520" s="2" t="s">
        <v>148</v>
      </c>
      <c r="I1520" s="2" t="s">
        <v>4357</v>
      </c>
      <c r="J1520" s="3" t="str">
        <f>HYPERLINK("https://www.boe.es/gazeta/dias/1811/06/15/pdfs/GEI-1811-80.pdf#page=4","Abrir facsímil")</f>
        <v>Abrir facsímil</v>
      </c>
      <c r="K1520" s="3" t="s">
        <v>150</v>
      </c>
    </row>
    <row r="1521" spans="1:11" ht="42" customHeight="1">
      <c r="A1521" s="2" t="s">
        <v>4340</v>
      </c>
      <c r="B1521" s="2" t="s">
        <v>4340</v>
      </c>
      <c r="C1521" s="2" t="s">
        <v>17</v>
      </c>
      <c r="D1521" s="2" t="s">
        <v>18</v>
      </c>
      <c r="E1521" s="4">
        <v>-32330</v>
      </c>
      <c r="F1521" s="3" t="s">
        <v>1997</v>
      </c>
      <c r="G1521" s="3" t="s">
        <v>1463</v>
      </c>
      <c r="H1521" s="2" t="s">
        <v>148</v>
      </c>
      <c r="I1521" s="2" t="s">
        <v>4358</v>
      </c>
      <c r="J1521" s="3" t="str">
        <f>HYPERLINK("https://www.boe.es/gazeta/dias/1811/06/25/pdfs/GMD-1811-176.pdf#page=3","Abrir facsímil")</f>
        <v>Abrir facsímil</v>
      </c>
      <c r="K1521" s="3" t="s">
        <v>150</v>
      </c>
    </row>
    <row r="1522" spans="1:11" ht="42" customHeight="1">
      <c r="A1522" s="2" t="s">
        <v>4340</v>
      </c>
      <c r="B1522" s="2" t="s">
        <v>4340</v>
      </c>
      <c r="C1522" s="2" t="s">
        <v>17</v>
      </c>
      <c r="D1522" s="2" t="s">
        <v>18</v>
      </c>
      <c r="E1522" s="4">
        <v>-32288</v>
      </c>
      <c r="F1522" s="3" t="s">
        <v>95</v>
      </c>
      <c r="G1522" s="3" t="s">
        <v>4290</v>
      </c>
      <c r="H1522" s="2" t="s">
        <v>148</v>
      </c>
      <c r="I1522" s="2" t="s">
        <v>4359</v>
      </c>
      <c r="J1522" s="3" t="str">
        <f>HYPERLINK("https://www.boe.es/gazeta/dias/1811/08/06/pdfs/GEI-1811-102.pdf#page=5","Abrir facsímil")</f>
        <v>Abrir facsímil</v>
      </c>
      <c r="K1522" s="3" t="s">
        <v>150</v>
      </c>
    </row>
    <row r="1523" spans="1:11" ht="42" customHeight="1">
      <c r="A1523" s="2" t="s">
        <v>4340</v>
      </c>
      <c r="B1523" s="2" t="s">
        <v>4340</v>
      </c>
      <c r="C1523" s="2" t="s">
        <v>17</v>
      </c>
      <c r="D1523" s="2" t="s">
        <v>156</v>
      </c>
      <c r="E1523" s="4">
        <v>-32260</v>
      </c>
      <c r="F1523" s="3" t="s">
        <v>1773</v>
      </c>
      <c r="G1523" s="3" t="s">
        <v>57</v>
      </c>
      <c r="H1523" s="2" t="s">
        <v>148</v>
      </c>
      <c r="I1523" s="2" t="s">
        <v>4360</v>
      </c>
      <c r="J1523" s="3" t="str">
        <f>HYPERLINK("https://www.boe.es/gazeta/dias/1811/09/03/pdfs/GMD-1811-246.pdf#page=2","Abrir facsímil")</f>
        <v>Abrir facsímil</v>
      </c>
      <c r="K1523" s="3" t="s">
        <v>150</v>
      </c>
    </row>
    <row r="1524" spans="1:11" ht="42" customHeight="1">
      <c r="A1524" s="2" t="s">
        <v>4340</v>
      </c>
      <c r="B1524" s="2" t="s">
        <v>4340</v>
      </c>
      <c r="C1524" s="2" t="s">
        <v>17</v>
      </c>
      <c r="D1524" s="2" t="s">
        <v>18</v>
      </c>
      <c r="E1524" s="4">
        <v>-32244</v>
      </c>
      <c r="F1524" s="3" t="s">
        <v>4301</v>
      </c>
      <c r="G1524" s="3" t="s">
        <v>755</v>
      </c>
      <c r="H1524" s="2" t="s">
        <v>148</v>
      </c>
      <c r="I1524" s="2" t="s">
        <v>4361</v>
      </c>
      <c r="J1524" s="3" t="str">
        <f>HYPERLINK("https://www.boe.es/gazeta/dias/1811/09/19/pdfs/GEI-1811-121.pdf#page=6","Abrir facsímil")</f>
        <v>Abrir facsímil</v>
      </c>
      <c r="K1524" s="3" t="s">
        <v>150</v>
      </c>
    </row>
    <row r="1525" spans="1:11" ht="42" customHeight="1">
      <c r="A1525" s="2" t="s">
        <v>4340</v>
      </c>
      <c r="B1525" s="2" t="s">
        <v>4340</v>
      </c>
      <c r="C1525" s="2" t="s">
        <v>17</v>
      </c>
      <c r="D1525" s="2" t="s">
        <v>18</v>
      </c>
      <c r="E1525" s="4">
        <v>-32216</v>
      </c>
      <c r="F1525" s="3" t="s">
        <v>2739</v>
      </c>
      <c r="G1525" s="3" t="s">
        <v>4362</v>
      </c>
      <c r="H1525" s="2" t="s">
        <v>148</v>
      </c>
      <c r="I1525" s="2" t="s">
        <v>4363</v>
      </c>
      <c r="J1525" s="3" t="str">
        <f>HYPERLINK("https://www.boe.es/gazeta/dias/1811/10/17/pdfs/GEI-1811-134.pdf#page=3","Abrir facsímil")</f>
        <v>Abrir facsímil</v>
      </c>
      <c r="K1525" s="3" t="s">
        <v>150</v>
      </c>
    </row>
    <row r="1526" spans="1:11" ht="42" customHeight="1">
      <c r="A1526" s="2" t="s">
        <v>4340</v>
      </c>
      <c r="B1526" s="2" t="s">
        <v>4340</v>
      </c>
      <c r="C1526" s="2" t="s">
        <v>17</v>
      </c>
      <c r="D1526" s="2" t="s">
        <v>18</v>
      </c>
      <c r="E1526" s="4">
        <v>-32190</v>
      </c>
      <c r="F1526" s="3" t="s">
        <v>85</v>
      </c>
      <c r="G1526" s="3" t="s">
        <v>248</v>
      </c>
      <c r="H1526" s="2" t="s">
        <v>148</v>
      </c>
      <c r="I1526" s="2" t="s">
        <v>4364</v>
      </c>
      <c r="J1526" s="3" t="str">
        <f>HYPERLINK("https://www.boe.es/gazeta/dias/1811/11/12/pdfs/GEI-1811-148.pdf#page=5","Abrir facsímil")</f>
        <v>Abrir facsímil</v>
      </c>
      <c r="K1526" s="3" t="s">
        <v>150</v>
      </c>
    </row>
    <row r="1527" spans="1:11" ht="42" customHeight="1">
      <c r="A1527" s="2" t="s">
        <v>4365</v>
      </c>
      <c r="B1527" s="2" t="s">
        <v>4366</v>
      </c>
      <c r="C1527" s="2" t="s">
        <v>26</v>
      </c>
      <c r="D1527" s="2" t="s">
        <v>105</v>
      </c>
      <c r="E1527" s="4">
        <v>-32445</v>
      </c>
      <c r="F1527" s="3" t="s">
        <v>880</v>
      </c>
      <c r="G1527" s="3" t="s">
        <v>881</v>
      </c>
      <c r="H1527" s="2" t="s">
        <v>148</v>
      </c>
      <c r="I1527" s="2" t="s">
        <v>4367</v>
      </c>
      <c r="J1527" s="3" t="str">
        <f>HYPERLINK("https://www.boe.es/gazeta/dias/1811/03/02/pdfs/GMD-1811-61.pdf#page=3","Abrir facsímil")</f>
        <v>Abrir facsímil</v>
      </c>
      <c r="K1527" s="3" t="s">
        <v>150</v>
      </c>
    </row>
    <row r="1528" spans="1:11" ht="42" customHeight="1">
      <c r="A1528" s="2" t="s">
        <v>4368</v>
      </c>
      <c r="B1528" s="2" t="s">
        <v>4369</v>
      </c>
      <c r="C1528" s="2" t="s">
        <v>26</v>
      </c>
      <c r="D1528" s="2" t="s">
        <v>18</v>
      </c>
      <c r="E1528" s="4">
        <v>-32396</v>
      </c>
      <c r="F1528" s="3" t="s">
        <v>1267</v>
      </c>
      <c r="G1528" s="3" t="s">
        <v>382</v>
      </c>
      <c r="H1528" s="2" t="s">
        <v>148</v>
      </c>
      <c r="I1528" s="2" t="s">
        <v>4370</v>
      </c>
      <c r="J1528" s="3" t="str">
        <f>HYPERLINK("https://www.boe.es/gazeta/dias/1811/04/20/pdfs/GMD-1811-110.pdf#page=2","Abrir facsímil")</f>
        <v>Abrir facsímil</v>
      </c>
      <c r="K1528" s="3" t="s">
        <v>150</v>
      </c>
    </row>
    <row r="1529" spans="1:11" ht="42" customHeight="1">
      <c r="A1529" s="2" t="s">
        <v>4371</v>
      </c>
      <c r="B1529" s="2" t="s">
        <v>4372</v>
      </c>
      <c r="C1529" s="2" t="s">
        <v>17</v>
      </c>
      <c r="D1529" s="2" t="s">
        <v>156</v>
      </c>
      <c r="E1529" s="4">
        <v>-32489</v>
      </c>
      <c r="F1529" s="3" t="s">
        <v>2073</v>
      </c>
      <c r="G1529" s="3" t="s">
        <v>44</v>
      </c>
      <c r="H1529" s="2" t="s">
        <v>148</v>
      </c>
      <c r="I1529" s="2" t="s">
        <v>4373</v>
      </c>
      <c r="J1529" s="3" t="str">
        <f>HYPERLINK("https://www.boe.es/gazeta/dias/1811/01/17/pdfs/GEI-1811-8.pdf#page=8","Abrir facsímil")</f>
        <v>Abrir facsímil</v>
      </c>
      <c r="K1529" s="3" t="s">
        <v>150</v>
      </c>
    </row>
    <row r="1530" spans="1:11" ht="42" customHeight="1">
      <c r="A1530" s="2" t="s">
        <v>4374</v>
      </c>
      <c r="B1530" s="2" t="s">
        <v>4374</v>
      </c>
      <c r="C1530" s="2" t="s">
        <v>17</v>
      </c>
      <c r="D1530" s="2" t="s">
        <v>156</v>
      </c>
      <c r="E1530" s="4">
        <v>-32162</v>
      </c>
      <c r="F1530" s="3" t="s">
        <v>4375</v>
      </c>
      <c r="G1530" s="3" t="s">
        <v>20</v>
      </c>
      <c r="H1530" s="2" t="s">
        <v>148</v>
      </c>
      <c r="I1530" s="2" t="s">
        <v>4376</v>
      </c>
      <c r="J1530" s="3" t="str">
        <f>HYPERLINK("https://www.boe.es/gazeta/dias/1811/12/10/pdfs/GMD-1811-344.pdf#page=2","Abrir facsímil")</f>
        <v>Abrir facsímil</v>
      </c>
      <c r="K1530" s="3" t="s">
        <v>150</v>
      </c>
    </row>
    <row r="1531" spans="1:11" ht="42" customHeight="1">
      <c r="A1531" s="2" t="s">
        <v>4377</v>
      </c>
      <c r="B1531" s="2" t="s">
        <v>4378</v>
      </c>
      <c r="C1531" s="2" t="s">
        <v>37</v>
      </c>
      <c r="D1531" s="2" t="s">
        <v>18</v>
      </c>
      <c r="E1531" s="4">
        <v>-32416</v>
      </c>
      <c r="F1531" s="3" t="s">
        <v>954</v>
      </c>
      <c r="G1531" s="3" t="s">
        <v>47</v>
      </c>
      <c r="H1531" s="2" t="s">
        <v>148</v>
      </c>
      <c r="I1531" s="2" t="s">
        <v>4379</v>
      </c>
      <c r="J1531" s="3" t="str">
        <f>HYPERLINK("https://www.boe.es/gazeta/dias/1811/03/31/pdfs/GMD-1811-90.pdf#page=3","Abrir facsímil")</f>
        <v>Abrir facsímil</v>
      </c>
      <c r="K1531" s="3" t="s">
        <v>150</v>
      </c>
    </row>
    <row r="1532" spans="1:11" ht="42" customHeight="1">
      <c r="A1532" s="2" t="s">
        <v>4380</v>
      </c>
      <c r="B1532" s="2" t="s">
        <v>4381</v>
      </c>
      <c r="C1532" s="2" t="s">
        <v>17</v>
      </c>
      <c r="D1532" s="2" t="s">
        <v>156</v>
      </c>
      <c r="E1532" s="4">
        <v>-32309</v>
      </c>
      <c r="F1532" s="3" t="s">
        <v>2496</v>
      </c>
      <c r="G1532" s="3" t="s">
        <v>47</v>
      </c>
      <c r="H1532" s="2" t="s">
        <v>148</v>
      </c>
      <c r="I1532" s="2" t="s">
        <v>4382</v>
      </c>
      <c r="J1532" s="3" t="str">
        <f>HYPERLINK("https://www.boe.es/gazeta/dias/1811/07/16/pdfs/GEI-1811-93.pdf#page=8","Abrir facsímil")</f>
        <v>Abrir facsímil</v>
      </c>
      <c r="K1532" s="3" t="s">
        <v>150</v>
      </c>
    </row>
    <row r="1533" spans="1:11" ht="42" customHeight="1">
      <c r="A1533" s="2" t="s">
        <v>4383</v>
      </c>
      <c r="B1533" s="2" t="s">
        <v>4384</v>
      </c>
      <c r="C1533" s="2" t="s">
        <v>17</v>
      </c>
      <c r="D1533" s="2" t="s">
        <v>156</v>
      </c>
      <c r="E1533" s="4">
        <v>-32416</v>
      </c>
      <c r="F1533" s="3" t="s">
        <v>954</v>
      </c>
      <c r="G1533" s="3" t="s">
        <v>47</v>
      </c>
      <c r="H1533" s="2" t="s">
        <v>148</v>
      </c>
      <c r="I1533" s="2" t="s">
        <v>4385</v>
      </c>
      <c r="J1533" s="3" t="str">
        <f>HYPERLINK("https://www.boe.es/gazeta/dias/1811/03/31/pdfs/GMD-1811-90.pdf#page=3","Abrir facsímil")</f>
        <v>Abrir facsímil</v>
      </c>
      <c r="K1533" s="3" t="s">
        <v>150</v>
      </c>
    </row>
    <row r="1534" spans="1:11" ht="42" customHeight="1">
      <c r="A1534" s="2" t="s">
        <v>4386</v>
      </c>
      <c r="B1534" s="2" t="s">
        <v>4387</v>
      </c>
      <c r="C1534" s="2" t="s">
        <v>26</v>
      </c>
      <c r="D1534" s="2" t="s">
        <v>18</v>
      </c>
      <c r="E1534" s="4">
        <v>-32265</v>
      </c>
      <c r="F1534" s="3" t="s">
        <v>2375</v>
      </c>
      <c r="G1534" s="3" t="s">
        <v>2376</v>
      </c>
      <c r="H1534" s="2" t="s">
        <v>148</v>
      </c>
      <c r="I1534" s="2" t="s">
        <v>4388</v>
      </c>
      <c r="J1534" s="3" t="str">
        <f>HYPERLINK("https://www.boe.es/gazeta/dias/1811/08/29/pdfs/GEI-1811-112.pdf#page=5","Abrir facsímil")</f>
        <v>Abrir facsímil</v>
      </c>
      <c r="K1534" s="3" t="s">
        <v>150</v>
      </c>
    </row>
    <row r="1535" spans="1:11" ht="42" customHeight="1">
      <c r="A1535" s="2" t="s">
        <v>4389</v>
      </c>
      <c r="B1535" s="2" t="s">
        <v>4390</v>
      </c>
      <c r="C1535" s="2" t="s">
        <v>26</v>
      </c>
      <c r="D1535" s="2" t="s">
        <v>18</v>
      </c>
      <c r="E1535" s="4">
        <v>-32379</v>
      </c>
      <c r="F1535" s="3" t="s">
        <v>462</v>
      </c>
      <c r="G1535" s="3" t="s">
        <v>463</v>
      </c>
      <c r="H1535" s="2" t="s">
        <v>148</v>
      </c>
      <c r="I1535" s="2" t="s">
        <v>4391</v>
      </c>
      <c r="J1535" s="3" t="str">
        <f>HYPERLINK("https://www.boe.es/gazeta/dias/1811/05/07/pdfs/GEI-1811-60.pdf#page=8","Abrir facsímil")</f>
        <v>Abrir facsímil</v>
      </c>
      <c r="K1535" s="3" t="s">
        <v>150</v>
      </c>
    </row>
    <row r="1536" spans="1:11" ht="42" customHeight="1">
      <c r="A1536" s="2" t="s">
        <v>4392</v>
      </c>
      <c r="B1536" s="2" t="s">
        <v>4393</v>
      </c>
      <c r="C1536" s="2" t="s">
        <v>26</v>
      </c>
      <c r="D1536" s="2" t="s">
        <v>141</v>
      </c>
      <c r="E1536" s="4">
        <v>-32355</v>
      </c>
      <c r="F1536" s="3" t="s">
        <v>537</v>
      </c>
      <c r="G1536" s="3" t="s">
        <v>44</v>
      </c>
      <c r="H1536" s="2" t="s">
        <v>148</v>
      </c>
      <c r="I1536" s="2" t="s">
        <v>4394</v>
      </c>
      <c r="J1536" s="3" t="str">
        <f>HYPERLINK("https://www.boe.es/gazeta/dias/1811/05/31/pdfs/GMD-C-1811-151.pdf#page=2","Abrir facsímil")</f>
        <v>Abrir facsímil</v>
      </c>
      <c r="K1536" s="3" t="s">
        <v>150</v>
      </c>
    </row>
    <row r="1537" spans="1:11" ht="42" customHeight="1">
      <c r="A1537" s="2" t="s">
        <v>4395</v>
      </c>
      <c r="B1537" s="2" t="s">
        <v>4396</v>
      </c>
      <c r="C1537" s="2" t="s">
        <v>17</v>
      </c>
      <c r="D1537" s="2" t="s">
        <v>18</v>
      </c>
      <c r="E1537" s="4">
        <v>-32210</v>
      </c>
      <c r="F1537" s="3" t="s">
        <v>1737</v>
      </c>
      <c r="G1537" s="3" t="s">
        <v>248</v>
      </c>
      <c r="H1537" s="2" t="s">
        <v>148</v>
      </c>
      <c r="I1537" s="2" t="s">
        <v>4397</v>
      </c>
      <c r="J1537" s="3" t="str">
        <f>HYPERLINK("https://www.boe.es/gazeta/dias/1811/10/23/pdfs/GMD-1811-296.pdf#page=5","Abrir facsímil")</f>
        <v>Abrir facsímil</v>
      </c>
      <c r="K1537" s="3" t="s">
        <v>150</v>
      </c>
    </row>
    <row r="1538" spans="1:11" ht="42" customHeight="1">
      <c r="A1538" s="2" t="s">
        <v>4398</v>
      </c>
      <c r="B1538" s="2" t="s">
        <v>4399</v>
      </c>
      <c r="C1538" s="2" t="s">
        <v>26</v>
      </c>
      <c r="D1538" s="2" t="s">
        <v>18</v>
      </c>
      <c r="E1538" s="4">
        <v>-32155</v>
      </c>
      <c r="F1538" s="3" t="s">
        <v>263</v>
      </c>
      <c r="G1538" s="3" t="s">
        <v>264</v>
      </c>
      <c r="H1538" s="2" t="s">
        <v>148</v>
      </c>
      <c r="I1538" s="2" t="s">
        <v>4400</v>
      </c>
      <c r="J1538" s="3" t="str">
        <f>HYPERLINK("https://www.boe.es/gazeta/dias/1811/12/17/pdfs/GEI-1811-163.pdf#page=8","Abrir facsímil")</f>
        <v>Abrir facsímil</v>
      </c>
      <c r="K1538" s="3" t="s">
        <v>150</v>
      </c>
    </row>
    <row r="1539" spans="1:11" ht="42" customHeight="1">
      <c r="A1539" s="2" t="s">
        <v>4401</v>
      </c>
      <c r="B1539" s="2" t="s">
        <v>4402</v>
      </c>
      <c r="C1539" s="2" t="s">
        <v>26</v>
      </c>
      <c r="D1539" s="2" t="s">
        <v>18</v>
      </c>
      <c r="E1539" s="4">
        <v>-32143</v>
      </c>
      <c r="F1539" s="3" t="s">
        <v>1455</v>
      </c>
      <c r="G1539" s="3" t="s">
        <v>183</v>
      </c>
      <c r="H1539" s="2" t="s">
        <v>148</v>
      </c>
      <c r="I1539" s="2" t="s">
        <v>4403</v>
      </c>
      <c r="J1539" s="3" t="str">
        <f>HYPERLINK("https://www.boe.es/gazeta/dias/1811/12/29/pdfs/GMD-1811-363.pdf#page=4","Abrir facsímil")</f>
        <v>Abrir facsímil</v>
      </c>
      <c r="K1539" s="3" t="s">
        <v>150</v>
      </c>
    </row>
    <row r="1540" spans="1:11" ht="42" customHeight="1">
      <c r="A1540" s="2" t="s">
        <v>4404</v>
      </c>
      <c r="B1540" s="2" t="s">
        <v>4405</v>
      </c>
      <c r="C1540" s="2" t="s">
        <v>17</v>
      </c>
      <c r="D1540" s="2" t="s">
        <v>105</v>
      </c>
      <c r="E1540" s="4">
        <v>-32232</v>
      </c>
      <c r="F1540" s="3" t="s">
        <v>1816</v>
      </c>
      <c r="G1540" s="3" t="s">
        <v>1817</v>
      </c>
      <c r="H1540" s="2" t="s">
        <v>148</v>
      </c>
      <c r="I1540" s="2" t="s">
        <v>4406</v>
      </c>
      <c r="J1540" s="3" t="str">
        <f>HYPERLINK("https://www.boe.es/gazeta/dias/1811/10/01/pdfs/GEI-1811-126.pdf#page=8","Abrir facsímil")</f>
        <v>Abrir facsímil</v>
      </c>
      <c r="K1540" s="3" t="s">
        <v>150</v>
      </c>
    </row>
    <row r="1541" spans="1:11" ht="42" customHeight="1">
      <c r="A1541" s="2" t="s">
        <v>4407</v>
      </c>
      <c r="B1541" s="2" t="s">
        <v>4408</v>
      </c>
      <c r="C1541" s="2" t="s">
        <v>17</v>
      </c>
      <c r="D1541" s="2" t="s">
        <v>105</v>
      </c>
      <c r="E1541" s="4">
        <v>-32192</v>
      </c>
      <c r="F1541" s="3" t="s">
        <v>673</v>
      </c>
      <c r="G1541" s="3" t="s">
        <v>305</v>
      </c>
      <c r="H1541" s="2" t="s">
        <v>148</v>
      </c>
      <c r="I1541" s="2" t="s">
        <v>4409</v>
      </c>
      <c r="J1541" s="3" t="str">
        <f>HYPERLINK("https://www.boe.es/gazeta/dias/1811/11/10/pdfs/GMD-1811-314.pdf#page=4","Abrir facsímil")</f>
        <v>Abrir facsímil</v>
      </c>
      <c r="K1541" s="3" t="s">
        <v>150</v>
      </c>
    </row>
    <row r="1542" spans="1:11" ht="42" customHeight="1">
      <c r="A1542" s="2" t="s">
        <v>4410</v>
      </c>
      <c r="B1542" s="2" t="s">
        <v>4411</v>
      </c>
      <c r="C1542" s="2" t="s">
        <v>26</v>
      </c>
      <c r="D1542" s="2" t="s">
        <v>18</v>
      </c>
      <c r="E1542" s="4">
        <v>-32503</v>
      </c>
      <c r="F1542" s="3" t="s">
        <v>487</v>
      </c>
      <c r="G1542" s="3" t="s">
        <v>1930</v>
      </c>
      <c r="H1542" s="2" t="s">
        <v>148</v>
      </c>
      <c r="I1542" s="2" t="s">
        <v>4412</v>
      </c>
      <c r="J1542" s="3" t="str">
        <f>HYPERLINK("https://www.boe.es/gazeta/dias/1811/01/03/pdfs/GEI-1811-2.pdf#page=8","Abrir facsímil")</f>
        <v>Abrir facsímil</v>
      </c>
      <c r="K1542" s="3" t="s">
        <v>150</v>
      </c>
    </row>
    <row r="1543" spans="1:11" ht="42" customHeight="1">
      <c r="A1543" s="2" t="s">
        <v>4413</v>
      </c>
      <c r="B1543" s="2" t="s">
        <v>4413</v>
      </c>
      <c r="C1543" s="2" t="s">
        <v>26</v>
      </c>
      <c r="D1543" s="2" t="s">
        <v>18</v>
      </c>
      <c r="E1543" s="4">
        <v>-32465</v>
      </c>
      <c r="F1543" s="3" t="s">
        <v>4414</v>
      </c>
      <c r="G1543" s="3" t="s">
        <v>515</v>
      </c>
      <c r="H1543" s="2" t="s">
        <v>148</v>
      </c>
      <c r="I1543" s="2" t="s">
        <v>4415</v>
      </c>
      <c r="J1543" s="3" t="str">
        <f>HYPERLINK("https://www.boe.es/gazeta/dias/1811/02/10/pdfs/GMD-1811-41.pdf#page=1","Abrir facsímil")</f>
        <v>Abrir facsímil</v>
      </c>
      <c r="K1543" s="3" t="s">
        <v>150</v>
      </c>
    </row>
    <row r="1544" spans="1:11" ht="42" customHeight="1">
      <c r="A1544" s="2" t="s">
        <v>4413</v>
      </c>
      <c r="B1544" s="2" t="s">
        <v>4413</v>
      </c>
      <c r="C1544" s="2" t="s">
        <v>84</v>
      </c>
      <c r="D1544" s="2" t="s">
        <v>204</v>
      </c>
      <c r="E1544" s="4">
        <v>-32414</v>
      </c>
      <c r="F1544" s="3" t="s">
        <v>2588</v>
      </c>
      <c r="G1544" s="3" t="s">
        <v>39</v>
      </c>
      <c r="H1544" s="2" t="s">
        <v>148</v>
      </c>
      <c r="I1544" s="2" t="s">
        <v>4416</v>
      </c>
      <c r="J1544" s="3" t="str">
        <f>HYPERLINK("https://www.boe.es/gazeta/dias/1811/04/02/pdfs/GMD-1811-92.pdf#page=1","Abrir facsímil")</f>
        <v>Abrir facsímil</v>
      </c>
      <c r="K1544" s="3" t="s">
        <v>150</v>
      </c>
    </row>
    <row r="1545" spans="1:11" ht="42" customHeight="1">
      <c r="A1545" s="2" t="s">
        <v>4417</v>
      </c>
      <c r="B1545" s="2" t="s">
        <v>4418</v>
      </c>
      <c r="C1545" s="2" t="s">
        <v>26</v>
      </c>
      <c r="D1545" s="2" t="s">
        <v>18</v>
      </c>
      <c r="E1545" s="4">
        <v>-32172</v>
      </c>
      <c r="F1545" s="3" t="s">
        <v>300</v>
      </c>
      <c r="G1545" s="3" t="s">
        <v>305</v>
      </c>
      <c r="H1545" s="2" t="s">
        <v>148</v>
      </c>
      <c r="I1545" s="2" t="s">
        <v>4419</v>
      </c>
      <c r="J1545" s="3" t="str">
        <f>HYPERLINK("https://www.boe.es/gazeta/dias/1811/11/30/pdfs/GMD-1811-334.pdf#page=3","Abrir facsímil")</f>
        <v>Abrir facsímil</v>
      </c>
      <c r="K1545" s="3" t="s">
        <v>150</v>
      </c>
    </row>
    <row r="1546" spans="1:11" ht="42" customHeight="1">
      <c r="A1546" s="2" t="s">
        <v>4420</v>
      </c>
      <c r="B1546" s="2" t="s">
        <v>4421</v>
      </c>
      <c r="C1546" s="2" t="s">
        <v>26</v>
      </c>
      <c r="D1546" s="2" t="s">
        <v>18</v>
      </c>
      <c r="E1546" s="4">
        <v>-32172</v>
      </c>
      <c r="F1546" s="3" t="s">
        <v>300</v>
      </c>
      <c r="G1546" s="3" t="s">
        <v>301</v>
      </c>
      <c r="H1546" s="2" t="s">
        <v>148</v>
      </c>
      <c r="I1546" s="2" t="s">
        <v>4422</v>
      </c>
      <c r="J1546" s="3" t="str">
        <f>HYPERLINK("https://www.boe.es/gazeta/dias/1811/11/30/pdfs/GMD-1811-334.pdf#page=4","Abrir facsímil")</f>
        <v>Abrir facsímil</v>
      </c>
      <c r="K1546" s="3" t="s">
        <v>150</v>
      </c>
    </row>
    <row r="1547" spans="1:11" ht="42" customHeight="1">
      <c r="A1547" s="2" t="s">
        <v>4423</v>
      </c>
      <c r="B1547" s="2" t="s">
        <v>4424</v>
      </c>
      <c r="C1547" s="2" t="s">
        <v>26</v>
      </c>
      <c r="D1547" s="2" t="s">
        <v>18</v>
      </c>
      <c r="E1547" s="4">
        <v>-32188</v>
      </c>
      <c r="F1547" s="3" t="s">
        <v>356</v>
      </c>
      <c r="G1547" s="3" t="s">
        <v>248</v>
      </c>
      <c r="H1547" s="2" t="s">
        <v>148</v>
      </c>
      <c r="I1547" s="2" t="s">
        <v>4425</v>
      </c>
      <c r="J1547" s="3" t="str">
        <f>HYPERLINK("https://www.boe.es/gazeta/dias/1811/11/14/pdfs/GMD-1811-318.pdf#page=5","Abrir facsímil")</f>
        <v>Abrir facsímil</v>
      </c>
      <c r="K1547" s="3" t="s">
        <v>150</v>
      </c>
    </row>
    <row r="1548" spans="1:11" ht="42" customHeight="1">
      <c r="A1548" s="2" t="s">
        <v>4426</v>
      </c>
      <c r="B1548" s="2" t="s">
        <v>4427</v>
      </c>
      <c r="C1548" s="2" t="s">
        <v>17</v>
      </c>
      <c r="D1548" s="2" t="s">
        <v>18</v>
      </c>
      <c r="E1548" s="4">
        <v>-32356</v>
      </c>
      <c r="F1548" s="3" t="s">
        <v>1992</v>
      </c>
      <c r="G1548" s="3" t="s">
        <v>20</v>
      </c>
      <c r="H1548" s="2" t="s">
        <v>148</v>
      </c>
      <c r="I1548" s="2" t="s">
        <v>4428</v>
      </c>
      <c r="J1548" s="3" t="str">
        <f>HYPERLINK("https://www.boe.es/gazeta/dias/1811/05/30/pdfs/GEI-1811-73.pdf#page=3","Abrir facsímil")</f>
        <v>Abrir facsímil</v>
      </c>
      <c r="K1548" s="3" t="s">
        <v>150</v>
      </c>
    </row>
    <row r="1549" spans="1:11" ht="42" customHeight="1">
      <c r="A1549" s="2" t="s">
        <v>4429</v>
      </c>
      <c r="B1549" s="2" t="s">
        <v>4430</v>
      </c>
      <c r="C1549" s="2" t="s">
        <v>26</v>
      </c>
      <c r="D1549" s="2" t="s">
        <v>18</v>
      </c>
      <c r="E1549" s="4">
        <v>-32153</v>
      </c>
      <c r="F1549" s="3" t="s">
        <v>123</v>
      </c>
      <c r="G1549" s="3" t="s">
        <v>1067</v>
      </c>
      <c r="H1549" s="2" t="s">
        <v>148</v>
      </c>
      <c r="I1549" s="2" t="s">
        <v>4431</v>
      </c>
      <c r="J1549" s="3" t="str">
        <f>HYPERLINK("https://www.boe.es/gazeta/dias/1811/12/19/pdfs/GMD-1811-353.pdf#page=5","Abrir facsímil")</f>
        <v>Abrir facsímil</v>
      </c>
      <c r="K1549" s="3" t="s">
        <v>150</v>
      </c>
    </row>
    <row r="1550" spans="1:11" ht="42" customHeight="1">
      <c r="A1550" s="2" t="s">
        <v>4432</v>
      </c>
      <c r="B1550" s="2" t="s">
        <v>4432</v>
      </c>
      <c r="C1550" s="2" t="s">
        <v>17</v>
      </c>
      <c r="D1550" s="2" t="s">
        <v>18</v>
      </c>
      <c r="E1550" s="4">
        <v>-32409</v>
      </c>
      <c r="F1550" s="3" t="s">
        <v>4433</v>
      </c>
      <c r="G1550" s="3" t="s">
        <v>4434</v>
      </c>
      <c r="H1550" s="2" t="s">
        <v>148</v>
      </c>
      <c r="I1550" s="2" t="s">
        <v>4435</v>
      </c>
      <c r="J1550" s="3" t="str">
        <f>HYPERLINK("https://www.boe.es/gazeta/dias/1811/04/07/pdfs/GMD-1811-97.pdf#page=3","Abrir facsímil")</f>
        <v>Abrir facsímil</v>
      </c>
      <c r="K1550" s="3" t="s">
        <v>150</v>
      </c>
    </row>
    <row r="1551" spans="1:11" ht="42" customHeight="1">
      <c r="A1551" s="2" t="s">
        <v>4436</v>
      </c>
      <c r="B1551" s="2" t="s">
        <v>4437</v>
      </c>
      <c r="C1551" s="2" t="s">
        <v>26</v>
      </c>
      <c r="D1551" s="2" t="s">
        <v>18</v>
      </c>
      <c r="E1551" s="4">
        <v>-32300</v>
      </c>
      <c r="F1551" s="3" t="s">
        <v>492</v>
      </c>
      <c r="G1551" s="3" t="s">
        <v>493</v>
      </c>
      <c r="H1551" s="2" t="s">
        <v>148</v>
      </c>
      <c r="I1551" s="2" t="s">
        <v>4438</v>
      </c>
      <c r="J1551" s="3" t="str">
        <f>HYPERLINK("https://www.boe.es/gazeta/dias/1811/07/25/pdfs/GMD-1811-206.pdf#page=4","Abrir facsímil")</f>
        <v>Abrir facsímil</v>
      </c>
      <c r="K1551" s="3" t="s">
        <v>150</v>
      </c>
    </row>
    <row r="1552" spans="1:11" ht="42" customHeight="1">
      <c r="A1552" s="2" t="s">
        <v>4439</v>
      </c>
      <c r="B1552" s="2" t="s">
        <v>4440</v>
      </c>
      <c r="C1552" s="2" t="s">
        <v>17</v>
      </c>
      <c r="D1552" s="2" t="s">
        <v>18</v>
      </c>
      <c r="E1552" s="4">
        <v>-32233</v>
      </c>
      <c r="F1552" s="3" t="s">
        <v>3504</v>
      </c>
      <c r="G1552" s="3" t="s">
        <v>178</v>
      </c>
      <c r="H1552" s="2" t="s">
        <v>148</v>
      </c>
      <c r="I1552" s="2" t="s">
        <v>4441</v>
      </c>
      <c r="J1552" s="3" t="str">
        <f>HYPERLINK("https://www.boe.es/gazeta/dias/1811/09/30/pdfs/GMD-1811-273.pdf#page=4","Abrir facsímil")</f>
        <v>Abrir facsímil</v>
      </c>
      <c r="K1552" s="3" t="s">
        <v>150</v>
      </c>
    </row>
    <row r="1553" spans="1:11" ht="42" customHeight="1">
      <c r="A1553" s="2" t="s">
        <v>4442</v>
      </c>
      <c r="B1553" s="2" t="s">
        <v>4443</v>
      </c>
      <c r="C1553" s="2" t="s">
        <v>26</v>
      </c>
      <c r="D1553" s="2" t="s">
        <v>18</v>
      </c>
      <c r="E1553" s="4">
        <v>-32188</v>
      </c>
      <c r="F1553" s="3" t="s">
        <v>356</v>
      </c>
      <c r="G1553" s="3" t="s">
        <v>468</v>
      </c>
      <c r="H1553" s="2" t="s">
        <v>148</v>
      </c>
      <c r="I1553" s="2" t="s">
        <v>4444</v>
      </c>
      <c r="J1553" s="3" t="str">
        <f>HYPERLINK("https://www.boe.es/gazeta/dias/1811/11/14/pdfs/GMD-1811-318.pdf#page=6","Abrir facsímil")</f>
        <v>Abrir facsímil</v>
      </c>
      <c r="K1553" s="3" t="s">
        <v>150</v>
      </c>
    </row>
    <row r="1554" spans="1:11" ht="42" customHeight="1">
      <c r="A1554" s="2" t="s">
        <v>4445</v>
      </c>
      <c r="B1554" s="2" t="s">
        <v>4446</v>
      </c>
      <c r="C1554" s="2" t="s">
        <v>104</v>
      </c>
      <c r="D1554" s="2" t="s">
        <v>18</v>
      </c>
      <c r="E1554" s="4">
        <v>-32172</v>
      </c>
      <c r="F1554" s="3" t="s">
        <v>300</v>
      </c>
      <c r="G1554" s="3" t="s">
        <v>301</v>
      </c>
      <c r="H1554" s="2" t="s">
        <v>148</v>
      </c>
      <c r="I1554" s="2" t="s">
        <v>4447</v>
      </c>
      <c r="J1554" s="3" t="str">
        <f>HYPERLINK("https://www.boe.es/gazeta/dias/1811/11/30/pdfs/GMD-1811-334.pdf#page=4","Abrir facsímil")</f>
        <v>Abrir facsímil</v>
      </c>
      <c r="K1554" s="3" t="s">
        <v>150</v>
      </c>
    </row>
    <row r="1555" spans="1:11" ht="42" customHeight="1">
      <c r="A1555" s="2" t="s">
        <v>4448</v>
      </c>
      <c r="B1555" s="2" t="s">
        <v>4448</v>
      </c>
      <c r="C1555" s="2" t="s">
        <v>26</v>
      </c>
      <c r="D1555" s="2" t="s">
        <v>18</v>
      </c>
      <c r="E1555" s="4">
        <v>-32279</v>
      </c>
      <c r="F1555" s="3" t="s">
        <v>540</v>
      </c>
      <c r="G1555" s="3" t="s">
        <v>20</v>
      </c>
      <c r="H1555" s="2" t="s">
        <v>148</v>
      </c>
      <c r="I1555" s="2" t="s">
        <v>4449</v>
      </c>
      <c r="J1555" s="3" t="str">
        <f>HYPERLINK("https://www.boe.es/gazeta/dias/1811/08/15/pdfs/GMD-1811-227.pdf#page=4","Abrir facsímil")</f>
        <v>Abrir facsímil</v>
      </c>
      <c r="K1555" s="3" t="s">
        <v>150</v>
      </c>
    </row>
    <row r="1556" spans="1:11" ht="42" customHeight="1">
      <c r="A1556" s="2" t="s">
        <v>4448</v>
      </c>
      <c r="B1556" s="2" t="s">
        <v>4448</v>
      </c>
      <c r="C1556" s="2" t="s">
        <v>17</v>
      </c>
      <c r="D1556" s="2" t="s">
        <v>156</v>
      </c>
      <c r="E1556" s="4">
        <v>-32253</v>
      </c>
      <c r="F1556" s="3" t="s">
        <v>581</v>
      </c>
      <c r="G1556" s="3" t="s">
        <v>4450</v>
      </c>
      <c r="H1556" s="2" t="s">
        <v>148</v>
      </c>
      <c r="I1556" s="2" t="s">
        <v>4451</v>
      </c>
      <c r="J1556" s="3" t="str">
        <f>HYPERLINK("https://www.boe.es/gazeta/dias/1811/09/10/pdfs/GEI-1811-117.pdf#page=8","Abrir facsímil")</f>
        <v>Abrir facsímil</v>
      </c>
      <c r="K1556" s="3" t="s">
        <v>150</v>
      </c>
    </row>
    <row r="1557" spans="1:11" ht="42" customHeight="1">
      <c r="A1557" s="2" t="s">
        <v>4448</v>
      </c>
      <c r="B1557" s="2" t="s">
        <v>4448</v>
      </c>
      <c r="C1557" s="2" t="s">
        <v>26</v>
      </c>
      <c r="D1557" s="2" t="s">
        <v>18</v>
      </c>
      <c r="E1557" s="4">
        <v>-32188</v>
      </c>
      <c r="F1557" s="3" t="s">
        <v>356</v>
      </c>
      <c r="G1557" s="3" t="s">
        <v>248</v>
      </c>
      <c r="H1557" s="2" t="s">
        <v>148</v>
      </c>
      <c r="I1557" s="2" t="s">
        <v>4452</v>
      </c>
      <c r="J1557" s="3" t="str">
        <f>HYPERLINK("https://www.boe.es/gazeta/dias/1811/11/14/pdfs/GMD-1811-318.pdf#page=5","Abrir facsímil")</f>
        <v>Abrir facsímil</v>
      </c>
      <c r="K1557" s="3" t="s">
        <v>150</v>
      </c>
    </row>
    <row r="1558" spans="1:11" ht="42" customHeight="1">
      <c r="A1558" s="2" t="s">
        <v>4453</v>
      </c>
      <c r="B1558" s="2" t="s">
        <v>4454</v>
      </c>
      <c r="C1558" s="2" t="s">
        <v>26</v>
      </c>
      <c r="D1558" s="2" t="s">
        <v>141</v>
      </c>
      <c r="E1558" s="4">
        <v>-32188</v>
      </c>
      <c r="F1558" s="3" t="s">
        <v>505</v>
      </c>
      <c r="G1558" s="3" t="s">
        <v>47</v>
      </c>
      <c r="H1558" s="2" t="s">
        <v>148</v>
      </c>
      <c r="I1558" s="2" t="s">
        <v>4455</v>
      </c>
      <c r="J1558" s="3" t="str">
        <f>HYPERLINK("https://www.boe.es/gazeta/dias/1811/11/14/pdfs/GEI-D-1811-149.pdf#page=3","Abrir facsímil")</f>
        <v>Abrir facsímil</v>
      </c>
      <c r="K1558" s="3" t="s">
        <v>150</v>
      </c>
    </row>
    <row r="1559" spans="1:11" ht="42" customHeight="1">
      <c r="A1559" s="2" t="s">
        <v>4456</v>
      </c>
      <c r="B1559" s="2" t="s">
        <v>4457</v>
      </c>
      <c r="C1559" s="2" t="s">
        <v>17</v>
      </c>
      <c r="D1559" s="2" t="s">
        <v>156</v>
      </c>
      <c r="E1559" s="4">
        <v>-32463</v>
      </c>
      <c r="F1559" s="3" t="s">
        <v>734</v>
      </c>
      <c r="G1559" s="3" t="s">
        <v>735</v>
      </c>
      <c r="H1559" s="2" t="s">
        <v>148</v>
      </c>
      <c r="I1559" s="2" t="s">
        <v>4458</v>
      </c>
      <c r="J1559" s="3" t="str">
        <f>HYPERLINK("https://www.boe.es/gazeta/dias/1811/02/12/pdfs/GEI-1811-19.pdf#page=8","Abrir facsímil")</f>
        <v>Abrir facsímil</v>
      </c>
      <c r="K1559" s="3" t="s">
        <v>150</v>
      </c>
    </row>
    <row r="1560" spans="1:11" ht="42" customHeight="1">
      <c r="A1560" s="2" t="s">
        <v>4459</v>
      </c>
      <c r="B1560" s="2" t="s">
        <v>4459</v>
      </c>
      <c r="C1560" s="2" t="s">
        <v>367</v>
      </c>
      <c r="D1560" s="2" t="s">
        <v>18</v>
      </c>
      <c r="E1560" s="4">
        <v>-32222</v>
      </c>
      <c r="F1560" s="3" t="s">
        <v>4460</v>
      </c>
      <c r="G1560" s="3" t="s">
        <v>4461</v>
      </c>
      <c r="H1560" s="2" t="s">
        <v>148</v>
      </c>
      <c r="I1560" s="2" t="s">
        <v>4462</v>
      </c>
      <c r="J1560" s="3" t="str">
        <f>HYPERLINK("https://www.boe.es/gazeta/dias/1811/10/11/pdfs/GMD-1811-284.pdf#page=3","Abrir facsímil")</f>
        <v>Abrir facsímil</v>
      </c>
      <c r="K1560" s="3" t="s">
        <v>150</v>
      </c>
    </row>
    <row r="1561" spans="1:11" ht="42" customHeight="1">
      <c r="A1561" s="2" t="s">
        <v>4463</v>
      </c>
      <c r="B1561" s="2" t="s">
        <v>4464</v>
      </c>
      <c r="C1561" s="2" t="s">
        <v>17</v>
      </c>
      <c r="D1561" s="2" t="s">
        <v>156</v>
      </c>
      <c r="E1561" s="4">
        <v>-32362</v>
      </c>
      <c r="F1561" s="3" t="s">
        <v>1990</v>
      </c>
      <c r="G1561" s="3" t="s">
        <v>1930</v>
      </c>
      <c r="H1561" s="2" t="s">
        <v>148</v>
      </c>
      <c r="I1561" s="2" t="s">
        <v>4465</v>
      </c>
      <c r="J1561" s="3" t="str">
        <f>HYPERLINK("https://www.boe.es/gazeta/dias/1811/05/24/pdfs/GEI-1811-70E.pdf#page=3","Abrir facsímil")</f>
        <v>Abrir facsímil</v>
      </c>
      <c r="K1561" s="3" t="s">
        <v>150</v>
      </c>
    </row>
    <row r="1562" spans="1:11" ht="42" customHeight="1">
      <c r="A1562" s="2" t="s">
        <v>4466</v>
      </c>
      <c r="B1562" s="2" t="s">
        <v>4467</v>
      </c>
      <c r="C1562" s="2" t="s">
        <v>17</v>
      </c>
      <c r="D1562" s="2" t="s">
        <v>18</v>
      </c>
      <c r="E1562" s="4">
        <v>-32239</v>
      </c>
      <c r="F1562" s="3" t="s">
        <v>1225</v>
      </c>
      <c r="G1562" s="3" t="s">
        <v>1601</v>
      </c>
      <c r="H1562" s="2" t="s">
        <v>148</v>
      </c>
      <c r="I1562" s="2" t="s">
        <v>4468</v>
      </c>
      <c r="J1562" s="3" t="str">
        <f>HYPERLINK("https://www.boe.es/gazeta/dias/1811/09/24/pdfs/GEI-1811-123.pdf#page=8","Abrir facsímil")</f>
        <v>Abrir facsímil</v>
      </c>
      <c r="K1562" s="3" t="s">
        <v>150</v>
      </c>
    </row>
    <row r="1563" spans="1:11" ht="42" customHeight="1">
      <c r="A1563" s="2" t="s">
        <v>4469</v>
      </c>
      <c r="B1563" s="2" t="s">
        <v>4470</v>
      </c>
      <c r="C1563" s="2" t="s">
        <v>17</v>
      </c>
      <c r="D1563" s="2" t="s">
        <v>156</v>
      </c>
      <c r="E1563" s="4">
        <v>-32143</v>
      </c>
      <c r="F1563" s="3" t="s">
        <v>1455</v>
      </c>
      <c r="G1563" s="3" t="s">
        <v>183</v>
      </c>
      <c r="H1563" s="2" t="s">
        <v>148</v>
      </c>
      <c r="I1563" s="2" t="s">
        <v>4471</v>
      </c>
      <c r="J1563" s="3" t="str">
        <f>HYPERLINK("https://www.boe.es/gazeta/dias/1811/12/29/pdfs/GMD-1811-363.pdf#page=4","Abrir facsímil")</f>
        <v>Abrir facsímil</v>
      </c>
      <c r="K1563" s="3" t="s">
        <v>150</v>
      </c>
    </row>
    <row r="1564" spans="1:11" ht="42" customHeight="1">
      <c r="A1564" s="2" t="s">
        <v>4472</v>
      </c>
      <c r="B1564" s="2" t="s">
        <v>4472</v>
      </c>
      <c r="C1564" s="2" t="s">
        <v>17</v>
      </c>
      <c r="D1564" s="2" t="s">
        <v>18</v>
      </c>
      <c r="E1564" s="4">
        <v>-32246</v>
      </c>
      <c r="F1564" s="3" t="s">
        <v>19</v>
      </c>
      <c r="G1564" s="3" t="s">
        <v>4473</v>
      </c>
      <c r="H1564" s="2" t="s">
        <v>148</v>
      </c>
      <c r="I1564" s="2" t="s">
        <v>4474</v>
      </c>
      <c r="J1564" s="3" t="str">
        <f>HYPERLINK("https://www.boe.es/gazeta/dias/1811/09/17/pdfs/GEI-1811-120.pdf#page=6","Abrir facsímil")</f>
        <v>Abrir facsímil</v>
      </c>
      <c r="K1564" s="3" t="s">
        <v>150</v>
      </c>
    </row>
    <row r="1565" spans="1:11" ht="42" customHeight="1">
      <c r="A1565" s="2" t="s">
        <v>4475</v>
      </c>
      <c r="B1565" s="2" t="s">
        <v>4476</v>
      </c>
      <c r="C1565" s="2" t="s">
        <v>26</v>
      </c>
      <c r="D1565" s="2" t="s">
        <v>18</v>
      </c>
      <c r="E1565" s="4">
        <v>-32286</v>
      </c>
      <c r="F1565" s="3" t="s">
        <v>754</v>
      </c>
      <c r="G1565" s="3" t="s">
        <v>1728</v>
      </c>
      <c r="H1565" s="2" t="s">
        <v>148</v>
      </c>
      <c r="I1565" s="2" t="s">
        <v>4477</v>
      </c>
      <c r="J1565" s="3" t="str">
        <f>HYPERLINK("https://www.boe.es/gazeta/dias/1811/08/08/pdfs/GEI-1811-103.pdf#page=8","Abrir facsímil")</f>
        <v>Abrir facsímil</v>
      </c>
      <c r="K1565" s="3" t="s">
        <v>150</v>
      </c>
    </row>
    <row r="1566" spans="1:11" ht="42" customHeight="1">
      <c r="A1566" s="2" t="s">
        <v>4478</v>
      </c>
      <c r="B1566" s="2" t="s">
        <v>4479</v>
      </c>
      <c r="C1566" s="2" t="s">
        <v>17</v>
      </c>
      <c r="D1566" s="2" t="s">
        <v>156</v>
      </c>
      <c r="E1566" s="4">
        <v>-32384</v>
      </c>
      <c r="F1566" s="3" t="s">
        <v>2599</v>
      </c>
      <c r="G1566" s="3" t="s">
        <v>4480</v>
      </c>
      <c r="H1566" s="2" t="s">
        <v>148</v>
      </c>
      <c r="I1566" s="2" t="s">
        <v>4481</v>
      </c>
      <c r="J1566" s="3" t="str">
        <f>HYPERLINK("https://www.boe.es/gazeta/dias/1811/05/02/pdfs/GEI-D-1811-58.pdf#page=3","Abrir facsímil")</f>
        <v>Abrir facsímil</v>
      </c>
      <c r="K1566" s="3" t="s">
        <v>150</v>
      </c>
    </row>
    <row r="1567" spans="1:11" ht="42" customHeight="1">
      <c r="A1567" s="2" t="s">
        <v>4482</v>
      </c>
      <c r="B1567" s="2" t="s">
        <v>4483</v>
      </c>
      <c r="C1567" s="2" t="s">
        <v>17</v>
      </c>
      <c r="D1567" s="2" t="s">
        <v>156</v>
      </c>
      <c r="E1567" s="4">
        <v>-32447</v>
      </c>
      <c r="F1567" s="3" t="s">
        <v>3655</v>
      </c>
      <c r="G1567" s="3" t="s">
        <v>476</v>
      </c>
      <c r="H1567" s="2" t="s">
        <v>148</v>
      </c>
      <c r="I1567" s="2" t="s">
        <v>4484</v>
      </c>
      <c r="J1567" s="3" t="str">
        <f>HYPERLINK("https://www.boe.es/gazeta/dias/1811/02/28/pdfs/GEI-1811-26.pdf#page=7","Abrir facsímil")</f>
        <v>Abrir facsímil</v>
      </c>
      <c r="K1567" s="3" t="s">
        <v>150</v>
      </c>
    </row>
    <row r="1568" spans="1:11" ht="42" customHeight="1">
      <c r="A1568" s="2" t="s">
        <v>4485</v>
      </c>
      <c r="B1568" s="2" t="s">
        <v>4486</v>
      </c>
      <c r="C1568" s="2" t="s">
        <v>26</v>
      </c>
      <c r="D1568" s="2" t="s">
        <v>18</v>
      </c>
      <c r="E1568" s="4">
        <v>-32471</v>
      </c>
      <c r="F1568" s="3" t="s">
        <v>1571</v>
      </c>
      <c r="G1568" s="3" t="s">
        <v>530</v>
      </c>
      <c r="H1568" s="2" t="s">
        <v>148</v>
      </c>
      <c r="I1568" s="2" t="s">
        <v>4487</v>
      </c>
      <c r="J1568" s="3" t="str">
        <f>HYPERLINK("https://www.boe.es/gazeta/dias/1811/02/04/pdfs/GMD-1811-35.pdf#page=3","Abrir facsímil")</f>
        <v>Abrir facsímil</v>
      </c>
      <c r="K1568" s="3" t="s">
        <v>150</v>
      </c>
    </row>
    <row r="1569" spans="1:11" ht="42" customHeight="1">
      <c r="A1569" s="2" t="s">
        <v>4488</v>
      </c>
      <c r="B1569" s="2" t="s">
        <v>4489</v>
      </c>
      <c r="C1569" s="2" t="s">
        <v>26</v>
      </c>
      <c r="D1569" s="2" t="s">
        <v>141</v>
      </c>
      <c r="E1569" s="4">
        <v>-32188</v>
      </c>
      <c r="F1569" s="3" t="s">
        <v>505</v>
      </c>
      <c r="G1569" s="3" t="s">
        <v>162</v>
      </c>
      <c r="H1569" s="2" t="s">
        <v>148</v>
      </c>
      <c r="I1569" s="2" t="s">
        <v>4490</v>
      </c>
      <c r="J1569" s="3" t="str">
        <f>HYPERLINK("https://www.boe.es/gazeta/dias/1811/11/14/pdfs/GEI-D-1811-149.pdf#page=4","Abrir facsímil")</f>
        <v>Abrir facsímil</v>
      </c>
      <c r="K1569" s="3" t="s">
        <v>150</v>
      </c>
    </row>
    <row r="1570" spans="1:11" ht="42" customHeight="1">
      <c r="A1570" s="2" t="s">
        <v>4491</v>
      </c>
      <c r="B1570" s="2" t="s">
        <v>4491</v>
      </c>
      <c r="C1570" s="2" t="s">
        <v>17</v>
      </c>
      <c r="D1570" s="2" t="s">
        <v>105</v>
      </c>
      <c r="E1570" s="4">
        <v>-32454</v>
      </c>
      <c r="F1570" s="3" t="s">
        <v>2268</v>
      </c>
      <c r="G1570" s="3" t="s">
        <v>1296</v>
      </c>
      <c r="H1570" s="2" t="s">
        <v>148</v>
      </c>
      <c r="I1570" s="2" t="s">
        <v>4492</v>
      </c>
      <c r="J1570" s="3" t="str">
        <f>HYPERLINK("https://www.boe.es/gazeta/dias/1811/02/21/pdfs/GEI-1811-23.pdf#page=2","Abrir facsímil")</f>
        <v>Abrir facsímil</v>
      </c>
      <c r="K1570" s="3" t="s">
        <v>150</v>
      </c>
    </row>
    <row r="1571" spans="1:11" ht="42" customHeight="1">
      <c r="A1571" s="2" t="s">
        <v>4493</v>
      </c>
      <c r="B1571" s="2" t="s">
        <v>4493</v>
      </c>
      <c r="C1571" s="2" t="s">
        <v>104</v>
      </c>
      <c r="D1571" s="2" t="s">
        <v>18</v>
      </c>
      <c r="E1571" s="4">
        <v>-32218</v>
      </c>
      <c r="F1571" s="3" t="s">
        <v>545</v>
      </c>
      <c r="G1571" s="3" t="s">
        <v>546</v>
      </c>
      <c r="H1571" s="2" t="s">
        <v>148</v>
      </c>
      <c r="I1571" s="2" t="s">
        <v>4494</v>
      </c>
      <c r="J1571" s="3" t="str">
        <f>HYPERLINK("https://www.boe.es/gazeta/dias/1811/10/15/pdfs/GMD-1811-288.pdf#page=4","Abrir facsímil")</f>
        <v>Abrir facsímil</v>
      </c>
      <c r="K1571" s="3" t="s">
        <v>150</v>
      </c>
    </row>
    <row r="1572" spans="1:11" ht="42" customHeight="1">
      <c r="A1572" s="2" t="s">
        <v>4495</v>
      </c>
      <c r="B1572" s="2" t="s">
        <v>4496</v>
      </c>
      <c r="C1572" s="2" t="s">
        <v>37</v>
      </c>
      <c r="D1572" s="2" t="s">
        <v>18</v>
      </c>
      <c r="E1572" s="4">
        <v>-32416</v>
      </c>
      <c r="F1572" s="3" t="s">
        <v>954</v>
      </c>
      <c r="G1572" s="3" t="s">
        <v>183</v>
      </c>
      <c r="H1572" s="2" t="s">
        <v>148</v>
      </c>
      <c r="I1572" s="2" t="s">
        <v>4497</v>
      </c>
      <c r="J1572" s="3" t="str">
        <f>HYPERLINK("https://www.boe.es/gazeta/dias/1811/03/31/pdfs/GMD-1811-90.pdf#page=4","Abrir facsímil")</f>
        <v>Abrir facsímil</v>
      </c>
      <c r="K1572" s="3" t="s">
        <v>150</v>
      </c>
    </row>
    <row r="1573" spans="1:11" ht="42" customHeight="1">
      <c r="A1573" s="2" t="s">
        <v>4498</v>
      </c>
      <c r="B1573" s="2" t="s">
        <v>4499</v>
      </c>
      <c r="C1573" s="2" t="s">
        <v>17</v>
      </c>
      <c r="D1573" s="2" t="s">
        <v>18</v>
      </c>
      <c r="E1573" s="4">
        <v>-32383</v>
      </c>
      <c r="F1573" s="3" t="s">
        <v>4500</v>
      </c>
      <c r="G1573" s="3" t="s">
        <v>183</v>
      </c>
      <c r="H1573" s="2" t="s">
        <v>148</v>
      </c>
      <c r="I1573" s="2" t="s">
        <v>4501</v>
      </c>
      <c r="J1573" s="3" t="str">
        <f>HYPERLINK("https://www.boe.es/gazeta/dias/1811/05/03/pdfs/GMD-1811-123.pdf#page=4","Abrir facsímil")</f>
        <v>Abrir facsímil</v>
      </c>
      <c r="K1573" s="3" t="s">
        <v>150</v>
      </c>
    </row>
    <row r="1574" spans="1:11" ht="42" customHeight="1">
      <c r="A1574" s="2" t="s">
        <v>4502</v>
      </c>
      <c r="B1574" s="2" t="s">
        <v>4503</v>
      </c>
      <c r="C1574" s="2" t="s">
        <v>26</v>
      </c>
      <c r="D1574" s="2" t="s">
        <v>18</v>
      </c>
      <c r="E1574" s="4">
        <v>-32451</v>
      </c>
      <c r="F1574" s="3" t="s">
        <v>2651</v>
      </c>
      <c r="G1574" s="3" t="s">
        <v>2652</v>
      </c>
      <c r="H1574" s="2" t="s">
        <v>148</v>
      </c>
      <c r="I1574" s="2" t="s">
        <v>4504</v>
      </c>
      <c r="J1574" s="3" t="str">
        <f>HYPERLINK("https://www.boe.es/gazeta/dias/1811/02/24/pdfs/GMD-1811-55.pdf#page=4","Abrir facsímil")</f>
        <v>Abrir facsímil</v>
      </c>
      <c r="K1574" s="3" t="s">
        <v>150</v>
      </c>
    </row>
    <row r="1575" spans="1:11" ht="42" customHeight="1">
      <c r="A1575" s="2" t="s">
        <v>4505</v>
      </c>
      <c r="B1575" s="2" t="s">
        <v>4506</v>
      </c>
      <c r="C1575" s="2" t="s">
        <v>26</v>
      </c>
      <c r="D1575" s="2" t="s">
        <v>18</v>
      </c>
      <c r="E1575" s="4">
        <v>-32333</v>
      </c>
      <c r="F1575" s="3" t="s">
        <v>292</v>
      </c>
      <c r="G1575" s="3" t="s">
        <v>293</v>
      </c>
      <c r="H1575" s="2" t="s">
        <v>148</v>
      </c>
      <c r="I1575" s="2" t="s">
        <v>4507</v>
      </c>
      <c r="J1575" s="3" t="str">
        <f>HYPERLINK("https://www.boe.es/gazeta/dias/1811/06/22/pdfs/GEI-1811-83.pdf#page=8","Abrir facsímil")</f>
        <v>Abrir facsímil</v>
      </c>
      <c r="K1575" s="3" t="s">
        <v>150</v>
      </c>
    </row>
    <row r="1576" spans="1:11" ht="42" customHeight="1">
      <c r="A1576" s="2" t="s">
        <v>4508</v>
      </c>
      <c r="B1576" s="2" t="s">
        <v>4508</v>
      </c>
      <c r="C1576" s="2" t="s">
        <v>17</v>
      </c>
      <c r="D1576" s="2" t="s">
        <v>18</v>
      </c>
      <c r="E1576" s="4">
        <v>-32349</v>
      </c>
      <c r="F1576" s="3" t="s">
        <v>239</v>
      </c>
      <c r="G1576" s="3" t="s">
        <v>4509</v>
      </c>
      <c r="H1576" s="2" t="s">
        <v>148</v>
      </c>
      <c r="I1576" s="2" t="s">
        <v>4510</v>
      </c>
      <c r="J1576" s="3" t="str">
        <f>HYPERLINK("https://www.boe.es/gazeta/dias/1811/06/06/pdfs/GEI-1811-76.pdf#page=5","Abrir facsímil")</f>
        <v>Abrir facsímil</v>
      </c>
      <c r="K1576" s="3" t="s">
        <v>150</v>
      </c>
    </row>
    <row r="1577" spans="1:11" ht="42" customHeight="1">
      <c r="A1577" s="2" t="s">
        <v>4511</v>
      </c>
      <c r="B1577" s="2" t="s">
        <v>4511</v>
      </c>
      <c r="C1577" s="2" t="s">
        <v>26</v>
      </c>
      <c r="D1577" s="2" t="s">
        <v>18</v>
      </c>
      <c r="E1577" s="4">
        <v>-32444</v>
      </c>
      <c r="F1577" s="3" t="s">
        <v>4512</v>
      </c>
      <c r="G1577" s="3" t="s">
        <v>162</v>
      </c>
      <c r="H1577" s="2" t="s">
        <v>148</v>
      </c>
      <c r="I1577" s="2" t="s">
        <v>4513</v>
      </c>
      <c r="J1577" s="3" t="str">
        <f>HYPERLINK("https://www.boe.es/gazeta/dias/1811/03/03/pdfs/GMD-1811-62.pdf#page=4","Abrir facsímil")</f>
        <v>Abrir facsímil</v>
      </c>
      <c r="K1577" s="3" t="s">
        <v>150</v>
      </c>
    </row>
    <row r="1578" spans="1:11" ht="42" customHeight="1">
      <c r="A1578" s="2" t="s">
        <v>4514</v>
      </c>
      <c r="B1578" s="2" t="s">
        <v>4514</v>
      </c>
      <c r="C1578" s="2" t="s">
        <v>17</v>
      </c>
      <c r="D1578" s="2" t="s">
        <v>18</v>
      </c>
      <c r="E1578" s="4">
        <v>-32279</v>
      </c>
      <c r="F1578" s="3" t="s">
        <v>540</v>
      </c>
      <c r="G1578" s="3" t="s">
        <v>20</v>
      </c>
      <c r="H1578" s="2" t="s">
        <v>148</v>
      </c>
      <c r="I1578" s="2" t="s">
        <v>4515</v>
      </c>
      <c r="J1578" s="3" t="str">
        <f>HYPERLINK("https://www.boe.es/gazeta/dias/1811/08/15/pdfs/GMD-1811-227.pdf#page=4","Abrir facsímil")</f>
        <v>Abrir facsímil</v>
      </c>
      <c r="K1578" s="3" t="s">
        <v>150</v>
      </c>
    </row>
    <row r="1579" spans="1:11" ht="42" customHeight="1">
      <c r="A1579" s="2" t="s">
        <v>4516</v>
      </c>
      <c r="B1579" s="2" t="s">
        <v>4517</v>
      </c>
      <c r="C1579" s="2" t="s">
        <v>17</v>
      </c>
      <c r="D1579" s="2" t="s">
        <v>156</v>
      </c>
      <c r="E1579" s="4">
        <v>-32370</v>
      </c>
      <c r="F1579" s="3" t="s">
        <v>146</v>
      </c>
      <c r="G1579" s="3" t="s">
        <v>20</v>
      </c>
      <c r="H1579" s="2" t="s">
        <v>148</v>
      </c>
      <c r="I1579" s="2" t="s">
        <v>4518</v>
      </c>
      <c r="J1579" s="3" t="str">
        <f>HYPERLINK("https://www.boe.es/gazeta/dias/1811/05/16/pdfs/GEI-1811-64.pdf#page=6","Abrir facsímil")</f>
        <v>Abrir facsímil</v>
      </c>
      <c r="K1579" s="3" t="s">
        <v>150</v>
      </c>
    </row>
    <row r="1580" spans="1:11" ht="42" customHeight="1">
      <c r="A1580" s="2" t="s">
        <v>4519</v>
      </c>
      <c r="B1580" s="2" t="s">
        <v>4520</v>
      </c>
      <c r="C1580" s="2" t="s">
        <v>367</v>
      </c>
      <c r="D1580" s="2" t="s">
        <v>18</v>
      </c>
      <c r="E1580" s="4">
        <v>-32297</v>
      </c>
      <c r="F1580" s="3" t="s">
        <v>2174</v>
      </c>
      <c r="G1580" s="3" t="s">
        <v>183</v>
      </c>
      <c r="H1580" s="2" t="s">
        <v>148</v>
      </c>
      <c r="I1580" s="2" t="s">
        <v>4521</v>
      </c>
      <c r="J1580" s="3" t="str">
        <f>HYPERLINK("https://www.boe.es/gazeta/dias/1811/07/28/pdfs/GMD-1811-209.pdf#page=4","Abrir facsímil")</f>
        <v>Abrir facsímil</v>
      </c>
      <c r="K1580" s="3" t="s">
        <v>150</v>
      </c>
    </row>
    <row r="1581" spans="1:11" ht="42" customHeight="1">
      <c r="A1581" s="2" t="s">
        <v>4522</v>
      </c>
      <c r="B1581" s="2" t="s">
        <v>4522</v>
      </c>
      <c r="C1581" s="2" t="s">
        <v>17</v>
      </c>
      <c r="D1581" s="2" t="s">
        <v>156</v>
      </c>
      <c r="E1581" s="4">
        <v>-32419</v>
      </c>
      <c r="F1581" s="3" t="s">
        <v>2585</v>
      </c>
      <c r="G1581" s="3" t="s">
        <v>4049</v>
      </c>
      <c r="H1581" s="2" t="s">
        <v>148</v>
      </c>
      <c r="I1581" s="2" t="s">
        <v>4523</v>
      </c>
      <c r="J1581" s="3" t="str">
        <f>HYPERLINK("https://www.boe.es/gazeta/dias/1811/03/28/pdfs/GEI-1811-43.pdf#page=7","Abrir facsímil")</f>
        <v>Abrir facsímil</v>
      </c>
      <c r="K1581" s="3" t="s">
        <v>150</v>
      </c>
    </row>
    <row r="1582" spans="1:11" ht="42" customHeight="1">
      <c r="A1582" s="2" t="s">
        <v>4524</v>
      </c>
      <c r="B1582" s="2" t="s">
        <v>4525</v>
      </c>
      <c r="C1582" s="2" t="s">
        <v>17</v>
      </c>
      <c r="D1582" s="2" t="s">
        <v>18</v>
      </c>
      <c r="E1582" s="4">
        <v>-32300</v>
      </c>
      <c r="F1582" s="3" t="s">
        <v>61</v>
      </c>
      <c r="G1582" s="3" t="s">
        <v>62</v>
      </c>
      <c r="H1582" s="2" t="s">
        <v>148</v>
      </c>
      <c r="I1582" s="2" t="s">
        <v>4526</v>
      </c>
      <c r="J1582" s="3" t="str">
        <f>HYPERLINK("https://www.boe.es/gazeta/dias/1811/07/25/pdfs/GEI-1811-97.pdf#page=5","Abrir facsímil")</f>
        <v>Abrir facsímil</v>
      </c>
      <c r="K1582" s="3" t="s">
        <v>150</v>
      </c>
    </row>
    <row r="1583" spans="1:11" ht="42" customHeight="1">
      <c r="A1583" s="2" t="s">
        <v>4527</v>
      </c>
      <c r="B1583" s="2" t="s">
        <v>4528</v>
      </c>
      <c r="C1583" s="2" t="s">
        <v>17</v>
      </c>
      <c r="D1583" s="2" t="s">
        <v>18</v>
      </c>
      <c r="E1583" s="4">
        <v>-32419</v>
      </c>
      <c r="F1583" s="3" t="s">
        <v>2585</v>
      </c>
      <c r="G1583" s="3" t="s">
        <v>4529</v>
      </c>
      <c r="H1583" s="2" t="s">
        <v>148</v>
      </c>
      <c r="I1583" s="2" t="s">
        <v>4530</v>
      </c>
      <c r="J1583" s="3" t="str">
        <f>HYPERLINK("https://www.boe.es/gazeta/dias/1811/03/28/pdfs/GEI-1811-43.pdf#page=8","Abrir facsímil")</f>
        <v>Abrir facsímil</v>
      </c>
      <c r="K1583" s="3" t="s">
        <v>150</v>
      </c>
    </row>
    <row r="1584" spans="1:11" ht="42" customHeight="1">
      <c r="A1584" s="2" t="s">
        <v>4531</v>
      </c>
      <c r="B1584" s="2" t="s">
        <v>4532</v>
      </c>
      <c r="C1584" s="2" t="s">
        <v>26</v>
      </c>
      <c r="D1584" s="2" t="s">
        <v>18</v>
      </c>
      <c r="E1584" s="4">
        <v>-32188</v>
      </c>
      <c r="F1584" s="3" t="s">
        <v>356</v>
      </c>
      <c r="G1584" s="3" t="s">
        <v>248</v>
      </c>
      <c r="H1584" s="2" t="s">
        <v>148</v>
      </c>
      <c r="I1584" s="2" t="s">
        <v>4533</v>
      </c>
      <c r="J1584" s="3" t="str">
        <f>HYPERLINK("https://www.boe.es/gazeta/dias/1811/11/14/pdfs/GMD-1811-318.pdf#page=5","Abrir facsímil")</f>
        <v>Abrir facsímil</v>
      </c>
      <c r="K1584" s="3" t="s">
        <v>150</v>
      </c>
    </row>
    <row r="1585" spans="1:11" ht="42" customHeight="1">
      <c r="A1585" s="2" t="s">
        <v>4534</v>
      </c>
      <c r="B1585" s="2" t="s">
        <v>4535</v>
      </c>
      <c r="C1585" s="2" t="s">
        <v>26</v>
      </c>
      <c r="D1585" s="2" t="s">
        <v>18</v>
      </c>
      <c r="E1585" s="4">
        <v>-32153</v>
      </c>
      <c r="F1585" s="3" t="s">
        <v>123</v>
      </c>
      <c r="G1585" s="3" t="s">
        <v>1067</v>
      </c>
      <c r="H1585" s="2" t="s">
        <v>148</v>
      </c>
      <c r="I1585" s="2" t="s">
        <v>4536</v>
      </c>
      <c r="J1585" s="3" t="str">
        <f>HYPERLINK("https://www.boe.es/gazeta/dias/1811/12/19/pdfs/GMD-1811-353.pdf#page=5","Abrir facsímil")</f>
        <v>Abrir facsímil</v>
      </c>
      <c r="K1585" s="3" t="s">
        <v>150</v>
      </c>
    </row>
    <row r="1586" spans="1:11" ht="42" customHeight="1">
      <c r="A1586" s="2" t="s">
        <v>4537</v>
      </c>
      <c r="B1586" s="2" t="s">
        <v>4538</v>
      </c>
      <c r="C1586" s="2" t="s">
        <v>17</v>
      </c>
      <c r="D1586" s="2" t="s">
        <v>18</v>
      </c>
      <c r="E1586" s="4">
        <v>-32172</v>
      </c>
      <c r="F1586" s="3" t="s">
        <v>707</v>
      </c>
      <c r="G1586" s="3" t="s">
        <v>1551</v>
      </c>
      <c r="H1586" s="2" t="s">
        <v>148</v>
      </c>
      <c r="I1586" s="2" t="s">
        <v>4539</v>
      </c>
      <c r="J1586" s="3" t="str">
        <f>HYPERLINK("https://www.boe.es/gazeta/dias/1811/11/30/pdfs/GEI-1811-156.pdf#page=5","Abrir facsímil")</f>
        <v>Abrir facsímil</v>
      </c>
      <c r="K1586" s="3" t="s">
        <v>150</v>
      </c>
    </row>
    <row r="1587" spans="1:11" ht="42" customHeight="1">
      <c r="A1587" s="2" t="s">
        <v>4540</v>
      </c>
      <c r="B1587" s="2" t="s">
        <v>4540</v>
      </c>
      <c r="C1587" s="2" t="s">
        <v>17</v>
      </c>
      <c r="D1587" s="2" t="s">
        <v>156</v>
      </c>
      <c r="E1587" s="4">
        <v>-32246</v>
      </c>
      <c r="F1587" s="3" t="s">
        <v>19</v>
      </c>
      <c r="G1587" s="3" t="s">
        <v>4541</v>
      </c>
      <c r="H1587" s="2" t="s">
        <v>148</v>
      </c>
      <c r="I1587" s="2" t="s">
        <v>4542</v>
      </c>
      <c r="J1587" s="3" t="str">
        <f>HYPERLINK("https://www.boe.es/gazeta/dias/1811/09/17/pdfs/GEI-1811-120.pdf#page=15","Abrir facsímil")</f>
        <v>Abrir facsímil</v>
      </c>
      <c r="K1587" s="3" t="s">
        <v>150</v>
      </c>
    </row>
    <row r="1588" spans="1:11" ht="42" customHeight="1">
      <c r="A1588" s="2" t="s">
        <v>4543</v>
      </c>
      <c r="B1588" s="2" t="s">
        <v>4544</v>
      </c>
      <c r="C1588" s="2" t="s">
        <v>26</v>
      </c>
      <c r="D1588" s="2" t="s">
        <v>18</v>
      </c>
      <c r="E1588" s="4">
        <v>-32503</v>
      </c>
      <c r="F1588" s="3" t="s">
        <v>487</v>
      </c>
      <c r="G1588" s="3" t="s">
        <v>488</v>
      </c>
      <c r="H1588" s="2" t="s">
        <v>148</v>
      </c>
      <c r="I1588" s="2" t="s">
        <v>4545</v>
      </c>
      <c r="J1588" s="3" t="str">
        <f>HYPERLINK("https://www.boe.es/gazeta/dias/1811/01/03/pdfs/GEI-1811-2.pdf#page=2","Abrir facsímil")</f>
        <v>Abrir facsímil</v>
      </c>
      <c r="K1588" s="3" t="s">
        <v>150</v>
      </c>
    </row>
    <row r="1589" spans="1:11" ht="42" customHeight="1">
      <c r="A1589" s="2" t="s">
        <v>4546</v>
      </c>
      <c r="B1589" s="2" t="s">
        <v>4547</v>
      </c>
      <c r="C1589" s="2" t="s">
        <v>17</v>
      </c>
      <c r="D1589" s="2" t="s">
        <v>105</v>
      </c>
      <c r="E1589" s="4">
        <v>-32192</v>
      </c>
      <c r="F1589" s="3" t="s">
        <v>673</v>
      </c>
      <c r="G1589" s="3" t="s">
        <v>305</v>
      </c>
      <c r="H1589" s="2" t="s">
        <v>148</v>
      </c>
      <c r="I1589" s="2" t="s">
        <v>4548</v>
      </c>
      <c r="J1589" s="3" t="str">
        <f>HYPERLINK("https://www.boe.es/gazeta/dias/1811/11/10/pdfs/GMD-1811-314.pdf#page=4","Abrir facsímil")</f>
        <v>Abrir facsímil</v>
      </c>
      <c r="K1589" s="3" t="s">
        <v>150</v>
      </c>
    </row>
    <row r="1590" spans="1:11" ht="42" customHeight="1">
      <c r="A1590" s="2" t="s">
        <v>4549</v>
      </c>
      <c r="B1590" s="2" t="s">
        <v>4550</v>
      </c>
      <c r="C1590" s="2" t="s">
        <v>26</v>
      </c>
      <c r="D1590" s="2" t="s">
        <v>18</v>
      </c>
      <c r="E1590" s="4">
        <v>-32246</v>
      </c>
      <c r="F1590" s="3" t="s">
        <v>19</v>
      </c>
      <c r="G1590" s="3" t="s">
        <v>4551</v>
      </c>
      <c r="H1590" s="2" t="s">
        <v>148</v>
      </c>
      <c r="I1590" s="2" t="s">
        <v>4552</v>
      </c>
      <c r="J1590" s="3" t="str">
        <f>HYPERLINK("https://www.boe.es/gazeta/dias/1811/09/17/pdfs/GEI-1811-120.pdf#page=19","Abrir facsímil")</f>
        <v>Abrir facsímil</v>
      </c>
      <c r="K1590" s="3" t="s">
        <v>150</v>
      </c>
    </row>
    <row r="1591" spans="1:11" ht="42" customHeight="1">
      <c r="A1591" s="2" t="s">
        <v>4553</v>
      </c>
      <c r="B1591" s="2" t="s">
        <v>4553</v>
      </c>
      <c r="C1591" s="2" t="s">
        <v>26</v>
      </c>
      <c r="D1591" s="2" t="s">
        <v>18</v>
      </c>
      <c r="E1591" s="4">
        <v>-32155</v>
      </c>
      <c r="F1591" s="3" t="s">
        <v>263</v>
      </c>
      <c r="G1591" s="3" t="s">
        <v>264</v>
      </c>
      <c r="H1591" s="2" t="s">
        <v>148</v>
      </c>
      <c r="I1591" s="2" t="s">
        <v>4554</v>
      </c>
      <c r="J1591" s="3" t="str">
        <f>HYPERLINK("https://www.boe.es/gazeta/dias/1811/12/17/pdfs/GEI-1811-163.pdf#page=8","Abrir facsímil")</f>
        <v>Abrir facsímil</v>
      </c>
      <c r="K1591" s="3" t="s">
        <v>150</v>
      </c>
    </row>
    <row r="1592" spans="1:11" ht="42" customHeight="1">
      <c r="A1592" s="2" t="s">
        <v>4555</v>
      </c>
      <c r="B1592" s="2" t="s">
        <v>4556</v>
      </c>
      <c r="C1592" s="2" t="s">
        <v>26</v>
      </c>
      <c r="D1592" s="2" t="s">
        <v>18</v>
      </c>
      <c r="E1592" s="4">
        <v>-32228</v>
      </c>
      <c r="F1592" s="3" t="s">
        <v>372</v>
      </c>
      <c r="G1592" s="3" t="s">
        <v>373</v>
      </c>
      <c r="H1592" s="2" t="s">
        <v>148</v>
      </c>
      <c r="I1592" s="2" t="s">
        <v>4557</v>
      </c>
      <c r="J1592" s="3" t="str">
        <f>HYPERLINK("https://www.boe.es/gazeta/dias/1811/10/05/pdfs/GEI-1811-128.pdf#page=7","Abrir facsímil")</f>
        <v>Abrir facsímil</v>
      </c>
      <c r="K1592" s="3" t="s">
        <v>150</v>
      </c>
    </row>
    <row r="1593" spans="1:11" ht="42" customHeight="1">
      <c r="A1593" s="2" t="s">
        <v>4558</v>
      </c>
      <c r="B1593" s="2" t="s">
        <v>4559</v>
      </c>
      <c r="C1593" s="2" t="s">
        <v>17</v>
      </c>
      <c r="D1593" s="2" t="s">
        <v>18</v>
      </c>
      <c r="E1593" s="4">
        <v>-32344</v>
      </c>
      <c r="F1593" s="3" t="s">
        <v>761</v>
      </c>
      <c r="G1593" s="3" t="s">
        <v>115</v>
      </c>
      <c r="H1593" s="2" t="s">
        <v>148</v>
      </c>
      <c r="I1593" s="2" t="s">
        <v>4560</v>
      </c>
      <c r="J1593" s="3" t="str">
        <f>HYPERLINK("https://www.boe.es/gazeta/dias/1811/06/11/pdfs/GEI-1811-78.pdf#page=3","Abrir facsímil")</f>
        <v>Abrir facsímil</v>
      </c>
      <c r="K1593" s="3" t="s">
        <v>150</v>
      </c>
    </row>
    <row r="1594" spans="1:11" ht="42" customHeight="1">
      <c r="A1594" s="2" t="s">
        <v>4561</v>
      </c>
      <c r="B1594" s="2" t="s">
        <v>4562</v>
      </c>
      <c r="C1594" s="2" t="s">
        <v>26</v>
      </c>
      <c r="D1594" s="2" t="s">
        <v>18</v>
      </c>
      <c r="E1594" s="4">
        <v>-32144</v>
      </c>
      <c r="F1594" s="3" t="s">
        <v>1097</v>
      </c>
      <c r="G1594" s="3" t="s">
        <v>1098</v>
      </c>
      <c r="H1594" s="2" t="s">
        <v>148</v>
      </c>
      <c r="I1594" s="2" t="s">
        <v>4563</v>
      </c>
      <c r="J1594" s="3" t="str">
        <f>HYPERLINK("https://www.boe.es/gazeta/dias/1811/12/28/pdfs/GEI-1811-168.pdf#page=8","Abrir facsímil")</f>
        <v>Abrir facsímil</v>
      </c>
      <c r="K1594" s="3" t="s">
        <v>150</v>
      </c>
    </row>
    <row r="1595" spans="1:11" ht="42" customHeight="1">
      <c r="A1595" s="2" t="s">
        <v>4564</v>
      </c>
      <c r="B1595" s="2" t="s">
        <v>4565</v>
      </c>
      <c r="C1595" s="2" t="s">
        <v>17</v>
      </c>
      <c r="D1595" s="2" t="s">
        <v>18</v>
      </c>
      <c r="E1595" s="4">
        <v>-32396</v>
      </c>
      <c r="F1595" s="3" t="s">
        <v>1267</v>
      </c>
      <c r="G1595" s="3" t="s">
        <v>382</v>
      </c>
      <c r="H1595" s="2" t="s">
        <v>148</v>
      </c>
      <c r="I1595" s="2" t="s">
        <v>4566</v>
      </c>
      <c r="J1595" s="3" t="str">
        <f>HYPERLINK("https://www.boe.es/gazeta/dias/1811/04/20/pdfs/GMD-1811-110.pdf#page=2","Abrir facsímil")</f>
        <v>Abrir facsímil</v>
      </c>
      <c r="K1595" s="3" t="s">
        <v>150</v>
      </c>
    </row>
    <row r="1596" spans="1:11" ht="42" customHeight="1">
      <c r="A1596" s="2" t="s">
        <v>4567</v>
      </c>
      <c r="B1596" s="2" t="s">
        <v>4568</v>
      </c>
      <c r="C1596" s="2" t="s">
        <v>26</v>
      </c>
      <c r="D1596" s="2" t="s">
        <v>18</v>
      </c>
      <c r="E1596" s="4">
        <v>-32249</v>
      </c>
      <c r="F1596" s="3" t="s">
        <v>182</v>
      </c>
      <c r="G1596" s="3" t="s">
        <v>44</v>
      </c>
      <c r="H1596" s="2" t="s">
        <v>148</v>
      </c>
      <c r="I1596" s="2" t="s">
        <v>4569</v>
      </c>
      <c r="J1596" s="3" t="str">
        <f>HYPERLINK("https://www.boe.es/gazeta/dias/1811/09/14/pdfs/GMD-1811-257.pdf#page=3","Abrir facsímil")</f>
        <v>Abrir facsímil</v>
      </c>
      <c r="K1596" s="3" t="s">
        <v>150</v>
      </c>
    </row>
    <row r="1597" spans="1:11" ht="42" customHeight="1">
      <c r="A1597" s="2" t="s">
        <v>4570</v>
      </c>
      <c r="B1597" s="2" t="s">
        <v>4570</v>
      </c>
      <c r="C1597" s="2" t="s">
        <v>17</v>
      </c>
      <c r="D1597" s="2" t="s">
        <v>156</v>
      </c>
      <c r="E1597" s="4">
        <v>-32381</v>
      </c>
      <c r="F1597" s="3" t="s">
        <v>1698</v>
      </c>
      <c r="G1597" s="3" t="s">
        <v>183</v>
      </c>
      <c r="H1597" s="2" t="s">
        <v>148</v>
      </c>
      <c r="I1597" s="2" t="s">
        <v>4571</v>
      </c>
      <c r="J1597" s="3" t="str">
        <f>HYPERLINK("https://www.boe.es/gazeta/dias/1811/05/05/pdfs/GMD-1811-125.pdf#page=4","Abrir facsímil")</f>
        <v>Abrir facsímil</v>
      </c>
      <c r="K1597" s="3" t="s">
        <v>150</v>
      </c>
    </row>
    <row r="1598" spans="1:11" ht="42" customHeight="1">
      <c r="A1598" s="2" t="s">
        <v>4570</v>
      </c>
      <c r="B1598" s="2" t="s">
        <v>4570</v>
      </c>
      <c r="C1598" s="2" t="s">
        <v>84</v>
      </c>
      <c r="D1598" s="2" t="s">
        <v>18</v>
      </c>
      <c r="E1598" s="4">
        <v>-32308</v>
      </c>
      <c r="F1598" s="3" t="s">
        <v>4572</v>
      </c>
      <c r="G1598" s="3" t="s">
        <v>468</v>
      </c>
      <c r="H1598" s="2" t="s">
        <v>148</v>
      </c>
      <c r="I1598" s="2" t="s">
        <v>4573</v>
      </c>
      <c r="J1598" s="3" t="str">
        <f>HYPERLINK("https://www.boe.es/gazeta/dias/1811/07/17/pdfs/GMD-1811-198.pdf#page=4","Abrir facsímil")</f>
        <v>Abrir facsímil</v>
      </c>
      <c r="K1598" s="3" t="s">
        <v>150</v>
      </c>
    </row>
    <row r="1599" spans="1:11" ht="42" customHeight="1">
      <c r="A1599" s="2" t="s">
        <v>4574</v>
      </c>
      <c r="B1599" s="2" t="s">
        <v>4575</v>
      </c>
      <c r="C1599" s="2" t="s">
        <v>17</v>
      </c>
      <c r="D1599" s="2" t="s">
        <v>18</v>
      </c>
      <c r="E1599" s="4">
        <v>-32284</v>
      </c>
      <c r="F1599" s="3" t="s">
        <v>170</v>
      </c>
      <c r="G1599" s="3" t="s">
        <v>1388</v>
      </c>
      <c r="H1599" s="2" t="s">
        <v>148</v>
      </c>
      <c r="I1599" s="2" t="s">
        <v>4576</v>
      </c>
      <c r="J1599" s="3" t="str">
        <f>HYPERLINK("https://www.boe.es/gazeta/dias/1811/08/10/pdfs/GEI-1811-104.pdf#page=8","Abrir facsímil")</f>
        <v>Abrir facsímil</v>
      </c>
      <c r="K1599" s="3" t="s">
        <v>150</v>
      </c>
    </row>
    <row r="1600" spans="1:11" ht="42" customHeight="1">
      <c r="A1600" s="2" t="s">
        <v>4577</v>
      </c>
      <c r="B1600" s="2" t="s">
        <v>4578</v>
      </c>
      <c r="C1600" s="2" t="s">
        <v>17</v>
      </c>
      <c r="D1600" s="2" t="s">
        <v>156</v>
      </c>
      <c r="E1600" s="4">
        <v>-32319</v>
      </c>
      <c r="F1600" s="3" t="s">
        <v>907</v>
      </c>
      <c r="G1600" s="3" t="s">
        <v>134</v>
      </c>
      <c r="H1600" s="2" t="s">
        <v>148</v>
      </c>
      <c r="I1600" s="2" t="s">
        <v>4579</v>
      </c>
      <c r="J1600" s="3" t="str">
        <f>HYPERLINK("https://www.boe.es/gazeta/dias/1811/07/06/pdfs/GEI-D-1811-89.pdf#page=4","Abrir facsímil")</f>
        <v>Abrir facsímil</v>
      </c>
      <c r="K1600" s="3" t="s">
        <v>150</v>
      </c>
    </row>
    <row r="1601" spans="1:11" ht="42" customHeight="1">
      <c r="A1601" s="2" t="s">
        <v>4577</v>
      </c>
      <c r="B1601" s="2" t="s">
        <v>4578</v>
      </c>
      <c r="C1601" s="2" t="s">
        <v>17</v>
      </c>
      <c r="D1601" s="2" t="s">
        <v>156</v>
      </c>
      <c r="E1601" s="4">
        <v>-32228</v>
      </c>
      <c r="F1601" s="3" t="s">
        <v>372</v>
      </c>
      <c r="G1601" s="3" t="s">
        <v>20</v>
      </c>
      <c r="H1601" s="2" t="s">
        <v>148</v>
      </c>
      <c r="I1601" s="2" t="s">
        <v>4580</v>
      </c>
      <c r="J1601" s="3" t="str">
        <f>HYPERLINK("https://www.boe.es/gazeta/dias/1811/10/05/pdfs/GEI-1811-128.pdf#page=8","Abrir facsímil")</f>
        <v>Abrir facsímil</v>
      </c>
      <c r="K1601" s="3" t="s">
        <v>150</v>
      </c>
    </row>
    <row r="1602" spans="1:11" ht="42" customHeight="1">
      <c r="A1602" s="2" t="s">
        <v>4581</v>
      </c>
      <c r="B1602" s="2" t="s">
        <v>4582</v>
      </c>
      <c r="C1602" s="2" t="s">
        <v>17</v>
      </c>
      <c r="D1602" s="2" t="s">
        <v>156</v>
      </c>
      <c r="E1602" s="4">
        <v>-32144</v>
      </c>
      <c r="F1602" s="3" t="s">
        <v>1097</v>
      </c>
      <c r="G1602" s="3" t="s">
        <v>476</v>
      </c>
      <c r="H1602" s="2" t="s">
        <v>148</v>
      </c>
      <c r="I1602" s="2" t="s">
        <v>4583</v>
      </c>
      <c r="J1602" s="3" t="str">
        <f>HYPERLINK("https://www.boe.es/gazeta/dias/1811/12/28/pdfs/GEI-1811-168.pdf#page=7","Abrir facsímil")</f>
        <v>Abrir facsímil</v>
      </c>
      <c r="K1602" s="3" t="s">
        <v>150</v>
      </c>
    </row>
    <row r="1603" spans="1:11" ht="42" customHeight="1">
      <c r="A1603" s="2" t="s">
        <v>4584</v>
      </c>
      <c r="B1603" s="2" t="s">
        <v>4585</v>
      </c>
      <c r="C1603" s="2" t="s">
        <v>26</v>
      </c>
      <c r="D1603" s="2" t="s">
        <v>18</v>
      </c>
      <c r="E1603" s="4">
        <v>-32188</v>
      </c>
      <c r="F1603" s="3" t="s">
        <v>356</v>
      </c>
      <c r="G1603" s="3" t="s">
        <v>248</v>
      </c>
      <c r="H1603" s="2" t="s">
        <v>148</v>
      </c>
      <c r="I1603" s="2" t="s">
        <v>4586</v>
      </c>
      <c r="J1603" s="3" t="str">
        <f>HYPERLINK("https://www.boe.es/gazeta/dias/1811/11/14/pdfs/GMD-1811-318.pdf#page=5","Abrir facsímil")</f>
        <v>Abrir facsímil</v>
      </c>
      <c r="K1603" s="3" t="s">
        <v>150</v>
      </c>
    </row>
    <row r="1604" spans="1:11" ht="42" customHeight="1">
      <c r="A1604" s="2" t="s">
        <v>4587</v>
      </c>
      <c r="B1604" s="2" t="s">
        <v>4587</v>
      </c>
      <c r="C1604" s="2" t="s">
        <v>17</v>
      </c>
      <c r="D1604" s="2" t="s">
        <v>204</v>
      </c>
      <c r="E1604" s="4">
        <v>-32298</v>
      </c>
      <c r="F1604" s="3" t="s">
        <v>133</v>
      </c>
      <c r="G1604" s="3" t="s">
        <v>4588</v>
      </c>
      <c r="H1604" s="2" t="s">
        <v>148</v>
      </c>
      <c r="I1604" s="2" t="s">
        <v>4589</v>
      </c>
      <c r="J1604" s="3" t="str">
        <f>HYPERLINK("https://www.boe.es/gazeta/dias/1811/07/27/pdfs/GEI-1811-98.pdf#page=6","Abrir facsímil")</f>
        <v>Abrir facsímil</v>
      </c>
      <c r="K1604" s="3" t="s">
        <v>150</v>
      </c>
    </row>
    <row r="1605" spans="1:11" ht="42" customHeight="1">
      <c r="A1605" s="2" t="s">
        <v>4590</v>
      </c>
      <c r="B1605" s="2" t="s">
        <v>4591</v>
      </c>
      <c r="C1605" s="2" t="s">
        <v>26</v>
      </c>
      <c r="D1605" s="2" t="s">
        <v>141</v>
      </c>
      <c r="E1605" s="4">
        <v>-32188</v>
      </c>
      <c r="F1605" s="3" t="s">
        <v>505</v>
      </c>
      <c r="G1605" s="3" t="s">
        <v>162</v>
      </c>
      <c r="H1605" s="2" t="s">
        <v>148</v>
      </c>
      <c r="I1605" s="2" t="s">
        <v>4592</v>
      </c>
      <c r="J1605" s="3" t="str">
        <f>HYPERLINK("https://www.boe.es/gazeta/dias/1811/11/14/pdfs/GEI-D-1811-149.pdf#page=4","Abrir facsímil")</f>
        <v>Abrir facsímil</v>
      </c>
      <c r="K1605" s="3" t="s">
        <v>150</v>
      </c>
    </row>
    <row r="1606" spans="1:11" ht="42" customHeight="1">
      <c r="A1606" s="2" t="s">
        <v>4593</v>
      </c>
      <c r="B1606" s="2" t="s">
        <v>4594</v>
      </c>
      <c r="C1606" s="2" t="s">
        <v>26</v>
      </c>
      <c r="D1606" s="2" t="s">
        <v>18</v>
      </c>
      <c r="E1606" s="4">
        <v>-32465</v>
      </c>
      <c r="F1606" s="3" t="s">
        <v>4414</v>
      </c>
      <c r="G1606" s="3" t="s">
        <v>115</v>
      </c>
      <c r="H1606" s="2" t="s">
        <v>148</v>
      </c>
      <c r="I1606" s="2" t="s">
        <v>4595</v>
      </c>
      <c r="J1606" s="3" t="str">
        <f>HYPERLINK("https://www.boe.es/gazeta/dias/1811/02/10/pdfs/GMD-1811-41.pdf#page=3","Abrir facsímil")</f>
        <v>Abrir facsímil</v>
      </c>
      <c r="K1606" s="3" t="s">
        <v>150</v>
      </c>
    </row>
    <row r="1607" spans="1:11" ht="42" customHeight="1">
      <c r="A1607" s="2" t="s">
        <v>4596</v>
      </c>
      <c r="B1607" s="2" t="s">
        <v>4597</v>
      </c>
      <c r="C1607" s="2" t="s">
        <v>26</v>
      </c>
      <c r="D1607" s="2" t="s">
        <v>18</v>
      </c>
      <c r="E1607" s="4">
        <v>-32501</v>
      </c>
      <c r="F1607" s="3" t="s">
        <v>509</v>
      </c>
      <c r="G1607" s="3" t="s">
        <v>510</v>
      </c>
      <c r="H1607" s="2" t="s">
        <v>148</v>
      </c>
      <c r="I1607" s="2" t="s">
        <v>4598</v>
      </c>
      <c r="J1607" s="3" t="str">
        <f>HYPERLINK("https://www.boe.es/gazeta/dias/1811/01/05/pdfs/GEI-1811-3.pdf#page=8","Abrir facsímil")</f>
        <v>Abrir facsímil</v>
      </c>
      <c r="K1607" s="3" t="s">
        <v>150</v>
      </c>
    </row>
    <row r="1608" spans="1:11" ht="42" customHeight="1">
      <c r="A1608" s="2" t="s">
        <v>4599</v>
      </c>
      <c r="B1608" s="2" t="s">
        <v>4600</v>
      </c>
      <c r="C1608" s="2" t="s">
        <v>17</v>
      </c>
      <c r="D1608" s="2" t="s">
        <v>156</v>
      </c>
      <c r="E1608" s="4">
        <v>-32389</v>
      </c>
      <c r="F1608" s="3" t="s">
        <v>524</v>
      </c>
      <c r="G1608" s="3" t="s">
        <v>525</v>
      </c>
      <c r="H1608" s="2" t="s">
        <v>148</v>
      </c>
      <c r="I1608" s="2" t="s">
        <v>4601</v>
      </c>
      <c r="J1608" s="3" t="str">
        <f>HYPERLINK("https://www.boe.es/gazeta/dias/1811/04/27/pdfs/GEI-D-1811-56.pdf#page=4","Abrir facsímil")</f>
        <v>Abrir facsímil</v>
      </c>
      <c r="K1608" s="3" t="s">
        <v>150</v>
      </c>
    </row>
    <row r="1609" spans="1:11" ht="42" customHeight="1">
      <c r="A1609" s="2" t="s">
        <v>4602</v>
      </c>
      <c r="B1609" s="2" t="s">
        <v>4603</v>
      </c>
      <c r="C1609" s="2" t="s">
        <v>26</v>
      </c>
      <c r="D1609" s="2" t="s">
        <v>105</v>
      </c>
      <c r="E1609" s="4">
        <v>-32145</v>
      </c>
      <c r="F1609" s="3" t="s">
        <v>417</v>
      </c>
      <c r="G1609" s="3" t="s">
        <v>418</v>
      </c>
      <c r="H1609" s="2" t="s">
        <v>148</v>
      </c>
      <c r="I1609" s="2" t="s">
        <v>4604</v>
      </c>
      <c r="J1609" s="3" t="str">
        <f>HYPERLINK("https://www.boe.es/gazeta/dias/1811/12/27/pdfs/GMD-1811-361.pdf#page=4","Abrir facsímil")</f>
        <v>Abrir facsímil</v>
      </c>
      <c r="K1609" s="3" t="s">
        <v>150</v>
      </c>
    </row>
    <row r="1610" spans="1:11" ht="42" customHeight="1">
      <c r="A1610" s="2" t="s">
        <v>4605</v>
      </c>
      <c r="B1610" s="2" t="s">
        <v>4606</v>
      </c>
      <c r="C1610" s="2" t="s">
        <v>26</v>
      </c>
      <c r="D1610" s="2" t="s">
        <v>141</v>
      </c>
      <c r="E1610" s="4">
        <v>-32280</v>
      </c>
      <c r="F1610" s="3" t="s">
        <v>142</v>
      </c>
      <c r="G1610" s="3" t="s">
        <v>47</v>
      </c>
      <c r="H1610" s="2" t="s">
        <v>148</v>
      </c>
      <c r="I1610" s="2" t="s">
        <v>4607</v>
      </c>
      <c r="J1610" s="3" t="str">
        <f>HYPERLINK("https://www.boe.es/gazeta/dias/1811/08/14/pdfs/GMD-C-1811-226.pdf#page=1","Abrir facsímil")</f>
        <v>Abrir facsímil</v>
      </c>
      <c r="K1610" s="3" t="s">
        <v>150</v>
      </c>
    </row>
    <row r="1611" spans="1:11" ht="42" customHeight="1">
      <c r="A1611" s="2" t="s">
        <v>4608</v>
      </c>
      <c r="B1611" s="2" t="s">
        <v>4608</v>
      </c>
      <c r="C1611" s="2" t="s">
        <v>17</v>
      </c>
      <c r="D1611" s="2" t="s">
        <v>18</v>
      </c>
      <c r="E1611" s="4">
        <v>-32379</v>
      </c>
      <c r="F1611" s="3" t="s">
        <v>462</v>
      </c>
      <c r="G1611" s="3" t="s">
        <v>4609</v>
      </c>
      <c r="H1611" s="2" t="s">
        <v>148</v>
      </c>
      <c r="I1611" s="2" t="s">
        <v>4610</v>
      </c>
      <c r="J1611" s="3" t="str">
        <f>HYPERLINK("https://www.boe.es/gazeta/dias/1811/05/07/pdfs/GEI-1811-60.pdf#page=2","Abrir facsímil")</f>
        <v>Abrir facsímil</v>
      </c>
      <c r="K1611" s="3" t="s">
        <v>150</v>
      </c>
    </row>
    <row r="1612" spans="1:11" ht="42" customHeight="1">
      <c r="A1612" s="2" t="s">
        <v>4611</v>
      </c>
      <c r="B1612" s="2" t="s">
        <v>4612</v>
      </c>
      <c r="C1612" s="2" t="s">
        <v>17</v>
      </c>
      <c r="D1612" s="2" t="s">
        <v>18</v>
      </c>
      <c r="E1612" s="4">
        <v>-32379</v>
      </c>
      <c r="F1612" s="3" t="s">
        <v>462</v>
      </c>
      <c r="G1612" s="3" t="s">
        <v>4609</v>
      </c>
      <c r="H1612" s="2" t="s">
        <v>148</v>
      </c>
      <c r="I1612" s="2" t="s">
        <v>4613</v>
      </c>
      <c r="J1612" s="3" t="str">
        <f>HYPERLINK("https://www.boe.es/gazeta/dias/1811/05/07/pdfs/GEI-1811-60.pdf#page=2","Abrir facsímil")</f>
        <v>Abrir facsímil</v>
      </c>
      <c r="K1612" s="3" t="s">
        <v>150</v>
      </c>
    </row>
    <row r="1613" spans="1:11" ht="42" customHeight="1">
      <c r="A1613" s="2" t="s">
        <v>4614</v>
      </c>
      <c r="B1613" s="2" t="s">
        <v>4614</v>
      </c>
      <c r="C1613" s="2" t="s">
        <v>17</v>
      </c>
      <c r="D1613" s="2" t="s">
        <v>156</v>
      </c>
      <c r="E1613" s="4">
        <v>-32434</v>
      </c>
      <c r="F1613" s="3" t="s">
        <v>1932</v>
      </c>
      <c r="G1613" s="3" t="s">
        <v>468</v>
      </c>
      <c r="H1613" s="2" t="s">
        <v>148</v>
      </c>
      <c r="I1613" s="2" t="s">
        <v>4615</v>
      </c>
      <c r="J1613" s="3" t="str">
        <f>HYPERLINK("https://www.boe.es/gazeta/dias/1811/03/13/pdfs/GMD-1811-72.pdf#page=4","Abrir facsímil")</f>
        <v>Abrir facsímil</v>
      </c>
      <c r="K1613" s="3" t="s">
        <v>150</v>
      </c>
    </row>
    <row r="1614" spans="1:11" ht="42" customHeight="1">
      <c r="A1614" s="2" t="s">
        <v>4616</v>
      </c>
      <c r="B1614" s="2" t="s">
        <v>4617</v>
      </c>
      <c r="C1614" s="2" t="s">
        <v>26</v>
      </c>
      <c r="D1614" s="2" t="s">
        <v>141</v>
      </c>
      <c r="E1614" s="4">
        <v>-32314</v>
      </c>
      <c r="F1614" s="3" t="s">
        <v>2051</v>
      </c>
      <c r="G1614" s="3" t="s">
        <v>44</v>
      </c>
      <c r="H1614" s="2" t="s">
        <v>148</v>
      </c>
      <c r="I1614" s="2" t="s">
        <v>4618</v>
      </c>
      <c r="J1614" s="3" t="str">
        <f>HYPERLINK("https://www.boe.es/gazeta/dias/1811/07/11/pdfs/GMD-C-1811-192.pdf#page=2","Abrir facsímil")</f>
        <v>Abrir facsímil</v>
      </c>
      <c r="K1614" s="3" t="s">
        <v>150</v>
      </c>
    </row>
    <row r="1615" spans="1:11" ht="42" customHeight="1">
      <c r="A1615" s="2" t="s">
        <v>4619</v>
      </c>
      <c r="B1615" s="2" t="s">
        <v>4620</v>
      </c>
      <c r="C1615" s="2" t="s">
        <v>17</v>
      </c>
      <c r="D1615" s="2" t="s">
        <v>18</v>
      </c>
      <c r="E1615" s="4">
        <v>-32165</v>
      </c>
      <c r="F1615" s="3" t="s">
        <v>4621</v>
      </c>
      <c r="G1615" s="3" t="s">
        <v>480</v>
      </c>
      <c r="H1615" s="2" t="s">
        <v>148</v>
      </c>
      <c r="I1615" s="2" t="s">
        <v>4622</v>
      </c>
      <c r="J1615" s="3" t="str">
        <f>HYPERLINK("https://www.boe.es/gazeta/dias/1811/12/07/pdfs/GEI-1811-159.pdf#page=4","Abrir facsímil")</f>
        <v>Abrir facsímil</v>
      </c>
      <c r="K1615" s="3" t="s">
        <v>150</v>
      </c>
    </row>
    <row r="1616" spans="1:11" ht="42" customHeight="1">
      <c r="A1616" s="2" t="s">
        <v>4623</v>
      </c>
      <c r="B1616" s="2" t="s">
        <v>4624</v>
      </c>
      <c r="C1616" s="2" t="s">
        <v>104</v>
      </c>
      <c r="D1616" s="2" t="s">
        <v>18</v>
      </c>
      <c r="E1616" s="4">
        <v>-32232</v>
      </c>
      <c r="F1616" s="3" t="s">
        <v>1816</v>
      </c>
      <c r="G1616" s="3" t="s">
        <v>1817</v>
      </c>
      <c r="H1616" s="2" t="s">
        <v>148</v>
      </c>
      <c r="I1616" s="2" t="s">
        <v>4625</v>
      </c>
      <c r="J1616" s="3" t="str">
        <f>HYPERLINK("https://www.boe.es/gazeta/dias/1811/10/01/pdfs/GEI-1811-126.pdf#page=8","Abrir facsímil")</f>
        <v>Abrir facsímil</v>
      </c>
      <c r="K1616" s="3" t="s">
        <v>150</v>
      </c>
    </row>
    <row r="1617" spans="1:11" ht="42" customHeight="1">
      <c r="A1617" s="2" t="s">
        <v>4626</v>
      </c>
      <c r="B1617" s="2" t="s">
        <v>4627</v>
      </c>
      <c r="C1617" s="2" t="s">
        <v>26</v>
      </c>
      <c r="D1617" s="2" t="s">
        <v>18</v>
      </c>
      <c r="E1617" s="4">
        <v>-32193</v>
      </c>
      <c r="F1617" s="3" t="s">
        <v>1037</v>
      </c>
      <c r="G1617" s="3" t="s">
        <v>4628</v>
      </c>
      <c r="H1617" s="2" t="s">
        <v>148</v>
      </c>
      <c r="I1617" s="2" t="s">
        <v>4629</v>
      </c>
      <c r="J1617" s="3" t="str">
        <f>HYPERLINK("https://www.boe.es/gazeta/dias/1811/11/09/pdfs/GEI-1811-145.pdf#page=7","Abrir facsímil")</f>
        <v>Abrir facsímil</v>
      </c>
      <c r="K1617" s="3" t="s">
        <v>150</v>
      </c>
    </row>
    <row r="1618" spans="1:11" ht="42" customHeight="1">
      <c r="A1618" s="2" t="s">
        <v>4630</v>
      </c>
      <c r="B1618" s="2" t="s">
        <v>4631</v>
      </c>
      <c r="C1618" s="2" t="s">
        <v>84</v>
      </c>
      <c r="D1618" s="2" t="s">
        <v>18</v>
      </c>
      <c r="E1618" s="4">
        <v>-32471</v>
      </c>
      <c r="F1618" s="3" t="s">
        <v>1571</v>
      </c>
      <c r="G1618" s="3" t="s">
        <v>530</v>
      </c>
      <c r="H1618" s="2" t="s">
        <v>148</v>
      </c>
      <c r="I1618" s="2" t="s">
        <v>4632</v>
      </c>
      <c r="J1618" s="3" t="str">
        <f>HYPERLINK("https://www.boe.es/gazeta/dias/1811/02/04/pdfs/GMD-1811-35.pdf#page=3","Abrir facsímil")</f>
        <v>Abrir facsímil</v>
      </c>
      <c r="K1618" s="3" t="s">
        <v>150</v>
      </c>
    </row>
    <row r="1619" spans="1:11" ht="42" customHeight="1">
      <c r="A1619" s="2" t="s">
        <v>4633</v>
      </c>
      <c r="B1619" s="2" t="s">
        <v>4633</v>
      </c>
      <c r="C1619" s="2" t="s">
        <v>17</v>
      </c>
      <c r="D1619" s="2" t="s">
        <v>204</v>
      </c>
      <c r="E1619" s="4">
        <v>-32495</v>
      </c>
      <c r="F1619" s="3" t="s">
        <v>1681</v>
      </c>
      <c r="G1619" s="3" t="s">
        <v>553</v>
      </c>
      <c r="H1619" s="2" t="s">
        <v>148</v>
      </c>
      <c r="I1619" s="2" t="s">
        <v>4634</v>
      </c>
      <c r="J1619" s="3" t="str">
        <f>HYPERLINK("https://www.boe.es/gazeta/dias/1811/01/11/pdfs/GMD-1811-11.pdf#page=2","Abrir facsímil")</f>
        <v>Abrir facsímil</v>
      </c>
      <c r="K1619" s="3" t="s">
        <v>150</v>
      </c>
    </row>
    <row r="1620" spans="1:11" ht="42" customHeight="1">
      <c r="A1620" s="2" t="s">
        <v>4635</v>
      </c>
      <c r="B1620" s="2" t="s">
        <v>4636</v>
      </c>
      <c r="C1620" s="2" t="s">
        <v>122</v>
      </c>
      <c r="D1620" s="2" t="s">
        <v>141</v>
      </c>
      <c r="E1620" s="4">
        <v>-32238</v>
      </c>
      <c r="F1620" s="3" t="s">
        <v>166</v>
      </c>
      <c r="G1620" s="3" t="s">
        <v>129</v>
      </c>
      <c r="H1620" s="2" t="s">
        <v>148</v>
      </c>
      <c r="I1620" s="2" t="s">
        <v>4637</v>
      </c>
      <c r="J1620" s="3" t="str">
        <f>HYPERLINK("https://www.boe.es/gazeta/dias/1811/09/25/pdfs/GMD-C-1811-268.pdf#page=1","Abrir facsímil")</f>
        <v>Abrir facsímil</v>
      </c>
      <c r="K1620" s="3" t="s">
        <v>150</v>
      </c>
    </row>
    <row r="1621" spans="1:11" ht="42" customHeight="1">
      <c r="A1621" s="2" t="s">
        <v>4638</v>
      </c>
      <c r="B1621" s="2" t="s">
        <v>4639</v>
      </c>
      <c r="C1621" s="2" t="s">
        <v>17</v>
      </c>
      <c r="D1621" s="2" t="s">
        <v>156</v>
      </c>
      <c r="E1621" s="4">
        <v>-32242</v>
      </c>
      <c r="F1621" s="3" t="s">
        <v>1295</v>
      </c>
      <c r="G1621" s="3" t="s">
        <v>4640</v>
      </c>
      <c r="H1621" s="2" t="s">
        <v>148</v>
      </c>
      <c r="I1621" s="2" t="s">
        <v>4641</v>
      </c>
      <c r="J1621" s="3" t="str">
        <f>HYPERLINK("https://www.boe.es/gazeta/dias/1811/09/21/pdfs/GEI-1811-122.pdf#page=3","Abrir facsímil")</f>
        <v>Abrir facsímil</v>
      </c>
      <c r="K1621" s="3" t="s">
        <v>150</v>
      </c>
    </row>
    <row r="1622" spans="1:11" ht="42" customHeight="1">
      <c r="A1622" s="2" t="s">
        <v>4642</v>
      </c>
      <c r="B1622" s="2" t="s">
        <v>4642</v>
      </c>
      <c r="C1622" s="2" t="s">
        <v>84</v>
      </c>
      <c r="D1622" s="2" t="s">
        <v>18</v>
      </c>
      <c r="E1622" s="4">
        <v>-32303</v>
      </c>
      <c r="F1622" s="3" t="s">
        <v>2811</v>
      </c>
      <c r="G1622" s="3" t="s">
        <v>488</v>
      </c>
      <c r="H1622" s="2" t="s">
        <v>148</v>
      </c>
      <c r="I1622" s="2" t="s">
        <v>4643</v>
      </c>
      <c r="J1622" s="3" t="str">
        <f>HYPERLINK("https://www.boe.es/gazeta/dias/1811/07/22/pdfs/GMD-1811-203.pdf#page=3","Abrir facsímil")</f>
        <v>Abrir facsímil</v>
      </c>
      <c r="K1622" s="3" t="s">
        <v>150</v>
      </c>
    </row>
    <row r="1623" spans="1:11" ht="42" customHeight="1">
      <c r="A1623" s="2" t="s">
        <v>4644</v>
      </c>
      <c r="B1623" s="2" t="s">
        <v>4644</v>
      </c>
      <c r="C1623" s="2" t="s">
        <v>17</v>
      </c>
      <c r="D1623" s="2" t="s">
        <v>18</v>
      </c>
      <c r="E1623" s="4">
        <v>-32381</v>
      </c>
      <c r="F1623" s="3" t="s">
        <v>1698</v>
      </c>
      <c r="G1623" s="3" t="s">
        <v>134</v>
      </c>
      <c r="H1623" s="2" t="s">
        <v>148</v>
      </c>
      <c r="I1623" s="2" t="s">
        <v>4645</v>
      </c>
      <c r="J1623" s="3" t="str">
        <f>HYPERLINK("https://www.boe.es/gazeta/dias/1811/05/05/pdfs/GMD-1811-125.pdf#page=3","Abrir facsímil")</f>
        <v>Abrir facsímil</v>
      </c>
      <c r="K1623" s="3" t="s">
        <v>150</v>
      </c>
    </row>
    <row r="1624" spans="1:11" ht="42" customHeight="1">
      <c r="A1624" s="2" t="s">
        <v>4646</v>
      </c>
      <c r="B1624" s="2" t="s">
        <v>4646</v>
      </c>
      <c r="C1624" s="2" t="s">
        <v>17</v>
      </c>
      <c r="D1624" s="2" t="s">
        <v>156</v>
      </c>
      <c r="E1624" s="4">
        <v>-32292</v>
      </c>
      <c r="F1624" s="3" t="s">
        <v>408</v>
      </c>
      <c r="G1624" s="3" t="s">
        <v>228</v>
      </c>
      <c r="H1624" s="2" t="s">
        <v>148</v>
      </c>
      <c r="I1624" s="2" t="s">
        <v>4647</v>
      </c>
      <c r="J1624" s="3" t="str">
        <f>HYPERLINK("https://www.boe.es/gazeta/dias/1811/08/02/pdfs/GMD-1811-214.pdf#page=3","Abrir facsímil")</f>
        <v>Abrir facsímil</v>
      </c>
      <c r="K1624" s="3" t="s">
        <v>150</v>
      </c>
    </row>
    <row r="1625" spans="1:11" ht="42" customHeight="1">
      <c r="A1625" s="2" t="s">
        <v>4648</v>
      </c>
      <c r="B1625" s="2" t="s">
        <v>4649</v>
      </c>
      <c r="C1625" s="2" t="s">
        <v>26</v>
      </c>
      <c r="D1625" s="2" t="s">
        <v>18</v>
      </c>
      <c r="E1625" s="4">
        <v>-32153</v>
      </c>
      <c r="F1625" s="3" t="s">
        <v>123</v>
      </c>
      <c r="G1625" s="3" t="s">
        <v>288</v>
      </c>
      <c r="H1625" s="2" t="s">
        <v>148</v>
      </c>
      <c r="I1625" s="2" t="s">
        <v>4650</v>
      </c>
      <c r="J1625" s="3" t="str">
        <f>HYPERLINK("https://www.boe.es/gazeta/dias/1811/12/19/pdfs/GMD-1811-353.pdf#page=4","Abrir facsímil")</f>
        <v>Abrir facsímil</v>
      </c>
      <c r="K1625" s="3" t="s">
        <v>150</v>
      </c>
    </row>
    <row r="1626" spans="1:11" ht="42" customHeight="1">
      <c r="A1626" s="2" t="s">
        <v>4651</v>
      </c>
      <c r="B1626" s="2" t="s">
        <v>4652</v>
      </c>
      <c r="C1626" s="2" t="s">
        <v>17</v>
      </c>
      <c r="D1626" s="2" t="s">
        <v>105</v>
      </c>
      <c r="E1626" s="4">
        <v>-32213</v>
      </c>
      <c r="F1626" s="3" t="s">
        <v>4653</v>
      </c>
      <c r="G1626" s="3" t="s">
        <v>1930</v>
      </c>
      <c r="H1626" s="2" t="s">
        <v>148</v>
      </c>
      <c r="I1626" s="2" t="s">
        <v>4654</v>
      </c>
      <c r="J1626" s="3" t="str">
        <f>HYPERLINK("https://www.boe.es/gazeta/dias/1811/10/20/pdfs/GMD-1811-293.pdf#page=4","Abrir facsímil")</f>
        <v>Abrir facsímil</v>
      </c>
      <c r="K1626" s="3" t="s">
        <v>150</v>
      </c>
    </row>
    <row r="1627" spans="1:11" ht="42" customHeight="1">
      <c r="A1627" s="2" t="s">
        <v>4655</v>
      </c>
      <c r="B1627" s="2" t="s">
        <v>4656</v>
      </c>
      <c r="C1627" s="2" t="s">
        <v>17</v>
      </c>
      <c r="D1627" s="2" t="s">
        <v>18</v>
      </c>
      <c r="E1627" s="4">
        <v>-32300</v>
      </c>
      <c r="F1627" s="3" t="s">
        <v>61</v>
      </c>
      <c r="G1627" s="3" t="s">
        <v>62</v>
      </c>
      <c r="H1627" s="2" t="s">
        <v>148</v>
      </c>
      <c r="I1627" s="2" t="s">
        <v>4657</v>
      </c>
      <c r="J1627" s="3" t="str">
        <f>HYPERLINK("https://www.boe.es/gazeta/dias/1811/07/25/pdfs/GEI-1811-97.pdf#page=5","Abrir facsímil")</f>
        <v>Abrir facsímil</v>
      </c>
      <c r="K1627" s="3" t="s">
        <v>150</v>
      </c>
    </row>
    <row r="1628" spans="1:11" ht="42" customHeight="1">
      <c r="A1628" s="2" t="s">
        <v>4658</v>
      </c>
      <c r="B1628" s="2" t="s">
        <v>4659</v>
      </c>
      <c r="C1628" s="2" t="s">
        <v>26</v>
      </c>
      <c r="D1628" s="2" t="s">
        <v>18</v>
      </c>
      <c r="E1628" s="4">
        <v>-32463</v>
      </c>
      <c r="F1628" s="3" t="s">
        <v>734</v>
      </c>
      <c r="G1628" s="3" t="s">
        <v>735</v>
      </c>
      <c r="H1628" s="2" t="s">
        <v>148</v>
      </c>
      <c r="I1628" s="2" t="s">
        <v>4660</v>
      </c>
      <c r="J1628" s="3" t="str">
        <f>HYPERLINK("https://www.boe.es/gazeta/dias/1811/02/12/pdfs/GEI-1811-19.pdf#page=8","Abrir facsímil")</f>
        <v>Abrir facsímil</v>
      </c>
      <c r="K1628" s="3" t="s">
        <v>150</v>
      </c>
    </row>
    <row r="1629" spans="1:11" ht="42" customHeight="1">
      <c r="A1629" s="2" t="s">
        <v>4661</v>
      </c>
      <c r="B1629" s="2" t="s">
        <v>4662</v>
      </c>
      <c r="C1629" s="2" t="s">
        <v>37</v>
      </c>
      <c r="D1629" s="2" t="s">
        <v>18</v>
      </c>
      <c r="E1629" s="4">
        <v>-32463</v>
      </c>
      <c r="F1629" s="3" t="s">
        <v>734</v>
      </c>
      <c r="G1629" s="3" t="s">
        <v>735</v>
      </c>
      <c r="H1629" s="2" t="s">
        <v>148</v>
      </c>
      <c r="I1629" s="2" t="s">
        <v>4663</v>
      </c>
      <c r="J1629" s="3" t="str">
        <f>HYPERLINK("https://www.boe.es/gazeta/dias/1811/02/12/pdfs/GEI-1811-19.pdf#page=8","Abrir facsímil")</f>
        <v>Abrir facsímil</v>
      </c>
      <c r="K1629" s="3" t="s">
        <v>150</v>
      </c>
    </row>
    <row r="1630" spans="1:11" ht="42" customHeight="1">
      <c r="A1630" s="2" t="s">
        <v>4664</v>
      </c>
      <c r="B1630" s="2" t="s">
        <v>4665</v>
      </c>
      <c r="C1630" s="2" t="s">
        <v>17</v>
      </c>
      <c r="D1630" s="2" t="s">
        <v>18</v>
      </c>
      <c r="E1630" s="4">
        <v>-32300</v>
      </c>
      <c r="F1630" s="3" t="s">
        <v>61</v>
      </c>
      <c r="G1630" s="3" t="s">
        <v>62</v>
      </c>
      <c r="H1630" s="2" t="s">
        <v>148</v>
      </c>
      <c r="I1630" s="2" t="s">
        <v>4666</v>
      </c>
      <c r="J1630" s="3" t="str">
        <f>HYPERLINK("https://www.boe.es/gazeta/dias/1811/07/25/pdfs/GEI-1811-97.pdf#page=5","Abrir facsímil")</f>
        <v>Abrir facsímil</v>
      </c>
      <c r="K1630" s="3" t="s">
        <v>150</v>
      </c>
    </row>
    <row r="1631" spans="1:11" ht="42" customHeight="1">
      <c r="A1631" s="2" t="s">
        <v>4667</v>
      </c>
      <c r="B1631" s="2" t="s">
        <v>4668</v>
      </c>
      <c r="C1631" s="2" t="s">
        <v>17</v>
      </c>
      <c r="D1631" s="2" t="s">
        <v>18</v>
      </c>
      <c r="E1631" s="4">
        <v>-32284</v>
      </c>
      <c r="F1631" s="3" t="s">
        <v>170</v>
      </c>
      <c r="G1631" s="3" t="s">
        <v>1388</v>
      </c>
      <c r="H1631" s="2" t="s">
        <v>148</v>
      </c>
      <c r="I1631" s="2" t="s">
        <v>4669</v>
      </c>
      <c r="J1631" s="3" t="str">
        <f>HYPERLINK("https://www.boe.es/gazeta/dias/1811/08/10/pdfs/GEI-1811-104.pdf#page=8","Abrir facsímil")</f>
        <v>Abrir facsímil</v>
      </c>
      <c r="K1631" s="3" t="s">
        <v>150</v>
      </c>
    </row>
    <row r="1632" spans="1:11" ht="42" customHeight="1">
      <c r="A1632" s="2" t="s">
        <v>4670</v>
      </c>
      <c r="B1632" s="2" t="s">
        <v>4671</v>
      </c>
      <c r="C1632" s="2" t="s">
        <v>17</v>
      </c>
      <c r="D1632" s="2" t="s">
        <v>18</v>
      </c>
      <c r="E1632" s="4">
        <v>-32300</v>
      </c>
      <c r="F1632" s="3" t="s">
        <v>61</v>
      </c>
      <c r="G1632" s="3" t="s">
        <v>62</v>
      </c>
      <c r="H1632" s="2" t="s">
        <v>148</v>
      </c>
      <c r="I1632" s="2" t="s">
        <v>4672</v>
      </c>
      <c r="J1632" s="3" t="str">
        <f>HYPERLINK("https://www.boe.es/gazeta/dias/1811/07/25/pdfs/GEI-1811-97.pdf#page=5","Abrir facsímil")</f>
        <v>Abrir facsímil</v>
      </c>
      <c r="K1632" s="3" t="s">
        <v>150</v>
      </c>
    </row>
    <row r="1633" spans="1:11" ht="42" customHeight="1">
      <c r="A1633" s="2" t="s">
        <v>4673</v>
      </c>
      <c r="B1633" s="2" t="s">
        <v>4674</v>
      </c>
      <c r="C1633" s="2" t="s">
        <v>17</v>
      </c>
      <c r="D1633" s="2" t="s">
        <v>156</v>
      </c>
      <c r="E1633" s="4">
        <v>-32165</v>
      </c>
      <c r="F1633" s="3" t="s">
        <v>1462</v>
      </c>
      <c r="G1633" s="3" t="s">
        <v>1463</v>
      </c>
      <c r="H1633" s="2" t="s">
        <v>148</v>
      </c>
      <c r="I1633" s="2" t="s">
        <v>4675</v>
      </c>
      <c r="J1633" s="3" t="str">
        <f>HYPERLINK("https://www.boe.es/gazeta/dias/1811/12/07/pdfs/GMD-1811-341.pdf#page=3","Abrir facsímil")</f>
        <v>Abrir facsímil</v>
      </c>
      <c r="K1633" s="3" t="s">
        <v>150</v>
      </c>
    </row>
    <row r="1634" spans="1:11" ht="42" customHeight="1">
      <c r="A1634" s="2" t="s">
        <v>4676</v>
      </c>
      <c r="B1634" s="2" t="s">
        <v>4676</v>
      </c>
      <c r="C1634" s="2" t="s">
        <v>17</v>
      </c>
      <c r="D1634" s="2" t="s">
        <v>18</v>
      </c>
      <c r="E1634" s="4">
        <v>-32475</v>
      </c>
      <c r="F1634" s="3" t="s">
        <v>259</v>
      </c>
      <c r="G1634" s="3" t="s">
        <v>20</v>
      </c>
      <c r="H1634" s="2" t="s">
        <v>148</v>
      </c>
      <c r="I1634" s="2" t="s">
        <v>4677</v>
      </c>
      <c r="J1634" s="3" t="str">
        <f>HYPERLINK("https://www.boe.es/gazeta/dias/1811/01/31/pdfs/GMD-1811-31.pdf#page=4","Abrir facsímil")</f>
        <v>Abrir facsímil</v>
      </c>
      <c r="K1634" s="3" t="s">
        <v>150</v>
      </c>
    </row>
    <row r="1635" spans="1:11" ht="42" customHeight="1">
      <c r="A1635" s="2" t="s">
        <v>4678</v>
      </c>
      <c r="B1635" s="2" t="s">
        <v>4679</v>
      </c>
      <c r="C1635" s="2" t="s">
        <v>26</v>
      </c>
      <c r="D1635" s="2" t="s">
        <v>18</v>
      </c>
      <c r="E1635" s="4">
        <v>-32505</v>
      </c>
      <c r="F1635" s="3" t="s">
        <v>475</v>
      </c>
      <c r="G1635" s="3" t="s">
        <v>755</v>
      </c>
      <c r="H1635" s="2" t="s">
        <v>148</v>
      </c>
      <c r="I1635" s="2" t="s">
        <v>4680</v>
      </c>
      <c r="J1635" s="3" t="str">
        <f>HYPERLINK("https://www.boe.es/gazeta/dias/1811/01/01/pdfs/GEI-1811-1.pdf#page=8","Abrir facsímil")</f>
        <v>Abrir facsímil</v>
      </c>
      <c r="K1635" s="3" t="s">
        <v>150</v>
      </c>
    </row>
    <row r="1636" spans="1:11" ht="42" customHeight="1">
      <c r="A1636" s="2" t="s">
        <v>4681</v>
      </c>
      <c r="B1636" s="2" t="s">
        <v>4681</v>
      </c>
      <c r="C1636" s="2" t="s">
        <v>26</v>
      </c>
      <c r="D1636" s="2" t="s">
        <v>18</v>
      </c>
      <c r="E1636" s="4">
        <v>-32439</v>
      </c>
      <c r="F1636" s="3" t="s">
        <v>4682</v>
      </c>
      <c r="G1636" s="3" t="s">
        <v>284</v>
      </c>
      <c r="H1636" s="2" t="s">
        <v>148</v>
      </c>
      <c r="I1636" s="2" t="s">
        <v>4683</v>
      </c>
      <c r="J1636" s="3" t="str">
        <f>HYPERLINK("https://www.boe.es/gazeta/dias/1811/03/08/pdfs/GMD-1811-67.pdf#page=2","Abrir facsímil")</f>
        <v>Abrir facsímil</v>
      </c>
      <c r="K1636" s="3" t="s">
        <v>150</v>
      </c>
    </row>
    <row r="1637" spans="1:11" ht="42" customHeight="1">
      <c r="A1637" s="2" t="s">
        <v>4684</v>
      </c>
      <c r="B1637" s="2" t="s">
        <v>4684</v>
      </c>
      <c r="C1637" s="2" t="s">
        <v>17</v>
      </c>
      <c r="D1637" s="2" t="s">
        <v>156</v>
      </c>
      <c r="E1637" s="4">
        <v>-32495</v>
      </c>
      <c r="F1637" s="3" t="s">
        <v>1681</v>
      </c>
      <c r="G1637" s="3" t="s">
        <v>129</v>
      </c>
      <c r="H1637" s="2" t="s">
        <v>148</v>
      </c>
      <c r="I1637" s="2" t="s">
        <v>4685</v>
      </c>
      <c r="J1637" s="3" t="str">
        <f>HYPERLINK("https://www.boe.es/gazeta/dias/1811/01/11/pdfs/GMD-1811-11.pdf#page=4","Abrir facsímil")</f>
        <v>Abrir facsímil</v>
      </c>
      <c r="K1637" s="3" t="s">
        <v>150</v>
      </c>
    </row>
    <row r="1638" spans="1:11" ht="42" customHeight="1">
      <c r="A1638" s="2" t="s">
        <v>4684</v>
      </c>
      <c r="B1638" s="2" t="s">
        <v>4684</v>
      </c>
      <c r="C1638" s="2" t="s">
        <v>17</v>
      </c>
      <c r="D1638" s="2" t="s">
        <v>156</v>
      </c>
      <c r="E1638" s="4">
        <v>-32476</v>
      </c>
      <c r="F1638" s="3" t="s">
        <v>1896</v>
      </c>
      <c r="G1638" s="3" t="s">
        <v>1897</v>
      </c>
      <c r="H1638" s="2" t="s">
        <v>148</v>
      </c>
      <c r="I1638" s="2" t="s">
        <v>4686</v>
      </c>
      <c r="J1638" s="3" t="str">
        <f>HYPERLINK("https://www.boe.es/gazeta/dias/1811/01/30/pdfs/GMD-1811-30.pdf#page=2","Abrir facsímil")</f>
        <v>Abrir facsímil</v>
      </c>
      <c r="K1638" s="3" t="s">
        <v>150</v>
      </c>
    </row>
    <row r="1639" spans="1:11" ht="42" customHeight="1">
      <c r="A1639" s="2" t="s">
        <v>4684</v>
      </c>
      <c r="B1639" s="2" t="s">
        <v>4684</v>
      </c>
      <c r="C1639" s="2" t="s">
        <v>17</v>
      </c>
      <c r="D1639" s="2" t="s">
        <v>18</v>
      </c>
      <c r="E1639" s="4">
        <v>-32459</v>
      </c>
      <c r="F1639" s="3" t="s">
        <v>227</v>
      </c>
      <c r="G1639" s="3" t="s">
        <v>488</v>
      </c>
      <c r="H1639" s="2" t="s">
        <v>148</v>
      </c>
      <c r="I1639" s="2" t="s">
        <v>4687</v>
      </c>
      <c r="J1639" s="3" t="str">
        <f>HYPERLINK("https://www.boe.es/gazeta/dias/1811/02/16/pdfs/GMD-1811-47.pdf#page=2","Abrir facsímil")</f>
        <v>Abrir facsímil</v>
      </c>
      <c r="K1639" s="3" t="s">
        <v>150</v>
      </c>
    </row>
    <row r="1640" spans="1:11" ht="42" customHeight="1">
      <c r="A1640" s="2" t="s">
        <v>4684</v>
      </c>
      <c r="B1640" s="2" t="s">
        <v>4684</v>
      </c>
      <c r="C1640" s="2" t="s">
        <v>17</v>
      </c>
      <c r="D1640" s="2" t="s">
        <v>18</v>
      </c>
      <c r="E1640" s="4">
        <v>-32227</v>
      </c>
      <c r="F1640" s="3" t="s">
        <v>4688</v>
      </c>
      <c r="G1640" s="3" t="s">
        <v>248</v>
      </c>
      <c r="H1640" s="2" t="s">
        <v>148</v>
      </c>
      <c r="I1640" s="2" t="s">
        <v>4689</v>
      </c>
      <c r="J1640" s="3" t="str">
        <f>HYPERLINK("https://www.boe.es/gazeta/dias/1811/10/06/pdfs/GMD-1811-279.pdf#page=3","Abrir facsímil")</f>
        <v>Abrir facsímil</v>
      </c>
      <c r="K1640" s="3" t="s">
        <v>150</v>
      </c>
    </row>
    <row r="1641" spans="1:11" ht="42" customHeight="1">
      <c r="A1641" s="2" t="s">
        <v>4690</v>
      </c>
      <c r="B1641" s="2" t="s">
        <v>4690</v>
      </c>
      <c r="C1641" s="2" t="s">
        <v>26</v>
      </c>
      <c r="D1641" s="2" t="s">
        <v>18</v>
      </c>
      <c r="E1641" s="4">
        <v>-32246</v>
      </c>
      <c r="F1641" s="3" t="s">
        <v>19</v>
      </c>
      <c r="G1641" s="3" t="s">
        <v>4473</v>
      </c>
      <c r="H1641" s="2" t="s">
        <v>148</v>
      </c>
      <c r="I1641" s="2" t="s">
        <v>4691</v>
      </c>
      <c r="J1641" s="3" t="str">
        <f>HYPERLINK("https://www.boe.es/gazeta/dias/1811/09/17/pdfs/GEI-1811-120.pdf#page=6","Abrir facsímil")</f>
        <v>Abrir facsímil</v>
      </c>
      <c r="K1641" s="3" t="s">
        <v>150</v>
      </c>
    </row>
    <row r="1642" spans="1:11" ht="42" customHeight="1">
      <c r="A1642" s="2" t="s">
        <v>4692</v>
      </c>
      <c r="B1642" s="2" t="s">
        <v>4692</v>
      </c>
      <c r="C1642" s="2" t="s">
        <v>17</v>
      </c>
      <c r="D1642" s="2" t="s">
        <v>156</v>
      </c>
      <c r="E1642" s="4">
        <v>-32367</v>
      </c>
      <c r="F1642" s="3" t="s">
        <v>4693</v>
      </c>
      <c r="G1642" s="3" t="s">
        <v>47</v>
      </c>
      <c r="H1642" s="2" t="s">
        <v>148</v>
      </c>
      <c r="I1642" s="2" t="s">
        <v>4694</v>
      </c>
      <c r="J1642" s="3" t="str">
        <f>HYPERLINK("https://www.boe.es/gazeta/dias/1811/05/19/pdfs/GMD-1811-139.pdf#page=1","Abrir facsímil")</f>
        <v>Abrir facsímil</v>
      </c>
      <c r="K1642" s="3" t="s">
        <v>150</v>
      </c>
    </row>
    <row r="1643" spans="1:11" ht="42" customHeight="1">
      <c r="A1643" s="2" t="s">
        <v>4695</v>
      </c>
      <c r="B1643" s="2" t="s">
        <v>4696</v>
      </c>
      <c r="C1643" s="2" t="s">
        <v>26</v>
      </c>
      <c r="D1643" s="2" t="s">
        <v>18</v>
      </c>
      <c r="E1643" s="4">
        <v>-32295</v>
      </c>
      <c r="F1643" s="3" t="s">
        <v>279</v>
      </c>
      <c r="G1643" s="3" t="s">
        <v>44</v>
      </c>
      <c r="H1643" s="2" t="s">
        <v>148</v>
      </c>
      <c r="I1643" s="2" t="s">
        <v>4697</v>
      </c>
      <c r="J1643" s="3" t="str">
        <f>HYPERLINK("https://www.boe.es/gazeta/dias/1811/07/30/pdfs/GEI-1811-99.pdf#page=8","Abrir facsímil")</f>
        <v>Abrir facsímil</v>
      </c>
      <c r="K1643" s="3" t="s">
        <v>150</v>
      </c>
    </row>
    <row r="1644" spans="1:11" ht="42" customHeight="1">
      <c r="A1644" s="2" t="s">
        <v>4698</v>
      </c>
      <c r="B1644" s="2" t="s">
        <v>4699</v>
      </c>
      <c r="C1644" s="2" t="s">
        <v>26</v>
      </c>
      <c r="D1644" s="2" t="s">
        <v>105</v>
      </c>
      <c r="E1644" s="4">
        <v>-32167</v>
      </c>
      <c r="F1644" s="3" t="s">
        <v>347</v>
      </c>
      <c r="G1644" s="3" t="s">
        <v>183</v>
      </c>
      <c r="H1644" s="2" t="s">
        <v>148</v>
      </c>
      <c r="I1644" s="2" t="s">
        <v>4700</v>
      </c>
      <c r="J1644" s="3" t="str">
        <f>HYPERLINK("https://www.boe.es/gazeta/dias/1811/12/05/pdfs/GEI-D-1811-158.pdf#page=4","Abrir facsímil")</f>
        <v>Abrir facsímil</v>
      </c>
      <c r="K1644" s="3" t="s">
        <v>150</v>
      </c>
    </row>
    <row r="1645" spans="1:11" ht="42" customHeight="1">
      <c r="A1645" s="2" t="s">
        <v>4701</v>
      </c>
      <c r="B1645" s="2" t="s">
        <v>4702</v>
      </c>
      <c r="C1645" s="2" t="s">
        <v>17</v>
      </c>
      <c r="D1645" s="2" t="s">
        <v>18</v>
      </c>
      <c r="E1645" s="4">
        <v>-32298</v>
      </c>
      <c r="F1645" s="3" t="s">
        <v>133</v>
      </c>
      <c r="G1645" s="3" t="s">
        <v>134</v>
      </c>
      <c r="H1645" s="2" t="s">
        <v>148</v>
      </c>
      <c r="I1645" s="2" t="s">
        <v>4703</v>
      </c>
      <c r="J1645" s="3" t="str">
        <f>HYPERLINK("https://www.boe.es/gazeta/dias/1811/07/27/pdfs/GEI-1811-98.pdf#page=7","Abrir facsímil")</f>
        <v>Abrir facsímil</v>
      </c>
      <c r="K1645" s="3" t="s">
        <v>150</v>
      </c>
    </row>
    <row r="1646" spans="1:11" ht="42" customHeight="1">
      <c r="A1646" s="2" t="s">
        <v>4704</v>
      </c>
      <c r="B1646" s="2" t="s">
        <v>4704</v>
      </c>
      <c r="C1646" s="2" t="s">
        <v>17</v>
      </c>
      <c r="D1646" s="2" t="s">
        <v>18</v>
      </c>
      <c r="E1646" s="4">
        <v>-32246</v>
      </c>
      <c r="F1646" s="3" t="s">
        <v>19</v>
      </c>
      <c r="G1646" s="3" t="s">
        <v>4705</v>
      </c>
      <c r="H1646" s="2" t="s">
        <v>148</v>
      </c>
      <c r="I1646" s="2" t="s">
        <v>4706</v>
      </c>
      <c r="J1646" s="3" t="str">
        <f>HYPERLINK("https://www.boe.es/gazeta/dias/1811/09/17/pdfs/GEI-1811-120.pdf#page=11","Abrir facsímil")</f>
        <v>Abrir facsímil</v>
      </c>
      <c r="K1646" s="3" t="s">
        <v>150</v>
      </c>
    </row>
    <row r="1647" spans="1:11" ht="42" customHeight="1">
      <c r="A1647" s="2" t="s">
        <v>4707</v>
      </c>
      <c r="B1647" s="2" t="s">
        <v>4707</v>
      </c>
      <c r="C1647" s="2" t="s">
        <v>367</v>
      </c>
      <c r="D1647" s="2" t="s">
        <v>18</v>
      </c>
      <c r="E1647" s="4">
        <v>-32313</v>
      </c>
      <c r="F1647" s="3" t="s">
        <v>4708</v>
      </c>
      <c r="G1647" s="3" t="s">
        <v>248</v>
      </c>
      <c r="H1647" s="2" t="s">
        <v>148</v>
      </c>
      <c r="I1647" s="2" t="s">
        <v>4709</v>
      </c>
      <c r="J1647" s="3" t="str">
        <f>HYPERLINK("https://www.boe.es/gazeta/dias/1811/07/12/pdfs/GMD-1811-193.pdf#page=1","Abrir facsímil")</f>
        <v>Abrir facsímil</v>
      </c>
      <c r="K1647" s="3" t="s">
        <v>150</v>
      </c>
    </row>
    <row r="1648" spans="1:11" ht="42" customHeight="1">
      <c r="A1648" s="2" t="s">
        <v>4710</v>
      </c>
      <c r="B1648" s="2" t="s">
        <v>4711</v>
      </c>
      <c r="C1648" s="2" t="s">
        <v>84</v>
      </c>
      <c r="D1648" s="2" t="s">
        <v>105</v>
      </c>
      <c r="E1648" s="4">
        <v>-32396</v>
      </c>
      <c r="F1648" s="3" t="s">
        <v>804</v>
      </c>
      <c r="G1648" s="3" t="s">
        <v>805</v>
      </c>
      <c r="H1648" s="2" t="s">
        <v>148</v>
      </c>
      <c r="I1648" s="2" t="s">
        <v>4712</v>
      </c>
      <c r="J1648" s="3" t="str">
        <f>HYPERLINK("https://www.boe.es/gazeta/dias/1811/04/20/pdfs/GEI-D-1811-53.pdf#page=4","Abrir facsímil")</f>
        <v>Abrir facsímil</v>
      </c>
      <c r="K1648" s="3" t="s">
        <v>150</v>
      </c>
    </row>
    <row r="1649" spans="1:11" ht="42" customHeight="1">
      <c r="A1649" s="2" t="s">
        <v>4713</v>
      </c>
      <c r="B1649" s="2" t="s">
        <v>4713</v>
      </c>
      <c r="C1649" s="2" t="s">
        <v>17</v>
      </c>
      <c r="D1649" s="2" t="s">
        <v>156</v>
      </c>
      <c r="E1649" s="4">
        <v>-32430</v>
      </c>
      <c r="F1649" s="3" t="s">
        <v>4714</v>
      </c>
      <c r="G1649" s="3" t="s">
        <v>4715</v>
      </c>
      <c r="H1649" s="2" t="s">
        <v>148</v>
      </c>
      <c r="I1649" s="2" t="s">
        <v>4716</v>
      </c>
      <c r="J1649" s="3" t="str">
        <f>HYPERLINK("https://www.boe.es/gazeta/dias/1811/03/17/pdfs/GMD-1811-76.pdf#page=1","Abrir facsímil")</f>
        <v>Abrir facsímil</v>
      </c>
      <c r="K1649" s="3" t="s">
        <v>150</v>
      </c>
    </row>
    <row r="1650" spans="1:11" ht="42" customHeight="1">
      <c r="A1650" s="2" t="s">
        <v>4717</v>
      </c>
      <c r="B1650" s="2" t="s">
        <v>4718</v>
      </c>
      <c r="C1650" s="2" t="s">
        <v>26</v>
      </c>
      <c r="D1650" s="2" t="s">
        <v>105</v>
      </c>
      <c r="E1650" s="4">
        <v>-32285</v>
      </c>
      <c r="F1650" s="3" t="s">
        <v>3716</v>
      </c>
      <c r="G1650" s="3" t="s">
        <v>468</v>
      </c>
      <c r="H1650" s="2" t="s">
        <v>148</v>
      </c>
      <c r="I1650" s="2" t="s">
        <v>4719</v>
      </c>
      <c r="J1650" s="3" t="str">
        <f>HYPERLINK("https://www.boe.es/gazeta/dias/1811/08/09/pdfs/GMD-1811-221.pdf#page=4","Abrir facsímil")</f>
        <v>Abrir facsímil</v>
      </c>
      <c r="K1650" s="3" t="s">
        <v>150</v>
      </c>
    </row>
    <row r="1651" spans="1:11" ht="42" customHeight="1">
      <c r="A1651" s="2" t="s">
        <v>4720</v>
      </c>
      <c r="B1651" s="2" t="s">
        <v>4721</v>
      </c>
      <c r="C1651" s="2" t="s">
        <v>26</v>
      </c>
      <c r="D1651" s="2" t="s">
        <v>141</v>
      </c>
      <c r="E1651" s="4">
        <v>-32280</v>
      </c>
      <c r="F1651" s="3" t="s">
        <v>142</v>
      </c>
      <c r="G1651" s="3" t="s">
        <v>47</v>
      </c>
      <c r="H1651" s="2" t="s">
        <v>148</v>
      </c>
      <c r="I1651" s="2" t="s">
        <v>4722</v>
      </c>
      <c r="J1651" s="3" t="str">
        <f>HYPERLINK("https://www.boe.es/gazeta/dias/1811/08/14/pdfs/GMD-C-1811-226.pdf#page=1","Abrir facsímil")</f>
        <v>Abrir facsímil</v>
      </c>
      <c r="K1651" s="3" t="s">
        <v>150</v>
      </c>
    </row>
    <row r="1652" spans="1:11" ht="42" customHeight="1">
      <c r="A1652" s="2" t="s">
        <v>4723</v>
      </c>
      <c r="B1652" s="2" t="s">
        <v>4724</v>
      </c>
      <c r="C1652" s="2" t="s">
        <v>841</v>
      </c>
      <c r="D1652" s="2" t="s">
        <v>18</v>
      </c>
      <c r="E1652" s="4">
        <v>-32209</v>
      </c>
      <c r="F1652" s="3" t="s">
        <v>1324</v>
      </c>
      <c r="G1652" s="3" t="s">
        <v>1325</v>
      </c>
      <c r="H1652" s="2" t="s">
        <v>148</v>
      </c>
      <c r="I1652" s="2" t="s">
        <v>4725</v>
      </c>
      <c r="J1652" s="3" t="str">
        <f>HYPERLINK("https://www.boe.es/gazeta/dias/1811/10/24/pdfs/GMD-1811-297.pdf#page=2","Abrir facsímil")</f>
        <v>Abrir facsímil</v>
      </c>
      <c r="K1652" s="3" t="s">
        <v>150</v>
      </c>
    </row>
    <row r="1653" spans="1:11" ht="42" customHeight="1">
      <c r="A1653" s="2" t="s">
        <v>4726</v>
      </c>
      <c r="B1653" s="2" t="s">
        <v>4727</v>
      </c>
      <c r="C1653" s="2" t="s">
        <v>26</v>
      </c>
      <c r="D1653" s="2" t="s">
        <v>18</v>
      </c>
      <c r="E1653" s="4">
        <v>-32181</v>
      </c>
      <c r="F1653" s="3" t="s">
        <v>1169</v>
      </c>
      <c r="G1653" s="3" t="s">
        <v>1170</v>
      </c>
      <c r="H1653" s="2" t="s">
        <v>148</v>
      </c>
      <c r="I1653" s="2" t="s">
        <v>4728</v>
      </c>
      <c r="J1653" s="3" t="str">
        <f>HYPERLINK("https://www.boe.es/gazeta/dias/1811/11/21/pdfs/GMD-1811-325.pdf#page=4","Abrir facsímil")</f>
        <v>Abrir facsímil</v>
      </c>
      <c r="K1653" s="3" t="s">
        <v>150</v>
      </c>
    </row>
    <row r="1654" spans="1:11" ht="42" customHeight="1">
      <c r="A1654" s="2" t="s">
        <v>4729</v>
      </c>
      <c r="B1654" s="2" t="s">
        <v>4729</v>
      </c>
      <c r="C1654" s="2" t="s">
        <v>26</v>
      </c>
      <c r="D1654" s="2" t="s">
        <v>18</v>
      </c>
      <c r="E1654" s="4">
        <v>-32155</v>
      </c>
      <c r="F1654" s="3" t="s">
        <v>263</v>
      </c>
      <c r="G1654" s="3" t="s">
        <v>1800</v>
      </c>
      <c r="H1654" s="2" t="s">
        <v>148</v>
      </c>
      <c r="I1654" s="2" t="s">
        <v>4730</v>
      </c>
      <c r="J1654" s="3" t="str">
        <f>HYPERLINK("https://www.boe.es/gazeta/dias/1811/12/17/pdfs/GEI-1811-163.pdf#page=7","Abrir facsímil")</f>
        <v>Abrir facsímil</v>
      </c>
      <c r="K1654" s="3" t="s">
        <v>150</v>
      </c>
    </row>
    <row r="1655" spans="1:11" ht="42" customHeight="1">
      <c r="A1655" s="2" t="s">
        <v>4731</v>
      </c>
      <c r="B1655" s="2" t="s">
        <v>4731</v>
      </c>
      <c r="C1655" s="2" t="s">
        <v>17</v>
      </c>
      <c r="D1655" s="2" t="s">
        <v>18</v>
      </c>
      <c r="E1655" s="4">
        <v>-32160</v>
      </c>
      <c r="F1655" s="3" t="s">
        <v>1013</v>
      </c>
      <c r="G1655" s="3" t="s">
        <v>1014</v>
      </c>
      <c r="H1655" s="2" t="s">
        <v>148</v>
      </c>
      <c r="I1655" s="2" t="s">
        <v>4732</v>
      </c>
      <c r="J1655" s="3" t="str">
        <f>HYPERLINK("https://www.boe.es/gazeta/dias/1811/12/12/pdfs/GEI-1811-161.pdf#page=5","Abrir facsímil")</f>
        <v>Abrir facsímil</v>
      </c>
      <c r="K1655" s="3" t="s">
        <v>150</v>
      </c>
    </row>
    <row r="1656" spans="1:11" ht="42" customHeight="1">
      <c r="A1656" s="2" t="s">
        <v>4733</v>
      </c>
      <c r="B1656" s="2" t="s">
        <v>4734</v>
      </c>
      <c r="C1656" s="2" t="s">
        <v>26</v>
      </c>
      <c r="D1656" s="2" t="s">
        <v>18</v>
      </c>
      <c r="E1656" s="4">
        <v>-32181</v>
      </c>
      <c r="F1656" s="3" t="s">
        <v>1169</v>
      </c>
      <c r="G1656" s="3" t="s">
        <v>1170</v>
      </c>
      <c r="H1656" s="2" t="s">
        <v>148</v>
      </c>
      <c r="I1656" s="2" t="s">
        <v>4735</v>
      </c>
      <c r="J1656" s="3" t="str">
        <f>HYPERLINK("https://www.boe.es/gazeta/dias/1811/11/21/pdfs/GMD-1811-325.pdf#page=4","Abrir facsímil")</f>
        <v>Abrir facsímil</v>
      </c>
      <c r="K1656" s="3" t="s">
        <v>150</v>
      </c>
    </row>
    <row r="1657" spans="1:11" ht="42" customHeight="1">
      <c r="A1657" s="2" t="s">
        <v>4736</v>
      </c>
      <c r="B1657" s="2" t="s">
        <v>4737</v>
      </c>
      <c r="C1657" s="2" t="s">
        <v>26</v>
      </c>
      <c r="D1657" s="2" t="s">
        <v>18</v>
      </c>
      <c r="E1657" s="4">
        <v>-32428</v>
      </c>
      <c r="F1657" s="3" t="s">
        <v>1974</v>
      </c>
      <c r="G1657" s="3" t="s">
        <v>4738</v>
      </c>
      <c r="H1657" s="2" t="s">
        <v>148</v>
      </c>
      <c r="I1657" s="2" t="s">
        <v>4739</v>
      </c>
      <c r="J1657" s="3" t="str">
        <f>HYPERLINK("https://www.boe.es/gazeta/dias/1811/03/19/pdfs/GEI-1811-39.pdf#page=8","Abrir facsímil")</f>
        <v>Abrir facsímil</v>
      </c>
      <c r="K1657" s="3" t="s">
        <v>150</v>
      </c>
    </row>
    <row r="1658" spans="1:11" ht="42" customHeight="1">
      <c r="A1658" s="2" t="s">
        <v>4740</v>
      </c>
      <c r="B1658" s="2" t="s">
        <v>4741</v>
      </c>
      <c r="C1658" s="2" t="s">
        <v>26</v>
      </c>
      <c r="D1658" s="2" t="s">
        <v>18</v>
      </c>
      <c r="E1658" s="4">
        <v>-32195</v>
      </c>
      <c r="F1658" s="3" t="s">
        <v>439</v>
      </c>
      <c r="G1658" s="3" t="s">
        <v>440</v>
      </c>
      <c r="H1658" s="2" t="s">
        <v>148</v>
      </c>
      <c r="I1658" s="2" t="s">
        <v>4742</v>
      </c>
      <c r="J1658" s="3" t="str">
        <f>HYPERLINK("https://www.boe.es/gazeta/dias/1811/11/07/pdfs/GEI-1811-144.pdf#page=8","Abrir facsímil")</f>
        <v>Abrir facsímil</v>
      </c>
      <c r="K1658" s="3" t="s">
        <v>150</v>
      </c>
    </row>
    <row r="1659" spans="1:11" ht="42" customHeight="1">
      <c r="A1659" s="2" t="s">
        <v>4743</v>
      </c>
      <c r="B1659" s="2" t="s">
        <v>4744</v>
      </c>
      <c r="C1659" s="2" t="s">
        <v>26</v>
      </c>
      <c r="D1659" s="2" t="s">
        <v>18</v>
      </c>
      <c r="E1659" s="4">
        <v>-32412</v>
      </c>
      <c r="F1659" s="3" t="s">
        <v>998</v>
      </c>
      <c r="G1659" s="3" t="s">
        <v>178</v>
      </c>
      <c r="H1659" s="2" t="s">
        <v>148</v>
      </c>
      <c r="I1659" s="2" t="s">
        <v>4745</v>
      </c>
      <c r="J1659" s="3" t="str">
        <f>HYPERLINK("https://www.boe.es/gazeta/dias/1811/04/04/pdfs/GEI-1811-46.pdf#page=5","Abrir facsímil")</f>
        <v>Abrir facsímil</v>
      </c>
      <c r="K1659" s="3" t="s">
        <v>150</v>
      </c>
    </row>
    <row r="1660" spans="1:11" ht="42" customHeight="1">
      <c r="A1660" s="2" t="s">
        <v>4746</v>
      </c>
      <c r="B1660" s="2" t="s">
        <v>4746</v>
      </c>
      <c r="C1660" s="2" t="s">
        <v>17</v>
      </c>
      <c r="D1660" s="2" t="s">
        <v>18</v>
      </c>
      <c r="E1660" s="4">
        <v>-32321</v>
      </c>
      <c r="F1660" s="3" t="s">
        <v>1829</v>
      </c>
      <c r="G1660" s="3" t="s">
        <v>1830</v>
      </c>
      <c r="H1660" s="2" t="s">
        <v>148</v>
      </c>
      <c r="I1660" s="2" t="s">
        <v>4747</v>
      </c>
      <c r="J1660" s="3" t="str">
        <f>HYPERLINK("https://www.boe.es/gazeta/dias/1811/07/04/pdfs/GEI-1811-88.pdf#page=3","Abrir facsímil")</f>
        <v>Abrir facsímil</v>
      </c>
      <c r="K1660" s="3" t="s">
        <v>150</v>
      </c>
    </row>
    <row r="1661" spans="1:11" ht="42" customHeight="1">
      <c r="A1661" s="2" t="s">
        <v>4748</v>
      </c>
      <c r="B1661" s="2" t="s">
        <v>4749</v>
      </c>
      <c r="C1661" s="2" t="s">
        <v>17</v>
      </c>
      <c r="D1661" s="2" t="s">
        <v>18</v>
      </c>
      <c r="E1661" s="4">
        <v>-32463</v>
      </c>
      <c r="F1661" s="3" t="s">
        <v>734</v>
      </c>
      <c r="G1661" s="3" t="s">
        <v>735</v>
      </c>
      <c r="H1661" s="2" t="s">
        <v>148</v>
      </c>
      <c r="I1661" s="2" t="s">
        <v>4750</v>
      </c>
      <c r="J1661" s="3" t="str">
        <f>HYPERLINK("https://www.boe.es/gazeta/dias/1811/02/12/pdfs/GEI-1811-19.pdf#page=8","Abrir facsímil")</f>
        <v>Abrir facsímil</v>
      </c>
      <c r="K1661" s="3" t="s">
        <v>150</v>
      </c>
    </row>
    <row r="1662" spans="1:11" ht="42" customHeight="1">
      <c r="A1662" s="2" t="s">
        <v>4751</v>
      </c>
      <c r="B1662" s="2" t="s">
        <v>4751</v>
      </c>
      <c r="C1662" s="2" t="s">
        <v>17</v>
      </c>
      <c r="D1662" s="2" t="s">
        <v>18</v>
      </c>
      <c r="E1662" s="4">
        <v>-32183</v>
      </c>
      <c r="F1662" s="3" t="s">
        <v>3310</v>
      </c>
      <c r="G1662" s="3" t="s">
        <v>47</v>
      </c>
      <c r="H1662" s="2" t="s">
        <v>148</v>
      </c>
      <c r="I1662" s="2" t="s">
        <v>4752</v>
      </c>
      <c r="J1662" s="3" t="str">
        <f>HYPERLINK("https://www.boe.es/gazeta/dias/1811/11/19/pdfs/GEI-1811-151.pdf#page=3","Abrir facsímil")</f>
        <v>Abrir facsímil</v>
      </c>
      <c r="K1662" s="3" t="s">
        <v>150</v>
      </c>
    </row>
    <row r="1663" spans="1:11" ht="42" customHeight="1">
      <c r="A1663" s="2" t="s">
        <v>4753</v>
      </c>
      <c r="B1663" s="2" t="s">
        <v>4753</v>
      </c>
      <c r="C1663" s="2" t="s">
        <v>17</v>
      </c>
      <c r="D1663" s="2" t="s">
        <v>18</v>
      </c>
      <c r="E1663" s="4">
        <v>-32321</v>
      </c>
      <c r="F1663" s="3" t="s">
        <v>1829</v>
      </c>
      <c r="G1663" s="3" t="s">
        <v>1832</v>
      </c>
      <c r="H1663" s="2" t="s">
        <v>148</v>
      </c>
      <c r="I1663" s="2" t="s">
        <v>4754</v>
      </c>
      <c r="J1663" s="3" t="str">
        <f>HYPERLINK("https://www.boe.es/gazeta/dias/1811/07/04/pdfs/GEI-1811-88.pdf#page=4","Abrir facsímil")</f>
        <v>Abrir facsímil</v>
      </c>
      <c r="K1663" s="3" t="s">
        <v>150</v>
      </c>
    </row>
    <row r="1664" spans="1:11" ht="42" customHeight="1">
      <c r="A1664" s="2" t="s">
        <v>4755</v>
      </c>
      <c r="B1664" s="2" t="s">
        <v>4755</v>
      </c>
      <c r="C1664" s="2" t="s">
        <v>17</v>
      </c>
      <c r="D1664" s="2" t="s">
        <v>18</v>
      </c>
      <c r="E1664" s="4">
        <v>-32503</v>
      </c>
      <c r="F1664" s="3" t="s">
        <v>487</v>
      </c>
      <c r="G1664" s="3" t="s">
        <v>846</v>
      </c>
      <c r="H1664" s="2" t="s">
        <v>148</v>
      </c>
      <c r="I1664" s="2" t="s">
        <v>4756</v>
      </c>
      <c r="J1664" s="3" t="str">
        <f>HYPERLINK("https://www.boe.es/gazeta/dias/1811/01/03/pdfs/GEI-1811-2.pdf#page=6","Abrir facsímil")</f>
        <v>Abrir facsímil</v>
      </c>
      <c r="K1664" s="3" t="s">
        <v>150</v>
      </c>
    </row>
    <row r="1665" spans="1:11" ht="42" customHeight="1">
      <c r="A1665" s="2" t="s">
        <v>4757</v>
      </c>
      <c r="B1665" s="2" t="s">
        <v>4758</v>
      </c>
      <c r="C1665" s="2" t="s">
        <v>26</v>
      </c>
      <c r="D1665" s="2" t="s">
        <v>18</v>
      </c>
      <c r="E1665" s="4">
        <v>-32174</v>
      </c>
      <c r="F1665" s="3" t="s">
        <v>172</v>
      </c>
      <c r="G1665" s="3" t="s">
        <v>4759</v>
      </c>
      <c r="H1665" s="2" t="s">
        <v>148</v>
      </c>
      <c r="I1665" s="2" t="s">
        <v>4760</v>
      </c>
      <c r="J1665" s="3" t="str">
        <f>HYPERLINK("https://www.boe.es/gazeta/dias/1811/11/28/pdfs/GEI-1811-155.pdf#page=4","Abrir facsímil")</f>
        <v>Abrir facsímil</v>
      </c>
      <c r="K1665" s="3" t="s">
        <v>150</v>
      </c>
    </row>
    <row r="1666" spans="1:11" ht="42" customHeight="1">
      <c r="A1666" s="2" t="s">
        <v>4761</v>
      </c>
      <c r="B1666" s="2" t="s">
        <v>4761</v>
      </c>
      <c r="C1666" s="2" t="s">
        <v>104</v>
      </c>
      <c r="D1666" s="2" t="s">
        <v>18</v>
      </c>
      <c r="E1666" s="4">
        <v>-32326</v>
      </c>
      <c r="F1666" s="3" t="s">
        <v>43</v>
      </c>
      <c r="G1666" s="3" t="s">
        <v>4762</v>
      </c>
      <c r="H1666" s="2" t="s">
        <v>148</v>
      </c>
      <c r="I1666" s="2" t="s">
        <v>4763</v>
      </c>
      <c r="J1666" s="3" t="str">
        <f>HYPERLINK("https://www.boe.es/gazeta/dias/1811/06/29/pdfs/GEI-1811-86.pdf#page=4","Abrir facsímil")</f>
        <v>Abrir facsímil</v>
      </c>
      <c r="K1666" s="3" t="s">
        <v>150</v>
      </c>
    </row>
    <row r="1667" spans="1:11" ht="42" customHeight="1">
      <c r="A1667" s="2" t="s">
        <v>4764</v>
      </c>
      <c r="B1667" s="2" t="s">
        <v>4764</v>
      </c>
      <c r="C1667" s="2" t="s">
        <v>26</v>
      </c>
      <c r="D1667" s="2" t="s">
        <v>18</v>
      </c>
      <c r="E1667" s="4">
        <v>-32307</v>
      </c>
      <c r="F1667" s="3" t="s">
        <v>2614</v>
      </c>
      <c r="G1667" s="3" t="s">
        <v>4765</v>
      </c>
      <c r="H1667" s="2" t="s">
        <v>148</v>
      </c>
      <c r="I1667" s="2" t="s">
        <v>4766</v>
      </c>
      <c r="J1667" s="3" t="str">
        <f>HYPERLINK("https://www.boe.es/gazeta/dias/1811/07/18/pdfs/GMD-1811-199.pdf#page=4","Abrir facsímil")</f>
        <v>Abrir facsímil</v>
      </c>
      <c r="K1667" s="3" t="s">
        <v>150</v>
      </c>
    </row>
    <row r="1668" spans="1:11" ht="42" customHeight="1">
      <c r="A1668" s="2" t="s">
        <v>4767</v>
      </c>
      <c r="B1668" s="2" t="s">
        <v>4768</v>
      </c>
      <c r="C1668" s="2" t="s">
        <v>26</v>
      </c>
      <c r="D1668" s="2" t="s">
        <v>18</v>
      </c>
      <c r="E1668" s="4">
        <v>-32181</v>
      </c>
      <c r="F1668" s="3" t="s">
        <v>1169</v>
      </c>
      <c r="G1668" s="3" t="s">
        <v>1170</v>
      </c>
      <c r="H1668" s="2" t="s">
        <v>148</v>
      </c>
      <c r="I1668" s="2" t="s">
        <v>4769</v>
      </c>
      <c r="J1668" s="3" t="str">
        <f>HYPERLINK("https://www.boe.es/gazeta/dias/1811/11/21/pdfs/GMD-1811-325.pdf#page=4","Abrir facsímil")</f>
        <v>Abrir facsímil</v>
      </c>
      <c r="K1668" s="3" t="s">
        <v>150</v>
      </c>
    </row>
    <row r="1669" spans="1:11" ht="42" customHeight="1">
      <c r="A1669" s="2" t="s">
        <v>4770</v>
      </c>
      <c r="B1669" s="2" t="s">
        <v>4771</v>
      </c>
      <c r="C1669" s="2" t="s">
        <v>26</v>
      </c>
      <c r="D1669" s="2" t="s">
        <v>18</v>
      </c>
      <c r="E1669" s="4">
        <v>-32167</v>
      </c>
      <c r="F1669" s="3" t="s">
        <v>195</v>
      </c>
      <c r="G1669" s="3" t="s">
        <v>476</v>
      </c>
      <c r="H1669" s="2" t="s">
        <v>148</v>
      </c>
      <c r="I1669" s="2" t="s">
        <v>4772</v>
      </c>
      <c r="J1669" s="3" t="str">
        <f>HYPERLINK("https://www.boe.es/gazeta/dias/1811/12/05/pdfs/GEI-1811-158.pdf#page=7","Abrir facsímil")</f>
        <v>Abrir facsímil</v>
      </c>
      <c r="K1669" s="3" t="s">
        <v>150</v>
      </c>
    </row>
    <row r="1670" spans="1:11" ht="42" customHeight="1">
      <c r="A1670" s="2" t="s">
        <v>4773</v>
      </c>
      <c r="B1670" s="2" t="s">
        <v>4774</v>
      </c>
      <c r="C1670" s="2" t="s">
        <v>26</v>
      </c>
      <c r="D1670" s="2" t="s">
        <v>18</v>
      </c>
      <c r="E1670" s="4">
        <v>-32286</v>
      </c>
      <c r="F1670" s="3" t="s">
        <v>754</v>
      </c>
      <c r="G1670" s="3" t="s">
        <v>1728</v>
      </c>
      <c r="H1670" s="2" t="s">
        <v>148</v>
      </c>
      <c r="I1670" s="2" t="s">
        <v>4775</v>
      </c>
      <c r="J1670" s="3" t="str">
        <f>HYPERLINK("https://www.boe.es/gazeta/dias/1811/08/08/pdfs/GEI-1811-103.pdf#page=8","Abrir facsímil")</f>
        <v>Abrir facsímil</v>
      </c>
      <c r="K1670" s="3" t="s">
        <v>150</v>
      </c>
    </row>
    <row r="1671" spans="1:11" ht="42" customHeight="1">
      <c r="A1671" s="2" t="s">
        <v>4776</v>
      </c>
      <c r="B1671" s="2" t="s">
        <v>4776</v>
      </c>
      <c r="C1671" s="2" t="s">
        <v>37</v>
      </c>
      <c r="D1671" s="2" t="s">
        <v>156</v>
      </c>
      <c r="E1671" s="4">
        <v>-32228</v>
      </c>
      <c r="F1671" s="3" t="s">
        <v>372</v>
      </c>
      <c r="G1671" s="3" t="s">
        <v>373</v>
      </c>
      <c r="H1671" s="2" t="s">
        <v>148</v>
      </c>
      <c r="I1671" s="2" t="s">
        <v>4777</v>
      </c>
      <c r="J1671" s="3" t="str">
        <f>HYPERLINK("https://www.boe.es/gazeta/dias/1811/10/05/pdfs/GEI-1811-128.pdf#page=7","Abrir facsímil")</f>
        <v>Abrir facsímil</v>
      </c>
      <c r="K1671" s="3" t="s">
        <v>150</v>
      </c>
    </row>
    <row r="1672" spans="1:11" ht="42" customHeight="1">
      <c r="A1672" s="2" t="s">
        <v>4778</v>
      </c>
      <c r="B1672" s="2" t="s">
        <v>4778</v>
      </c>
      <c r="C1672" s="2" t="s">
        <v>17</v>
      </c>
      <c r="D1672" s="2" t="s">
        <v>156</v>
      </c>
      <c r="E1672" s="4">
        <v>-32171</v>
      </c>
      <c r="F1672" s="3" t="s">
        <v>157</v>
      </c>
      <c r="G1672" s="3" t="s">
        <v>44</v>
      </c>
      <c r="H1672" s="2" t="s">
        <v>148</v>
      </c>
      <c r="I1672" s="2" t="s">
        <v>4779</v>
      </c>
      <c r="J1672" s="3" t="str">
        <f>HYPERLINK("https://www.boe.es/gazeta/dias/1811/12/01/pdfs/GMD-1811-335.pdf#page=4","Abrir facsímil")</f>
        <v>Abrir facsímil</v>
      </c>
      <c r="K1672" s="3" t="s">
        <v>150</v>
      </c>
    </row>
    <row r="1673" spans="1:11" ht="42" customHeight="1">
      <c r="A1673" s="2" t="s">
        <v>4780</v>
      </c>
      <c r="B1673" s="2" t="s">
        <v>4780</v>
      </c>
      <c r="C1673" s="2" t="s">
        <v>26</v>
      </c>
      <c r="D1673" s="2" t="s">
        <v>18</v>
      </c>
      <c r="E1673" s="4">
        <v>-32463</v>
      </c>
      <c r="F1673" s="3" t="s">
        <v>4781</v>
      </c>
      <c r="G1673" s="3" t="s">
        <v>2256</v>
      </c>
      <c r="H1673" s="2" t="s">
        <v>148</v>
      </c>
      <c r="I1673" s="2" t="s">
        <v>4782</v>
      </c>
      <c r="J1673" s="3" t="str">
        <f>HYPERLINK("https://www.boe.es/gazeta/dias/1811/02/12/pdfs/GMD-1811-43.pdf#page=2","Abrir facsímil")</f>
        <v>Abrir facsímil</v>
      </c>
      <c r="K1673" s="3" t="s">
        <v>150</v>
      </c>
    </row>
    <row r="1674" spans="1:11" ht="42" customHeight="1">
      <c r="A1674" s="2" t="s">
        <v>4780</v>
      </c>
      <c r="B1674" s="2" t="s">
        <v>4780</v>
      </c>
      <c r="C1674" s="2" t="s">
        <v>17</v>
      </c>
      <c r="D1674" s="2" t="s">
        <v>18</v>
      </c>
      <c r="E1674" s="4">
        <v>-32460</v>
      </c>
      <c r="F1674" s="3" t="s">
        <v>4783</v>
      </c>
      <c r="G1674" s="3" t="s">
        <v>39</v>
      </c>
      <c r="H1674" s="2" t="s">
        <v>148</v>
      </c>
      <c r="I1674" s="2" t="s">
        <v>4784</v>
      </c>
      <c r="J1674" s="3" t="str">
        <f>HYPERLINK("https://www.boe.es/gazeta/dias/1811/02/15/pdfs/GMD-1811-46.pdf#page=1","Abrir facsímil")</f>
        <v>Abrir facsímil</v>
      </c>
      <c r="K1674" s="3" t="s">
        <v>150</v>
      </c>
    </row>
    <row r="1675" spans="1:11" ht="42" customHeight="1">
      <c r="A1675" s="2" t="s">
        <v>4780</v>
      </c>
      <c r="B1675" s="2" t="s">
        <v>4780</v>
      </c>
      <c r="C1675" s="2" t="s">
        <v>26</v>
      </c>
      <c r="D1675" s="2" t="s">
        <v>18</v>
      </c>
      <c r="E1675" s="4">
        <v>-32456</v>
      </c>
      <c r="F1675" s="3" t="s">
        <v>4785</v>
      </c>
      <c r="G1675" s="3" t="s">
        <v>468</v>
      </c>
      <c r="H1675" s="2" t="s">
        <v>148</v>
      </c>
      <c r="I1675" s="2" t="s">
        <v>4786</v>
      </c>
      <c r="J1675" s="3" t="str">
        <f>HYPERLINK("https://www.boe.es/gazeta/dias/1811/02/19/pdfs/GMD-1811-50.pdf#page=4","Abrir facsímil")</f>
        <v>Abrir facsímil</v>
      </c>
      <c r="K1675" s="3" t="s">
        <v>150</v>
      </c>
    </row>
    <row r="1676" spans="1:11" ht="42" customHeight="1">
      <c r="A1676" s="2" t="s">
        <v>4780</v>
      </c>
      <c r="B1676" s="2" t="s">
        <v>4780</v>
      </c>
      <c r="C1676" s="2" t="s">
        <v>26</v>
      </c>
      <c r="D1676" s="2" t="s">
        <v>18</v>
      </c>
      <c r="E1676" s="4">
        <v>-32377</v>
      </c>
      <c r="F1676" s="3" t="s">
        <v>2461</v>
      </c>
      <c r="G1676" s="3" t="s">
        <v>47</v>
      </c>
      <c r="H1676" s="2" t="s">
        <v>148</v>
      </c>
      <c r="I1676" s="2" t="s">
        <v>4787</v>
      </c>
      <c r="J1676" s="3" t="str">
        <f>HYPERLINK("https://www.boe.es/gazeta/dias/1811/05/09/pdfs/GMD-1811-129.pdf#page=3","Abrir facsímil")</f>
        <v>Abrir facsímil</v>
      </c>
      <c r="K1676" s="3" t="s">
        <v>150</v>
      </c>
    </row>
    <row r="1677" spans="1:11" ht="42" customHeight="1">
      <c r="A1677" s="2" t="s">
        <v>4780</v>
      </c>
      <c r="B1677" s="2" t="s">
        <v>4780</v>
      </c>
      <c r="C1677" s="2" t="s">
        <v>26</v>
      </c>
      <c r="D1677" s="2" t="s">
        <v>18</v>
      </c>
      <c r="E1677" s="4">
        <v>-32363</v>
      </c>
      <c r="F1677" s="3" t="s">
        <v>4788</v>
      </c>
      <c r="G1677" s="3" t="s">
        <v>4789</v>
      </c>
      <c r="H1677" s="2" t="s">
        <v>148</v>
      </c>
      <c r="I1677" s="2" t="s">
        <v>4790</v>
      </c>
      <c r="J1677" s="3" t="str">
        <f>HYPERLINK("https://www.boe.es/gazeta/dias/1811/05/23/pdfs/GMD-1811-143.pdf#page=1","Abrir facsímil")</f>
        <v>Abrir facsímil</v>
      </c>
      <c r="K1677" s="3" t="s">
        <v>150</v>
      </c>
    </row>
    <row r="1678" spans="1:11" ht="42" customHeight="1">
      <c r="A1678" s="2" t="s">
        <v>4780</v>
      </c>
      <c r="B1678" s="2" t="s">
        <v>4780</v>
      </c>
      <c r="C1678" s="2" t="s">
        <v>37</v>
      </c>
      <c r="D1678" s="2" t="s">
        <v>156</v>
      </c>
      <c r="E1678" s="4">
        <v>-32326</v>
      </c>
      <c r="F1678" s="3" t="s">
        <v>43</v>
      </c>
      <c r="G1678" s="3" t="s">
        <v>4791</v>
      </c>
      <c r="H1678" s="2" t="s">
        <v>148</v>
      </c>
      <c r="I1678" s="2" t="s">
        <v>4792</v>
      </c>
      <c r="J1678" s="3" t="str">
        <f>HYPERLINK("https://www.boe.es/gazeta/dias/1811/06/29/pdfs/GEI-1811-86.pdf#page=8","Abrir facsímil")</f>
        <v>Abrir facsímil</v>
      </c>
      <c r="K1678" s="3" t="s">
        <v>150</v>
      </c>
    </row>
    <row r="1679" spans="1:11" ht="42" customHeight="1">
      <c r="A1679" s="2" t="s">
        <v>4780</v>
      </c>
      <c r="B1679" s="2" t="s">
        <v>4780</v>
      </c>
      <c r="C1679" s="2" t="s">
        <v>104</v>
      </c>
      <c r="D1679" s="2" t="s">
        <v>18</v>
      </c>
      <c r="E1679" s="4">
        <v>-32279</v>
      </c>
      <c r="F1679" s="3" t="s">
        <v>540</v>
      </c>
      <c r="G1679" s="3" t="s">
        <v>91</v>
      </c>
      <c r="H1679" s="2" t="s">
        <v>148</v>
      </c>
      <c r="I1679" s="2" t="s">
        <v>4793</v>
      </c>
      <c r="J1679" s="3" t="str">
        <f>HYPERLINK("https://www.boe.es/gazeta/dias/1811/08/15/pdfs/GMD-1811-227.pdf#page=3","Abrir facsímil")</f>
        <v>Abrir facsímil</v>
      </c>
      <c r="K1679" s="3" t="s">
        <v>150</v>
      </c>
    </row>
    <row r="1680" spans="1:11" ht="42" customHeight="1">
      <c r="A1680" s="2" t="s">
        <v>4780</v>
      </c>
      <c r="B1680" s="2" t="s">
        <v>4780</v>
      </c>
      <c r="C1680" s="2" t="s">
        <v>26</v>
      </c>
      <c r="D1680" s="2" t="s">
        <v>105</v>
      </c>
      <c r="E1680" s="4">
        <v>-32150</v>
      </c>
      <c r="F1680" s="3" t="s">
        <v>1174</v>
      </c>
      <c r="G1680" s="3" t="s">
        <v>20</v>
      </c>
      <c r="H1680" s="2" t="s">
        <v>148</v>
      </c>
      <c r="I1680" s="2" t="s">
        <v>4794</v>
      </c>
      <c r="J1680" s="3" t="str">
        <f>HYPERLINK("https://www.boe.es/gazeta/dias/1811/12/22/pdfs/GMD-1811-356.pdf#page=4","Abrir facsímil")</f>
        <v>Abrir facsímil</v>
      </c>
      <c r="K1680" s="3" t="s">
        <v>150</v>
      </c>
    </row>
    <row r="1681" spans="1:11" ht="42" customHeight="1">
      <c r="A1681" s="2" t="s">
        <v>4780</v>
      </c>
      <c r="B1681" s="2" t="s">
        <v>4780</v>
      </c>
      <c r="C1681" s="2" t="s">
        <v>26</v>
      </c>
      <c r="D1681" s="2" t="s">
        <v>204</v>
      </c>
      <c r="E1681" s="4">
        <v>-32142</v>
      </c>
      <c r="F1681" s="3" t="s">
        <v>3022</v>
      </c>
      <c r="G1681" s="3" t="s">
        <v>4795</v>
      </c>
      <c r="H1681" s="2" t="s">
        <v>148</v>
      </c>
      <c r="I1681" s="2" t="s">
        <v>4796</v>
      </c>
      <c r="J1681" s="3" t="str">
        <f>HYPERLINK("https://www.boe.es/gazeta/dias/1811/12/30/pdfs/GMD-1811-364.pdf#page=2","Abrir facsímil")</f>
        <v>Abrir facsímil</v>
      </c>
      <c r="K1681" s="3" t="s">
        <v>150</v>
      </c>
    </row>
    <row r="1682" spans="1:11" ht="42" customHeight="1">
      <c r="A1682" s="2" t="s">
        <v>4797</v>
      </c>
      <c r="B1682" s="2" t="s">
        <v>4797</v>
      </c>
      <c r="C1682" s="2" t="s">
        <v>26</v>
      </c>
      <c r="D1682" s="2" t="s">
        <v>18</v>
      </c>
      <c r="E1682" s="4">
        <v>-32430</v>
      </c>
      <c r="F1682" s="3" t="s">
        <v>4714</v>
      </c>
      <c r="G1682" s="3" t="s">
        <v>20</v>
      </c>
      <c r="H1682" s="2" t="s">
        <v>148</v>
      </c>
      <c r="I1682" s="2" t="s">
        <v>4798</v>
      </c>
      <c r="J1682" s="3" t="str">
        <f>HYPERLINK("https://www.boe.es/gazeta/dias/1811/03/17/pdfs/GMD-1811-76.pdf#page=4","Abrir facsímil")</f>
        <v>Abrir facsímil</v>
      </c>
      <c r="K1682" s="3" t="s">
        <v>150</v>
      </c>
    </row>
    <row r="1683" spans="1:11" ht="42" customHeight="1">
      <c r="A1683" s="2" t="s">
        <v>4799</v>
      </c>
      <c r="B1683" s="2" t="s">
        <v>4799</v>
      </c>
      <c r="C1683" s="2" t="s">
        <v>26</v>
      </c>
      <c r="D1683" s="2" t="s">
        <v>18</v>
      </c>
      <c r="E1683" s="4">
        <v>-32426</v>
      </c>
      <c r="F1683" s="3" t="s">
        <v>244</v>
      </c>
      <c r="G1683" s="3" t="s">
        <v>44</v>
      </c>
      <c r="H1683" s="2" t="s">
        <v>148</v>
      </c>
      <c r="I1683" s="2" t="s">
        <v>4800</v>
      </c>
      <c r="J1683" s="3" t="str">
        <f>HYPERLINK("https://www.boe.es/gazeta/dias/1811/03/21/pdfs/GMD-1811-80.pdf#page=4","Abrir facsímil")</f>
        <v>Abrir facsímil</v>
      </c>
      <c r="K1683" s="3" t="s">
        <v>150</v>
      </c>
    </row>
    <row r="1684" spans="1:11" ht="42" customHeight="1">
      <c r="A1684" s="2" t="s">
        <v>4801</v>
      </c>
      <c r="B1684" s="2" t="s">
        <v>4801</v>
      </c>
      <c r="C1684" s="2" t="s">
        <v>26</v>
      </c>
      <c r="D1684" s="2" t="s">
        <v>18</v>
      </c>
      <c r="E1684" s="4">
        <v>-32431</v>
      </c>
      <c r="F1684" s="3" t="s">
        <v>668</v>
      </c>
      <c r="G1684" s="3" t="s">
        <v>47</v>
      </c>
      <c r="H1684" s="2" t="s">
        <v>148</v>
      </c>
      <c r="I1684" s="2" t="s">
        <v>4802</v>
      </c>
      <c r="J1684" s="3" t="str">
        <f>HYPERLINK("https://www.boe.es/gazeta/dias/1811/03/16/pdfs/GMD-1811-75.pdf#page=4","Abrir facsímil")</f>
        <v>Abrir facsímil</v>
      </c>
      <c r="K1684" s="3" t="s">
        <v>150</v>
      </c>
    </row>
    <row r="1685" spans="1:11" ht="42" customHeight="1">
      <c r="A1685" s="2" t="s">
        <v>4801</v>
      </c>
      <c r="B1685" s="2" t="s">
        <v>4801</v>
      </c>
      <c r="C1685" s="2" t="s">
        <v>26</v>
      </c>
      <c r="D1685" s="2" t="s">
        <v>18</v>
      </c>
      <c r="E1685" s="4">
        <v>-32429</v>
      </c>
      <c r="F1685" s="3" t="s">
        <v>770</v>
      </c>
      <c r="G1685" s="3" t="s">
        <v>183</v>
      </c>
      <c r="H1685" s="2" t="s">
        <v>148</v>
      </c>
      <c r="I1685" s="2" t="s">
        <v>4803</v>
      </c>
      <c r="J1685" s="3" t="str">
        <f>HYPERLINK("https://www.boe.es/gazeta/dias/1811/03/18/pdfs/GMD-1811-77.pdf#page=4","Abrir facsímil")</f>
        <v>Abrir facsímil</v>
      </c>
      <c r="K1685" s="3" t="s">
        <v>150</v>
      </c>
    </row>
    <row r="1686" spans="1:11" ht="42" customHeight="1">
      <c r="A1686" s="2" t="s">
        <v>4801</v>
      </c>
      <c r="B1686" s="2" t="s">
        <v>4801</v>
      </c>
      <c r="C1686" s="2" t="s">
        <v>26</v>
      </c>
      <c r="D1686" s="2" t="s">
        <v>18</v>
      </c>
      <c r="E1686" s="4">
        <v>-32241</v>
      </c>
      <c r="F1686" s="3" t="s">
        <v>514</v>
      </c>
      <c r="G1686" s="3" t="s">
        <v>515</v>
      </c>
      <c r="H1686" s="2" t="s">
        <v>148</v>
      </c>
      <c r="I1686" s="2" t="s">
        <v>4804</v>
      </c>
      <c r="J1686" s="3" t="str">
        <f>HYPERLINK("https://www.boe.es/gazeta/dias/1811/09/22/pdfs/GMD-1811-265.pdf#page=4","Abrir facsímil")</f>
        <v>Abrir facsímil</v>
      </c>
      <c r="K1686" s="3" t="s">
        <v>150</v>
      </c>
    </row>
    <row r="1687" spans="1:11" ht="42" customHeight="1">
      <c r="A1687" s="2" t="s">
        <v>4805</v>
      </c>
      <c r="B1687" s="2" t="s">
        <v>4806</v>
      </c>
      <c r="C1687" s="2" t="s">
        <v>17</v>
      </c>
      <c r="D1687" s="2" t="s">
        <v>18</v>
      </c>
      <c r="E1687" s="4">
        <v>-32466</v>
      </c>
      <c r="F1687" s="3" t="s">
        <v>1514</v>
      </c>
      <c r="G1687" s="3" t="s">
        <v>115</v>
      </c>
      <c r="H1687" s="2" t="s">
        <v>148</v>
      </c>
      <c r="I1687" s="2" t="s">
        <v>4807</v>
      </c>
      <c r="J1687" s="3" t="str">
        <f>HYPERLINK("https://www.boe.es/gazeta/dias/1811/02/09/pdfs/GEI-1811-18.pdf#page=3","Abrir facsímil")</f>
        <v>Abrir facsímil</v>
      </c>
      <c r="K1687" s="3" t="s">
        <v>150</v>
      </c>
    </row>
    <row r="1688" spans="1:11" ht="42" customHeight="1">
      <c r="A1688" s="2" t="s">
        <v>4808</v>
      </c>
      <c r="B1688" s="2" t="s">
        <v>4808</v>
      </c>
      <c r="C1688" s="2" t="s">
        <v>26</v>
      </c>
      <c r="D1688" s="2" t="s">
        <v>18</v>
      </c>
      <c r="E1688" s="4">
        <v>-32190</v>
      </c>
      <c r="F1688" s="3" t="s">
        <v>85</v>
      </c>
      <c r="G1688" s="3" t="s">
        <v>86</v>
      </c>
      <c r="H1688" s="2" t="s">
        <v>148</v>
      </c>
      <c r="I1688" s="2" t="s">
        <v>4809</v>
      </c>
      <c r="J1688" s="3" t="str">
        <f>HYPERLINK("https://www.boe.es/gazeta/dias/1811/11/12/pdfs/GEI-1811-148.pdf#page=8","Abrir facsímil")</f>
        <v>Abrir facsímil</v>
      </c>
      <c r="K1688" s="3" t="s">
        <v>150</v>
      </c>
    </row>
    <row r="1689" spans="1:11" ht="42" customHeight="1">
      <c r="A1689" s="2" t="s">
        <v>4810</v>
      </c>
      <c r="B1689" s="2" t="s">
        <v>4811</v>
      </c>
      <c r="C1689" s="2" t="s">
        <v>26</v>
      </c>
      <c r="D1689" s="2" t="s">
        <v>18</v>
      </c>
      <c r="E1689" s="4">
        <v>-32445</v>
      </c>
      <c r="F1689" s="3" t="s">
        <v>2032</v>
      </c>
      <c r="G1689" s="3" t="s">
        <v>214</v>
      </c>
      <c r="H1689" s="2" t="s">
        <v>148</v>
      </c>
      <c r="I1689" s="2" t="s">
        <v>4812</v>
      </c>
      <c r="J1689" s="3" t="str">
        <f>HYPERLINK("https://www.boe.es/gazeta/dias/1811/03/02/pdfs/GEI-1811-27.pdf#page=6","Abrir facsímil")</f>
        <v>Abrir facsímil</v>
      </c>
      <c r="K1689" s="3" t="s">
        <v>150</v>
      </c>
    </row>
    <row r="1690" spans="1:11" ht="42" customHeight="1">
      <c r="A1690" s="2" t="s">
        <v>4813</v>
      </c>
      <c r="B1690" s="2" t="s">
        <v>4814</v>
      </c>
      <c r="C1690" s="2" t="s">
        <v>66</v>
      </c>
      <c r="D1690" s="2" t="s">
        <v>18</v>
      </c>
      <c r="E1690" s="4">
        <v>-32503</v>
      </c>
      <c r="F1690" s="3" t="s">
        <v>487</v>
      </c>
      <c r="G1690" s="3" t="s">
        <v>28</v>
      </c>
      <c r="H1690" s="2" t="s">
        <v>148</v>
      </c>
      <c r="I1690" s="2" t="s">
        <v>4815</v>
      </c>
      <c r="J1690" s="3" t="str">
        <f>HYPERLINK("https://www.boe.es/gazeta/dias/1811/01/03/pdfs/GEI-1811-2.pdf#page=7","Abrir facsímil")</f>
        <v>Abrir facsímil</v>
      </c>
      <c r="K1690" s="3" t="s">
        <v>150</v>
      </c>
    </row>
    <row r="1691" spans="1:11" ht="42" customHeight="1">
      <c r="A1691" s="2" t="s">
        <v>4813</v>
      </c>
      <c r="B1691" s="2" t="s">
        <v>4814</v>
      </c>
      <c r="C1691" s="2" t="s">
        <v>104</v>
      </c>
      <c r="D1691" s="2" t="s">
        <v>18</v>
      </c>
      <c r="E1691" s="4">
        <v>-32284</v>
      </c>
      <c r="F1691" s="3" t="s">
        <v>170</v>
      </c>
      <c r="G1691" s="3" t="s">
        <v>386</v>
      </c>
      <c r="H1691" s="2" t="s">
        <v>148</v>
      </c>
      <c r="I1691" s="2" t="s">
        <v>4816</v>
      </c>
      <c r="J1691" s="3" t="str">
        <f>HYPERLINK("https://www.boe.es/gazeta/dias/1811/08/10/pdfs/GEI-1811-104.pdf#page=3","Abrir facsímil")</f>
        <v>Abrir facsímil</v>
      </c>
      <c r="K1691" s="3" t="s">
        <v>150</v>
      </c>
    </row>
    <row r="1692" spans="1:11" ht="42" customHeight="1">
      <c r="A1692" s="2" t="s">
        <v>4817</v>
      </c>
      <c r="B1692" s="2" t="s">
        <v>4818</v>
      </c>
      <c r="C1692" s="2" t="s">
        <v>26</v>
      </c>
      <c r="D1692" s="2" t="s">
        <v>18</v>
      </c>
      <c r="E1692" s="4">
        <v>-32312</v>
      </c>
      <c r="F1692" s="3" t="s">
        <v>2640</v>
      </c>
      <c r="G1692" s="3" t="s">
        <v>162</v>
      </c>
      <c r="H1692" s="2" t="s">
        <v>148</v>
      </c>
      <c r="I1692" s="2" t="s">
        <v>4819</v>
      </c>
      <c r="J1692" s="3" t="str">
        <f>HYPERLINK("https://www.boe.es/gazeta/dias/1811/07/13/pdfs/GEI-1811-92.pdf#page=7","Abrir facsímil")</f>
        <v>Abrir facsímil</v>
      </c>
      <c r="K1692" s="3" t="s">
        <v>150</v>
      </c>
    </row>
    <row r="1693" spans="1:11" ht="42" customHeight="1">
      <c r="A1693" s="2" t="s">
        <v>4820</v>
      </c>
      <c r="B1693" s="2" t="s">
        <v>4821</v>
      </c>
      <c r="C1693" s="2" t="s">
        <v>26</v>
      </c>
      <c r="D1693" s="2" t="s">
        <v>18</v>
      </c>
      <c r="E1693" s="4">
        <v>-32286</v>
      </c>
      <c r="F1693" s="3" t="s">
        <v>754</v>
      </c>
      <c r="G1693" s="3" t="s">
        <v>1728</v>
      </c>
      <c r="H1693" s="2" t="s">
        <v>148</v>
      </c>
      <c r="I1693" s="2" t="s">
        <v>4822</v>
      </c>
      <c r="J1693" s="3" t="str">
        <f>HYPERLINK("https://www.boe.es/gazeta/dias/1811/08/08/pdfs/GEI-1811-103.pdf#page=8","Abrir facsímil")</f>
        <v>Abrir facsímil</v>
      </c>
      <c r="K1693" s="3" t="s">
        <v>150</v>
      </c>
    </row>
    <row r="1694" spans="1:11" ht="42" customHeight="1">
      <c r="A1694" s="2" t="s">
        <v>4823</v>
      </c>
      <c r="B1694" s="2" t="s">
        <v>4824</v>
      </c>
      <c r="C1694" s="2" t="s">
        <v>37</v>
      </c>
      <c r="D1694" s="2" t="s">
        <v>18</v>
      </c>
      <c r="E1694" s="4">
        <v>-32416</v>
      </c>
      <c r="F1694" s="3" t="s">
        <v>954</v>
      </c>
      <c r="G1694" s="3" t="s">
        <v>47</v>
      </c>
      <c r="H1694" s="2" t="s">
        <v>148</v>
      </c>
      <c r="I1694" s="2" t="s">
        <v>4825</v>
      </c>
      <c r="J1694" s="3" t="str">
        <f>HYPERLINK("https://www.boe.es/gazeta/dias/1811/03/31/pdfs/GMD-1811-90.pdf#page=3","Abrir facsímil")</f>
        <v>Abrir facsímil</v>
      </c>
      <c r="K1694" s="3" t="s">
        <v>150</v>
      </c>
    </row>
    <row r="1695" spans="1:11" ht="42" customHeight="1">
      <c r="A1695" s="2" t="s">
        <v>4826</v>
      </c>
      <c r="B1695" s="2" t="s">
        <v>4827</v>
      </c>
      <c r="C1695" s="2" t="s">
        <v>66</v>
      </c>
      <c r="D1695" s="2" t="s">
        <v>18</v>
      </c>
      <c r="E1695" s="4">
        <v>-32251</v>
      </c>
      <c r="F1695" s="3" t="s">
        <v>726</v>
      </c>
      <c r="G1695" s="3" t="s">
        <v>727</v>
      </c>
      <c r="H1695" s="2" t="s">
        <v>148</v>
      </c>
      <c r="I1695" s="2" t="s">
        <v>4828</v>
      </c>
      <c r="J1695" s="3" t="str">
        <f>HYPERLINK("https://www.boe.es/gazeta/dias/1811/09/12/pdfs/GEI-1811-118.pdf#page=8","Abrir facsímil")</f>
        <v>Abrir facsímil</v>
      </c>
      <c r="K1695" s="3" t="s">
        <v>150</v>
      </c>
    </row>
    <row r="1696" spans="1:11" ht="42" customHeight="1">
      <c r="A1696" s="2" t="s">
        <v>4829</v>
      </c>
      <c r="B1696" s="2" t="s">
        <v>4830</v>
      </c>
      <c r="C1696" s="2" t="s">
        <v>84</v>
      </c>
      <c r="D1696" s="2" t="s">
        <v>18</v>
      </c>
      <c r="E1696" s="4">
        <v>-32145</v>
      </c>
      <c r="F1696" s="3" t="s">
        <v>417</v>
      </c>
      <c r="G1696" s="3" t="s">
        <v>418</v>
      </c>
      <c r="H1696" s="2" t="s">
        <v>148</v>
      </c>
      <c r="I1696" s="2" t="s">
        <v>4831</v>
      </c>
      <c r="J1696" s="3" t="str">
        <f>HYPERLINK("https://www.boe.es/gazeta/dias/1811/12/27/pdfs/GMD-1811-361.pdf#page=4","Abrir facsímil")</f>
        <v>Abrir facsímil</v>
      </c>
      <c r="K1696" s="3" t="s">
        <v>150</v>
      </c>
    </row>
    <row r="1697" spans="1:11" ht="42" customHeight="1">
      <c r="A1697" s="2" t="s">
        <v>4832</v>
      </c>
      <c r="B1697" s="2" t="s">
        <v>4832</v>
      </c>
      <c r="C1697" s="2" t="s">
        <v>17</v>
      </c>
      <c r="D1697" s="2" t="s">
        <v>18</v>
      </c>
      <c r="E1697" s="4">
        <v>-32183</v>
      </c>
      <c r="F1697" s="3" t="s">
        <v>3310</v>
      </c>
      <c r="G1697" s="3" t="s">
        <v>47</v>
      </c>
      <c r="H1697" s="2" t="s">
        <v>148</v>
      </c>
      <c r="I1697" s="2" t="s">
        <v>4833</v>
      </c>
      <c r="J1697" s="3" t="str">
        <f>HYPERLINK("https://www.boe.es/gazeta/dias/1811/11/19/pdfs/GEI-1811-151.pdf#page=3","Abrir facsímil")</f>
        <v>Abrir facsímil</v>
      </c>
      <c r="K1697" s="3" t="s">
        <v>150</v>
      </c>
    </row>
    <row r="1698" spans="1:11" ht="42" customHeight="1">
      <c r="A1698" s="2" t="s">
        <v>4834</v>
      </c>
      <c r="B1698" s="2" t="s">
        <v>4834</v>
      </c>
      <c r="C1698" s="2" t="s">
        <v>17</v>
      </c>
      <c r="D1698" s="2" t="s">
        <v>156</v>
      </c>
      <c r="E1698" s="4">
        <v>-32356</v>
      </c>
      <c r="F1698" s="3" t="s">
        <v>1992</v>
      </c>
      <c r="G1698" s="3" t="s">
        <v>3613</v>
      </c>
      <c r="H1698" s="2" t="s">
        <v>148</v>
      </c>
      <c r="I1698" s="2" t="s">
        <v>4835</v>
      </c>
      <c r="J1698" s="3" t="str">
        <f>HYPERLINK("https://www.boe.es/gazeta/dias/1811/05/30/pdfs/GEI-1811-73.pdf#page=5","Abrir facsímil")</f>
        <v>Abrir facsímil</v>
      </c>
      <c r="K1698" s="3" t="s">
        <v>150</v>
      </c>
    </row>
    <row r="1699" spans="1:11" ht="42" customHeight="1">
      <c r="A1699" s="2" t="s">
        <v>4836</v>
      </c>
      <c r="B1699" s="2" t="s">
        <v>4837</v>
      </c>
      <c r="C1699" s="2" t="s">
        <v>17</v>
      </c>
      <c r="D1699" s="2" t="s">
        <v>18</v>
      </c>
      <c r="E1699" s="4">
        <v>-32505</v>
      </c>
      <c r="F1699" s="3" t="s">
        <v>475</v>
      </c>
      <c r="G1699" s="3" t="s">
        <v>553</v>
      </c>
      <c r="H1699" s="2" t="s">
        <v>148</v>
      </c>
      <c r="I1699" s="2" t="s">
        <v>4838</v>
      </c>
      <c r="J1699" s="3" t="str">
        <f>HYPERLINK("https://www.boe.es/gazeta/dias/1811/01/01/pdfs/GEI-1811-1.pdf#page=2","Abrir facsímil")</f>
        <v>Abrir facsímil</v>
      </c>
      <c r="K1699" s="3" t="s">
        <v>150</v>
      </c>
    </row>
    <row r="1700" spans="1:11" ht="42" customHeight="1">
      <c r="A1700" s="2" t="s">
        <v>4839</v>
      </c>
      <c r="B1700" s="2" t="s">
        <v>4839</v>
      </c>
      <c r="C1700" s="2" t="s">
        <v>17</v>
      </c>
      <c r="D1700" s="2" t="s">
        <v>18</v>
      </c>
      <c r="E1700" s="4">
        <v>-32436</v>
      </c>
      <c r="F1700" s="3" t="s">
        <v>1972</v>
      </c>
      <c r="G1700" s="3" t="s">
        <v>178</v>
      </c>
      <c r="H1700" s="2" t="s">
        <v>148</v>
      </c>
      <c r="I1700" s="2" t="s">
        <v>4840</v>
      </c>
      <c r="J1700" s="3" t="str">
        <f>HYPERLINK("https://www.boe.es/gazeta/dias/1811/03/11/pdfs/GMD-1811-70.pdf#page=3","Abrir facsímil")</f>
        <v>Abrir facsímil</v>
      </c>
      <c r="K1700" s="3" t="s">
        <v>150</v>
      </c>
    </row>
    <row r="1701" spans="1:11" ht="42" customHeight="1">
      <c r="A1701" s="2" t="s">
        <v>4841</v>
      </c>
      <c r="B1701" s="2" t="s">
        <v>4841</v>
      </c>
      <c r="C1701" s="2" t="s">
        <v>17</v>
      </c>
      <c r="D1701" s="2" t="s">
        <v>156</v>
      </c>
      <c r="E1701" s="4">
        <v>-32431</v>
      </c>
      <c r="F1701" s="3" t="s">
        <v>668</v>
      </c>
      <c r="G1701" s="3" t="s">
        <v>1930</v>
      </c>
      <c r="H1701" s="2" t="s">
        <v>148</v>
      </c>
      <c r="I1701" s="2" t="s">
        <v>4842</v>
      </c>
      <c r="J1701" s="3" t="str">
        <f>HYPERLINK("https://www.boe.es/gazeta/dias/1811/03/16/pdfs/GMD-1811-75.pdf#page=2","Abrir facsímil")</f>
        <v>Abrir facsímil</v>
      </c>
      <c r="K1701" s="3" t="s">
        <v>150</v>
      </c>
    </row>
    <row r="1702" spans="1:11" ht="42" customHeight="1">
      <c r="A1702" s="2" t="s">
        <v>4841</v>
      </c>
      <c r="B1702" s="2" t="s">
        <v>4841</v>
      </c>
      <c r="C1702" s="2" t="s">
        <v>17</v>
      </c>
      <c r="D1702" s="2" t="s">
        <v>18</v>
      </c>
      <c r="E1702" s="4">
        <v>-32431</v>
      </c>
      <c r="F1702" s="3" t="s">
        <v>342</v>
      </c>
      <c r="G1702" s="3" t="s">
        <v>91</v>
      </c>
      <c r="H1702" s="2" t="s">
        <v>148</v>
      </c>
      <c r="I1702" s="2" t="s">
        <v>4843</v>
      </c>
      <c r="J1702" s="3" t="str">
        <f>HYPERLINK("https://www.boe.es/gazeta/dias/1811/03/16/pdfs/GEI-1811-38.pdf#page=1","Abrir facsímil")</f>
        <v>Abrir facsímil</v>
      </c>
      <c r="K1702" s="3" t="s">
        <v>150</v>
      </c>
    </row>
    <row r="1703" spans="1:11" ht="42" customHeight="1">
      <c r="A1703" s="2" t="s">
        <v>4841</v>
      </c>
      <c r="B1703" s="2" t="s">
        <v>4841</v>
      </c>
      <c r="C1703" s="2" t="s">
        <v>17</v>
      </c>
      <c r="D1703" s="2" t="s">
        <v>18</v>
      </c>
      <c r="E1703" s="4">
        <v>-32401</v>
      </c>
      <c r="F1703" s="3" t="s">
        <v>1084</v>
      </c>
      <c r="G1703" s="3" t="s">
        <v>20</v>
      </c>
      <c r="H1703" s="2" t="s">
        <v>148</v>
      </c>
      <c r="I1703" s="2" t="s">
        <v>4844</v>
      </c>
      <c r="J1703" s="3" t="str">
        <f>HYPERLINK("https://www.boe.es/gazeta/dias/1811/04/15/pdfs/GMD-1811-105.pdf#page=2","Abrir facsímil")</f>
        <v>Abrir facsímil</v>
      </c>
      <c r="K1703" s="3" t="s">
        <v>150</v>
      </c>
    </row>
    <row r="1704" spans="1:11" ht="42" customHeight="1">
      <c r="A1704" s="2" t="s">
        <v>4845</v>
      </c>
      <c r="B1704" s="2" t="s">
        <v>4845</v>
      </c>
      <c r="C1704" s="2" t="s">
        <v>37</v>
      </c>
      <c r="D1704" s="2" t="s">
        <v>18</v>
      </c>
      <c r="E1704" s="4">
        <v>-32377</v>
      </c>
      <c r="F1704" s="3" t="s">
        <v>2461</v>
      </c>
      <c r="G1704" s="3" t="s">
        <v>162</v>
      </c>
      <c r="H1704" s="2" t="s">
        <v>148</v>
      </c>
      <c r="I1704" s="2" t="s">
        <v>4846</v>
      </c>
      <c r="J1704" s="3" t="str">
        <f>HYPERLINK("https://www.boe.es/gazeta/dias/1811/05/09/pdfs/GMD-1811-129.pdf#page=1","Abrir facsímil")</f>
        <v>Abrir facsímil</v>
      </c>
      <c r="K1704" s="3" t="s">
        <v>150</v>
      </c>
    </row>
    <row r="1705" spans="1:11" ht="42" customHeight="1">
      <c r="A1705" s="2" t="s">
        <v>4845</v>
      </c>
      <c r="B1705" s="2" t="s">
        <v>4845</v>
      </c>
      <c r="C1705" s="2" t="s">
        <v>104</v>
      </c>
      <c r="D1705" s="2" t="s">
        <v>204</v>
      </c>
      <c r="E1705" s="4">
        <v>-32308</v>
      </c>
      <c r="F1705" s="3" t="s">
        <v>4572</v>
      </c>
      <c r="G1705" s="3" t="s">
        <v>468</v>
      </c>
      <c r="H1705" s="2" t="s">
        <v>148</v>
      </c>
      <c r="I1705" s="2" t="s">
        <v>4847</v>
      </c>
      <c r="J1705" s="3" t="str">
        <f>HYPERLINK("https://www.boe.es/gazeta/dias/1811/07/17/pdfs/GMD-1811-198.pdf#page=2","Abrir facsímil")</f>
        <v>Abrir facsímil</v>
      </c>
      <c r="K1705" s="3" t="s">
        <v>150</v>
      </c>
    </row>
    <row r="1706" spans="1:11" ht="42" customHeight="1">
      <c r="A1706" s="2" t="s">
        <v>4848</v>
      </c>
      <c r="B1706" s="2" t="s">
        <v>4849</v>
      </c>
      <c r="C1706" s="2" t="s">
        <v>17</v>
      </c>
      <c r="D1706" s="2" t="s">
        <v>18</v>
      </c>
      <c r="E1706" s="4">
        <v>-32285</v>
      </c>
      <c r="F1706" s="3" t="s">
        <v>3716</v>
      </c>
      <c r="G1706" s="3" t="s">
        <v>468</v>
      </c>
      <c r="H1706" s="2" t="s">
        <v>148</v>
      </c>
      <c r="I1706" s="2" t="s">
        <v>4850</v>
      </c>
      <c r="J1706" s="3" t="str">
        <f>HYPERLINK("https://www.boe.es/gazeta/dias/1811/08/09/pdfs/GMD-1811-221.pdf#page=4","Abrir facsímil")</f>
        <v>Abrir facsímil</v>
      </c>
      <c r="K1706" s="3" t="s">
        <v>150</v>
      </c>
    </row>
    <row r="1707" spans="1:11" ht="42" customHeight="1">
      <c r="A1707" s="2" t="s">
        <v>4851</v>
      </c>
      <c r="B1707" s="2" t="s">
        <v>4851</v>
      </c>
      <c r="C1707" s="2" t="s">
        <v>17</v>
      </c>
      <c r="D1707" s="2" t="s">
        <v>18</v>
      </c>
      <c r="E1707" s="4">
        <v>-32183</v>
      </c>
      <c r="F1707" s="3" t="s">
        <v>3310</v>
      </c>
      <c r="G1707" s="3" t="s">
        <v>47</v>
      </c>
      <c r="H1707" s="2" t="s">
        <v>148</v>
      </c>
      <c r="I1707" s="2" t="s">
        <v>4852</v>
      </c>
      <c r="J1707" s="3" t="str">
        <f>HYPERLINK("https://www.boe.es/gazeta/dias/1811/11/19/pdfs/GEI-1811-151.pdf#page=3","Abrir facsímil")</f>
        <v>Abrir facsímil</v>
      </c>
      <c r="K1707" s="3" t="s">
        <v>150</v>
      </c>
    </row>
    <row r="1708" spans="1:11" ht="42" customHeight="1">
      <c r="A1708" s="2" t="s">
        <v>4853</v>
      </c>
      <c r="B1708" s="2" t="s">
        <v>4854</v>
      </c>
      <c r="C1708" s="2" t="s">
        <v>17</v>
      </c>
      <c r="D1708" s="2" t="s">
        <v>18</v>
      </c>
      <c r="E1708" s="4">
        <v>-32223</v>
      </c>
      <c r="F1708" s="3" t="s">
        <v>1788</v>
      </c>
      <c r="G1708" s="3" t="s">
        <v>183</v>
      </c>
      <c r="H1708" s="2" t="s">
        <v>148</v>
      </c>
      <c r="I1708" s="2" t="s">
        <v>4855</v>
      </c>
      <c r="J1708" s="3" t="str">
        <f>HYPERLINK("https://www.boe.es/gazeta/dias/1811/10/10/pdfs/GEI-1811-130.pdf#page=4","Abrir facsímil")</f>
        <v>Abrir facsímil</v>
      </c>
      <c r="K1708" s="3" t="s">
        <v>150</v>
      </c>
    </row>
    <row r="1709" spans="1:11" ht="42" customHeight="1">
      <c r="A1709" s="2" t="s">
        <v>4856</v>
      </c>
      <c r="B1709" s="2" t="s">
        <v>4856</v>
      </c>
      <c r="C1709" s="2" t="s">
        <v>17</v>
      </c>
      <c r="D1709" s="2" t="s">
        <v>156</v>
      </c>
      <c r="E1709" s="4">
        <v>-32489</v>
      </c>
      <c r="F1709" s="3" t="s">
        <v>2073</v>
      </c>
      <c r="G1709" s="3" t="s">
        <v>4857</v>
      </c>
      <c r="H1709" s="2" t="s">
        <v>148</v>
      </c>
      <c r="I1709" s="2" t="s">
        <v>4858</v>
      </c>
      <c r="J1709" s="3" t="str">
        <f>HYPERLINK("https://www.boe.es/gazeta/dias/1811/01/17/pdfs/GEI-1811-8.pdf#page=3","Abrir facsímil")</f>
        <v>Abrir facsímil</v>
      </c>
      <c r="K1709" s="3" t="s">
        <v>150</v>
      </c>
    </row>
    <row r="1710" spans="1:11" ht="42" customHeight="1">
      <c r="A1710" s="2" t="s">
        <v>4859</v>
      </c>
      <c r="B1710" s="2" t="s">
        <v>4860</v>
      </c>
      <c r="C1710" s="2" t="s">
        <v>26</v>
      </c>
      <c r="D1710" s="2" t="s">
        <v>18</v>
      </c>
      <c r="E1710" s="4">
        <v>-32403</v>
      </c>
      <c r="F1710" s="3" t="s">
        <v>4861</v>
      </c>
      <c r="G1710" s="3" t="s">
        <v>91</v>
      </c>
      <c r="H1710" s="2" t="s">
        <v>148</v>
      </c>
      <c r="I1710" s="2" t="s">
        <v>4862</v>
      </c>
      <c r="J1710" s="3" t="str">
        <f>HYPERLINK("https://www.boe.es/gazeta/dias/1811/04/13/pdfs/GMD-1811-103.pdf#page=4","Abrir facsímil")</f>
        <v>Abrir facsímil</v>
      </c>
      <c r="K1710" s="3" t="s">
        <v>150</v>
      </c>
    </row>
    <row r="1711" spans="1:11" ht="42" customHeight="1">
      <c r="A1711" s="2" t="s">
        <v>4863</v>
      </c>
      <c r="B1711" s="2" t="s">
        <v>4864</v>
      </c>
      <c r="C1711" s="2" t="s">
        <v>26</v>
      </c>
      <c r="D1711" s="2" t="s">
        <v>105</v>
      </c>
      <c r="E1711" s="4">
        <v>-32428</v>
      </c>
      <c r="F1711" s="3" t="s">
        <v>351</v>
      </c>
      <c r="G1711" s="3" t="s">
        <v>352</v>
      </c>
      <c r="H1711" s="2" t="s">
        <v>148</v>
      </c>
      <c r="I1711" s="2" t="s">
        <v>4865</v>
      </c>
      <c r="J1711" s="3" t="str">
        <f>HYPERLINK("https://www.boe.es/gazeta/dias/1811/03/19/pdfs/GMD-1811-78.pdf#page=4","Abrir facsímil")</f>
        <v>Abrir facsímil</v>
      </c>
      <c r="K1711" s="3" t="s">
        <v>150</v>
      </c>
    </row>
    <row r="1712" spans="1:11" ht="42" customHeight="1">
      <c r="A1712" s="2" t="s">
        <v>4866</v>
      </c>
      <c r="B1712" s="2" t="s">
        <v>4866</v>
      </c>
      <c r="C1712" s="2" t="s">
        <v>17</v>
      </c>
      <c r="D1712" s="2" t="s">
        <v>156</v>
      </c>
      <c r="E1712" s="4">
        <v>-32431</v>
      </c>
      <c r="F1712" s="3" t="s">
        <v>342</v>
      </c>
      <c r="G1712" s="3" t="s">
        <v>91</v>
      </c>
      <c r="H1712" s="2" t="s">
        <v>148</v>
      </c>
      <c r="I1712" s="2" t="s">
        <v>4867</v>
      </c>
      <c r="J1712" s="3" t="str">
        <f>HYPERLINK("https://www.boe.es/gazeta/dias/1811/03/16/pdfs/GEI-1811-38.pdf#page=1","Abrir facsímil")</f>
        <v>Abrir facsímil</v>
      </c>
      <c r="K1712" s="3" t="s">
        <v>150</v>
      </c>
    </row>
    <row r="1713" spans="1:11" ht="42" customHeight="1">
      <c r="A1713" s="2" t="s">
        <v>4868</v>
      </c>
      <c r="B1713" s="2" t="s">
        <v>4868</v>
      </c>
      <c r="C1713" s="2" t="s">
        <v>17</v>
      </c>
      <c r="D1713" s="2" t="s">
        <v>204</v>
      </c>
      <c r="E1713" s="4">
        <v>-32431</v>
      </c>
      <c r="F1713" s="3" t="s">
        <v>342</v>
      </c>
      <c r="G1713" s="3" t="s">
        <v>162</v>
      </c>
      <c r="H1713" s="2" t="s">
        <v>148</v>
      </c>
      <c r="I1713" s="2" t="s">
        <v>4869</v>
      </c>
      <c r="J1713" s="3" t="str">
        <f>HYPERLINK("https://www.boe.es/gazeta/dias/1811/03/16/pdfs/GEI-1811-38.pdf#page=2","Abrir facsímil")</f>
        <v>Abrir facsímil</v>
      </c>
      <c r="K1713" s="3" t="s">
        <v>150</v>
      </c>
    </row>
    <row r="1714" spans="1:11" ht="42" customHeight="1">
      <c r="A1714" s="2" t="s">
        <v>4870</v>
      </c>
      <c r="B1714" s="2" t="s">
        <v>4870</v>
      </c>
      <c r="C1714" s="2" t="s">
        <v>26</v>
      </c>
      <c r="D1714" s="2" t="s">
        <v>18</v>
      </c>
      <c r="E1714" s="4">
        <v>-32281</v>
      </c>
      <c r="F1714" s="3" t="s">
        <v>982</v>
      </c>
      <c r="G1714" s="3" t="s">
        <v>1143</v>
      </c>
      <c r="H1714" s="2" t="s">
        <v>148</v>
      </c>
      <c r="I1714" s="2" t="s">
        <v>4871</v>
      </c>
      <c r="J1714" s="3" t="str">
        <f>HYPERLINK("https://www.boe.es/gazeta/dias/1811/08/13/pdfs/GEI-1811-105.pdf#page=2","Abrir facsímil")</f>
        <v>Abrir facsímil</v>
      </c>
      <c r="K1714" s="3" t="s">
        <v>150</v>
      </c>
    </row>
    <row r="1715" spans="1:11" ht="42" customHeight="1">
      <c r="A1715" s="2" t="s">
        <v>4872</v>
      </c>
      <c r="B1715" s="2" t="s">
        <v>4872</v>
      </c>
      <c r="C1715" s="2" t="s">
        <v>17</v>
      </c>
      <c r="D1715" s="2" t="s">
        <v>18</v>
      </c>
      <c r="E1715" s="4">
        <v>-32405</v>
      </c>
      <c r="F1715" s="3" t="s">
        <v>363</v>
      </c>
      <c r="G1715" s="3" t="s">
        <v>47</v>
      </c>
      <c r="H1715" s="2" t="s">
        <v>148</v>
      </c>
      <c r="I1715" s="2" t="s">
        <v>4873</v>
      </c>
      <c r="J1715" s="3" t="str">
        <f>HYPERLINK("https://www.boe.es/gazeta/dias/1811/04/11/pdfs/GMD-1811-101.pdf#page=3","Abrir facsímil")</f>
        <v>Abrir facsímil</v>
      </c>
      <c r="K1715" s="3" t="s">
        <v>150</v>
      </c>
    </row>
    <row r="1716" spans="1:11" ht="42" customHeight="1">
      <c r="A1716" s="2" t="s">
        <v>4874</v>
      </c>
      <c r="B1716" s="2" t="s">
        <v>4875</v>
      </c>
      <c r="C1716" s="2" t="s">
        <v>17</v>
      </c>
      <c r="D1716" s="2" t="s">
        <v>18</v>
      </c>
      <c r="E1716" s="4">
        <v>-32193</v>
      </c>
      <c r="F1716" s="3" t="s">
        <v>1037</v>
      </c>
      <c r="G1716" s="3" t="s">
        <v>44</v>
      </c>
      <c r="H1716" s="2" t="s">
        <v>148</v>
      </c>
      <c r="I1716" s="2" t="s">
        <v>4876</v>
      </c>
      <c r="J1716" s="3" t="str">
        <f>HYPERLINK("https://www.boe.es/gazeta/dias/1811/11/09/pdfs/GEI-1811-145.pdf#page=4","Abrir facsímil")</f>
        <v>Abrir facsímil</v>
      </c>
      <c r="K1716" s="3" t="s">
        <v>150</v>
      </c>
    </row>
    <row r="1717" spans="1:11" ht="42" customHeight="1">
      <c r="A1717" s="2" t="s">
        <v>4877</v>
      </c>
      <c r="B1717" s="2" t="s">
        <v>4878</v>
      </c>
      <c r="C1717" s="2" t="s">
        <v>26</v>
      </c>
      <c r="D1717" s="2" t="s">
        <v>141</v>
      </c>
      <c r="E1717" s="4">
        <v>-32238</v>
      </c>
      <c r="F1717" s="3" t="s">
        <v>166</v>
      </c>
      <c r="G1717" s="3" t="s">
        <v>178</v>
      </c>
      <c r="H1717" s="2" t="s">
        <v>148</v>
      </c>
      <c r="I1717" s="2" t="s">
        <v>4879</v>
      </c>
      <c r="J1717" s="3" t="str">
        <f>HYPERLINK("https://www.boe.es/gazeta/dias/1811/09/25/pdfs/GMD-C-1811-268.pdf#page=4","Abrir facsímil")</f>
        <v>Abrir facsímil</v>
      </c>
      <c r="K1717" s="3" t="s">
        <v>150</v>
      </c>
    </row>
    <row r="1718" spans="1:11" ht="42" customHeight="1">
      <c r="A1718" s="2" t="s">
        <v>4880</v>
      </c>
      <c r="B1718" s="2" t="s">
        <v>4881</v>
      </c>
      <c r="C1718" s="2" t="s">
        <v>26</v>
      </c>
      <c r="D1718" s="2" t="s">
        <v>105</v>
      </c>
      <c r="E1718" s="4">
        <v>-32238</v>
      </c>
      <c r="F1718" s="3" t="s">
        <v>166</v>
      </c>
      <c r="G1718" s="3" t="s">
        <v>178</v>
      </c>
      <c r="H1718" s="2" t="s">
        <v>148</v>
      </c>
      <c r="I1718" s="2" t="s">
        <v>4882</v>
      </c>
      <c r="J1718" s="3" t="str">
        <f>HYPERLINK("https://www.boe.es/gazeta/dias/1811/09/25/pdfs/GMD-C-1811-268.pdf#page=4","Abrir facsímil")</f>
        <v>Abrir facsímil</v>
      </c>
      <c r="K1718" s="3" t="s">
        <v>150</v>
      </c>
    </row>
    <row r="1719" spans="1:11" ht="42" customHeight="1">
      <c r="A1719" s="2" t="s">
        <v>4883</v>
      </c>
      <c r="B1719" s="2" t="s">
        <v>4883</v>
      </c>
      <c r="C1719" s="2" t="s">
        <v>17</v>
      </c>
      <c r="D1719" s="2" t="s">
        <v>18</v>
      </c>
      <c r="E1719" s="4">
        <v>-32283</v>
      </c>
      <c r="F1719" s="3" t="s">
        <v>90</v>
      </c>
      <c r="G1719" s="3" t="s">
        <v>468</v>
      </c>
      <c r="H1719" s="2" t="s">
        <v>148</v>
      </c>
      <c r="I1719" s="2" t="s">
        <v>4884</v>
      </c>
      <c r="J1719" s="3" t="str">
        <f>HYPERLINK("https://www.boe.es/gazeta/dias/1811/08/11/pdfs/GMD-1811-223.pdf#page=2","Abrir facsímil")</f>
        <v>Abrir facsímil</v>
      </c>
      <c r="K1719" s="3" t="s">
        <v>150</v>
      </c>
    </row>
    <row r="1720" spans="1:11" ht="42" customHeight="1">
      <c r="A1720" s="2" t="s">
        <v>4885</v>
      </c>
      <c r="B1720" s="2" t="s">
        <v>4886</v>
      </c>
      <c r="C1720" s="2" t="s">
        <v>26</v>
      </c>
      <c r="D1720" s="2" t="s">
        <v>18</v>
      </c>
      <c r="E1720" s="4">
        <v>-32286</v>
      </c>
      <c r="F1720" s="3" t="s">
        <v>754</v>
      </c>
      <c r="G1720" s="3" t="s">
        <v>1728</v>
      </c>
      <c r="H1720" s="2" t="s">
        <v>148</v>
      </c>
      <c r="I1720" s="2" t="s">
        <v>4887</v>
      </c>
      <c r="J1720" s="3" t="str">
        <f>HYPERLINK("https://www.boe.es/gazeta/dias/1811/08/08/pdfs/GEI-1811-103.pdf#page=8","Abrir facsímil")</f>
        <v>Abrir facsímil</v>
      </c>
      <c r="K1720" s="3" t="s">
        <v>150</v>
      </c>
    </row>
    <row r="1721" spans="1:11" ht="42" customHeight="1">
      <c r="A1721" s="2" t="s">
        <v>4888</v>
      </c>
      <c r="B1721" s="2" t="s">
        <v>4888</v>
      </c>
      <c r="C1721" s="2" t="s">
        <v>17</v>
      </c>
      <c r="D1721" s="2" t="s">
        <v>18</v>
      </c>
      <c r="E1721" s="4">
        <v>-32503</v>
      </c>
      <c r="F1721" s="3" t="s">
        <v>487</v>
      </c>
      <c r="G1721" s="3" t="s">
        <v>28</v>
      </c>
      <c r="H1721" s="2" t="s">
        <v>148</v>
      </c>
      <c r="I1721" s="2" t="s">
        <v>4889</v>
      </c>
      <c r="J1721" s="3" t="str">
        <f>HYPERLINK("https://www.boe.es/gazeta/dias/1811/01/03/pdfs/GEI-1811-2.pdf#page=7","Abrir facsímil")</f>
        <v>Abrir facsímil</v>
      </c>
      <c r="K1721" s="3" t="s">
        <v>150</v>
      </c>
    </row>
    <row r="1722" spans="1:11" ht="42" customHeight="1">
      <c r="A1722" s="2" t="s">
        <v>4890</v>
      </c>
      <c r="B1722" s="2" t="s">
        <v>4890</v>
      </c>
      <c r="C1722" s="2" t="s">
        <v>17</v>
      </c>
      <c r="D1722" s="2" t="s">
        <v>18</v>
      </c>
      <c r="E1722" s="4">
        <v>-32148</v>
      </c>
      <c r="F1722" s="3" t="s">
        <v>1616</v>
      </c>
      <c r="G1722" s="3" t="s">
        <v>4891</v>
      </c>
      <c r="H1722" s="2" t="s">
        <v>148</v>
      </c>
      <c r="I1722" s="2" t="s">
        <v>4892</v>
      </c>
      <c r="J1722" s="3" t="str">
        <f>HYPERLINK("https://www.boe.es/gazeta/dias/1811/12/24/pdfs/GEI-1811-166.pdf#page=2","Abrir facsímil")</f>
        <v>Abrir facsímil</v>
      </c>
      <c r="K1722" s="3" t="s">
        <v>150</v>
      </c>
    </row>
    <row r="1723" spans="1:11" ht="42" customHeight="1">
      <c r="A1723" s="2" t="s">
        <v>4893</v>
      </c>
      <c r="B1723" s="2" t="s">
        <v>4893</v>
      </c>
      <c r="C1723" s="2" t="s">
        <v>17</v>
      </c>
      <c r="D1723" s="2" t="s">
        <v>18</v>
      </c>
      <c r="E1723" s="4">
        <v>-32501</v>
      </c>
      <c r="F1723" s="3" t="s">
        <v>509</v>
      </c>
      <c r="G1723" s="3" t="s">
        <v>47</v>
      </c>
      <c r="H1723" s="2" t="s">
        <v>148</v>
      </c>
      <c r="I1723" s="2" t="s">
        <v>4894</v>
      </c>
      <c r="J1723" s="3" t="str">
        <f>HYPERLINK("https://www.boe.es/gazeta/dias/1811/01/05/pdfs/GEI-1811-3.pdf#page=2","Abrir facsímil")</f>
        <v>Abrir facsímil</v>
      </c>
      <c r="K1723" s="3" t="s">
        <v>150</v>
      </c>
    </row>
    <row r="1724" spans="1:11" ht="42" customHeight="1">
      <c r="A1724" s="2" t="s">
        <v>4895</v>
      </c>
      <c r="B1724" s="2" t="s">
        <v>4895</v>
      </c>
      <c r="C1724" s="2" t="s">
        <v>17</v>
      </c>
      <c r="D1724" s="2" t="s">
        <v>18</v>
      </c>
      <c r="E1724" s="4">
        <v>-32218</v>
      </c>
      <c r="F1724" s="3" t="s">
        <v>938</v>
      </c>
      <c r="G1724" s="3" t="s">
        <v>4896</v>
      </c>
      <c r="H1724" s="2" t="s">
        <v>148</v>
      </c>
      <c r="I1724" s="2" t="s">
        <v>4897</v>
      </c>
      <c r="J1724" s="3" t="str">
        <f>HYPERLINK("https://www.boe.es/gazeta/dias/1811/10/15/pdfs/GEI-1811-133.pdf#page=7","Abrir facsímil")</f>
        <v>Abrir facsímil</v>
      </c>
      <c r="K1724" s="3" t="s">
        <v>150</v>
      </c>
    </row>
    <row r="1725" spans="1:11" ht="42" customHeight="1">
      <c r="A1725" s="2" t="s">
        <v>4898</v>
      </c>
      <c r="B1725" s="2" t="s">
        <v>4899</v>
      </c>
      <c r="C1725" s="2" t="s">
        <v>26</v>
      </c>
      <c r="D1725" s="2" t="s">
        <v>18</v>
      </c>
      <c r="E1725" s="4">
        <v>-32295</v>
      </c>
      <c r="F1725" s="3" t="s">
        <v>279</v>
      </c>
      <c r="G1725" s="3" t="s">
        <v>44</v>
      </c>
      <c r="H1725" s="2" t="s">
        <v>148</v>
      </c>
      <c r="I1725" s="2" t="s">
        <v>4900</v>
      </c>
      <c r="J1725" s="3" t="str">
        <f>HYPERLINK("https://www.boe.es/gazeta/dias/1811/07/30/pdfs/GEI-1811-99.pdf#page=8","Abrir facsímil")</f>
        <v>Abrir facsímil</v>
      </c>
      <c r="K1725" s="3" t="s">
        <v>150</v>
      </c>
    </row>
    <row r="1726" spans="1:11" ht="42" customHeight="1">
      <c r="A1726" s="2" t="s">
        <v>4901</v>
      </c>
      <c r="B1726" s="2" t="s">
        <v>4901</v>
      </c>
      <c r="C1726" s="2" t="s">
        <v>17</v>
      </c>
      <c r="D1726" s="2" t="s">
        <v>18</v>
      </c>
      <c r="E1726" s="4">
        <v>-32321</v>
      </c>
      <c r="F1726" s="3" t="s">
        <v>1829</v>
      </c>
      <c r="G1726" s="3" t="s">
        <v>1832</v>
      </c>
      <c r="H1726" s="2" t="s">
        <v>148</v>
      </c>
      <c r="I1726" s="2" t="s">
        <v>4902</v>
      </c>
      <c r="J1726" s="3" t="str">
        <f>HYPERLINK("https://www.boe.es/gazeta/dias/1811/07/04/pdfs/GEI-1811-88.pdf#page=4","Abrir facsímil")</f>
        <v>Abrir facsímil</v>
      </c>
      <c r="K1726" s="3" t="s">
        <v>150</v>
      </c>
    </row>
    <row r="1727" spans="1:11" ht="42" customHeight="1">
      <c r="A1727" s="2" t="s">
        <v>4903</v>
      </c>
      <c r="B1727" s="2" t="s">
        <v>4904</v>
      </c>
      <c r="C1727" s="2" t="s">
        <v>26</v>
      </c>
      <c r="D1727" s="2" t="s">
        <v>18</v>
      </c>
      <c r="E1727" s="4">
        <v>-32333</v>
      </c>
      <c r="F1727" s="3" t="s">
        <v>292</v>
      </c>
      <c r="G1727" s="3" t="s">
        <v>178</v>
      </c>
      <c r="H1727" s="2" t="s">
        <v>148</v>
      </c>
      <c r="I1727" s="2" t="s">
        <v>4905</v>
      </c>
      <c r="J1727" s="3" t="str">
        <f>HYPERLINK("https://www.boe.es/gazeta/dias/1811/06/22/pdfs/GEI-1811-83.pdf#page=4","Abrir facsímil")</f>
        <v>Abrir facsímil</v>
      </c>
      <c r="K1727" s="3" t="s">
        <v>150</v>
      </c>
    </row>
    <row r="1728" spans="1:11" ht="42" customHeight="1">
      <c r="A1728" s="2" t="s">
        <v>4906</v>
      </c>
      <c r="B1728" s="2" t="s">
        <v>4907</v>
      </c>
      <c r="C1728" s="2" t="s">
        <v>26</v>
      </c>
      <c r="D1728" s="2" t="s">
        <v>18</v>
      </c>
      <c r="E1728" s="4">
        <v>-32286</v>
      </c>
      <c r="F1728" s="3" t="s">
        <v>754</v>
      </c>
      <c r="G1728" s="3" t="s">
        <v>1728</v>
      </c>
      <c r="H1728" s="2" t="s">
        <v>148</v>
      </c>
      <c r="I1728" s="2" t="s">
        <v>4908</v>
      </c>
      <c r="J1728" s="3" t="str">
        <f>HYPERLINK("https://www.boe.es/gazeta/dias/1811/08/08/pdfs/GEI-1811-103.pdf#page=8","Abrir facsímil")</f>
        <v>Abrir facsímil</v>
      </c>
      <c r="K1728" s="3" t="s">
        <v>150</v>
      </c>
    </row>
    <row r="1729" spans="1:11" ht="42" customHeight="1">
      <c r="A1729" s="2" t="s">
        <v>4909</v>
      </c>
      <c r="B1729" s="2" t="s">
        <v>4910</v>
      </c>
      <c r="C1729" s="2" t="s">
        <v>17</v>
      </c>
      <c r="D1729" s="2" t="s">
        <v>156</v>
      </c>
      <c r="E1729" s="4">
        <v>-32384</v>
      </c>
      <c r="F1729" s="3" t="s">
        <v>338</v>
      </c>
      <c r="G1729" s="3" t="s">
        <v>2786</v>
      </c>
      <c r="H1729" s="2" t="s">
        <v>148</v>
      </c>
      <c r="I1729" s="2" t="s">
        <v>4911</v>
      </c>
      <c r="J1729" s="3" t="str">
        <f>HYPERLINK("https://www.boe.es/gazeta/dias/1811/05/02/pdfs/GEI-1811-58.pdf#page=7","Abrir facsímil")</f>
        <v>Abrir facsímil</v>
      </c>
      <c r="K1729" s="3" t="s">
        <v>150</v>
      </c>
    </row>
    <row r="1730" spans="1:11" ht="42" customHeight="1">
      <c r="A1730" s="2" t="s">
        <v>4912</v>
      </c>
      <c r="B1730" s="2" t="s">
        <v>4912</v>
      </c>
      <c r="C1730" s="2" t="s">
        <v>17</v>
      </c>
      <c r="D1730" s="2" t="s">
        <v>18</v>
      </c>
      <c r="E1730" s="4">
        <v>-32382</v>
      </c>
      <c r="F1730" s="3" t="s">
        <v>1269</v>
      </c>
      <c r="G1730" s="3" t="s">
        <v>183</v>
      </c>
      <c r="H1730" s="2" t="s">
        <v>148</v>
      </c>
      <c r="I1730" s="2" t="s">
        <v>4913</v>
      </c>
      <c r="J1730" s="3" t="str">
        <f>HYPERLINK("https://www.boe.es/gazeta/dias/1811/05/04/pdfs/GEI-1811-59.pdf#page=4","Abrir facsímil")</f>
        <v>Abrir facsímil</v>
      </c>
      <c r="K1730" s="3" t="s">
        <v>150</v>
      </c>
    </row>
    <row r="1731" spans="1:11" ht="42" customHeight="1">
      <c r="A1731" s="2" t="s">
        <v>4912</v>
      </c>
      <c r="B1731" s="2" t="s">
        <v>4912</v>
      </c>
      <c r="C1731" s="2" t="s">
        <v>17</v>
      </c>
      <c r="D1731" s="2" t="s">
        <v>156</v>
      </c>
      <c r="E1731" s="4">
        <v>-32365</v>
      </c>
      <c r="F1731" s="3" t="s">
        <v>119</v>
      </c>
      <c r="G1731" s="3" t="s">
        <v>91</v>
      </c>
      <c r="H1731" s="2" t="s">
        <v>148</v>
      </c>
      <c r="I1731" s="2" t="s">
        <v>4914</v>
      </c>
      <c r="J1731" s="3" t="str">
        <f>HYPERLINK("https://www.boe.es/gazeta/dias/1811/05/21/pdfs/GEI-1811-67.pdf#page=6","Abrir facsímil")</f>
        <v>Abrir facsímil</v>
      </c>
      <c r="K1731" s="3" t="s">
        <v>150</v>
      </c>
    </row>
    <row r="1732" spans="1:11" ht="42" customHeight="1">
      <c r="A1732" s="2" t="s">
        <v>4915</v>
      </c>
      <c r="B1732" s="2" t="s">
        <v>4915</v>
      </c>
      <c r="C1732" s="2" t="s">
        <v>26</v>
      </c>
      <c r="D1732" s="2" t="s">
        <v>18</v>
      </c>
      <c r="E1732" s="4">
        <v>-32187</v>
      </c>
      <c r="F1732" s="3" t="s">
        <v>1775</v>
      </c>
      <c r="G1732" s="3" t="s">
        <v>47</v>
      </c>
      <c r="H1732" s="2" t="s">
        <v>148</v>
      </c>
      <c r="I1732" s="2" t="s">
        <v>4916</v>
      </c>
      <c r="J1732" s="3" t="str">
        <f>HYPERLINK("https://www.boe.es/gazeta/dias/1811/11/15/pdfs/GMD-1811-319.pdf#page=1","Abrir facsímil")</f>
        <v>Abrir facsímil</v>
      </c>
      <c r="K1732" s="3" t="s">
        <v>150</v>
      </c>
    </row>
    <row r="1733" spans="1:11" ht="42" customHeight="1">
      <c r="A1733" s="2" t="s">
        <v>4917</v>
      </c>
      <c r="B1733" s="2" t="s">
        <v>4917</v>
      </c>
      <c r="C1733" s="2" t="s">
        <v>17</v>
      </c>
      <c r="D1733" s="2" t="s">
        <v>156</v>
      </c>
      <c r="E1733" s="4">
        <v>-32347</v>
      </c>
      <c r="F1733" s="3" t="s">
        <v>1911</v>
      </c>
      <c r="G1733" s="3" t="s">
        <v>57</v>
      </c>
      <c r="H1733" s="2" t="s">
        <v>148</v>
      </c>
      <c r="I1733" s="2" t="s">
        <v>4918</v>
      </c>
      <c r="J1733" s="3" t="str">
        <f>HYPERLINK("https://www.boe.es/gazeta/dias/1811/06/08/pdfs/GEI-1811-77.pdf#page=2","Abrir facsímil")</f>
        <v>Abrir facsímil</v>
      </c>
      <c r="K1733" s="3" t="s">
        <v>150</v>
      </c>
    </row>
    <row r="1734" spans="1:11" ht="42" customHeight="1">
      <c r="A1734" s="2" t="s">
        <v>4919</v>
      </c>
      <c r="B1734" s="2" t="s">
        <v>4920</v>
      </c>
      <c r="C1734" s="2" t="s">
        <v>26</v>
      </c>
      <c r="D1734" s="2" t="s">
        <v>18</v>
      </c>
      <c r="E1734" s="4">
        <v>-32153</v>
      </c>
      <c r="F1734" s="3" t="s">
        <v>123</v>
      </c>
      <c r="G1734" s="3" t="s">
        <v>288</v>
      </c>
      <c r="H1734" s="2" t="s">
        <v>148</v>
      </c>
      <c r="I1734" s="2" t="s">
        <v>4921</v>
      </c>
      <c r="J1734" s="3" t="str">
        <f>HYPERLINK("https://www.boe.es/gazeta/dias/1811/12/19/pdfs/GMD-1811-353.pdf#page=4","Abrir facsímil")</f>
        <v>Abrir facsímil</v>
      </c>
      <c r="K1734" s="3" t="s">
        <v>150</v>
      </c>
    </row>
    <row r="1735" spans="1:11" ht="42" customHeight="1">
      <c r="A1735" s="2" t="s">
        <v>4922</v>
      </c>
      <c r="B1735" s="2" t="s">
        <v>4922</v>
      </c>
      <c r="C1735" s="2" t="s">
        <v>26</v>
      </c>
      <c r="D1735" s="2" t="s">
        <v>204</v>
      </c>
      <c r="E1735" s="4">
        <v>-32447</v>
      </c>
      <c r="F1735" s="3" t="s">
        <v>665</v>
      </c>
      <c r="G1735" s="3" t="s">
        <v>553</v>
      </c>
      <c r="H1735" s="2" t="s">
        <v>148</v>
      </c>
      <c r="I1735" s="2" t="s">
        <v>4923</v>
      </c>
      <c r="J1735" s="3" t="str">
        <f>HYPERLINK("https://www.boe.es/gazeta/dias/1811/02/28/pdfs/GMD-1811-59.pdf#page=1","Abrir facsímil")</f>
        <v>Abrir facsímil</v>
      </c>
      <c r="K1735" s="3" t="s">
        <v>150</v>
      </c>
    </row>
    <row r="1736" spans="1:11" ht="42" customHeight="1">
      <c r="A1736" s="2" t="s">
        <v>4924</v>
      </c>
      <c r="B1736" s="2" t="s">
        <v>4924</v>
      </c>
      <c r="C1736" s="2" t="s">
        <v>122</v>
      </c>
      <c r="D1736" s="2" t="s">
        <v>18</v>
      </c>
      <c r="E1736" s="4">
        <v>-32240</v>
      </c>
      <c r="F1736" s="3" t="s">
        <v>2753</v>
      </c>
      <c r="G1736" s="3" t="s">
        <v>669</v>
      </c>
      <c r="H1736" s="2" t="s">
        <v>148</v>
      </c>
      <c r="I1736" s="2" t="s">
        <v>4925</v>
      </c>
      <c r="J1736" s="3" t="str">
        <f>HYPERLINK("https://www.boe.es/gazeta/dias/1811/09/23/pdfs/GMD-1811-266.pdf#page=1","Abrir facsímil")</f>
        <v>Abrir facsímil</v>
      </c>
      <c r="K1736" s="3" t="s">
        <v>150</v>
      </c>
    </row>
    <row r="1737" spans="1:11" ht="42" customHeight="1">
      <c r="A1737" s="2" t="s">
        <v>4926</v>
      </c>
      <c r="B1737" s="2" t="s">
        <v>4927</v>
      </c>
      <c r="C1737" s="2" t="s">
        <v>26</v>
      </c>
      <c r="D1737" s="2" t="s">
        <v>18</v>
      </c>
      <c r="E1737" s="4">
        <v>-32200</v>
      </c>
      <c r="F1737" s="3" t="s">
        <v>109</v>
      </c>
      <c r="G1737" s="3" t="s">
        <v>268</v>
      </c>
      <c r="H1737" s="2" t="s">
        <v>148</v>
      </c>
      <c r="I1737" s="2" t="s">
        <v>4928</v>
      </c>
      <c r="J1737" s="3" t="str">
        <f>HYPERLINK("https://www.boe.es/gazeta/dias/1811/11/02/pdfs/GEI-1811-141.pdf#page=7","Abrir facsímil")</f>
        <v>Abrir facsímil</v>
      </c>
      <c r="K1737" s="3" t="s">
        <v>150</v>
      </c>
    </row>
    <row r="1738" spans="1:11" ht="42" customHeight="1">
      <c r="A1738" s="2" t="s">
        <v>4929</v>
      </c>
      <c r="B1738" s="2" t="s">
        <v>4930</v>
      </c>
      <c r="C1738" s="2" t="s">
        <v>17</v>
      </c>
      <c r="D1738" s="2" t="s">
        <v>18</v>
      </c>
      <c r="E1738" s="4">
        <v>-32279</v>
      </c>
      <c r="F1738" s="3" t="s">
        <v>444</v>
      </c>
      <c r="G1738" s="3" t="s">
        <v>445</v>
      </c>
      <c r="H1738" s="2" t="s">
        <v>148</v>
      </c>
      <c r="I1738" s="2" t="s">
        <v>4931</v>
      </c>
      <c r="J1738" s="3" t="str">
        <f>HYPERLINK("https://www.boe.es/gazeta/dias/1811/08/15/pdfs/GEI-1811-106.pdf#page=8","Abrir facsímil")</f>
        <v>Abrir facsímil</v>
      </c>
      <c r="K1738" s="3" t="s">
        <v>150</v>
      </c>
    </row>
    <row r="1739" spans="1:11" ht="42" customHeight="1">
      <c r="A1739" s="2" t="s">
        <v>4932</v>
      </c>
      <c r="B1739" s="2" t="s">
        <v>4932</v>
      </c>
      <c r="C1739" s="2" t="s">
        <v>17</v>
      </c>
      <c r="D1739" s="2" t="s">
        <v>18</v>
      </c>
      <c r="E1739" s="4">
        <v>-32412</v>
      </c>
      <c r="F1739" s="3" t="s">
        <v>998</v>
      </c>
      <c r="G1739" s="3" t="s">
        <v>4144</v>
      </c>
      <c r="H1739" s="2" t="s">
        <v>148</v>
      </c>
      <c r="I1739" s="2" t="s">
        <v>4933</v>
      </c>
      <c r="J1739" s="3" t="str">
        <f>HYPERLINK("https://www.boe.es/gazeta/dias/1811/04/04/pdfs/GEI-1811-46.pdf#page=2","Abrir facsímil")</f>
        <v>Abrir facsímil</v>
      </c>
      <c r="K1739" s="3" t="s">
        <v>150</v>
      </c>
    </row>
    <row r="1740" spans="1:11" ht="42" customHeight="1">
      <c r="A1740" s="2" t="s">
        <v>4934</v>
      </c>
      <c r="B1740" s="2" t="s">
        <v>4934</v>
      </c>
      <c r="C1740" s="2" t="s">
        <v>17</v>
      </c>
      <c r="D1740" s="2" t="s">
        <v>18</v>
      </c>
      <c r="E1740" s="4">
        <v>-32476</v>
      </c>
      <c r="F1740" s="3" t="s">
        <v>1896</v>
      </c>
      <c r="G1740" s="3" t="s">
        <v>1897</v>
      </c>
      <c r="H1740" s="2" t="s">
        <v>148</v>
      </c>
      <c r="I1740" s="2" t="s">
        <v>4935</v>
      </c>
      <c r="J1740" s="3" t="str">
        <f>HYPERLINK("https://www.boe.es/gazeta/dias/1811/01/30/pdfs/GMD-1811-30.pdf#page=2","Abrir facsímil")</f>
        <v>Abrir facsímil</v>
      </c>
      <c r="K1740" s="3" t="s">
        <v>150</v>
      </c>
    </row>
    <row r="1741" spans="1:11" ht="42" customHeight="1">
      <c r="A1741" s="2" t="s">
        <v>4936</v>
      </c>
      <c r="B1741" s="2" t="s">
        <v>4937</v>
      </c>
      <c r="C1741" s="2" t="s">
        <v>84</v>
      </c>
      <c r="D1741" s="2" t="s">
        <v>105</v>
      </c>
      <c r="E1741" s="4">
        <v>-32480</v>
      </c>
      <c r="F1741" s="3" t="s">
        <v>3061</v>
      </c>
      <c r="G1741" s="3" t="s">
        <v>510</v>
      </c>
      <c r="H1741" s="2" t="s">
        <v>148</v>
      </c>
      <c r="I1741" s="2" t="s">
        <v>4938</v>
      </c>
      <c r="J1741" s="3" t="str">
        <f>HYPERLINK("https://www.boe.es/gazeta/dias/1811/01/26/pdfs/GEI-1811-12.pdf#page=8","Abrir facsímil")</f>
        <v>Abrir facsímil</v>
      </c>
      <c r="K1741" s="3" t="s">
        <v>150</v>
      </c>
    </row>
    <row r="1742" spans="1:11" ht="42" customHeight="1">
      <c r="A1742" s="2" t="s">
        <v>4939</v>
      </c>
      <c r="B1742" s="2" t="s">
        <v>4940</v>
      </c>
      <c r="C1742" s="2" t="s">
        <v>841</v>
      </c>
      <c r="D1742" s="2" t="s">
        <v>18</v>
      </c>
      <c r="E1742" s="4">
        <v>-32165</v>
      </c>
      <c r="F1742" s="3" t="s">
        <v>1462</v>
      </c>
      <c r="G1742" s="3" t="s">
        <v>3610</v>
      </c>
      <c r="H1742" s="2" t="s">
        <v>148</v>
      </c>
      <c r="I1742" s="2" t="s">
        <v>4941</v>
      </c>
      <c r="J1742" s="3" t="str">
        <f>HYPERLINK("https://www.boe.es/gazeta/dias/1811/12/07/pdfs/GMD-1811-341.pdf#page=4","Abrir facsímil")</f>
        <v>Abrir facsímil</v>
      </c>
      <c r="K1742" s="3" t="s">
        <v>150</v>
      </c>
    </row>
    <row r="1743" spans="1:11" ht="42" customHeight="1">
      <c r="A1743" s="2" t="s">
        <v>4942</v>
      </c>
      <c r="B1743" s="2" t="s">
        <v>4942</v>
      </c>
      <c r="C1743" s="2" t="s">
        <v>17</v>
      </c>
      <c r="D1743" s="2" t="s">
        <v>18</v>
      </c>
      <c r="E1743" s="4">
        <v>-32405</v>
      </c>
      <c r="F1743" s="3" t="s">
        <v>1413</v>
      </c>
      <c r="G1743" s="3" t="s">
        <v>3218</v>
      </c>
      <c r="H1743" s="2" t="s">
        <v>148</v>
      </c>
      <c r="I1743" s="2" t="s">
        <v>4943</v>
      </c>
      <c r="J1743" s="3" t="str">
        <f>HYPERLINK("https://www.boe.es/gazeta/dias/1811/04/11/pdfs/GEI-1811-49.pdf#page=2","Abrir facsímil")</f>
        <v>Abrir facsímil</v>
      </c>
      <c r="K1743" s="3" t="s">
        <v>150</v>
      </c>
    </row>
    <row r="1744" spans="1:11" ht="42" customHeight="1">
      <c r="A1744" s="2" t="s">
        <v>4942</v>
      </c>
      <c r="B1744" s="2" t="s">
        <v>4942</v>
      </c>
      <c r="C1744" s="2" t="s">
        <v>17</v>
      </c>
      <c r="D1744" s="2" t="s">
        <v>18</v>
      </c>
      <c r="E1744" s="4">
        <v>-32405</v>
      </c>
      <c r="F1744" s="3" t="s">
        <v>1413</v>
      </c>
      <c r="G1744" s="3" t="s">
        <v>1623</v>
      </c>
      <c r="H1744" s="2" t="s">
        <v>148</v>
      </c>
      <c r="I1744" s="2" t="s">
        <v>4944</v>
      </c>
      <c r="J1744" s="3" t="str">
        <f>HYPERLINK("https://www.boe.es/gazeta/dias/1811/04/11/pdfs/GEI-1811-49.pdf#page=3","Abrir facsímil")</f>
        <v>Abrir facsímil</v>
      </c>
      <c r="K1744" s="3" t="s">
        <v>150</v>
      </c>
    </row>
    <row r="1745" spans="1:11" ht="42" customHeight="1">
      <c r="A1745" s="2" t="s">
        <v>4942</v>
      </c>
      <c r="B1745" s="2" t="s">
        <v>4942</v>
      </c>
      <c r="C1745" s="2" t="s">
        <v>17</v>
      </c>
      <c r="D1745" s="2" t="s">
        <v>156</v>
      </c>
      <c r="E1745" s="4">
        <v>-32405</v>
      </c>
      <c r="F1745" s="3" t="s">
        <v>1413</v>
      </c>
      <c r="G1745" s="3" t="s">
        <v>4945</v>
      </c>
      <c r="H1745" s="2" t="s">
        <v>148</v>
      </c>
      <c r="I1745" s="2" t="s">
        <v>4946</v>
      </c>
      <c r="J1745" s="3" t="str">
        <f>HYPERLINK("https://www.boe.es/gazeta/dias/1811/04/11/pdfs/GEI-1811-49.pdf#page=6","Abrir facsímil")</f>
        <v>Abrir facsímil</v>
      </c>
      <c r="K1745" s="3" t="s">
        <v>150</v>
      </c>
    </row>
    <row r="1746" spans="1:11" ht="42" customHeight="1">
      <c r="A1746" s="2" t="s">
        <v>4942</v>
      </c>
      <c r="B1746" s="2" t="s">
        <v>4942</v>
      </c>
      <c r="C1746" s="2" t="s">
        <v>17</v>
      </c>
      <c r="D1746" s="2" t="s">
        <v>18</v>
      </c>
      <c r="E1746" s="4">
        <v>-32351</v>
      </c>
      <c r="F1746" s="3" t="s">
        <v>2163</v>
      </c>
      <c r="G1746" s="3" t="s">
        <v>162</v>
      </c>
      <c r="H1746" s="2" t="s">
        <v>148</v>
      </c>
      <c r="I1746" s="2" t="s">
        <v>4947</v>
      </c>
      <c r="J1746" s="3" t="str">
        <f>HYPERLINK("https://www.boe.es/gazeta/dias/1811/06/04/pdfs/GEI-1811-75.pdf#page=1","Abrir facsímil")</f>
        <v>Abrir facsímil</v>
      </c>
      <c r="K1746" s="3" t="s">
        <v>150</v>
      </c>
    </row>
    <row r="1747" spans="1:11" ht="42" customHeight="1">
      <c r="A1747" s="2" t="s">
        <v>4942</v>
      </c>
      <c r="B1747" s="2" t="s">
        <v>4942</v>
      </c>
      <c r="C1747" s="2" t="s">
        <v>17</v>
      </c>
      <c r="D1747" s="2" t="s">
        <v>156</v>
      </c>
      <c r="E1747" s="4">
        <v>-32349</v>
      </c>
      <c r="F1747" s="3" t="s">
        <v>239</v>
      </c>
      <c r="G1747" s="3" t="s">
        <v>162</v>
      </c>
      <c r="H1747" s="2" t="s">
        <v>148</v>
      </c>
      <c r="I1747" s="2" t="s">
        <v>4948</v>
      </c>
      <c r="J1747" s="3" t="str">
        <f>HYPERLINK("https://www.boe.es/gazeta/dias/1811/06/06/pdfs/GEI-1811-76.pdf#page=2","Abrir facsímil")</f>
        <v>Abrir facsímil</v>
      </c>
      <c r="K1747" s="3" t="s">
        <v>150</v>
      </c>
    </row>
    <row r="1748" spans="1:11" ht="42" customHeight="1">
      <c r="A1748" s="2" t="s">
        <v>4942</v>
      </c>
      <c r="B1748" s="2" t="s">
        <v>4942</v>
      </c>
      <c r="C1748" s="2" t="s">
        <v>17</v>
      </c>
      <c r="D1748" s="2" t="s">
        <v>18</v>
      </c>
      <c r="E1748" s="4">
        <v>-32349</v>
      </c>
      <c r="F1748" s="3" t="s">
        <v>239</v>
      </c>
      <c r="G1748" s="3" t="s">
        <v>1841</v>
      </c>
      <c r="H1748" s="2" t="s">
        <v>148</v>
      </c>
      <c r="I1748" s="2" t="s">
        <v>4949</v>
      </c>
      <c r="J1748" s="3" t="str">
        <f>HYPERLINK("https://www.boe.es/gazeta/dias/1811/06/06/pdfs/GEI-1811-76.pdf#page=3","Abrir facsímil")</f>
        <v>Abrir facsímil</v>
      </c>
      <c r="K1748" s="3" t="s">
        <v>150</v>
      </c>
    </row>
    <row r="1749" spans="1:11" ht="42" customHeight="1">
      <c r="A1749" s="2" t="s">
        <v>4942</v>
      </c>
      <c r="B1749" s="2" t="s">
        <v>4942</v>
      </c>
      <c r="C1749" s="2" t="s">
        <v>17</v>
      </c>
      <c r="D1749" s="2" t="s">
        <v>18</v>
      </c>
      <c r="E1749" s="4">
        <v>-32349</v>
      </c>
      <c r="F1749" s="3" t="s">
        <v>239</v>
      </c>
      <c r="G1749" s="3" t="s">
        <v>4509</v>
      </c>
      <c r="H1749" s="2" t="s">
        <v>148</v>
      </c>
      <c r="I1749" s="2" t="s">
        <v>4950</v>
      </c>
      <c r="J1749" s="3" t="str">
        <f>HYPERLINK("https://www.boe.es/gazeta/dias/1811/06/06/pdfs/GEI-1811-76.pdf#page=5","Abrir facsímil")</f>
        <v>Abrir facsímil</v>
      </c>
      <c r="K1749" s="3" t="s">
        <v>150</v>
      </c>
    </row>
    <row r="1750" spans="1:11" ht="42" customHeight="1">
      <c r="A1750" s="2" t="s">
        <v>4942</v>
      </c>
      <c r="B1750" s="2" t="s">
        <v>4942</v>
      </c>
      <c r="C1750" s="2" t="s">
        <v>17</v>
      </c>
      <c r="D1750" s="2" t="s">
        <v>156</v>
      </c>
      <c r="E1750" s="4">
        <v>-32228</v>
      </c>
      <c r="F1750" s="3" t="s">
        <v>899</v>
      </c>
      <c r="G1750" s="3" t="s">
        <v>900</v>
      </c>
      <c r="H1750" s="2" t="s">
        <v>148</v>
      </c>
      <c r="I1750" s="2" t="s">
        <v>4951</v>
      </c>
      <c r="J1750" s="3" t="str">
        <f>HYPERLINK("https://www.boe.es/gazeta/dias/1811/10/05/pdfs/GMD-1811-278.pdf#page=2","Abrir facsímil")</f>
        <v>Abrir facsímil</v>
      </c>
      <c r="K1750" s="3" t="s">
        <v>150</v>
      </c>
    </row>
    <row r="1751" spans="1:11" ht="42" customHeight="1">
      <c r="A1751" s="2" t="s">
        <v>4942</v>
      </c>
      <c r="B1751" s="2" t="s">
        <v>4942</v>
      </c>
      <c r="C1751" s="2" t="s">
        <v>17</v>
      </c>
      <c r="D1751" s="2" t="s">
        <v>18</v>
      </c>
      <c r="E1751" s="4">
        <v>-32207</v>
      </c>
      <c r="F1751" s="3" t="s">
        <v>152</v>
      </c>
      <c r="G1751" s="3" t="s">
        <v>891</v>
      </c>
      <c r="H1751" s="2" t="s">
        <v>148</v>
      </c>
      <c r="I1751" s="2" t="s">
        <v>4952</v>
      </c>
      <c r="J1751" s="3" t="str">
        <f>HYPERLINK("https://www.boe.es/gazeta/dias/1811/10/26/pdfs/GEI-1811-138.pdf#page=5","Abrir facsímil")</f>
        <v>Abrir facsímil</v>
      </c>
      <c r="K1751" s="3" t="s">
        <v>150</v>
      </c>
    </row>
    <row r="1752" spans="1:11" ht="42" customHeight="1">
      <c r="A1752" s="2" t="s">
        <v>4953</v>
      </c>
      <c r="B1752" s="2" t="s">
        <v>4954</v>
      </c>
      <c r="C1752" s="2" t="s">
        <v>26</v>
      </c>
      <c r="D1752" s="2" t="s">
        <v>141</v>
      </c>
      <c r="E1752" s="4">
        <v>-32365</v>
      </c>
      <c r="F1752" s="3" t="s">
        <v>1304</v>
      </c>
      <c r="G1752" s="3" t="s">
        <v>120</v>
      </c>
      <c r="H1752" s="2" t="s">
        <v>148</v>
      </c>
      <c r="I1752" s="2" t="s">
        <v>4955</v>
      </c>
      <c r="J1752" s="3" t="str">
        <f>HYPERLINK("https://www.boe.es/gazeta/dias/1811/05/21/pdfs/GEI-D-1811-67.pdf#page=4","Abrir facsímil")</f>
        <v>Abrir facsímil</v>
      </c>
      <c r="K1752" s="3" t="s">
        <v>150</v>
      </c>
    </row>
    <row r="1753" spans="1:11" ht="42" customHeight="1">
      <c r="A1753" s="2" t="s">
        <v>4956</v>
      </c>
      <c r="B1753" s="2" t="s">
        <v>4956</v>
      </c>
      <c r="C1753" s="2" t="s">
        <v>84</v>
      </c>
      <c r="D1753" s="2" t="s">
        <v>18</v>
      </c>
      <c r="E1753" s="4">
        <v>-32350</v>
      </c>
      <c r="F1753" s="3" t="s">
        <v>4957</v>
      </c>
      <c r="G1753" s="3" t="s">
        <v>44</v>
      </c>
      <c r="H1753" s="2" t="s">
        <v>148</v>
      </c>
      <c r="I1753" s="2" t="s">
        <v>4958</v>
      </c>
      <c r="J1753" s="3" t="str">
        <f>HYPERLINK("https://www.boe.es/gazeta/dias/1811/06/05/pdfs/GMD-1811-156.pdf#page=1","Abrir facsímil")</f>
        <v>Abrir facsímil</v>
      </c>
      <c r="K1753" s="3" t="s">
        <v>150</v>
      </c>
    </row>
    <row r="1754" spans="1:11" ht="42" customHeight="1">
      <c r="A1754" s="2" t="s">
        <v>4959</v>
      </c>
      <c r="B1754" s="2" t="s">
        <v>4959</v>
      </c>
      <c r="C1754" s="2" t="s">
        <v>17</v>
      </c>
      <c r="D1754" s="2" t="s">
        <v>156</v>
      </c>
      <c r="E1754" s="4">
        <v>-32389</v>
      </c>
      <c r="F1754" s="3" t="s">
        <v>524</v>
      </c>
      <c r="G1754" s="3" t="s">
        <v>2573</v>
      </c>
      <c r="H1754" s="2" t="s">
        <v>148</v>
      </c>
      <c r="I1754" s="2" t="s">
        <v>4960</v>
      </c>
      <c r="J1754" s="3" t="str">
        <f>HYPERLINK("https://www.boe.es/gazeta/dias/1811/04/27/pdfs/GEI-D-1811-56.pdf#page=1","Abrir facsímil")</f>
        <v>Abrir facsímil</v>
      </c>
      <c r="K1754" s="3" t="s">
        <v>150</v>
      </c>
    </row>
    <row r="1755" spans="1:11" ht="42" customHeight="1">
      <c r="A1755" s="2" t="s">
        <v>4961</v>
      </c>
      <c r="B1755" s="2" t="s">
        <v>4962</v>
      </c>
      <c r="C1755" s="2" t="s">
        <v>26</v>
      </c>
      <c r="D1755" s="2" t="s">
        <v>141</v>
      </c>
      <c r="E1755" s="4">
        <v>-32280</v>
      </c>
      <c r="F1755" s="3" t="s">
        <v>142</v>
      </c>
      <c r="G1755" s="3" t="s">
        <v>47</v>
      </c>
      <c r="H1755" s="2" t="s">
        <v>148</v>
      </c>
      <c r="I1755" s="2" t="s">
        <v>4963</v>
      </c>
      <c r="J1755" s="3" t="str">
        <f>HYPERLINK("https://www.boe.es/gazeta/dias/1811/08/14/pdfs/GMD-C-1811-226.pdf#page=1","Abrir facsímil")</f>
        <v>Abrir facsímil</v>
      </c>
      <c r="K1755" s="3" t="s">
        <v>150</v>
      </c>
    </row>
    <row r="1756" spans="1:11" ht="42" customHeight="1">
      <c r="A1756" s="2" t="s">
        <v>4964</v>
      </c>
      <c r="B1756" s="2" t="s">
        <v>4965</v>
      </c>
      <c r="C1756" s="2" t="s">
        <v>26</v>
      </c>
      <c r="D1756" s="2" t="s">
        <v>18</v>
      </c>
      <c r="E1756" s="4">
        <v>-32438</v>
      </c>
      <c r="F1756" s="3" t="s">
        <v>114</v>
      </c>
      <c r="G1756" s="3" t="s">
        <v>115</v>
      </c>
      <c r="H1756" s="2" t="s">
        <v>148</v>
      </c>
      <c r="I1756" s="2" t="s">
        <v>4966</v>
      </c>
      <c r="J1756" s="3" t="str">
        <f>HYPERLINK("https://www.boe.es/gazeta/dias/1811/03/09/pdfs/GEI-1811-33.pdf#page=3","Abrir facsímil")</f>
        <v>Abrir facsímil</v>
      </c>
      <c r="K1756" s="3" t="s">
        <v>150</v>
      </c>
    </row>
    <row r="1757" spans="1:11" ht="42" customHeight="1">
      <c r="A1757" s="2" t="s">
        <v>4967</v>
      </c>
      <c r="B1757" s="2" t="s">
        <v>4967</v>
      </c>
      <c r="C1757" s="2" t="s">
        <v>17</v>
      </c>
      <c r="D1757" s="2" t="s">
        <v>18</v>
      </c>
      <c r="E1757" s="4">
        <v>-32349</v>
      </c>
      <c r="F1757" s="3" t="s">
        <v>239</v>
      </c>
      <c r="G1757" s="3" t="s">
        <v>240</v>
      </c>
      <c r="H1757" s="2" t="s">
        <v>148</v>
      </c>
      <c r="I1757" s="2" t="s">
        <v>4968</v>
      </c>
      <c r="J1757" s="3" t="str">
        <f>HYPERLINK("https://www.boe.es/gazeta/dias/1811/06/06/pdfs/GEI-1811-76.pdf#page=6","Abrir facsímil")</f>
        <v>Abrir facsímil</v>
      </c>
      <c r="K1757" s="3" t="s">
        <v>150</v>
      </c>
    </row>
    <row r="1758" spans="1:11" ht="42" customHeight="1">
      <c r="A1758" s="2" t="s">
        <v>4967</v>
      </c>
      <c r="B1758" s="2" t="s">
        <v>4967</v>
      </c>
      <c r="C1758" s="2" t="s">
        <v>17</v>
      </c>
      <c r="D1758" s="2" t="s">
        <v>18</v>
      </c>
      <c r="E1758" s="4">
        <v>-32330</v>
      </c>
      <c r="F1758" s="3" t="s">
        <v>1997</v>
      </c>
      <c r="G1758" s="3" t="s">
        <v>2404</v>
      </c>
      <c r="H1758" s="2" t="s">
        <v>148</v>
      </c>
      <c r="I1758" s="2" t="s">
        <v>4969</v>
      </c>
      <c r="J1758" s="3" t="str">
        <f>HYPERLINK("https://www.boe.es/gazeta/dias/1811/06/25/pdfs/GMD-1811-176.pdf#page=4","Abrir facsímil")</f>
        <v>Abrir facsímil</v>
      </c>
      <c r="K1758" s="3" t="s">
        <v>150</v>
      </c>
    </row>
    <row r="1759" spans="1:11" ht="42" customHeight="1">
      <c r="A1759" s="2" t="s">
        <v>4970</v>
      </c>
      <c r="B1759" s="2" t="s">
        <v>4971</v>
      </c>
      <c r="C1759" s="2" t="s">
        <v>26</v>
      </c>
      <c r="D1759" s="2" t="s">
        <v>18</v>
      </c>
      <c r="E1759" s="4">
        <v>-32288</v>
      </c>
      <c r="F1759" s="3" t="s">
        <v>95</v>
      </c>
      <c r="G1759" s="3" t="s">
        <v>1071</v>
      </c>
      <c r="H1759" s="2" t="s">
        <v>148</v>
      </c>
      <c r="I1759" s="2" t="s">
        <v>4972</v>
      </c>
      <c r="J1759" s="3" t="str">
        <f>HYPERLINK("https://www.boe.es/gazeta/dias/1811/08/06/pdfs/GEI-1811-102.pdf#page=6","Abrir facsímil")</f>
        <v>Abrir facsímil</v>
      </c>
      <c r="K1759" s="3" t="s">
        <v>150</v>
      </c>
    </row>
    <row r="1760" spans="1:11" ht="42" customHeight="1">
      <c r="A1760" s="2" t="s">
        <v>4973</v>
      </c>
      <c r="B1760" s="2" t="s">
        <v>4974</v>
      </c>
      <c r="C1760" s="2" t="s">
        <v>26</v>
      </c>
      <c r="D1760" s="2" t="s">
        <v>141</v>
      </c>
      <c r="E1760" s="4">
        <v>-32188</v>
      </c>
      <c r="F1760" s="3" t="s">
        <v>505</v>
      </c>
      <c r="G1760" s="3" t="s">
        <v>47</v>
      </c>
      <c r="H1760" s="2" t="s">
        <v>148</v>
      </c>
      <c r="I1760" s="2" t="s">
        <v>4975</v>
      </c>
      <c r="J1760" s="3" t="str">
        <f>HYPERLINK("https://www.boe.es/gazeta/dias/1811/11/14/pdfs/GEI-D-1811-149.pdf#page=3","Abrir facsímil")</f>
        <v>Abrir facsímil</v>
      </c>
      <c r="K1760" s="3" t="s">
        <v>150</v>
      </c>
    </row>
    <row r="1761" spans="1:11" ht="42" customHeight="1">
      <c r="A1761" s="2" t="s">
        <v>4976</v>
      </c>
      <c r="B1761" s="2" t="s">
        <v>4977</v>
      </c>
      <c r="C1761" s="2" t="s">
        <v>17</v>
      </c>
      <c r="D1761" s="2" t="s">
        <v>18</v>
      </c>
      <c r="E1761" s="4">
        <v>-32414</v>
      </c>
      <c r="F1761" s="3" t="s">
        <v>213</v>
      </c>
      <c r="G1761" s="3" t="s">
        <v>91</v>
      </c>
      <c r="H1761" s="2" t="s">
        <v>148</v>
      </c>
      <c r="I1761" s="2" t="s">
        <v>4978</v>
      </c>
      <c r="J1761" s="3" t="str">
        <f>HYPERLINK("https://www.boe.es/gazeta/dias/1811/04/02/pdfs/GEI-1811-45.pdf#page=2","Abrir facsímil")</f>
        <v>Abrir facsímil</v>
      </c>
      <c r="K1761" s="3" t="s">
        <v>150</v>
      </c>
    </row>
    <row r="1762" spans="1:11" ht="42" customHeight="1">
      <c r="A1762" s="2" t="s">
        <v>4979</v>
      </c>
      <c r="B1762" s="2" t="s">
        <v>4980</v>
      </c>
      <c r="C1762" s="2" t="s">
        <v>26</v>
      </c>
      <c r="D1762" s="2" t="s">
        <v>18</v>
      </c>
      <c r="E1762" s="4">
        <v>-32190</v>
      </c>
      <c r="F1762" s="3" t="s">
        <v>1282</v>
      </c>
      <c r="G1762" s="3" t="s">
        <v>468</v>
      </c>
      <c r="H1762" s="2" t="s">
        <v>148</v>
      </c>
      <c r="I1762" s="2" t="s">
        <v>4981</v>
      </c>
      <c r="J1762" s="3" t="str">
        <f>HYPERLINK("https://www.boe.es/gazeta/dias/1811/11/12/pdfs/GMD-1811-316.pdf#page=4","Abrir facsímil")</f>
        <v>Abrir facsímil</v>
      </c>
      <c r="K1762" s="3" t="s">
        <v>150</v>
      </c>
    </row>
    <row r="1763" spans="1:11" ht="42" customHeight="1">
      <c r="A1763" s="2" t="s">
        <v>4982</v>
      </c>
      <c r="B1763" s="2" t="s">
        <v>4983</v>
      </c>
      <c r="C1763" s="2" t="s">
        <v>104</v>
      </c>
      <c r="D1763" s="2" t="s">
        <v>105</v>
      </c>
      <c r="E1763" s="4">
        <v>-32349</v>
      </c>
      <c r="F1763" s="3" t="s">
        <v>3983</v>
      </c>
      <c r="G1763" s="3" t="s">
        <v>183</v>
      </c>
      <c r="H1763" s="2" t="s">
        <v>148</v>
      </c>
      <c r="I1763" s="2" t="s">
        <v>4984</v>
      </c>
      <c r="J1763" s="3" t="str">
        <f>HYPERLINK("https://www.boe.es/gazeta/dias/1811/06/06/pdfs/GMD-1811-157.pdf#page=4","Abrir facsímil")</f>
        <v>Abrir facsímil</v>
      </c>
      <c r="K1763" s="3" t="s">
        <v>150</v>
      </c>
    </row>
    <row r="1764" spans="1:11" ht="42" customHeight="1">
      <c r="A1764" s="2" t="s">
        <v>4985</v>
      </c>
      <c r="B1764" s="2" t="s">
        <v>4986</v>
      </c>
      <c r="C1764" s="2" t="s">
        <v>26</v>
      </c>
      <c r="D1764" s="2" t="s">
        <v>141</v>
      </c>
      <c r="E1764" s="4">
        <v>-32280</v>
      </c>
      <c r="F1764" s="3" t="s">
        <v>142</v>
      </c>
      <c r="G1764" s="3" t="s">
        <v>47</v>
      </c>
      <c r="H1764" s="2" t="s">
        <v>148</v>
      </c>
      <c r="I1764" s="2" t="s">
        <v>4987</v>
      </c>
      <c r="J1764" s="3" t="str">
        <f>HYPERLINK("https://www.boe.es/gazeta/dias/1811/08/14/pdfs/GMD-C-1811-226.pdf#page=1","Abrir facsímil")</f>
        <v>Abrir facsímil</v>
      </c>
      <c r="K1764" s="3" t="s">
        <v>150</v>
      </c>
    </row>
    <row r="1765" spans="1:11" ht="42" customHeight="1">
      <c r="A1765" s="2" t="s">
        <v>4988</v>
      </c>
      <c r="B1765" s="2" t="s">
        <v>4988</v>
      </c>
      <c r="C1765" s="2" t="s">
        <v>17</v>
      </c>
      <c r="D1765" s="2" t="s">
        <v>18</v>
      </c>
      <c r="E1765" s="4">
        <v>-32386</v>
      </c>
      <c r="F1765" s="3" t="s">
        <v>1934</v>
      </c>
      <c r="G1765" s="3" t="s">
        <v>2442</v>
      </c>
      <c r="H1765" s="2" t="s">
        <v>148</v>
      </c>
      <c r="I1765" s="2" t="s">
        <v>4989</v>
      </c>
      <c r="J1765" s="3" t="str">
        <f>HYPERLINK("https://www.boe.es/gazeta/dias/1811/04/30/pdfs/GEI-1811-57.pdf#page=4","Abrir facsímil")</f>
        <v>Abrir facsímil</v>
      </c>
      <c r="K1765" s="3" t="s">
        <v>150</v>
      </c>
    </row>
    <row r="1766" spans="1:11" ht="42" customHeight="1">
      <c r="A1766" s="2" t="s">
        <v>4990</v>
      </c>
      <c r="B1766" s="2" t="s">
        <v>4991</v>
      </c>
      <c r="C1766" s="2" t="s">
        <v>26</v>
      </c>
      <c r="D1766" s="2" t="s">
        <v>141</v>
      </c>
      <c r="E1766" s="4">
        <v>-32249</v>
      </c>
      <c r="F1766" s="3" t="s">
        <v>743</v>
      </c>
      <c r="G1766" s="3" t="s">
        <v>1021</v>
      </c>
      <c r="H1766" s="2" t="s">
        <v>148</v>
      </c>
      <c r="I1766" s="2" t="s">
        <v>4992</v>
      </c>
      <c r="J1766" s="3" t="str">
        <f>HYPERLINK("https://www.boe.es/gazeta/dias/1811/09/14/pdfs/GMD-C-1811-257.pdf#page=2","Abrir facsímil")</f>
        <v>Abrir facsímil</v>
      </c>
      <c r="K1766" s="3" t="s">
        <v>150</v>
      </c>
    </row>
    <row r="1767" spans="1:11" ht="42" customHeight="1">
      <c r="A1767" s="2" t="s">
        <v>4993</v>
      </c>
      <c r="B1767" s="2" t="s">
        <v>4994</v>
      </c>
      <c r="C1767" s="2" t="s">
        <v>122</v>
      </c>
      <c r="D1767" s="2" t="s">
        <v>18</v>
      </c>
      <c r="E1767" s="4">
        <v>-32188</v>
      </c>
      <c r="F1767" s="3" t="s">
        <v>356</v>
      </c>
      <c r="G1767" s="3" t="s">
        <v>468</v>
      </c>
      <c r="H1767" s="2" t="s">
        <v>148</v>
      </c>
      <c r="I1767" s="2" t="s">
        <v>4995</v>
      </c>
      <c r="J1767" s="3" t="str">
        <f>HYPERLINK("https://www.boe.es/gazeta/dias/1811/11/14/pdfs/GMD-1811-318.pdf#page=6","Abrir facsímil")</f>
        <v>Abrir facsímil</v>
      </c>
      <c r="K1767" s="3" t="s">
        <v>150</v>
      </c>
    </row>
    <row r="1768" spans="1:11" ht="42" customHeight="1">
      <c r="A1768" s="2" t="s">
        <v>4996</v>
      </c>
      <c r="B1768" s="2" t="s">
        <v>4997</v>
      </c>
      <c r="C1768" s="2" t="s">
        <v>26</v>
      </c>
      <c r="D1768" s="2" t="s">
        <v>18</v>
      </c>
      <c r="E1768" s="4">
        <v>-32179</v>
      </c>
      <c r="F1768" s="3" t="s">
        <v>614</v>
      </c>
      <c r="G1768" s="3" t="s">
        <v>47</v>
      </c>
      <c r="H1768" s="2" t="s">
        <v>148</v>
      </c>
      <c r="I1768" s="2" t="s">
        <v>4998</v>
      </c>
      <c r="J1768" s="3" t="str">
        <f>HYPERLINK("https://www.boe.es/gazeta/dias/1811/11/23/pdfs/GEI-1811-153.pdf#page=8","Abrir facsímil")</f>
        <v>Abrir facsímil</v>
      </c>
      <c r="K1768" s="3" t="s">
        <v>150</v>
      </c>
    </row>
    <row r="1769" spans="1:11" ht="42" customHeight="1">
      <c r="A1769" s="2" t="s">
        <v>4999</v>
      </c>
      <c r="B1769" s="2" t="s">
        <v>4999</v>
      </c>
      <c r="C1769" s="2" t="s">
        <v>17</v>
      </c>
      <c r="D1769" s="2" t="s">
        <v>156</v>
      </c>
      <c r="E1769" s="4">
        <v>-32484</v>
      </c>
      <c r="F1769" s="3" t="s">
        <v>5000</v>
      </c>
      <c r="G1769" s="3" t="s">
        <v>468</v>
      </c>
      <c r="H1769" s="2" t="s">
        <v>148</v>
      </c>
      <c r="I1769" s="2" t="s">
        <v>5001</v>
      </c>
      <c r="J1769" s="3" t="str">
        <f>HYPERLINK("https://www.boe.es/gazeta/dias/1811/01/22/pdfs/GMD-1811-22.pdf#page=1","Abrir facsímil")</f>
        <v>Abrir facsímil</v>
      </c>
      <c r="K1769" s="3" t="s">
        <v>150</v>
      </c>
    </row>
    <row r="1770" spans="1:11" ht="42" customHeight="1">
      <c r="A1770" s="2" t="s">
        <v>5002</v>
      </c>
      <c r="B1770" s="2" t="s">
        <v>5002</v>
      </c>
      <c r="C1770" s="2" t="s">
        <v>17</v>
      </c>
      <c r="D1770" s="2" t="s">
        <v>156</v>
      </c>
      <c r="E1770" s="4">
        <v>-32162</v>
      </c>
      <c r="F1770" s="3" t="s">
        <v>317</v>
      </c>
      <c r="G1770" s="3" t="s">
        <v>5003</v>
      </c>
      <c r="H1770" s="2" t="s">
        <v>148</v>
      </c>
      <c r="I1770" s="2" t="s">
        <v>5004</v>
      </c>
      <c r="J1770" s="3" t="str">
        <f>HYPERLINK("https://www.boe.es/gazeta/dias/1811/12/10/pdfs/GEI-1811-160.pdf#page=7","Abrir facsímil")</f>
        <v>Abrir facsímil</v>
      </c>
      <c r="K1770" s="3" t="s">
        <v>150</v>
      </c>
    </row>
    <row r="1771" spans="1:11" ht="42" customHeight="1">
      <c r="A1771" s="2" t="s">
        <v>5005</v>
      </c>
      <c r="B1771" s="2" t="s">
        <v>5006</v>
      </c>
      <c r="C1771" s="2" t="s">
        <v>84</v>
      </c>
      <c r="D1771" s="2" t="s">
        <v>18</v>
      </c>
      <c r="E1771" s="4">
        <v>-32151</v>
      </c>
      <c r="F1771" s="3" t="s">
        <v>313</v>
      </c>
      <c r="G1771" s="3" t="s">
        <v>5007</v>
      </c>
      <c r="H1771" s="2" t="s">
        <v>148</v>
      </c>
      <c r="I1771" s="2" t="s">
        <v>5008</v>
      </c>
      <c r="J1771" s="3" t="str">
        <f>HYPERLINK("https://www.boe.es/gazeta/dias/1811/12/21/pdfs/GEI-1811-165.pdf#page=4","Abrir facsímil")</f>
        <v>Abrir facsímil</v>
      </c>
      <c r="K1771" s="3" t="s">
        <v>150</v>
      </c>
    </row>
    <row r="1772" spans="1:11" ht="42" customHeight="1">
      <c r="A1772" s="2" t="s">
        <v>5009</v>
      </c>
      <c r="B1772" s="2" t="s">
        <v>5010</v>
      </c>
      <c r="C1772" s="2" t="s">
        <v>26</v>
      </c>
      <c r="D1772" s="2" t="s">
        <v>18</v>
      </c>
      <c r="E1772" s="4">
        <v>-32141</v>
      </c>
      <c r="F1772" s="3" t="s">
        <v>327</v>
      </c>
      <c r="G1772" s="3" t="s">
        <v>20</v>
      </c>
      <c r="H1772" s="2" t="s">
        <v>148</v>
      </c>
      <c r="I1772" s="2" t="s">
        <v>5011</v>
      </c>
      <c r="J1772" s="3" t="str">
        <f>HYPERLINK("https://www.boe.es/gazeta/dias/1811/12/31/pdfs/GMD-1811-365.pdf#page=4","Abrir facsímil")</f>
        <v>Abrir facsímil</v>
      </c>
      <c r="K1772" s="3" t="s">
        <v>150</v>
      </c>
    </row>
    <row r="1773" spans="1:11" ht="42" customHeight="1">
      <c r="A1773" s="2" t="s">
        <v>5012</v>
      </c>
      <c r="B1773" s="2" t="s">
        <v>5013</v>
      </c>
      <c r="C1773" s="2" t="s">
        <v>17</v>
      </c>
      <c r="D1773" s="2" t="s">
        <v>18</v>
      </c>
      <c r="E1773" s="4">
        <v>-32393</v>
      </c>
      <c r="F1773" s="3" t="s">
        <v>32</v>
      </c>
      <c r="G1773" s="3" t="s">
        <v>5014</v>
      </c>
      <c r="H1773" s="2" t="s">
        <v>148</v>
      </c>
      <c r="I1773" s="2" t="s">
        <v>5015</v>
      </c>
      <c r="J1773" s="3" t="str">
        <f>HYPERLINK("https://www.boe.es/gazeta/dias/1811/04/23/pdfs/GEI-1811-54.pdf#page=2","Abrir facsímil")</f>
        <v>Abrir facsímil</v>
      </c>
      <c r="K1773" s="3" t="s">
        <v>150</v>
      </c>
    </row>
    <row r="1774" spans="1:11" ht="42" customHeight="1">
      <c r="A1774" s="2" t="s">
        <v>5016</v>
      </c>
      <c r="B1774" s="2" t="s">
        <v>5017</v>
      </c>
      <c r="C1774" s="2" t="s">
        <v>17</v>
      </c>
      <c r="D1774" s="2" t="s">
        <v>156</v>
      </c>
      <c r="E1774" s="4">
        <v>-32426</v>
      </c>
      <c r="F1774" s="3" t="s">
        <v>2729</v>
      </c>
      <c r="G1774" s="3" t="s">
        <v>1784</v>
      </c>
      <c r="H1774" s="2" t="s">
        <v>148</v>
      </c>
      <c r="I1774" s="2" t="s">
        <v>5018</v>
      </c>
      <c r="J1774" s="3" t="str">
        <f>HYPERLINK("https://www.boe.es/gazeta/dias/1811/03/21/pdfs/GEI-1811-40.pdf#page=7","Abrir facsímil")</f>
        <v>Abrir facsímil</v>
      </c>
      <c r="K1774" s="3" t="s">
        <v>150</v>
      </c>
    </row>
    <row r="1775" spans="1:11" ht="42" customHeight="1">
      <c r="A1775" s="2" t="s">
        <v>5019</v>
      </c>
      <c r="B1775" s="2" t="s">
        <v>5019</v>
      </c>
      <c r="C1775" s="2" t="s">
        <v>17</v>
      </c>
      <c r="D1775" s="2" t="s">
        <v>18</v>
      </c>
      <c r="E1775" s="4">
        <v>-32230</v>
      </c>
      <c r="F1775" s="3" t="s">
        <v>625</v>
      </c>
      <c r="G1775" s="3" t="s">
        <v>5020</v>
      </c>
      <c r="H1775" s="2" t="s">
        <v>148</v>
      </c>
      <c r="I1775" s="2" t="s">
        <v>5021</v>
      </c>
      <c r="J1775" s="3" t="str">
        <f>HYPERLINK("https://www.boe.es/gazeta/dias/1811/10/03/pdfs/GEI-1811-127.pdf#page=4","Abrir facsímil")</f>
        <v>Abrir facsímil</v>
      </c>
      <c r="K1775" s="3" t="s">
        <v>150</v>
      </c>
    </row>
    <row r="1776" spans="1:11" ht="42" customHeight="1">
      <c r="A1776" s="2" t="s">
        <v>5022</v>
      </c>
      <c r="B1776" s="2" t="s">
        <v>5023</v>
      </c>
      <c r="C1776" s="2" t="s">
        <v>17</v>
      </c>
      <c r="D1776" s="2" t="s">
        <v>18</v>
      </c>
      <c r="E1776" s="4">
        <v>-32152</v>
      </c>
      <c r="F1776" s="3" t="s">
        <v>1673</v>
      </c>
      <c r="G1776" s="3" t="s">
        <v>183</v>
      </c>
      <c r="H1776" s="2" t="s">
        <v>148</v>
      </c>
      <c r="I1776" s="2" t="s">
        <v>5024</v>
      </c>
      <c r="J1776" s="3" t="str">
        <f>HYPERLINK("https://www.boe.es/gazeta/dias/1811/12/20/pdfs/GMD-1811-354.pdf#page=4","Abrir facsímil")</f>
        <v>Abrir facsímil</v>
      </c>
      <c r="K1776" s="3" t="s">
        <v>150</v>
      </c>
    </row>
    <row r="1777" spans="1:11" ht="42" customHeight="1">
      <c r="A1777" s="2" t="s">
        <v>5025</v>
      </c>
      <c r="B1777" s="2" t="s">
        <v>5026</v>
      </c>
      <c r="C1777" s="2" t="s">
        <v>26</v>
      </c>
      <c r="D1777" s="2" t="s">
        <v>18</v>
      </c>
      <c r="E1777" s="4">
        <v>-32438</v>
      </c>
      <c r="F1777" s="3" t="s">
        <v>114</v>
      </c>
      <c r="G1777" s="3" t="s">
        <v>115</v>
      </c>
      <c r="H1777" s="2" t="s">
        <v>148</v>
      </c>
      <c r="I1777" s="2" t="s">
        <v>5027</v>
      </c>
      <c r="J1777" s="3" t="str">
        <f>HYPERLINK("https://www.boe.es/gazeta/dias/1811/03/09/pdfs/GEI-1811-33.pdf#page=3","Abrir facsímil")</f>
        <v>Abrir facsímil</v>
      </c>
      <c r="K1777" s="3" t="s">
        <v>150</v>
      </c>
    </row>
    <row r="1778" spans="1:11" ht="42" customHeight="1">
      <c r="A1778" s="2" t="s">
        <v>5028</v>
      </c>
      <c r="B1778" s="2" t="s">
        <v>5029</v>
      </c>
      <c r="C1778" s="2" t="s">
        <v>17</v>
      </c>
      <c r="D1778" s="2" t="s">
        <v>204</v>
      </c>
      <c r="E1778" s="4">
        <v>-32429</v>
      </c>
      <c r="F1778" s="3" t="s">
        <v>770</v>
      </c>
      <c r="G1778" s="3" t="s">
        <v>183</v>
      </c>
      <c r="H1778" s="2" t="s">
        <v>148</v>
      </c>
      <c r="I1778" s="2" t="s">
        <v>5030</v>
      </c>
      <c r="J1778" s="3" t="str">
        <f>HYPERLINK("https://www.boe.es/gazeta/dias/1811/03/18/pdfs/GMD-1811-77.pdf#page=4","Abrir facsímil")</f>
        <v>Abrir facsímil</v>
      </c>
      <c r="K1778" s="3" t="s">
        <v>150</v>
      </c>
    </row>
    <row r="1779" spans="1:11" ht="42" customHeight="1">
      <c r="A1779" s="2" t="s">
        <v>5031</v>
      </c>
      <c r="B1779" s="2" t="s">
        <v>5032</v>
      </c>
      <c r="C1779" s="2" t="s">
        <v>17</v>
      </c>
      <c r="D1779" s="2" t="s">
        <v>156</v>
      </c>
      <c r="E1779" s="4">
        <v>-32160</v>
      </c>
      <c r="F1779" s="3" t="s">
        <v>205</v>
      </c>
      <c r="G1779" s="3" t="s">
        <v>115</v>
      </c>
      <c r="H1779" s="2" t="s">
        <v>148</v>
      </c>
      <c r="I1779" s="2" t="s">
        <v>5033</v>
      </c>
      <c r="J1779" s="3" t="str">
        <f>HYPERLINK("https://www.boe.es/gazeta/dias/1811/12/12/pdfs/GMD-1811-346.pdf#page=3","Abrir facsímil")</f>
        <v>Abrir facsímil</v>
      </c>
      <c r="K1779" s="3" t="s">
        <v>150</v>
      </c>
    </row>
    <row r="1780" spans="1:11" ht="42" customHeight="1">
      <c r="A1780" s="2" t="s">
        <v>5034</v>
      </c>
      <c r="B1780" s="2" t="s">
        <v>5035</v>
      </c>
      <c r="C1780" s="2" t="s">
        <v>17</v>
      </c>
      <c r="D1780" s="2" t="s">
        <v>18</v>
      </c>
      <c r="E1780" s="4">
        <v>-32459</v>
      </c>
      <c r="F1780" s="3" t="s">
        <v>1034</v>
      </c>
      <c r="G1780" s="3" t="s">
        <v>510</v>
      </c>
      <c r="H1780" s="2" t="s">
        <v>148</v>
      </c>
      <c r="I1780" s="2" t="s">
        <v>5036</v>
      </c>
      <c r="J1780" s="3" t="str">
        <f>HYPERLINK("https://www.boe.es/gazeta/dias/1811/02/16/pdfs/GEI-1811-21.pdf#page=8","Abrir facsímil")</f>
        <v>Abrir facsímil</v>
      </c>
      <c r="K1780" s="3" t="s">
        <v>150</v>
      </c>
    </row>
    <row r="1781" spans="1:11" ht="42" customHeight="1">
      <c r="A1781" s="2" t="s">
        <v>5037</v>
      </c>
      <c r="B1781" s="2" t="s">
        <v>5038</v>
      </c>
      <c r="C1781" s="2" t="s">
        <v>104</v>
      </c>
      <c r="D1781" s="2" t="s">
        <v>18</v>
      </c>
      <c r="E1781" s="4">
        <v>-32505</v>
      </c>
      <c r="F1781" s="3" t="s">
        <v>661</v>
      </c>
      <c r="G1781" s="3" t="s">
        <v>530</v>
      </c>
      <c r="H1781" s="2" t="s">
        <v>148</v>
      </c>
      <c r="I1781" s="2" t="s">
        <v>5039</v>
      </c>
      <c r="J1781" s="3" t="str">
        <f>HYPERLINK("https://www.boe.es/gazeta/dias/1811/01/01/pdfs/GMD-1811-1.pdf#page=3","Abrir facsímil")</f>
        <v>Abrir facsímil</v>
      </c>
      <c r="K1781" s="3" t="s">
        <v>150</v>
      </c>
    </row>
    <row r="1782" spans="1:11" ht="42" customHeight="1">
      <c r="A1782" s="2" t="s">
        <v>5040</v>
      </c>
      <c r="B1782" s="2" t="s">
        <v>5041</v>
      </c>
      <c r="C1782" s="2" t="s">
        <v>84</v>
      </c>
      <c r="D1782" s="2" t="s">
        <v>18</v>
      </c>
      <c r="E1782" s="4">
        <v>-32473</v>
      </c>
      <c r="F1782" s="3" t="s">
        <v>1109</v>
      </c>
      <c r="G1782" s="3" t="s">
        <v>162</v>
      </c>
      <c r="H1782" s="2" t="s">
        <v>148</v>
      </c>
      <c r="I1782" s="2" t="s">
        <v>5042</v>
      </c>
      <c r="J1782" s="3" t="str">
        <f>HYPERLINK("https://www.boe.es/gazeta/dias/1811/02/02/pdfs/GMD-1811-33.pdf#page=3","Abrir facsímil")</f>
        <v>Abrir facsímil</v>
      </c>
      <c r="K1782" s="3" t="s">
        <v>150</v>
      </c>
    </row>
    <row r="1783" spans="1:11" ht="42" customHeight="1">
      <c r="A1783" s="2" t="s">
        <v>5043</v>
      </c>
      <c r="B1783" s="2" t="s">
        <v>5044</v>
      </c>
      <c r="C1783" s="2" t="s">
        <v>37</v>
      </c>
      <c r="D1783" s="2" t="s">
        <v>18</v>
      </c>
      <c r="E1783" s="4">
        <v>-32416</v>
      </c>
      <c r="F1783" s="3" t="s">
        <v>954</v>
      </c>
      <c r="G1783" s="3" t="s">
        <v>47</v>
      </c>
      <c r="H1783" s="2" t="s">
        <v>148</v>
      </c>
      <c r="I1783" s="2" t="s">
        <v>5045</v>
      </c>
      <c r="J1783" s="3" t="str">
        <f>HYPERLINK("https://www.boe.es/gazeta/dias/1811/03/31/pdfs/GMD-1811-90.pdf#page=3","Abrir facsímil")</f>
        <v>Abrir facsímil</v>
      </c>
      <c r="K1783" s="3" t="s">
        <v>150</v>
      </c>
    </row>
    <row r="1784" spans="1:11" ht="42" customHeight="1">
      <c r="A1784" s="2" t="s">
        <v>5046</v>
      </c>
      <c r="B1784" s="2" t="s">
        <v>5047</v>
      </c>
      <c r="C1784" s="2" t="s">
        <v>26</v>
      </c>
      <c r="D1784" s="2" t="s">
        <v>141</v>
      </c>
      <c r="E1784" s="4">
        <v>-32238</v>
      </c>
      <c r="F1784" s="3" t="s">
        <v>166</v>
      </c>
      <c r="G1784" s="3" t="s">
        <v>129</v>
      </c>
      <c r="H1784" s="2" t="s">
        <v>148</v>
      </c>
      <c r="I1784" s="2" t="s">
        <v>5048</v>
      </c>
      <c r="J1784" s="3" t="str">
        <f>HYPERLINK("https://www.boe.es/gazeta/dias/1811/09/25/pdfs/GMD-C-1811-268.pdf#page=1","Abrir facsímil")</f>
        <v>Abrir facsímil</v>
      </c>
      <c r="K1784" s="3" t="s">
        <v>150</v>
      </c>
    </row>
    <row r="1785" spans="1:11" ht="42" customHeight="1">
      <c r="A1785" s="2" t="s">
        <v>5049</v>
      </c>
      <c r="B1785" s="2" t="s">
        <v>5050</v>
      </c>
      <c r="C1785" s="2" t="s">
        <v>26</v>
      </c>
      <c r="D1785" s="2" t="s">
        <v>18</v>
      </c>
      <c r="E1785" s="4">
        <v>-32153</v>
      </c>
      <c r="F1785" s="3" t="s">
        <v>123</v>
      </c>
      <c r="G1785" s="3" t="s">
        <v>288</v>
      </c>
      <c r="H1785" s="2" t="s">
        <v>148</v>
      </c>
      <c r="I1785" s="2" t="s">
        <v>5051</v>
      </c>
      <c r="J1785" s="3" t="str">
        <f>HYPERLINK("https://www.boe.es/gazeta/dias/1811/12/19/pdfs/GMD-1811-353.pdf#page=4","Abrir facsímil")</f>
        <v>Abrir facsímil</v>
      </c>
      <c r="K1785" s="3" t="s">
        <v>150</v>
      </c>
    </row>
    <row r="1786" spans="1:11" ht="42" customHeight="1">
      <c r="A1786" s="2" t="s">
        <v>5052</v>
      </c>
      <c r="B1786" s="2" t="s">
        <v>5053</v>
      </c>
      <c r="C1786" s="2" t="s">
        <v>17</v>
      </c>
      <c r="D1786" s="2" t="s">
        <v>18</v>
      </c>
      <c r="E1786" s="4">
        <v>-32300</v>
      </c>
      <c r="F1786" s="3" t="s">
        <v>61</v>
      </c>
      <c r="G1786" s="3" t="s">
        <v>62</v>
      </c>
      <c r="H1786" s="2" t="s">
        <v>148</v>
      </c>
      <c r="I1786" s="2" t="s">
        <v>5054</v>
      </c>
      <c r="J1786" s="3" t="str">
        <f>HYPERLINK("https://www.boe.es/gazeta/dias/1811/07/25/pdfs/GEI-1811-97.pdf#page=5","Abrir facsímil")</f>
        <v>Abrir facsímil</v>
      </c>
      <c r="K1786" s="3" t="s">
        <v>150</v>
      </c>
    </row>
    <row r="1787" spans="1:11" ht="42" customHeight="1">
      <c r="A1787" s="2" t="s">
        <v>5055</v>
      </c>
      <c r="B1787" s="2" t="s">
        <v>5055</v>
      </c>
      <c r="C1787" s="2" t="s">
        <v>17</v>
      </c>
      <c r="D1787" s="2" t="s">
        <v>18</v>
      </c>
      <c r="E1787" s="4">
        <v>-32365</v>
      </c>
      <c r="F1787" s="3" t="s">
        <v>119</v>
      </c>
      <c r="G1787" s="3" t="s">
        <v>91</v>
      </c>
      <c r="H1787" s="2" t="s">
        <v>148</v>
      </c>
      <c r="I1787" s="2" t="s">
        <v>5056</v>
      </c>
      <c r="J1787" s="3" t="str">
        <f>HYPERLINK("https://www.boe.es/gazeta/dias/1811/05/21/pdfs/GEI-1811-67.pdf#page=6","Abrir facsímil")</f>
        <v>Abrir facsímil</v>
      </c>
      <c r="K1787" s="3" t="s">
        <v>150</v>
      </c>
    </row>
    <row r="1788" spans="1:11" ht="42" customHeight="1">
      <c r="A1788" s="2" t="s">
        <v>5057</v>
      </c>
      <c r="B1788" s="2" t="s">
        <v>5058</v>
      </c>
      <c r="C1788" s="2" t="s">
        <v>26</v>
      </c>
      <c r="D1788" s="2" t="s">
        <v>105</v>
      </c>
      <c r="E1788" s="4">
        <v>-32250</v>
      </c>
      <c r="F1788" s="3" t="s">
        <v>2823</v>
      </c>
      <c r="G1788" s="3" t="s">
        <v>3947</v>
      </c>
      <c r="H1788" s="2" t="s">
        <v>148</v>
      </c>
      <c r="I1788" s="2" t="s">
        <v>5059</v>
      </c>
      <c r="J1788" s="3" t="str">
        <f>HYPERLINK("https://www.boe.es/gazeta/dias/1811/09/13/pdfs/GMD-1811-256.pdf#page=4","Abrir facsímil")</f>
        <v>Abrir facsímil</v>
      </c>
      <c r="K1788" s="3" t="s">
        <v>150</v>
      </c>
    </row>
    <row r="1789" spans="1:11" ht="42" customHeight="1">
      <c r="A1789" s="2" t="s">
        <v>5060</v>
      </c>
      <c r="B1789" s="2" t="s">
        <v>5060</v>
      </c>
      <c r="C1789" s="2" t="s">
        <v>17</v>
      </c>
      <c r="D1789" s="2" t="s">
        <v>156</v>
      </c>
      <c r="E1789" s="4">
        <v>-32428</v>
      </c>
      <c r="F1789" s="3" t="s">
        <v>351</v>
      </c>
      <c r="G1789" s="3" t="s">
        <v>57</v>
      </c>
      <c r="H1789" s="2" t="s">
        <v>148</v>
      </c>
      <c r="I1789" s="2" t="s">
        <v>5061</v>
      </c>
      <c r="J1789" s="3" t="str">
        <f>HYPERLINK("https://www.boe.es/gazeta/dias/1811/03/19/pdfs/GMD-1811-78.pdf#page=2","Abrir facsímil")</f>
        <v>Abrir facsímil</v>
      </c>
      <c r="K1789" s="3" t="s">
        <v>150</v>
      </c>
    </row>
    <row r="1790" spans="1:11" ht="42" customHeight="1">
      <c r="A1790" s="2" t="s">
        <v>5062</v>
      </c>
      <c r="B1790" s="2" t="s">
        <v>5062</v>
      </c>
      <c r="C1790" s="2" t="s">
        <v>17</v>
      </c>
      <c r="D1790" s="2" t="s">
        <v>105</v>
      </c>
      <c r="E1790" s="4">
        <v>-32283</v>
      </c>
      <c r="F1790" s="3" t="s">
        <v>90</v>
      </c>
      <c r="G1790" s="3" t="s">
        <v>515</v>
      </c>
      <c r="H1790" s="2" t="s">
        <v>148</v>
      </c>
      <c r="I1790" s="2" t="s">
        <v>5063</v>
      </c>
      <c r="J1790" s="3" t="str">
        <f>HYPERLINK("https://www.boe.es/gazeta/dias/1811/08/11/pdfs/GMD-1811-223.pdf#page=3","Abrir facsímil")</f>
        <v>Abrir facsímil</v>
      </c>
      <c r="K1790" s="3" t="s">
        <v>150</v>
      </c>
    </row>
    <row r="1791" spans="1:11" ht="42" customHeight="1">
      <c r="A1791" s="2" t="s">
        <v>5064</v>
      </c>
      <c r="B1791" s="2" t="s">
        <v>5064</v>
      </c>
      <c r="C1791" s="2" t="s">
        <v>17</v>
      </c>
      <c r="D1791" s="2" t="s">
        <v>18</v>
      </c>
      <c r="E1791" s="4">
        <v>-32183</v>
      </c>
      <c r="F1791" s="3" t="s">
        <v>3310</v>
      </c>
      <c r="G1791" s="3" t="s">
        <v>129</v>
      </c>
      <c r="H1791" s="2" t="s">
        <v>148</v>
      </c>
      <c r="I1791" s="2" t="s">
        <v>5065</v>
      </c>
      <c r="J1791" s="3" t="str">
        <f>HYPERLINK("https://www.boe.es/gazeta/dias/1811/11/19/pdfs/GEI-1811-151.pdf#page=7","Abrir facsímil")</f>
        <v>Abrir facsímil</v>
      </c>
      <c r="K1791" s="3" t="s">
        <v>150</v>
      </c>
    </row>
    <row r="1792" spans="1:11" ht="42" customHeight="1">
      <c r="A1792" s="2" t="s">
        <v>5066</v>
      </c>
      <c r="B1792" s="2" t="s">
        <v>5066</v>
      </c>
      <c r="C1792" s="2" t="s">
        <v>17</v>
      </c>
      <c r="D1792" s="2" t="s">
        <v>156</v>
      </c>
      <c r="E1792" s="4">
        <v>-32427</v>
      </c>
      <c r="F1792" s="3" t="s">
        <v>2696</v>
      </c>
      <c r="G1792" s="3" t="s">
        <v>468</v>
      </c>
      <c r="H1792" s="2" t="s">
        <v>148</v>
      </c>
      <c r="I1792" s="2" t="s">
        <v>5067</v>
      </c>
      <c r="J1792" s="3" t="str">
        <f>HYPERLINK("https://www.boe.es/gazeta/dias/1811/03/20/pdfs/GMD-1811-79.pdf#page=1","Abrir facsímil")</f>
        <v>Abrir facsímil</v>
      </c>
      <c r="K1792" s="3" t="s">
        <v>150</v>
      </c>
    </row>
    <row r="1793" spans="1:11" ht="42" customHeight="1">
      <c r="A1793" s="2" t="s">
        <v>5066</v>
      </c>
      <c r="B1793" s="2" t="s">
        <v>5066</v>
      </c>
      <c r="C1793" s="2" t="s">
        <v>26</v>
      </c>
      <c r="D1793" s="2" t="s">
        <v>18</v>
      </c>
      <c r="E1793" s="4">
        <v>-32414</v>
      </c>
      <c r="F1793" s="3" t="s">
        <v>2588</v>
      </c>
      <c r="G1793" s="3" t="s">
        <v>39</v>
      </c>
      <c r="H1793" s="2" t="s">
        <v>148</v>
      </c>
      <c r="I1793" s="2" t="s">
        <v>5068</v>
      </c>
      <c r="J1793" s="3" t="str">
        <f>HYPERLINK("https://www.boe.es/gazeta/dias/1811/04/02/pdfs/GMD-1811-92.pdf#page=1","Abrir facsímil")</f>
        <v>Abrir facsímil</v>
      </c>
      <c r="K1793" s="3" t="s">
        <v>150</v>
      </c>
    </row>
    <row r="1794" spans="1:11" ht="42" customHeight="1">
      <c r="A1794" s="2" t="s">
        <v>5066</v>
      </c>
      <c r="B1794" s="2" t="s">
        <v>5066</v>
      </c>
      <c r="C1794" s="2" t="s">
        <v>66</v>
      </c>
      <c r="D1794" s="2" t="s">
        <v>204</v>
      </c>
      <c r="E1794" s="4">
        <v>-32350</v>
      </c>
      <c r="F1794" s="3" t="s">
        <v>4957</v>
      </c>
      <c r="G1794" s="3" t="s">
        <v>47</v>
      </c>
      <c r="H1794" s="2" t="s">
        <v>148</v>
      </c>
      <c r="I1794" s="2" t="s">
        <v>5069</v>
      </c>
      <c r="J1794" s="3" t="str">
        <f>HYPERLINK("https://www.boe.es/gazeta/dias/1811/06/05/pdfs/GMD-1811-156.pdf#page=2","Abrir facsímil")</f>
        <v>Abrir facsímil</v>
      </c>
      <c r="K1794" s="3" t="s">
        <v>150</v>
      </c>
    </row>
    <row r="1795" spans="1:11" ht="42" customHeight="1">
      <c r="A1795" s="2" t="s">
        <v>5066</v>
      </c>
      <c r="B1795" s="2" t="s">
        <v>5066</v>
      </c>
      <c r="C1795" s="2" t="s">
        <v>26</v>
      </c>
      <c r="D1795" s="2" t="s">
        <v>18</v>
      </c>
      <c r="E1795" s="4">
        <v>-32318</v>
      </c>
      <c r="F1795" s="3" t="s">
        <v>1193</v>
      </c>
      <c r="G1795" s="3" t="s">
        <v>2612</v>
      </c>
      <c r="H1795" s="2" t="s">
        <v>148</v>
      </c>
      <c r="I1795" s="2" t="s">
        <v>5070</v>
      </c>
      <c r="J1795" s="3" t="str">
        <f>HYPERLINK("https://www.boe.es/gazeta/dias/1811/07/07/pdfs/GMD-1811-188.pdf#page=1","Abrir facsímil")</f>
        <v>Abrir facsímil</v>
      </c>
      <c r="K1795" s="3" t="s">
        <v>150</v>
      </c>
    </row>
    <row r="1796" spans="1:11" ht="42" customHeight="1">
      <c r="A1796" s="2" t="s">
        <v>5066</v>
      </c>
      <c r="B1796" s="2" t="s">
        <v>5066</v>
      </c>
      <c r="C1796" s="2" t="s">
        <v>104</v>
      </c>
      <c r="D1796" s="2" t="s">
        <v>18</v>
      </c>
      <c r="E1796" s="4">
        <v>-32292</v>
      </c>
      <c r="F1796" s="3" t="s">
        <v>408</v>
      </c>
      <c r="G1796" s="3" t="s">
        <v>468</v>
      </c>
      <c r="H1796" s="2" t="s">
        <v>148</v>
      </c>
      <c r="I1796" s="2" t="s">
        <v>5071</v>
      </c>
      <c r="J1796" s="3" t="str">
        <f>HYPERLINK("https://www.boe.es/gazeta/dias/1811/08/02/pdfs/GMD-1811-214.pdf#page=1","Abrir facsímil")</f>
        <v>Abrir facsímil</v>
      </c>
      <c r="K1796" s="3" t="s">
        <v>150</v>
      </c>
    </row>
    <row r="1797" spans="1:11" ht="42" customHeight="1">
      <c r="A1797" s="2" t="s">
        <v>5066</v>
      </c>
      <c r="B1797" s="2" t="s">
        <v>5066</v>
      </c>
      <c r="C1797" s="2" t="s">
        <v>26</v>
      </c>
      <c r="D1797" s="2" t="s">
        <v>204</v>
      </c>
      <c r="E1797" s="4">
        <v>-32149</v>
      </c>
      <c r="F1797" s="3" t="s">
        <v>2292</v>
      </c>
      <c r="G1797" s="3" t="s">
        <v>39</v>
      </c>
      <c r="H1797" s="2" t="s">
        <v>148</v>
      </c>
      <c r="I1797" s="2" t="s">
        <v>5072</v>
      </c>
      <c r="J1797" s="3" t="str">
        <f>HYPERLINK("https://www.boe.es/gazeta/dias/1811/12/23/pdfs/GMD-1811-357.pdf#page=1","Abrir facsímil")</f>
        <v>Abrir facsímil</v>
      </c>
      <c r="K1797" s="3" t="s">
        <v>150</v>
      </c>
    </row>
    <row r="1798" spans="1:11" ht="42" customHeight="1">
      <c r="A1798" s="2" t="s">
        <v>5073</v>
      </c>
      <c r="B1798" s="2" t="s">
        <v>5073</v>
      </c>
      <c r="C1798" s="2" t="s">
        <v>26</v>
      </c>
      <c r="D1798" s="2" t="s">
        <v>18</v>
      </c>
      <c r="E1798" s="4">
        <v>-32355</v>
      </c>
      <c r="F1798" s="3" t="s">
        <v>2342</v>
      </c>
      <c r="G1798" s="3" t="s">
        <v>178</v>
      </c>
      <c r="H1798" s="2" t="s">
        <v>148</v>
      </c>
      <c r="I1798" s="2" t="s">
        <v>5074</v>
      </c>
      <c r="J1798" s="3" t="str">
        <f>HYPERLINK("https://www.boe.es/gazeta/dias/1811/05/31/pdfs/GMD-1811-151.pdf#page=3","Abrir facsímil")</f>
        <v>Abrir facsímil</v>
      </c>
      <c r="K1798" s="3" t="s">
        <v>150</v>
      </c>
    </row>
    <row r="1799" spans="1:11" ht="42" customHeight="1">
      <c r="A1799" s="2" t="s">
        <v>5075</v>
      </c>
      <c r="B1799" s="2" t="s">
        <v>5075</v>
      </c>
      <c r="C1799" s="2" t="s">
        <v>17</v>
      </c>
      <c r="D1799" s="2" t="s">
        <v>18</v>
      </c>
      <c r="E1799" s="4">
        <v>-32420</v>
      </c>
      <c r="F1799" s="3" t="s">
        <v>5076</v>
      </c>
      <c r="G1799" s="3" t="s">
        <v>582</v>
      </c>
      <c r="H1799" s="2" t="s">
        <v>148</v>
      </c>
      <c r="I1799" s="2" t="s">
        <v>5077</v>
      </c>
      <c r="J1799" s="3" t="str">
        <f>HYPERLINK("https://www.boe.es/gazeta/dias/1811/03/27/pdfs/GMD-1811-86.pdf#page=1","Abrir facsímil")</f>
        <v>Abrir facsímil</v>
      </c>
      <c r="K1799" s="3" t="s">
        <v>150</v>
      </c>
    </row>
    <row r="1800" spans="1:11" ht="42" customHeight="1">
      <c r="A1800" s="2" t="s">
        <v>5078</v>
      </c>
      <c r="B1800" s="2" t="s">
        <v>5078</v>
      </c>
      <c r="C1800" s="2" t="s">
        <v>17</v>
      </c>
      <c r="D1800" s="2" t="s">
        <v>156</v>
      </c>
      <c r="E1800" s="4">
        <v>-32232</v>
      </c>
      <c r="F1800" s="3" t="s">
        <v>1816</v>
      </c>
      <c r="G1800" s="3" t="s">
        <v>162</v>
      </c>
      <c r="H1800" s="2" t="s">
        <v>148</v>
      </c>
      <c r="I1800" s="2" t="s">
        <v>5079</v>
      </c>
      <c r="J1800" s="3" t="str">
        <f>HYPERLINK("https://www.boe.es/gazeta/dias/1811/10/01/pdfs/GEI-1811-126.pdf#page=5","Abrir facsímil")</f>
        <v>Abrir facsímil</v>
      </c>
      <c r="K1800" s="3" t="s">
        <v>150</v>
      </c>
    </row>
    <row r="1801" spans="1:11" ht="42" customHeight="1">
      <c r="A1801" s="2" t="s">
        <v>5080</v>
      </c>
      <c r="B1801" s="2" t="s">
        <v>5080</v>
      </c>
      <c r="C1801" s="2" t="s">
        <v>17</v>
      </c>
      <c r="D1801" s="2" t="s">
        <v>18</v>
      </c>
      <c r="E1801" s="4">
        <v>-32274</v>
      </c>
      <c r="F1801" s="3" t="s">
        <v>5081</v>
      </c>
      <c r="G1801" s="3" t="s">
        <v>47</v>
      </c>
      <c r="H1801" s="2" t="s">
        <v>148</v>
      </c>
      <c r="I1801" s="2" t="s">
        <v>5082</v>
      </c>
      <c r="J1801" s="3" t="str">
        <f>HYPERLINK("https://www.boe.es/gazeta/dias/1811/08/20/pdfs/GEI-1811-108.pdf#page=1","Abrir facsímil")</f>
        <v>Abrir facsímil</v>
      </c>
      <c r="K1801" s="3" t="s">
        <v>150</v>
      </c>
    </row>
    <row r="1802" spans="1:11" ht="42" customHeight="1">
      <c r="A1802" s="2" t="s">
        <v>5080</v>
      </c>
      <c r="B1802" s="2" t="s">
        <v>5080</v>
      </c>
      <c r="C1802" s="2" t="s">
        <v>17</v>
      </c>
      <c r="D1802" s="2" t="s">
        <v>156</v>
      </c>
      <c r="E1802" s="4">
        <v>-32232</v>
      </c>
      <c r="F1802" s="3" t="s">
        <v>1816</v>
      </c>
      <c r="G1802" s="3" t="s">
        <v>5083</v>
      </c>
      <c r="H1802" s="2" t="s">
        <v>148</v>
      </c>
      <c r="I1802" s="2" t="s">
        <v>5084</v>
      </c>
      <c r="J1802" s="3" t="str">
        <f>HYPERLINK("https://www.boe.es/gazeta/dias/1811/10/01/pdfs/GEI-1811-126.pdf#page=7","Abrir facsímil")</f>
        <v>Abrir facsímil</v>
      </c>
      <c r="K1802" s="3" t="s">
        <v>150</v>
      </c>
    </row>
    <row r="1803" spans="1:11" ht="42" customHeight="1">
      <c r="A1803" s="2" t="s">
        <v>5085</v>
      </c>
      <c r="B1803" s="2" t="s">
        <v>5086</v>
      </c>
      <c r="C1803" s="2" t="s">
        <v>367</v>
      </c>
      <c r="D1803" s="2" t="s">
        <v>18</v>
      </c>
      <c r="E1803" s="4">
        <v>-32153</v>
      </c>
      <c r="F1803" s="3" t="s">
        <v>123</v>
      </c>
      <c r="G1803" s="3" t="s">
        <v>288</v>
      </c>
      <c r="H1803" s="2" t="s">
        <v>148</v>
      </c>
      <c r="I1803" s="2" t="s">
        <v>5087</v>
      </c>
      <c r="J1803" s="3" t="str">
        <f>HYPERLINK("https://www.boe.es/gazeta/dias/1811/12/19/pdfs/GMD-1811-353.pdf#page=4","Abrir facsímil")</f>
        <v>Abrir facsímil</v>
      </c>
      <c r="K1803" s="3" t="s">
        <v>150</v>
      </c>
    </row>
    <row r="1804" spans="1:11" ht="42" customHeight="1">
      <c r="A1804" s="2" t="s">
        <v>5088</v>
      </c>
      <c r="B1804" s="2" t="s">
        <v>5089</v>
      </c>
      <c r="C1804" s="2" t="s">
        <v>17</v>
      </c>
      <c r="D1804" s="2" t="s">
        <v>156</v>
      </c>
      <c r="E1804" s="4">
        <v>-32177</v>
      </c>
      <c r="F1804" s="3" t="s">
        <v>402</v>
      </c>
      <c r="G1804" s="3" t="s">
        <v>178</v>
      </c>
      <c r="H1804" s="2" t="s">
        <v>148</v>
      </c>
      <c r="I1804" s="2" t="s">
        <v>5090</v>
      </c>
      <c r="J1804" s="3" t="str">
        <f>HYPERLINK("https://www.boe.es/gazeta/dias/1811/11/25/pdfs/GMD-1811-329.pdf#page=4","Abrir facsímil")</f>
        <v>Abrir facsímil</v>
      </c>
      <c r="K1804" s="3" t="s">
        <v>150</v>
      </c>
    </row>
    <row r="1805" spans="1:11" ht="42" customHeight="1">
      <c r="A1805" s="2" t="s">
        <v>5091</v>
      </c>
      <c r="B1805" s="2" t="s">
        <v>5092</v>
      </c>
      <c r="C1805" s="2" t="s">
        <v>37</v>
      </c>
      <c r="D1805" s="2" t="s">
        <v>18</v>
      </c>
      <c r="E1805" s="4">
        <v>-32416</v>
      </c>
      <c r="F1805" s="3" t="s">
        <v>954</v>
      </c>
      <c r="G1805" s="3" t="s">
        <v>183</v>
      </c>
      <c r="H1805" s="2" t="s">
        <v>148</v>
      </c>
      <c r="I1805" s="2" t="s">
        <v>5093</v>
      </c>
      <c r="J1805" s="3" t="str">
        <f>HYPERLINK("https://www.boe.es/gazeta/dias/1811/03/31/pdfs/GMD-1811-90.pdf#page=4","Abrir facsímil")</f>
        <v>Abrir facsímil</v>
      </c>
      <c r="K1805" s="3" t="s">
        <v>150</v>
      </c>
    </row>
    <row r="1806" spans="1:11" ht="42" customHeight="1">
      <c r="A1806" s="2" t="s">
        <v>5094</v>
      </c>
      <c r="B1806" s="2" t="s">
        <v>5095</v>
      </c>
      <c r="C1806" s="2" t="s">
        <v>26</v>
      </c>
      <c r="D1806" s="2" t="s">
        <v>141</v>
      </c>
      <c r="E1806" s="4">
        <v>-32355</v>
      </c>
      <c r="F1806" s="3" t="s">
        <v>537</v>
      </c>
      <c r="G1806" s="3" t="s">
        <v>2225</v>
      </c>
      <c r="H1806" s="2" t="s">
        <v>148</v>
      </c>
      <c r="I1806" s="2" t="s">
        <v>5096</v>
      </c>
      <c r="J1806" s="3" t="str">
        <f>HYPERLINK("https://www.boe.es/gazeta/dias/1811/05/31/pdfs/GMD-C-1811-151.pdf#page=5","Abrir facsímil")</f>
        <v>Abrir facsímil</v>
      </c>
      <c r="K1806" s="3" t="s">
        <v>150</v>
      </c>
    </row>
    <row r="1807" spans="1:11" ht="42" customHeight="1">
      <c r="A1807" s="2" t="s">
        <v>5097</v>
      </c>
      <c r="B1807" s="2" t="s">
        <v>5097</v>
      </c>
      <c r="C1807" s="2" t="s">
        <v>841</v>
      </c>
      <c r="D1807" s="2" t="s">
        <v>18</v>
      </c>
      <c r="E1807" s="4">
        <v>-32330</v>
      </c>
      <c r="F1807" s="3" t="s">
        <v>1997</v>
      </c>
      <c r="G1807" s="3" t="s">
        <v>468</v>
      </c>
      <c r="H1807" s="2" t="s">
        <v>148</v>
      </c>
      <c r="I1807" s="2" t="s">
        <v>5098</v>
      </c>
      <c r="J1807" s="3" t="str">
        <f>HYPERLINK("https://www.boe.es/gazeta/dias/1811/06/25/pdfs/GMD-1811-176.pdf#page=2","Abrir facsímil")</f>
        <v>Abrir facsímil</v>
      </c>
      <c r="K1807" s="3" t="s">
        <v>150</v>
      </c>
    </row>
    <row r="1808" spans="1:11" ht="42" customHeight="1">
      <c r="A1808" s="2" t="s">
        <v>5099</v>
      </c>
      <c r="B1808" s="2" t="s">
        <v>5099</v>
      </c>
      <c r="C1808" s="2" t="s">
        <v>17</v>
      </c>
      <c r="D1808" s="2" t="s">
        <v>105</v>
      </c>
      <c r="E1808" s="4">
        <v>-32268</v>
      </c>
      <c r="F1808" s="3" t="s">
        <v>3683</v>
      </c>
      <c r="G1808" s="3" t="s">
        <v>657</v>
      </c>
      <c r="H1808" s="2" t="s">
        <v>148</v>
      </c>
      <c r="I1808" s="2" t="s">
        <v>5100</v>
      </c>
      <c r="J1808" s="3" t="str">
        <f>HYPERLINK("https://www.boe.es/gazeta/dias/1811/08/26/pdfs/GMD-1811-238.pdf#page=2","Abrir facsímil")</f>
        <v>Abrir facsímil</v>
      </c>
      <c r="K1808" s="3" t="s">
        <v>150</v>
      </c>
    </row>
    <row r="1809" spans="1:11" ht="42" customHeight="1">
      <c r="A1809" s="2" t="s">
        <v>5101</v>
      </c>
      <c r="B1809" s="2" t="s">
        <v>5101</v>
      </c>
      <c r="C1809" s="2" t="s">
        <v>17</v>
      </c>
      <c r="D1809" s="2" t="s">
        <v>18</v>
      </c>
      <c r="E1809" s="4">
        <v>-32361</v>
      </c>
      <c r="F1809" s="3" t="s">
        <v>5102</v>
      </c>
      <c r="G1809" s="3" t="s">
        <v>5103</v>
      </c>
      <c r="H1809" s="2" t="s">
        <v>148</v>
      </c>
      <c r="I1809" s="2" t="s">
        <v>5104</v>
      </c>
      <c r="J1809" s="3" t="str">
        <f>HYPERLINK("https://www.boe.es/gazeta/dias/1811/05/25/pdfs/GMD-1811-145.pdf#page=1","Abrir facsímil")</f>
        <v>Abrir facsímil</v>
      </c>
      <c r="K1809" s="3" t="s">
        <v>150</v>
      </c>
    </row>
    <row r="1810" spans="1:11" ht="42" customHeight="1">
      <c r="A1810" s="2" t="s">
        <v>5105</v>
      </c>
      <c r="B1810" s="2" t="s">
        <v>5106</v>
      </c>
      <c r="C1810" s="2" t="s">
        <v>26</v>
      </c>
      <c r="D1810" s="2" t="s">
        <v>18</v>
      </c>
      <c r="E1810" s="4">
        <v>-32160</v>
      </c>
      <c r="F1810" s="3" t="s">
        <v>1013</v>
      </c>
      <c r="G1810" s="3" t="s">
        <v>44</v>
      </c>
      <c r="H1810" s="2" t="s">
        <v>148</v>
      </c>
      <c r="I1810" s="2" t="s">
        <v>5107</v>
      </c>
      <c r="J1810" s="3" t="str">
        <f>HYPERLINK("https://www.boe.es/gazeta/dias/1811/12/12/pdfs/GEI-1811-161.pdf#page=8","Abrir facsímil")</f>
        <v>Abrir facsímil</v>
      </c>
      <c r="K1810" s="3" t="s">
        <v>150</v>
      </c>
    </row>
    <row r="1811" spans="1:11" ht="42" customHeight="1">
      <c r="A1811" s="2" t="s">
        <v>5108</v>
      </c>
      <c r="B1811" s="2" t="s">
        <v>5108</v>
      </c>
      <c r="C1811" s="2" t="s">
        <v>17</v>
      </c>
      <c r="D1811" s="2" t="s">
        <v>18</v>
      </c>
      <c r="E1811" s="4">
        <v>-32496</v>
      </c>
      <c r="F1811" s="3" t="s">
        <v>1927</v>
      </c>
      <c r="G1811" s="3" t="s">
        <v>39</v>
      </c>
      <c r="H1811" s="2" t="s">
        <v>148</v>
      </c>
      <c r="I1811" s="2" t="s">
        <v>5109</v>
      </c>
      <c r="J1811" s="3" t="str">
        <f>HYPERLINK("https://www.boe.es/gazeta/dias/1811/01/10/pdfs/GEI-1811-5.pdf#page=1","Abrir facsímil")</f>
        <v>Abrir facsímil</v>
      </c>
      <c r="K1811" s="3" t="s">
        <v>150</v>
      </c>
    </row>
    <row r="1812" spans="1:11" ht="42" customHeight="1">
      <c r="A1812" s="2" t="s">
        <v>5110</v>
      </c>
      <c r="B1812" s="2" t="s">
        <v>5110</v>
      </c>
      <c r="C1812" s="2" t="s">
        <v>17</v>
      </c>
      <c r="D1812" s="2" t="s">
        <v>156</v>
      </c>
      <c r="E1812" s="4">
        <v>-32484</v>
      </c>
      <c r="F1812" s="3" t="s">
        <v>467</v>
      </c>
      <c r="G1812" s="3" t="s">
        <v>1957</v>
      </c>
      <c r="H1812" s="2" t="s">
        <v>148</v>
      </c>
      <c r="I1812" s="2" t="s">
        <v>5111</v>
      </c>
      <c r="J1812" s="3" t="str">
        <f>HYPERLINK("https://www.boe.es/gazeta/dias/1811/01/22/pdfs/GEI-1811-10.pdf#page=6","Abrir facsímil")</f>
        <v>Abrir facsímil</v>
      </c>
      <c r="K1812" s="3" t="s">
        <v>150</v>
      </c>
    </row>
    <row r="1813" spans="1:11" ht="42" customHeight="1">
      <c r="A1813" s="2" t="s">
        <v>5112</v>
      </c>
      <c r="B1813" s="2" t="s">
        <v>5113</v>
      </c>
      <c r="C1813" s="2" t="s">
        <v>26</v>
      </c>
      <c r="D1813" s="2" t="s">
        <v>18</v>
      </c>
      <c r="E1813" s="4">
        <v>-32379</v>
      </c>
      <c r="F1813" s="3" t="s">
        <v>462</v>
      </c>
      <c r="G1813" s="3" t="s">
        <v>4609</v>
      </c>
      <c r="H1813" s="2" t="s">
        <v>148</v>
      </c>
      <c r="I1813" s="2" t="s">
        <v>5114</v>
      </c>
      <c r="J1813" s="3" t="str">
        <f>HYPERLINK("https://www.boe.es/gazeta/dias/1811/05/07/pdfs/GEI-1811-60.pdf#page=2","Abrir facsímil")</f>
        <v>Abrir facsímil</v>
      </c>
      <c r="K1813" s="3" t="s">
        <v>150</v>
      </c>
    </row>
    <row r="1814" spans="1:11" ht="42" customHeight="1">
      <c r="A1814" s="2" t="s">
        <v>5115</v>
      </c>
      <c r="B1814" s="2" t="s">
        <v>5116</v>
      </c>
      <c r="C1814" s="2" t="s">
        <v>26</v>
      </c>
      <c r="D1814" s="2" t="s">
        <v>141</v>
      </c>
      <c r="E1814" s="4">
        <v>-32188</v>
      </c>
      <c r="F1814" s="3" t="s">
        <v>505</v>
      </c>
      <c r="G1814" s="3" t="s">
        <v>47</v>
      </c>
      <c r="H1814" s="2" t="s">
        <v>148</v>
      </c>
      <c r="I1814" s="2" t="s">
        <v>5117</v>
      </c>
      <c r="J1814" s="3" t="str">
        <f>HYPERLINK("https://www.boe.es/gazeta/dias/1811/11/14/pdfs/GEI-D-1811-149.pdf#page=3","Abrir facsímil")</f>
        <v>Abrir facsímil</v>
      </c>
      <c r="K1814" s="3" t="s">
        <v>150</v>
      </c>
    </row>
    <row r="1815" spans="1:11" ht="42" customHeight="1">
      <c r="A1815" s="2" t="s">
        <v>5118</v>
      </c>
      <c r="B1815" s="2" t="s">
        <v>5118</v>
      </c>
      <c r="C1815" s="2" t="s">
        <v>17</v>
      </c>
      <c r="D1815" s="2" t="s">
        <v>18</v>
      </c>
      <c r="E1815" s="4">
        <v>-32488</v>
      </c>
      <c r="F1815" s="3" t="s">
        <v>3154</v>
      </c>
      <c r="G1815" s="3" t="s">
        <v>228</v>
      </c>
      <c r="H1815" s="2" t="s">
        <v>148</v>
      </c>
      <c r="I1815" s="2" t="s">
        <v>5119</v>
      </c>
      <c r="J1815" s="3" t="str">
        <f>HYPERLINK("https://www.boe.es/gazeta/dias/1811/01/18/pdfs/GMD-1811-18.pdf#page=4","Abrir facsímil")</f>
        <v>Abrir facsímil</v>
      </c>
      <c r="K1815" s="3" t="s">
        <v>150</v>
      </c>
    </row>
    <row r="1816" spans="1:11" ht="42" customHeight="1">
      <c r="A1816" s="2" t="s">
        <v>5120</v>
      </c>
      <c r="B1816" s="2" t="s">
        <v>5121</v>
      </c>
      <c r="C1816" s="2" t="s">
        <v>122</v>
      </c>
      <c r="D1816" s="2" t="s">
        <v>18</v>
      </c>
      <c r="E1816" s="4">
        <v>-32403</v>
      </c>
      <c r="F1816" s="3" t="s">
        <v>4861</v>
      </c>
      <c r="G1816" s="3" t="s">
        <v>91</v>
      </c>
      <c r="H1816" s="2" t="s">
        <v>148</v>
      </c>
      <c r="I1816" s="2" t="s">
        <v>5122</v>
      </c>
      <c r="J1816" s="3" t="str">
        <f>HYPERLINK("https://www.boe.es/gazeta/dias/1811/04/13/pdfs/GMD-1811-103.pdf#page=4","Abrir facsímil")</f>
        <v>Abrir facsímil</v>
      </c>
      <c r="K1816" s="3" t="s">
        <v>150</v>
      </c>
    </row>
    <row r="1817" spans="1:11" ht="42" customHeight="1">
      <c r="A1817" s="2" t="s">
        <v>5123</v>
      </c>
      <c r="B1817" s="2" t="s">
        <v>5124</v>
      </c>
      <c r="C1817" s="2" t="s">
        <v>26</v>
      </c>
      <c r="D1817" s="2" t="s">
        <v>18</v>
      </c>
      <c r="E1817" s="4">
        <v>-32172</v>
      </c>
      <c r="F1817" s="3" t="s">
        <v>300</v>
      </c>
      <c r="G1817" s="3" t="s">
        <v>301</v>
      </c>
      <c r="H1817" s="2" t="s">
        <v>148</v>
      </c>
      <c r="I1817" s="2" t="s">
        <v>5125</v>
      </c>
      <c r="J1817" s="3" t="str">
        <f>HYPERLINK("https://www.boe.es/gazeta/dias/1811/11/30/pdfs/GMD-1811-334.pdf#page=4","Abrir facsímil")</f>
        <v>Abrir facsímil</v>
      </c>
      <c r="K1817" s="3" t="s">
        <v>150</v>
      </c>
    </row>
    <row r="1818" spans="1:11" ht="42" customHeight="1">
      <c r="A1818" s="2" t="s">
        <v>5126</v>
      </c>
      <c r="B1818" s="2" t="s">
        <v>5127</v>
      </c>
      <c r="C1818" s="2" t="s">
        <v>26</v>
      </c>
      <c r="D1818" s="2" t="s">
        <v>18</v>
      </c>
      <c r="E1818" s="4">
        <v>-32286</v>
      </c>
      <c r="F1818" s="3" t="s">
        <v>754</v>
      </c>
      <c r="G1818" s="3" t="s">
        <v>1728</v>
      </c>
      <c r="H1818" s="2" t="s">
        <v>148</v>
      </c>
      <c r="I1818" s="2" t="s">
        <v>5128</v>
      </c>
      <c r="J1818" s="3" t="str">
        <f>HYPERLINK("https://www.boe.es/gazeta/dias/1811/08/08/pdfs/GEI-1811-103.pdf#page=8","Abrir facsímil")</f>
        <v>Abrir facsímil</v>
      </c>
      <c r="K1818" s="3" t="s">
        <v>150</v>
      </c>
    </row>
    <row r="1819" spans="1:11" ht="42" customHeight="1">
      <c r="A1819" s="2" t="s">
        <v>5129</v>
      </c>
      <c r="B1819" s="2" t="s">
        <v>5130</v>
      </c>
      <c r="C1819" s="2" t="s">
        <v>841</v>
      </c>
      <c r="D1819" s="2" t="s">
        <v>18</v>
      </c>
      <c r="E1819" s="4">
        <v>-32505</v>
      </c>
      <c r="F1819" s="3" t="s">
        <v>475</v>
      </c>
      <c r="G1819" s="3" t="s">
        <v>476</v>
      </c>
      <c r="H1819" s="2" t="s">
        <v>148</v>
      </c>
      <c r="I1819" s="2" t="s">
        <v>5131</v>
      </c>
      <c r="J1819" s="3" t="str">
        <f>HYPERLINK("https://www.boe.es/gazeta/dias/1811/01/01/pdfs/GEI-1811-1.pdf#page=7","Abrir facsímil")</f>
        <v>Abrir facsímil</v>
      </c>
      <c r="K1819" s="3" t="s">
        <v>150</v>
      </c>
    </row>
    <row r="1820" spans="1:11" ht="42" customHeight="1">
      <c r="A1820" s="2" t="s">
        <v>5132</v>
      </c>
      <c r="B1820" s="2" t="s">
        <v>5132</v>
      </c>
      <c r="C1820" s="2" t="s">
        <v>84</v>
      </c>
      <c r="D1820" s="2" t="s">
        <v>18</v>
      </c>
      <c r="E1820" s="4">
        <v>-32419</v>
      </c>
      <c r="F1820" s="3" t="s">
        <v>5133</v>
      </c>
      <c r="G1820" s="3" t="s">
        <v>91</v>
      </c>
      <c r="H1820" s="2" t="s">
        <v>148</v>
      </c>
      <c r="I1820" s="2" t="s">
        <v>5134</v>
      </c>
      <c r="J1820" s="3" t="str">
        <f>HYPERLINK("https://www.boe.es/gazeta/dias/1811/03/28/pdfs/GMD-1811-87.pdf#page=4","Abrir facsímil")</f>
        <v>Abrir facsímil</v>
      </c>
      <c r="K1820" s="3" t="s">
        <v>150</v>
      </c>
    </row>
    <row r="1821" spans="1:11" ht="42" customHeight="1">
      <c r="A1821" s="2" t="s">
        <v>5132</v>
      </c>
      <c r="B1821" s="2" t="s">
        <v>5132</v>
      </c>
      <c r="C1821" s="2" t="s">
        <v>26</v>
      </c>
      <c r="D1821" s="2" t="s">
        <v>18</v>
      </c>
      <c r="E1821" s="4">
        <v>-32267</v>
      </c>
      <c r="F1821" s="3" t="s">
        <v>1045</v>
      </c>
      <c r="G1821" s="3" t="s">
        <v>1046</v>
      </c>
      <c r="H1821" s="2" t="s">
        <v>148</v>
      </c>
      <c r="I1821" s="2" t="s">
        <v>5135</v>
      </c>
      <c r="J1821" s="3" t="str">
        <f>HYPERLINK("https://www.boe.es/gazeta/dias/1811/08/27/pdfs/GEI-1811-111.pdf#page=3","Abrir facsímil")</f>
        <v>Abrir facsímil</v>
      </c>
      <c r="K1821" s="3" t="s">
        <v>150</v>
      </c>
    </row>
    <row r="1822" spans="1:11" ht="42" customHeight="1">
      <c r="A1822" s="2" t="s">
        <v>5132</v>
      </c>
      <c r="B1822" s="2" t="s">
        <v>5132</v>
      </c>
      <c r="C1822" s="2" t="s">
        <v>17</v>
      </c>
      <c r="D1822" s="2" t="s">
        <v>105</v>
      </c>
      <c r="E1822" s="4">
        <v>-32216</v>
      </c>
      <c r="F1822" s="3" t="s">
        <v>5136</v>
      </c>
      <c r="G1822" s="3" t="s">
        <v>178</v>
      </c>
      <c r="H1822" s="2" t="s">
        <v>148</v>
      </c>
      <c r="I1822" s="2" t="s">
        <v>5137</v>
      </c>
      <c r="J1822" s="3" t="str">
        <f>HYPERLINK("https://www.boe.es/gazeta/dias/1811/10/17/pdfs/GMD-1811-290.pdf#page=4","Abrir facsímil")</f>
        <v>Abrir facsímil</v>
      </c>
      <c r="K1822" s="3" t="s">
        <v>150</v>
      </c>
    </row>
    <row r="1823" spans="1:11" ht="42" customHeight="1">
      <c r="A1823" s="2" t="s">
        <v>5138</v>
      </c>
      <c r="B1823" s="2" t="s">
        <v>5138</v>
      </c>
      <c r="C1823" s="2" t="s">
        <v>17</v>
      </c>
      <c r="D1823" s="2" t="s">
        <v>156</v>
      </c>
      <c r="E1823" s="4">
        <v>-32223</v>
      </c>
      <c r="F1823" s="3" t="s">
        <v>5139</v>
      </c>
      <c r="G1823" s="3" t="s">
        <v>178</v>
      </c>
      <c r="H1823" s="2" t="s">
        <v>148</v>
      </c>
      <c r="I1823" s="2" t="s">
        <v>5140</v>
      </c>
      <c r="J1823" s="3" t="str">
        <f>HYPERLINK("https://www.boe.es/gazeta/dias/1811/10/10/pdfs/GMD-1811-283.pdf#page=4","Abrir facsímil")</f>
        <v>Abrir facsímil</v>
      </c>
      <c r="K1823" s="3" t="s">
        <v>150</v>
      </c>
    </row>
    <row r="1824" spans="1:11" ht="42" customHeight="1">
      <c r="A1824" s="2" t="s">
        <v>5141</v>
      </c>
      <c r="B1824" s="2" t="s">
        <v>5142</v>
      </c>
      <c r="C1824" s="2" t="s">
        <v>26</v>
      </c>
      <c r="D1824" s="2" t="s">
        <v>18</v>
      </c>
      <c r="E1824" s="4">
        <v>-32188</v>
      </c>
      <c r="F1824" s="3" t="s">
        <v>356</v>
      </c>
      <c r="G1824" s="3" t="s">
        <v>248</v>
      </c>
      <c r="H1824" s="2" t="s">
        <v>148</v>
      </c>
      <c r="I1824" s="2" t="s">
        <v>5143</v>
      </c>
      <c r="J1824" s="3" t="str">
        <f>HYPERLINK("https://www.boe.es/gazeta/dias/1811/11/14/pdfs/GMD-1811-318.pdf#page=5","Abrir facsímil")</f>
        <v>Abrir facsímil</v>
      </c>
      <c r="K1824" s="3" t="s">
        <v>150</v>
      </c>
    </row>
    <row r="1825" spans="1:11" ht="42" customHeight="1">
      <c r="A1825" s="2" t="s">
        <v>5144</v>
      </c>
      <c r="B1825" s="2" t="s">
        <v>5145</v>
      </c>
      <c r="C1825" s="2" t="s">
        <v>26</v>
      </c>
      <c r="D1825" s="2" t="s">
        <v>18</v>
      </c>
      <c r="E1825" s="4">
        <v>-32153</v>
      </c>
      <c r="F1825" s="3" t="s">
        <v>123</v>
      </c>
      <c r="G1825" s="3" t="s">
        <v>1067</v>
      </c>
      <c r="H1825" s="2" t="s">
        <v>148</v>
      </c>
      <c r="I1825" s="2" t="s">
        <v>5146</v>
      </c>
      <c r="J1825" s="3" t="str">
        <f>HYPERLINK("https://www.boe.es/gazeta/dias/1811/12/19/pdfs/GMD-1811-353.pdf#page=5","Abrir facsímil")</f>
        <v>Abrir facsímil</v>
      </c>
      <c r="K1825" s="3" t="s">
        <v>150</v>
      </c>
    </row>
    <row r="1826" spans="1:11" ht="42" customHeight="1">
      <c r="A1826" s="2" t="s">
        <v>5147</v>
      </c>
      <c r="B1826" s="2" t="s">
        <v>5148</v>
      </c>
      <c r="C1826" s="2" t="s">
        <v>17</v>
      </c>
      <c r="D1826" s="2" t="s">
        <v>528</v>
      </c>
      <c r="E1826" s="4">
        <v>-32438</v>
      </c>
      <c r="F1826" s="3" t="s">
        <v>1970</v>
      </c>
      <c r="G1826" s="3" t="s">
        <v>115</v>
      </c>
      <c r="H1826" s="2" t="s">
        <v>21</v>
      </c>
      <c r="I1826" s="2" t="s">
        <v>5149</v>
      </c>
      <c r="J1826" s="3" t="str">
        <f>HYPERLINK("https://www.boe.es/gazeta/dias/1811/03/09/pdfs/GEI-1811-34E.pdf#page=3","Abrir facsímil")</f>
        <v>Abrir facsímil</v>
      </c>
      <c r="K1826" s="3" t="s">
        <v>23</v>
      </c>
    </row>
    <row r="1827" spans="1:11" ht="42" customHeight="1">
      <c r="A1827" s="2" t="s">
        <v>5150</v>
      </c>
      <c r="B1827" s="2" t="s">
        <v>5151</v>
      </c>
      <c r="C1827" s="2" t="s">
        <v>26</v>
      </c>
      <c r="D1827" s="2" t="s">
        <v>141</v>
      </c>
      <c r="E1827" s="4">
        <v>-32249</v>
      </c>
      <c r="F1827" s="3" t="s">
        <v>743</v>
      </c>
      <c r="G1827" s="3" t="s">
        <v>468</v>
      </c>
      <c r="H1827" s="2" t="s">
        <v>148</v>
      </c>
      <c r="I1827" s="2" t="s">
        <v>5152</v>
      </c>
      <c r="J1827" s="3" t="str">
        <f>HYPERLINK("https://www.boe.es/gazeta/dias/1811/09/14/pdfs/GMD-C-1811-257.pdf#page=1","Abrir facsímil")</f>
        <v>Abrir facsímil</v>
      </c>
      <c r="K1827" s="3" t="s">
        <v>150</v>
      </c>
    </row>
    <row r="1828" spans="1:11" ht="42" customHeight="1">
      <c r="A1828" s="2" t="s">
        <v>5153</v>
      </c>
      <c r="B1828" s="2" t="s">
        <v>5154</v>
      </c>
      <c r="C1828" s="2" t="s">
        <v>104</v>
      </c>
      <c r="D1828" s="2" t="s">
        <v>18</v>
      </c>
      <c r="E1828" s="4">
        <v>-32232</v>
      </c>
      <c r="F1828" s="3" t="s">
        <v>1816</v>
      </c>
      <c r="G1828" s="3" t="s">
        <v>1817</v>
      </c>
      <c r="H1828" s="2" t="s">
        <v>148</v>
      </c>
      <c r="I1828" s="2" t="s">
        <v>5155</v>
      </c>
      <c r="J1828" s="3" t="str">
        <f>HYPERLINK("https://www.boe.es/gazeta/dias/1811/10/01/pdfs/GEI-1811-126.pdf#page=8","Abrir facsímil")</f>
        <v>Abrir facsímil</v>
      </c>
      <c r="K1828" s="3" t="s">
        <v>150</v>
      </c>
    </row>
    <row r="1829" spans="1:11" ht="42" customHeight="1">
      <c r="A1829" s="2" t="s">
        <v>5156</v>
      </c>
      <c r="B1829" s="2" t="s">
        <v>5157</v>
      </c>
      <c r="C1829" s="2" t="s">
        <v>26</v>
      </c>
      <c r="D1829" s="2" t="s">
        <v>141</v>
      </c>
      <c r="E1829" s="4">
        <v>-32280</v>
      </c>
      <c r="F1829" s="3" t="s">
        <v>142</v>
      </c>
      <c r="G1829" s="3" t="s">
        <v>47</v>
      </c>
      <c r="H1829" s="2" t="s">
        <v>148</v>
      </c>
      <c r="I1829" s="2" t="s">
        <v>5158</v>
      </c>
      <c r="J1829" s="3" t="str">
        <f>HYPERLINK("https://www.boe.es/gazeta/dias/1811/08/14/pdfs/GMD-C-1811-226.pdf#page=1","Abrir facsímil")</f>
        <v>Abrir facsímil</v>
      </c>
      <c r="K1829" s="3" t="s">
        <v>150</v>
      </c>
    </row>
    <row r="1830" spans="1:11" ht="42" customHeight="1">
      <c r="A1830" s="2" t="s">
        <v>5159</v>
      </c>
      <c r="B1830" s="2" t="s">
        <v>5160</v>
      </c>
      <c r="C1830" s="2" t="s">
        <v>367</v>
      </c>
      <c r="D1830" s="2" t="s">
        <v>105</v>
      </c>
      <c r="E1830" s="4">
        <v>-32367</v>
      </c>
      <c r="F1830" s="3" t="s">
        <v>4693</v>
      </c>
      <c r="G1830" s="3" t="s">
        <v>183</v>
      </c>
      <c r="H1830" s="2" t="s">
        <v>148</v>
      </c>
      <c r="I1830" s="2" t="s">
        <v>5161</v>
      </c>
      <c r="J1830" s="3" t="str">
        <f>HYPERLINK("https://www.boe.es/gazeta/dias/1811/05/19/pdfs/GMD-1811-139.pdf#page=4","Abrir facsímil")</f>
        <v>Abrir facsímil</v>
      </c>
      <c r="K1830" s="3" t="s">
        <v>150</v>
      </c>
    </row>
    <row r="1831" spans="1:11" ht="42" customHeight="1">
      <c r="A1831" s="2" t="s">
        <v>5162</v>
      </c>
      <c r="B1831" s="2" t="s">
        <v>5163</v>
      </c>
      <c r="C1831" s="2" t="s">
        <v>17</v>
      </c>
      <c r="D1831" s="2" t="s">
        <v>18</v>
      </c>
      <c r="E1831" s="4">
        <v>-32179</v>
      </c>
      <c r="F1831" s="3" t="s">
        <v>614</v>
      </c>
      <c r="G1831" s="3" t="s">
        <v>5164</v>
      </c>
      <c r="H1831" s="2" t="s">
        <v>148</v>
      </c>
      <c r="I1831" s="2" t="s">
        <v>5165</v>
      </c>
      <c r="J1831" s="3" t="str">
        <f>HYPERLINK("https://www.boe.es/gazeta/dias/1811/11/23/pdfs/GEI-1811-153.pdf#page=7","Abrir facsímil")</f>
        <v>Abrir facsímil</v>
      </c>
      <c r="K1831" s="3" t="s">
        <v>150</v>
      </c>
    </row>
    <row r="1832" spans="1:11" ht="42" customHeight="1">
      <c r="A1832" s="2" t="s">
        <v>5166</v>
      </c>
      <c r="B1832" s="2" t="s">
        <v>5167</v>
      </c>
      <c r="C1832" s="2" t="s">
        <v>26</v>
      </c>
      <c r="D1832" s="2" t="s">
        <v>18</v>
      </c>
      <c r="E1832" s="4">
        <v>-32144</v>
      </c>
      <c r="F1832" s="3" t="s">
        <v>1097</v>
      </c>
      <c r="G1832" s="3" t="s">
        <v>1098</v>
      </c>
      <c r="H1832" s="2" t="s">
        <v>148</v>
      </c>
      <c r="I1832" s="2" t="s">
        <v>5168</v>
      </c>
      <c r="J1832" s="3" t="str">
        <f>HYPERLINK("https://www.boe.es/gazeta/dias/1811/12/28/pdfs/GEI-1811-168.pdf#page=8","Abrir facsímil")</f>
        <v>Abrir facsímil</v>
      </c>
      <c r="K1832" s="3" t="s">
        <v>150</v>
      </c>
    </row>
    <row r="1833" spans="1:11" ht="42" customHeight="1">
      <c r="A1833" s="2" t="s">
        <v>5169</v>
      </c>
      <c r="B1833" s="2" t="s">
        <v>5169</v>
      </c>
      <c r="C1833" s="2" t="s">
        <v>17</v>
      </c>
      <c r="D1833" s="2" t="s">
        <v>156</v>
      </c>
      <c r="E1833" s="4">
        <v>-32344</v>
      </c>
      <c r="F1833" s="3" t="s">
        <v>761</v>
      </c>
      <c r="G1833" s="3" t="s">
        <v>44</v>
      </c>
      <c r="H1833" s="2" t="s">
        <v>148</v>
      </c>
      <c r="I1833" s="2" t="s">
        <v>5170</v>
      </c>
      <c r="J1833" s="3" t="str">
        <f>HYPERLINK("https://www.boe.es/gazeta/dias/1811/06/11/pdfs/GEI-1811-78.pdf#page=7","Abrir facsímil")</f>
        <v>Abrir facsímil</v>
      </c>
      <c r="K1833" s="3" t="s">
        <v>150</v>
      </c>
    </row>
    <row r="1834" spans="1:11" ht="42" customHeight="1">
      <c r="A1834" s="2" t="s">
        <v>5171</v>
      </c>
      <c r="B1834" s="2" t="s">
        <v>5171</v>
      </c>
      <c r="C1834" s="2" t="s">
        <v>17</v>
      </c>
      <c r="D1834" s="2" t="s">
        <v>156</v>
      </c>
      <c r="E1834" s="4">
        <v>-32167</v>
      </c>
      <c r="F1834" s="3" t="s">
        <v>195</v>
      </c>
      <c r="G1834" s="3" t="s">
        <v>198</v>
      </c>
      <c r="H1834" s="2" t="s">
        <v>148</v>
      </c>
      <c r="I1834" s="2" t="s">
        <v>5172</v>
      </c>
      <c r="J1834" s="3" t="str">
        <f>HYPERLINK("https://www.boe.es/gazeta/dias/1811/12/05/pdfs/GEI-1811-158.pdf#page=2","Abrir facsímil")</f>
        <v>Abrir facsímil</v>
      </c>
      <c r="K1834" s="3" t="s">
        <v>150</v>
      </c>
    </row>
    <row r="1835" spans="1:11" ht="42" customHeight="1">
      <c r="A1835" s="2" t="s">
        <v>5173</v>
      </c>
      <c r="B1835" s="2" t="s">
        <v>5174</v>
      </c>
      <c r="C1835" s="2" t="s">
        <v>26</v>
      </c>
      <c r="D1835" s="2" t="s">
        <v>141</v>
      </c>
      <c r="E1835" s="4">
        <v>-32249</v>
      </c>
      <c r="F1835" s="3" t="s">
        <v>743</v>
      </c>
      <c r="G1835" s="3" t="s">
        <v>468</v>
      </c>
      <c r="H1835" s="2" t="s">
        <v>148</v>
      </c>
      <c r="I1835" s="2" t="s">
        <v>5175</v>
      </c>
      <c r="J1835" s="3" t="str">
        <f>HYPERLINK("https://www.boe.es/gazeta/dias/1811/09/14/pdfs/GMD-C-1811-257.pdf#page=1","Abrir facsímil")</f>
        <v>Abrir facsímil</v>
      </c>
      <c r="K1835" s="3" t="s">
        <v>150</v>
      </c>
    </row>
    <row r="1836" spans="1:11" ht="42" customHeight="1">
      <c r="A1836" s="2" t="s">
        <v>5176</v>
      </c>
      <c r="B1836" s="2" t="s">
        <v>5177</v>
      </c>
      <c r="C1836" s="2" t="s">
        <v>26</v>
      </c>
      <c r="D1836" s="2" t="s">
        <v>18</v>
      </c>
      <c r="E1836" s="4">
        <v>-32421</v>
      </c>
      <c r="F1836" s="3" t="s">
        <v>79</v>
      </c>
      <c r="G1836" s="3" t="s">
        <v>488</v>
      </c>
      <c r="H1836" s="2" t="s">
        <v>148</v>
      </c>
      <c r="I1836" s="2" t="s">
        <v>5178</v>
      </c>
      <c r="J1836" s="3" t="str">
        <f>HYPERLINK("https://www.boe.es/gazeta/dias/1811/03/26/pdfs/GEI-1811-42.pdf#page=8","Abrir facsímil")</f>
        <v>Abrir facsímil</v>
      </c>
      <c r="K1836" s="3" t="s">
        <v>150</v>
      </c>
    </row>
    <row r="1837" spans="1:11" ht="42" customHeight="1">
      <c r="A1837" s="2" t="s">
        <v>5179</v>
      </c>
      <c r="B1837" s="2" t="s">
        <v>5180</v>
      </c>
      <c r="C1837" s="2" t="s">
        <v>26</v>
      </c>
      <c r="D1837" s="2" t="s">
        <v>18</v>
      </c>
      <c r="E1837" s="4">
        <v>-32489</v>
      </c>
      <c r="F1837" s="3" t="s">
        <v>2073</v>
      </c>
      <c r="G1837" s="3" t="s">
        <v>44</v>
      </c>
      <c r="H1837" s="2" t="s">
        <v>148</v>
      </c>
      <c r="I1837" s="2" t="s">
        <v>5181</v>
      </c>
      <c r="J1837" s="3" t="str">
        <f>HYPERLINK("https://www.boe.es/gazeta/dias/1811/01/17/pdfs/GEI-1811-8.pdf#page=8","Abrir facsímil")</f>
        <v>Abrir facsímil</v>
      </c>
      <c r="K1837" s="3" t="s">
        <v>150</v>
      </c>
    </row>
    <row r="1838" spans="1:11" ht="42" customHeight="1">
      <c r="A1838" s="2" t="s">
        <v>5182</v>
      </c>
      <c r="B1838" s="2" t="s">
        <v>5183</v>
      </c>
      <c r="C1838" s="2" t="s">
        <v>17</v>
      </c>
      <c r="D1838" s="2" t="s">
        <v>18</v>
      </c>
      <c r="E1838" s="4">
        <v>-32193</v>
      </c>
      <c r="F1838" s="3" t="s">
        <v>1037</v>
      </c>
      <c r="G1838" s="3" t="s">
        <v>44</v>
      </c>
      <c r="H1838" s="2" t="s">
        <v>148</v>
      </c>
      <c r="I1838" s="2" t="s">
        <v>5184</v>
      </c>
      <c r="J1838" s="3" t="str">
        <f>HYPERLINK("https://www.boe.es/gazeta/dias/1811/11/09/pdfs/GEI-1811-145.pdf#page=4","Abrir facsímil")</f>
        <v>Abrir facsímil</v>
      </c>
      <c r="K1838" s="3" t="s">
        <v>150</v>
      </c>
    </row>
    <row r="1839" spans="1:11" ht="42" customHeight="1">
      <c r="A1839" s="2" t="s">
        <v>5185</v>
      </c>
      <c r="B1839" s="2" t="s">
        <v>5186</v>
      </c>
      <c r="C1839" s="2" t="s">
        <v>26</v>
      </c>
      <c r="D1839" s="2" t="s">
        <v>18</v>
      </c>
      <c r="E1839" s="4">
        <v>-32195</v>
      </c>
      <c r="F1839" s="3" t="s">
        <v>439</v>
      </c>
      <c r="G1839" s="3" t="s">
        <v>440</v>
      </c>
      <c r="H1839" s="2" t="s">
        <v>148</v>
      </c>
      <c r="I1839" s="2" t="s">
        <v>5187</v>
      </c>
      <c r="J1839" s="3" t="str">
        <f>HYPERLINK("https://www.boe.es/gazeta/dias/1811/11/07/pdfs/GEI-1811-144.pdf#page=8","Abrir facsímil")</f>
        <v>Abrir facsímil</v>
      </c>
      <c r="K1839" s="3" t="s">
        <v>150</v>
      </c>
    </row>
    <row r="1840" spans="1:11" ht="42" customHeight="1">
      <c r="A1840" s="2" t="s">
        <v>5188</v>
      </c>
      <c r="B1840" s="2" t="s">
        <v>5189</v>
      </c>
      <c r="C1840" s="2" t="s">
        <v>26</v>
      </c>
      <c r="D1840" s="2" t="s">
        <v>18</v>
      </c>
      <c r="E1840" s="4">
        <v>-32200</v>
      </c>
      <c r="F1840" s="3" t="s">
        <v>109</v>
      </c>
      <c r="G1840" s="3" t="s">
        <v>268</v>
      </c>
      <c r="H1840" s="2" t="s">
        <v>148</v>
      </c>
      <c r="I1840" s="2" t="s">
        <v>5190</v>
      </c>
      <c r="J1840" s="3" t="str">
        <f>HYPERLINK("https://www.boe.es/gazeta/dias/1811/11/02/pdfs/GEI-1811-141.pdf#page=7","Abrir facsímil")</f>
        <v>Abrir facsímil</v>
      </c>
      <c r="K1840" s="3" t="s">
        <v>150</v>
      </c>
    </row>
    <row r="1841" spans="1:11" ht="42" customHeight="1">
      <c r="A1841" s="2" t="s">
        <v>5191</v>
      </c>
      <c r="B1841" s="2" t="s">
        <v>5191</v>
      </c>
      <c r="C1841" s="2" t="s">
        <v>17</v>
      </c>
      <c r="D1841" s="2" t="s">
        <v>18</v>
      </c>
      <c r="E1841" s="4">
        <v>-32398</v>
      </c>
      <c r="F1841" s="3" t="s">
        <v>946</v>
      </c>
      <c r="G1841" s="3" t="s">
        <v>947</v>
      </c>
      <c r="H1841" s="2" t="s">
        <v>148</v>
      </c>
      <c r="I1841" s="2" t="s">
        <v>5192</v>
      </c>
      <c r="J1841" s="3" t="str">
        <f>HYPERLINK("https://www.boe.es/gazeta/dias/1811/04/18/pdfs/GEI-1811-52.pdf#page=6","Abrir facsímil")</f>
        <v>Abrir facsímil</v>
      </c>
      <c r="K1841" s="3" t="s">
        <v>150</v>
      </c>
    </row>
    <row r="1842" spans="1:11" ht="42" customHeight="1">
      <c r="A1842" s="2" t="s">
        <v>5191</v>
      </c>
      <c r="B1842" s="2" t="s">
        <v>5191</v>
      </c>
      <c r="C1842" s="2" t="s">
        <v>26</v>
      </c>
      <c r="D1842" s="2" t="s">
        <v>18</v>
      </c>
      <c r="E1842" s="4">
        <v>-32211</v>
      </c>
      <c r="F1842" s="3" t="s">
        <v>1230</v>
      </c>
      <c r="G1842" s="3" t="s">
        <v>377</v>
      </c>
      <c r="H1842" s="2" t="s">
        <v>148</v>
      </c>
      <c r="I1842" s="2" t="s">
        <v>5193</v>
      </c>
      <c r="J1842" s="3" t="str">
        <f>HYPERLINK("https://www.boe.es/gazeta/dias/1811/10/22/pdfs/GMD-1811-295.pdf#page=4","Abrir facsímil")</f>
        <v>Abrir facsímil</v>
      </c>
      <c r="K1842" s="3" t="s">
        <v>150</v>
      </c>
    </row>
    <row r="1843" spans="1:11" ht="42" customHeight="1">
      <c r="A1843" s="2" t="s">
        <v>5194</v>
      </c>
      <c r="B1843" s="2" t="s">
        <v>5195</v>
      </c>
      <c r="C1843" s="2" t="s">
        <v>122</v>
      </c>
      <c r="D1843" s="2" t="s">
        <v>18</v>
      </c>
      <c r="E1843" s="4">
        <v>-32184</v>
      </c>
      <c r="F1843" s="3" t="s">
        <v>275</v>
      </c>
      <c r="G1843" s="3" t="s">
        <v>47</v>
      </c>
      <c r="H1843" s="2" t="s">
        <v>148</v>
      </c>
      <c r="I1843" s="2" t="s">
        <v>5196</v>
      </c>
      <c r="J1843" s="3" t="str">
        <f>HYPERLINK("https://www.boe.es/gazeta/dias/1811/11/18/pdfs/GMD-1811-322.pdf#page=4","Abrir facsímil")</f>
        <v>Abrir facsímil</v>
      </c>
      <c r="K1843" s="3" t="s">
        <v>150</v>
      </c>
    </row>
    <row r="1844" spans="1:11" ht="42" customHeight="1">
      <c r="A1844" s="2" t="s">
        <v>5197</v>
      </c>
      <c r="B1844" s="2" t="s">
        <v>5198</v>
      </c>
      <c r="C1844" s="2" t="s">
        <v>26</v>
      </c>
      <c r="D1844" s="2" t="s">
        <v>18</v>
      </c>
      <c r="E1844" s="4">
        <v>-32421</v>
      </c>
      <c r="F1844" s="3" t="s">
        <v>79</v>
      </c>
      <c r="G1844" s="3" t="s">
        <v>488</v>
      </c>
      <c r="H1844" s="2" t="s">
        <v>148</v>
      </c>
      <c r="I1844" s="2" t="s">
        <v>5199</v>
      </c>
      <c r="J1844" s="3" t="str">
        <f>HYPERLINK("https://www.boe.es/gazeta/dias/1811/03/26/pdfs/GEI-1811-42.pdf#page=8","Abrir facsímil")</f>
        <v>Abrir facsímil</v>
      </c>
      <c r="K1844" s="3" t="s">
        <v>150</v>
      </c>
    </row>
    <row r="1845" spans="1:11" ht="42" customHeight="1">
      <c r="A1845" s="2" t="s">
        <v>5200</v>
      </c>
      <c r="B1845" s="2" t="s">
        <v>5201</v>
      </c>
      <c r="C1845" s="2" t="s">
        <v>26</v>
      </c>
      <c r="D1845" s="2" t="s">
        <v>18</v>
      </c>
      <c r="E1845" s="4">
        <v>-32421</v>
      </c>
      <c r="F1845" s="3" t="s">
        <v>79</v>
      </c>
      <c r="G1845" s="3" t="s">
        <v>488</v>
      </c>
      <c r="H1845" s="2" t="s">
        <v>148</v>
      </c>
      <c r="I1845" s="2" t="s">
        <v>5202</v>
      </c>
      <c r="J1845" s="3" t="str">
        <f>HYPERLINK("https://www.boe.es/gazeta/dias/1811/03/26/pdfs/GEI-1811-42.pdf#page=8","Abrir facsímil")</f>
        <v>Abrir facsímil</v>
      </c>
      <c r="K1845" s="3" t="s">
        <v>150</v>
      </c>
    </row>
    <row r="1846" spans="1:11" ht="42" customHeight="1">
      <c r="A1846" s="2" t="s">
        <v>5203</v>
      </c>
      <c r="B1846" s="2" t="s">
        <v>5204</v>
      </c>
      <c r="C1846" s="2" t="s">
        <v>26</v>
      </c>
      <c r="D1846" s="2" t="s">
        <v>18</v>
      </c>
      <c r="E1846" s="4">
        <v>-32340</v>
      </c>
      <c r="F1846" s="3" t="s">
        <v>565</v>
      </c>
      <c r="G1846" s="3" t="s">
        <v>91</v>
      </c>
      <c r="H1846" s="2" t="s">
        <v>148</v>
      </c>
      <c r="I1846" s="2" t="s">
        <v>5205</v>
      </c>
      <c r="J1846" s="3" t="str">
        <f>HYPERLINK("https://www.boe.es/gazeta/dias/1811/06/15/pdfs/GEI-1811-80.pdf#page=8","Abrir facsímil")</f>
        <v>Abrir facsímil</v>
      </c>
      <c r="K1846" s="3" t="s">
        <v>150</v>
      </c>
    </row>
    <row r="1847" spans="1:11" ht="42" customHeight="1">
      <c r="A1847" s="2" t="s">
        <v>5206</v>
      </c>
      <c r="B1847" s="2" t="s">
        <v>5206</v>
      </c>
      <c r="C1847" s="2" t="s">
        <v>17</v>
      </c>
      <c r="D1847" s="2" t="s">
        <v>18</v>
      </c>
      <c r="E1847" s="4">
        <v>-32201</v>
      </c>
      <c r="F1847" s="3" t="s">
        <v>2643</v>
      </c>
      <c r="G1847" s="3" t="s">
        <v>5207</v>
      </c>
      <c r="H1847" s="2" t="s">
        <v>148</v>
      </c>
      <c r="I1847" s="2" t="s">
        <v>5208</v>
      </c>
      <c r="J1847" s="3" t="str">
        <f>HYPERLINK("https://www.boe.es/gazeta/dias/1811/11/01/pdfs/GMD-1811-305.pdf#page=1","Abrir facsímil")</f>
        <v>Abrir facsímil</v>
      </c>
      <c r="K1847" s="3" t="s">
        <v>150</v>
      </c>
    </row>
    <row r="1848" spans="1:11" ht="42" customHeight="1">
      <c r="A1848" s="2" t="s">
        <v>5209</v>
      </c>
      <c r="B1848" s="2" t="s">
        <v>5210</v>
      </c>
      <c r="C1848" s="2" t="s">
        <v>26</v>
      </c>
      <c r="D1848" s="2" t="s">
        <v>18</v>
      </c>
      <c r="E1848" s="4">
        <v>-32242</v>
      </c>
      <c r="F1848" s="3" t="s">
        <v>1295</v>
      </c>
      <c r="G1848" s="3" t="s">
        <v>1296</v>
      </c>
      <c r="H1848" s="2" t="s">
        <v>148</v>
      </c>
      <c r="I1848" s="2" t="s">
        <v>5211</v>
      </c>
      <c r="J1848" s="3" t="str">
        <f>HYPERLINK("https://www.boe.es/gazeta/dias/1811/09/21/pdfs/GEI-1811-122.pdf#page=8","Abrir facsímil")</f>
        <v>Abrir facsímil</v>
      </c>
      <c r="K1848" s="3" t="s">
        <v>150</v>
      </c>
    </row>
    <row r="1849" spans="1:11" ht="42" customHeight="1">
      <c r="A1849" s="2" t="s">
        <v>5212</v>
      </c>
      <c r="B1849" s="2" t="s">
        <v>5213</v>
      </c>
      <c r="C1849" s="2" t="s">
        <v>17</v>
      </c>
      <c r="D1849" s="2" t="s">
        <v>156</v>
      </c>
      <c r="E1849" s="4">
        <v>-32414</v>
      </c>
      <c r="F1849" s="3" t="s">
        <v>213</v>
      </c>
      <c r="G1849" s="3" t="s">
        <v>214</v>
      </c>
      <c r="H1849" s="2" t="s">
        <v>148</v>
      </c>
      <c r="I1849" s="2" t="s">
        <v>5214</v>
      </c>
      <c r="J1849" s="3" t="str">
        <f>HYPERLINK("https://www.boe.es/gazeta/dias/1811/04/02/pdfs/GEI-1811-45.pdf#page=6","Abrir facsímil")</f>
        <v>Abrir facsímil</v>
      </c>
      <c r="K1849" s="3" t="s">
        <v>150</v>
      </c>
    </row>
    <row r="1850" spans="1:11" ht="42" customHeight="1">
      <c r="A1850" s="2" t="s">
        <v>5212</v>
      </c>
      <c r="B1850" s="2" t="s">
        <v>5213</v>
      </c>
      <c r="C1850" s="2" t="s">
        <v>17</v>
      </c>
      <c r="D1850" s="2" t="s">
        <v>156</v>
      </c>
      <c r="E1850" s="4">
        <v>-32384</v>
      </c>
      <c r="F1850" s="3" t="s">
        <v>338</v>
      </c>
      <c r="G1850" s="3" t="s">
        <v>5215</v>
      </c>
      <c r="H1850" s="2" t="s">
        <v>148</v>
      </c>
      <c r="I1850" s="2" t="s">
        <v>5216</v>
      </c>
      <c r="J1850" s="3" t="str">
        <f>HYPERLINK("https://www.boe.es/gazeta/dias/1811/05/02/pdfs/GEI-1811-58.pdf#page=3","Abrir facsímil")</f>
        <v>Abrir facsímil</v>
      </c>
      <c r="K1850" s="3" t="s">
        <v>150</v>
      </c>
    </row>
    <row r="1851" spans="1:11" ht="42" customHeight="1">
      <c r="A1851" s="2" t="s">
        <v>5217</v>
      </c>
      <c r="B1851" s="2" t="s">
        <v>5218</v>
      </c>
      <c r="C1851" s="2" t="s">
        <v>26</v>
      </c>
      <c r="D1851" s="2" t="s">
        <v>18</v>
      </c>
      <c r="E1851" s="4">
        <v>-32379</v>
      </c>
      <c r="F1851" s="3" t="s">
        <v>462</v>
      </c>
      <c r="G1851" s="3" t="s">
        <v>463</v>
      </c>
      <c r="H1851" s="2" t="s">
        <v>148</v>
      </c>
      <c r="I1851" s="2" t="s">
        <v>5219</v>
      </c>
      <c r="J1851" s="3" t="str">
        <f>HYPERLINK("https://www.boe.es/gazeta/dias/1811/05/07/pdfs/GEI-1811-60.pdf#page=8","Abrir facsímil")</f>
        <v>Abrir facsímil</v>
      </c>
      <c r="K1851" s="3" t="s">
        <v>150</v>
      </c>
    </row>
    <row r="1852" spans="1:11" ht="42" customHeight="1">
      <c r="A1852" s="2" t="s">
        <v>5220</v>
      </c>
      <c r="B1852" s="2" t="s">
        <v>5221</v>
      </c>
      <c r="C1852" s="2" t="s">
        <v>37</v>
      </c>
      <c r="D1852" s="2" t="s">
        <v>105</v>
      </c>
      <c r="E1852" s="4">
        <v>-32249</v>
      </c>
      <c r="F1852" s="3" t="s">
        <v>5222</v>
      </c>
      <c r="G1852" s="3" t="s">
        <v>561</v>
      </c>
      <c r="H1852" s="2" t="s">
        <v>148</v>
      </c>
      <c r="I1852" s="2" t="s">
        <v>5223</v>
      </c>
      <c r="J1852" s="3" t="str">
        <f>HYPERLINK("https://www.boe.es/gazeta/dias/1811/09/14/pdfs/GEI-D-1811-119.pdf#page=4","Abrir facsímil")</f>
        <v>Abrir facsímil</v>
      </c>
      <c r="K1852" s="3" t="s">
        <v>150</v>
      </c>
    </row>
    <row r="1853" spans="1:11" ht="42" customHeight="1">
      <c r="A1853" s="2" t="s">
        <v>5224</v>
      </c>
      <c r="B1853" s="2" t="s">
        <v>5224</v>
      </c>
      <c r="C1853" s="2" t="s">
        <v>17</v>
      </c>
      <c r="D1853" s="2" t="s">
        <v>18</v>
      </c>
      <c r="E1853" s="4">
        <v>-32434</v>
      </c>
      <c r="F1853" s="3" t="s">
        <v>1932</v>
      </c>
      <c r="G1853" s="3" t="s">
        <v>178</v>
      </c>
      <c r="H1853" s="2" t="s">
        <v>148</v>
      </c>
      <c r="I1853" s="2" t="s">
        <v>5225</v>
      </c>
      <c r="J1853" s="3" t="str">
        <f>HYPERLINK("https://www.boe.es/gazeta/dias/1811/03/13/pdfs/GMD-1811-72.pdf#page=2","Abrir facsímil")</f>
        <v>Abrir facsímil</v>
      </c>
      <c r="K1853" s="3" t="s">
        <v>150</v>
      </c>
    </row>
    <row r="1854" spans="1:11" ht="42" customHeight="1">
      <c r="A1854" s="2" t="s">
        <v>5226</v>
      </c>
      <c r="B1854" s="2" t="s">
        <v>5227</v>
      </c>
      <c r="C1854" s="2" t="s">
        <v>26</v>
      </c>
      <c r="D1854" s="2" t="s">
        <v>18</v>
      </c>
      <c r="E1854" s="4">
        <v>-32179</v>
      </c>
      <c r="F1854" s="3" t="s">
        <v>614</v>
      </c>
      <c r="G1854" s="3" t="s">
        <v>47</v>
      </c>
      <c r="H1854" s="2" t="s">
        <v>148</v>
      </c>
      <c r="I1854" s="2" t="s">
        <v>5228</v>
      </c>
      <c r="J1854" s="3" t="str">
        <f>HYPERLINK("https://www.boe.es/gazeta/dias/1811/11/23/pdfs/GEI-1811-153.pdf#page=8","Abrir facsímil")</f>
        <v>Abrir facsímil</v>
      </c>
      <c r="K1854" s="3" t="s">
        <v>150</v>
      </c>
    </row>
    <row r="1855" spans="1:11" ht="42" customHeight="1">
      <c r="A1855" s="2" t="s">
        <v>5229</v>
      </c>
      <c r="B1855" s="2" t="s">
        <v>5229</v>
      </c>
      <c r="C1855" s="2" t="s">
        <v>84</v>
      </c>
      <c r="D1855" s="2" t="s">
        <v>18</v>
      </c>
      <c r="E1855" s="4">
        <v>-32347</v>
      </c>
      <c r="F1855" s="3" t="s">
        <v>5230</v>
      </c>
      <c r="G1855" s="3" t="s">
        <v>3243</v>
      </c>
      <c r="H1855" s="2" t="s">
        <v>148</v>
      </c>
      <c r="I1855" s="2" t="s">
        <v>5231</v>
      </c>
      <c r="J1855" s="3" t="str">
        <f>HYPERLINK("https://www.boe.es/gazeta/dias/1811/06/08/pdfs/GMD-1811-159.pdf#page=2","Abrir facsímil")</f>
        <v>Abrir facsímil</v>
      </c>
      <c r="K1855" s="3" t="s">
        <v>150</v>
      </c>
    </row>
    <row r="1856" spans="1:11" ht="42" customHeight="1">
      <c r="A1856" s="2" t="s">
        <v>5232</v>
      </c>
      <c r="B1856" s="2" t="s">
        <v>5232</v>
      </c>
      <c r="C1856" s="2" t="s">
        <v>17</v>
      </c>
      <c r="D1856" s="2" t="s">
        <v>204</v>
      </c>
      <c r="E1856" s="4">
        <v>-32411</v>
      </c>
      <c r="F1856" s="3" t="s">
        <v>986</v>
      </c>
      <c r="G1856" s="3" t="s">
        <v>755</v>
      </c>
      <c r="H1856" s="2" t="s">
        <v>148</v>
      </c>
      <c r="I1856" s="2" t="s">
        <v>5233</v>
      </c>
      <c r="J1856" s="3" t="str">
        <f>HYPERLINK("https://www.boe.es/gazeta/dias/1811/04/05/pdfs/GMD-1811-95.pdf#page=2","Abrir facsímil")</f>
        <v>Abrir facsímil</v>
      </c>
      <c r="K1856" s="3" t="s">
        <v>150</v>
      </c>
    </row>
    <row r="1857" spans="1:11" ht="42" customHeight="1">
      <c r="A1857" s="2" t="s">
        <v>5234</v>
      </c>
      <c r="B1857" s="2" t="s">
        <v>5235</v>
      </c>
      <c r="C1857" s="2" t="s">
        <v>17</v>
      </c>
      <c r="D1857" s="2" t="s">
        <v>18</v>
      </c>
      <c r="E1857" s="4">
        <v>-32356</v>
      </c>
      <c r="F1857" s="3" t="s">
        <v>1992</v>
      </c>
      <c r="G1857" s="3" t="s">
        <v>5236</v>
      </c>
      <c r="H1857" s="2" t="s">
        <v>148</v>
      </c>
      <c r="I1857" s="2" t="s">
        <v>5237</v>
      </c>
      <c r="J1857" s="3" t="str">
        <f>HYPERLINK("https://www.boe.es/gazeta/dias/1811/05/30/pdfs/GEI-1811-73.pdf#page=4","Abrir facsímil")</f>
        <v>Abrir facsímil</v>
      </c>
      <c r="K1857" s="3" t="s">
        <v>150</v>
      </c>
    </row>
    <row r="1858" spans="1:11" ht="42" customHeight="1">
      <c r="A1858" s="2" t="s">
        <v>5238</v>
      </c>
      <c r="B1858" s="2" t="s">
        <v>5239</v>
      </c>
      <c r="C1858" s="2" t="s">
        <v>26</v>
      </c>
      <c r="D1858" s="2" t="s">
        <v>18</v>
      </c>
      <c r="E1858" s="4">
        <v>-32447</v>
      </c>
      <c r="F1858" s="3" t="s">
        <v>665</v>
      </c>
      <c r="G1858" s="3" t="s">
        <v>57</v>
      </c>
      <c r="H1858" s="2" t="s">
        <v>148</v>
      </c>
      <c r="I1858" s="2" t="s">
        <v>5240</v>
      </c>
      <c r="J1858" s="3" t="str">
        <f>HYPERLINK("https://www.boe.es/gazeta/dias/1811/02/28/pdfs/GMD-1811-59.pdf#page=2","Abrir facsímil")</f>
        <v>Abrir facsímil</v>
      </c>
      <c r="K1858" s="3" t="s">
        <v>150</v>
      </c>
    </row>
    <row r="1859" spans="1:11" ht="42" customHeight="1">
      <c r="A1859" s="2" t="s">
        <v>5241</v>
      </c>
      <c r="B1859" s="2" t="s">
        <v>5242</v>
      </c>
      <c r="C1859" s="2" t="s">
        <v>26</v>
      </c>
      <c r="D1859" s="2" t="s">
        <v>18</v>
      </c>
      <c r="E1859" s="4">
        <v>-32153</v>
      </c>
      <c r="F1859" s="3" t="s">
        <v>123</v>
      </c>
      <c r="G1859" s="3" t="s">
        <v>288</v>
      </c>
      <c r="H1859" s="2" t="s">
        <v>148</v>
      </c>
      <c r="I1859" s="2" t="s">
        <v>5243</v>
      </c>
      <c r="J1859" s="3" t="str">
        <f>HYPERLINK("https://www.boe.es/gazeta/dias/1811/12/19/pdfs/GMD-1811-353.pdf#page=4","Abrir facsímil")</f>
        <v>Abrir facsímil</v>
      </c>
      <c r="K1859" s="3" t="s">
        <v>150</v>
      </c>
    </row>
    <row r="1860" spans="1:11" ht="42" customHeight="1">
      <c r="A1860" s="2" t="s">
        <v>5244</v>
      </c>
      <c r="B1860" s="2" t="s">
        <v>5244</v>
      </c>
      <c r="C1860" s="2" t="s">
        <v>17</v>
      </c>
      <c r="D1860" s="2" t="s">
        <v>18</v>
      </c>
      <c r="E1860" s="4">
        <v>-32382</v>
      </c>
      <c r="F1860" s="3" t="s">
        <v>1269</v>
      </c>
      <c r="G1860" s="3" t="s">
        <v>248</v>
      </c>
      <c r="H1860" s="2" t="s">
        <v>148</v>
      </c>
      <c r="I1860" s="2" t="s">
        <v>5245</v>
      </c>
      <c r="J1860" s="3" t="str">
        <f>HYPERLINK("https://www.boe.es/gazeta/dias/1811/05/04/pdfs/GEI-1811-59.pdf#page=3","Abrir facsímil")</f>
        <v>Abrir facsímil</v>
      </c>
      <c r="K1860" s="3" t="s">
        <v>150</v>
      </c>
    </row>
    <row r="1861" spans="1:11" ht="42" customHeight="1">
      <c r="A1861" s="2" t="s">
        <v>5244</v>
      </c>
      <c r="B1861" s="2" t="s">
        <v>5244</v>
      </c>
      <c r="C1861" s="2" t="s">
        <v>17</v>
      </c>
      <c r="D1861" s="2" t="s">
        <v>18</v>
      </c>
      <c r="E1861" s="4">
        <v>-32272</v>
      </c>
      <c r="F1861" s="3" t="s">
        <v>1121</v>
      </c>
      <c r="G1861" s="3" t="s">
        <v>1623</v>
      </c>
      <c r="H1861" s="2" t="s">
        <v>148</v>
      </c>
      <c r="I1861" s="2" t="s">
        <v>5246</v>
      </c>
      <c r="J1861" s="3" t="str">
        <f>HYPERLINK("https://www.boe.es/gazeta/dias/1811/08/22/pdfs/GEI-1811-109.pdf#page=7","Abrir facsímil")</f>
        <v>Abrir facsímil</v>
      </c>
      <c r="K1861" s="3" t="s">
        <v>150</v>
      </c>
    </row>
    <row r="1862" spans="1:11" ht="42" customHeight="1">
      <c r="A1862" s="2" t="s">
        <v>5247</v>
      </c>
      <c r="B1862" s="2" t="s">
        <v>5248</v>
      </c>
      <c r="C1862" s="2" t="s">
        <v>26</v>
      </c>
      <c r="D1862" s="2" t="s">
        <v>141</v>
      </c>
      <c r="E1862" s="4">
        <v>-32167</v>
      </c>
      <c r="F1862" s="3" t="s">
        <v>347</v>
      </c>
      <c r="G1862" s="3" t="s">
        <v>183</v>
      </c>
      <c r="H1862" s="2" t="s">
        <v>148</v>
      </c>
      <c r="I1862" s="2" t="s">
        <v>5249</v>
      </c>
      <c r="J1862" s="3" t="str">
        <f>HYPERLINK("https://www.boe.es/gazeta/dias/1811/12/05/pdfs/GEI-D-1811-158.pdf#page=4","Abrir facsímil")</f>
        <v>Abrir facsímil</v>
      </c>
      <c r="K1862" s="3" t="s">
        <v>150</v>
      </c>
    </row>
    <row r="1863" spans="1:11" ht="42" customHeight="1">
      <c r="A1863" s="2" t="s">
        <v>5250</v>
      </c>
      <c r="B1863" s="2" t="s">
        <v>5250</v>
      </c>
      <c r="C1863" s="2" t="s">
        <v>17</v>
      </c>
      <c r="D1863" s="2" t="s">
        <v>18</v>
      </c>
      <c r="E1863" s="4">
        <v>-32147</v>
      </c>
      <c r="F1863" s="3" t="s">
        <v>1922</v>
      </c>
      <c r="G1863" s="3" t="s">
        <v>382</v>
      </c>
      <c r="H1863" s="2" t="s">
        <v>148</v>
      </c>
      <c r="I1863" s="2" t="s">
        <v>5251</v>
      </c>
      <c r="J1863" s="3" t="str">
        <f>HYPERLINK("https://www.boe.es/gazeta/dias/1811/12/25/pdfs/GMD-1811-359.pdf#page=3","Abrir facsímil")</f>
        <v>Abrir facsímil</v>
      </c>
      <c r="K1863" s="3" t="s">
        <v>150</v>
      </c>
    </row>
    <row r="1864" spans="1:11" ht="42" customHeight="1">
      <c r="A1864" s="2" t="s">
        <v>5252</v>
      </c>
      <c r="B1864" s="2" t="s">
        <v>5252</v>
      </c>
      <c r="C1864" s="2" t="s">
        <v>37</v>
      </c>
      <c r="D1864" s="2" t="s">
        <v>18</v>
      </c>
      <c r="E1864" s="4">
        <v>-32331</v>
      </c>
      <c r="F1864" s="3" t="s">
        <v>781</v>
      </c>
      <c r="G1864" s="3" t="s">
        <v>5253</v>
      </c>
      <c r="H1864" s="2" t="s">
        <v>148</v>
      </c>
      <c r="I1864" s="2" t="s">
        <v>5254</v>
      </c>
      <c r="J1864" s="3" t="str">
        <f>HYPERLINK("https://www.boe.es/gazeta/dias/1811/06/24/pdfs/GMD-1811-175.pdf#page=3","Abrir facsímil")</f>
        <v>Abrir facsímil</v>
      </c>
      <c r="K1864" s="3" t="s">
        <v>150</v>
      </c>
    </row>
    <row r="1865" spans="1:11" ht="42" customHeight="1">
      <c r="A1865" s="2" t="s">
        <v>5255</v>
      </c>
      <c r="B1865" s="2" t="s">
        <v>5255</v>
      </c>
      <c r="C1865" s="2" t="s">
        <v>17</v>
      </c>
      <c r="D1865" s="2" t="s">
        <v>18</v>
      </c>
      <c r="E1865" s="4">
        <v>-32473</v>
      </c>
      <c r="F1865" s="3" t="s">
        <v>3399</v>
      </c>
      <c r="G1865" s="3" t="s">
        <v>282</v>
      </c>
      <c r="H1865" s="2" t="s">
        <v>148</v>
      </c>
      <c r="I1865" s="2" t="s">
        <v>5256</v>
      </c>
      <c r="J1865" s="3" t="str">
        <f>HYPERLINK("https://www.boe.es/gazeta/dias/1811/02/02/pdfs/GEI-1811-15.pdf#page=4","Abrir facsímil")</f>
        <v>Abrir facsímil</v>
      </c>
      <c r="K1865" s="3" t="s">
        <v>150</v>
      </c>
    </row>
    <row r="1866" spans="1:11" ht="42" customHeight="1">
      <c r="A1866" s="2" t="s">
        <v>5257</v>
      </c>
      <c r="B1866" s="2" t="s">
        <v>5258</v>
      </c>
      <c r="C1866" s="2" t="s">
        <v>17</v>
      </c>
      <c r="D1866" s="2" t="s">
        <v>18</v>
      </c>
      <c r="E1866" s="4">
        <v>-32363</v>
      </c>
      <c r="F1866" s="3" t="s">
        <v>4788</v>
      </c>
      <c r="G1866" s="3" t="s">
        <v>5259</v>
      </c>
      <c r="H1866" s="2" t="s">
        <v>148</v>
      </c>
      <c r="I1866" s="2" t="s">
        <v>5260</v>
      </c>
      <c r="J1866" s="3" t="str">
        <f>HYPERLINK("https://www.boe.es/gazeta/dias/1811/05/23/pdfs/GMD-1811-143.pdf#page=2","Abrir facsímil")</f>
        <v>Abrir facsímil</v>
      </c>
      <c r="K1866" s="3" t="s">
        <v>150</v>
      </c>
    </row>
    <row r="1867" spans="1:11" ht="42" customHeight="1">
      <c r="A1867" s="2" t="s">
        <v>5261</v>
      </c>
      <c r="B1867" s="2" t="s">
        <v>5261</v>
      </c>
      <c r="C1867" s="2" t="s">
        <v>17</v>
      </c>
      <c r="D1867" s="2" t="s">
        <v>18</v>
      </c>
      <c r="E1867" s="4">
        <v>-32207</v>
      </c>
      <c r="F1867" s="3" t="s">
        <v>152</v>
      </c>
      <c r="G1867" s="3" t="s">
        <v>607</v>
      </c>
      <c r="H1867" s="2" t="s">
        <v>148</v>
      </c>
      <c r="I1867" s="2" t="s">
        <v>5262</v>
      </c>
      <c r="J1867" s="3" t="str">
        <f>HYPERLINK("https://www.boe.es/gazeta/dias/1811/10/26/pdfs/GEI-1811-138.pdf#page=4","Abrir facsímil")</f>
        <v>Abrir facsímil</v>
      </c>
      <c r="K1867" s="3" t="s">
        <v>150</v>
      </c>
    </row>
    <row r="1868" spans="1:11" ht="42" customHeight="1">
      <c r="A1868" s="2" t="s">
        <v>5263</v>
      </c>
      <c r="B1868" s="2" t="s">
        <v>5263</v>
      </c>
      <c r="C1868" s="2" t="s">
        <v>17</v>
      </c>
      <c r="D1868" s="2" t="s">
        <v>204</v>
      </c>
      <c r="E1868" s="4">
        <v>-32467</v>
      </c>
      <c r="F1868" s="3" t="s">
        <v>768</v>
      </c>
      <c r="G1868" s="3" t="s">
        <v>382</v>
      </c>
      <c r="H1868" s="2" t="s">
        <v>148</v>
      </c>
      <c r="I1868" s="2" t="s">
        <v>5264</v>
      </c>
      <c r="J1868" s="3" t="str">
        <f>HYPERLINK("https://www.boe.es/gazeta/dias/1811/02/08/pdfs/GMD-1811-39.pdf#page=3","Abrir facsímil")</f>
        <v>Abrir facsímil</v>
      </c>
      <c r="K1868" s="3" t="s">
        <v>150</v>
      </c>
    </row>
    <row r="1869" spans="1:11" ht="42" customHeight="1">
      <c r="A1869" s="2" t="s">
        <v>5265</v>
      </c>
      <c r="B1869" s="2" t="s">
        <v>5265</v>
      </c>
      <c r="C1869" s="2" t="s">
        <v>367</v>
      </c>
      <c r="D1869" s="2" t="s">
        <v>156</v>
      </c>
      <c r="E1869" s="4">
        <v>-32337</v>
      </c>
      <c r="F1869" s="3" t="s">
        <v>5266</v>
      </c>
      <c r="G1869" s="3" t="s">
        <v>47</v>
      </c>
      <c r="H1869" s="2" t="s">
        <v>148</v>
      </c>
      <c r="I1869" s="2" t="s">
        <v>5267</v>
      </c>
      <c r="J1869" s="3" t="str">
        <f>HYPERLINK("https://www.boe.es/gazeta/dias/1811/06/18/pdfs/GEI-1811-81.pdf#page=6","Abrir facsímil")</f>
        <v>Abrir facsímil</v>
      </c>
      <c r="K1869" s="3" t="s">
        <v>150</v>
      </c>
    </row>
    <row r="1870" spans="1:11" ht="42" customHeight="1">
      <c r="A1870" s="2" t="s">
        <v>5268</v>
      </c>
      <c r="B1870" s="2" t="s">
        <v>5269</v>
      </c>
      <c r="C1870" s="2" t="s">
        <v>26</v>
      </c>
      <c r="D1870" s="2" t="s">
        <v>18</v>
      </c>
      <c r="E1870" s="4">
        <v>-32246</v>
      </c>
      <c r="F1870" s="3" t="s">
        <v>19</v>
      </c>
      <c r="G1870" s="3" t="s">
        <v>4473</v>
      </c>
      <c r="H1870" s="2" t="s">
        <v>148</v>
      </c>
      <c r="I1870" s="2" t="s">
        <v>5270</v>
      </c>
      <c r="J1870" s="3" t="str">
        <f>HYPERLINK("https://www.boe.es/gazeta/dias/1811/09/17/pdfs/GEI-1811-120.pdf#page=6","Abrir facsímil")</f>
        <v>Abrir facsímil</v>
      </c>
      <c r="K1870" s="3" t="s">
        <v>150</v>
      </c>
    </row>
    <row r="1871" spans="1:11" ht="42" customHeight="1">
      <c r="A1871" s="2" t="s">
        <v>5271</v>
      </c>
      <c r="B1871" s="2" t="s">
        <v>5272</v>
      </c>
      <c r="C1871" s="2" t="s">
        <v>17</v>
      </c>
      <c r="D1871" s="2" t="s">
        <v>156</v>
      </c>
      <c r="E1871" s="4">
        <v>-32361</v>
      </c>
      <c r="F1871" s="3" t="s">
        <v>1104</v>
      </c>
      <c r="G1871" s="3" t="s">
        <v>2213</v>
      </c>
      <c r="H1871" s="2" t="s">
        <v>148</v>
      </c>
      <c r="I1871" s="2" t="s">
        <v>5273</v>
      </c>
      <c r="J1871" s="3" t="str">
        <f>HYPERLINK("https://www.boe.es/gazeta/dias/1811/05/25/pdfs/GEI-1811-71.pdf#page=8","Abrir facsímil")</f>
        <v>Abrir facsímil</v>
      </c>
      <c r="K1871" s="3" t="s">
        <v>150</v>
      </c>
    </row>
    <row r="1872" spans="1:11" ht="42" customHeight="1">
      <c r="A1872" s="2" t="s">
        <v>5274</v>
      </c>
      <c r="B1872" s="2" t="s">
        <v>5275</v>
      </c>
      <c r="C1872" s="2" t="s">
        <v>26</v>
      </c>
      <c r="D1872" s="2" t="s">
        <v>141</v>
      </c>
      <c r="E1872" s="4">
        <v>-32188</v>
      </c>
      <c r="F1872" s="3" t="s">
        <v>505</v>
      </c>
      <c r="G1872" s="3" t="s">
        <v>162</v>
      </c>
      <c r="H1872" s="2" t="s">
        <v>148</v>
      </c>
      <c r="I1872" s="2" t="s">
        <v>5276</v>
      </c>
      <c r="J1872" s="3" t="str">
        <f>HYPERLINK("https://www.boe.es/gazeta/dias/1811/11/14/pdfs/GEI-D-1811-149.pdf#page=4","Abrir facsímil")</f>
        <v>Abrir facsímil</v>
      </c>
      <c r="K1872" s="3" t="s">
        <v>150</v>
      </c>
    </row>
    <row r="1873" spans="1:11" ht="42" customHeight="1">
      <c r="A1873" s="2" t="s">
        <v>5277</v>
      </c>
      <c r="B1873" s="2" t="s">
        <v>5278</v>
      </c>
      <c r="C1873" s="2" t="s">
        <v>37</v>
      </c>
      <c r="D1873" s="2" t="s">
        <v>18</v>
      </c>
      <c r="E1873" s="4">
        <v>-32407</v>
      </c>
      <c r="F1873" s="3" t="s">
        <v>38</v>
      </c>
      <c r="G1873" s="3" t="s">
        <v>39</v>
      </c>
      <c r="H1873" s="2" t="s">
        <v>148</v>
      </c>
      <c r="I1873" s="2" t="s">
        <v>5279</v>
      </c>
      <c r="J1873" s="3" t="str">
        <f>HYPERLINK("https://www.boe.es/gazeta/dias/1811/04/09/pdfs/GEI-1811-48.pdf#page=3","Abrir facsímil")</f>
        <v>Abrir facsímil</v>
      </c>
      <c r="K1873" s="3" t="s">
        <v>150</v>
      </c>
    </row>
    <row r="1874" spans="1:11" ht="42" customHeight="1">
      <c r="A1874" s="2" t="s">
        <v>5280</v>
      </c>
      <c r="B1874" s="2" t="s">
        <v>5281</v>
      </c>
      <c r="C1874" s="2" t="s">
        <v>17</v>
      </c>
      <c r="D1874" s="2" t="s">
        <v>105</v>
      </c>
      <c r="E1874" s="4">
        <v>-32433</v>
      </c>
      <c r="F1874" s="3" t="s">
        <v>209</v>
      </c>
      <c r="G1874" s="3" t="s">
        <v>488</v>
      </c>
      <c r="H1874" s="2" t="s">
        <v>148</v>
      </c>
      <c r="I1874" s="2" t="s">
        <v>5282</v>
      </c>
      <c r="J1874" s="3" t="str">
        <f>HYPERLINK("https://www.boe.es/gazeta/dias/1811/03/14/pdfs/GMD-1811-73.pdf#page=2","Abrir facsímil")</f>
        <v>Abrir facsímil</v>
      </c>
      <c r="K1874" s="3" t="s">
        <v>150</v>
      </c>
    </row>
    <row r="1875" spans="1:11" ht="42" customHeight="1">
      <c r="A1875" s="2" t="s">
        <v>5283</v>
      </c>
      <c r="B1875" s="2" t="s">
        <v>5283</v>
      </c>
      <c r="C1875" s="2" t="s">
        <v>17</v>
      </c>
      <c r="D1875" s="2" t="s">
        <v>18</v>
      </c>
      <c r="E1875" s="4">
        <v>-32356</v>
      </c>
      <c r="F1875" s="3" t="s">
        <v>1992</v>
      </c>
      <c r="G1875" s="3" t="s">
        <v>5236</v>
      </c>
      <c r="H1875" s="2" t="s">
        <v>148</v>
      </c>
      <c r="I1875" s="2" t="s">
        <v>5284</v>
      </c>
      <c r="J1875" s="3" t="str">
        <f>HYPERLINK("https://www.boe.es/gazeta/dias/1811/05/30/pdfs/GEI-1811-73.pdf#page=4","Abrir facsímil")</f>
        <v>Abrir facsímil</v>
      </c>
      <c r="K1875" s="3" t="s">
        <v>150</v>
      </c>
    </row>
    <row r="1876" spans="1:11" ht="42" customHeight="1">
      <c r="A1876" s="2" t="s">
        <v>5285</v>
      </c>
      <c r="B1876" s="2" t="s">
        <v>5286</v>
      </c>
      <c r="C1876" s="2" t="s">
        <v>26</v>
      </c>
      <c r="D1876" s="2" t="s">
        <v>18</v>
      </c>
      <c r="E1876" s="4">
        <v>-32145</v>
      </c>
      <c r="F1876" s="3" t="s">
        <v>417</v>
      </c>
      <c r="G1876" s="3" t="s">
        <v>418</v>
      </c>
      <c r="H1876" s="2" t="s">
        <v>148</v>
      </c>
      <c r="I1876" s="2" t="s">
        <v>5287</v>
      </c>
      <c r="J1876" s="3" t="str">
        <f>HYPERLINK("https://www.boe.es/gazeta/dias/1811/12/27/pdfs/GMD-1811-361.pdf#page=4","Abrir facsímil")</f>
        <v>Abrir facsímil</v>
      </c>
      <c r="K1876" s="3" t="s">
        <v>150</v>
      </c>
    </row>
    <row r="1877" spans="1:11" ht="42" customHeight="1">
      <c r="A1877" s="2" t="s">
        <v>5288</v>
      </c>
      <c r="B1877" s="2" t="s">
        <v>5288</v>
      </c>
      <c r="C1877" s="2" t="s">
        <v>26</v>
      </c>
      <c r="D1877" s="2" t="s">
        <v>528</v>
      </c>
      <c r="E1877" s="4">
        <v>-32219</v>
      </c>
      <c r="F1877" s="3" t="s">
        <v>529</v>
      </c>
      <c r="G1877" s="3" t="s">
        <v>530</v>
      </c>
      <c r="H1877" s="2" t="s">
        <v>148</v>
      </c>
      <c r="I1877" s="2" t="s">
        <v>5289</v>
      </c>
      <c r="J1877" s="3" t="str">
        <f>HYPERLINK("https://www.boe.es/gazeta/dias/1811/10/14/pdfs/GEI-1811-132E.pdf#page=4","Abrir facsímil")</f>
        <v>Abrir facsímil</v>
      </c>
      <c r="K1877" s="3" t="s">
        <v>150</v>
      </c>
    </row>
    <row r="1878" spans="1:11" ht="42" customHeight="1">
      <c r="A1878" s="2" t="s">
        <v>5290</v>
      </c>
      <c r="B1878" s="2" t="s">
        <v>5291</v>
      </c>
      <c r="C1878" s="2" t="s">
        <v>26</v>
      </c>
      <c r="D1878" s="2" t="s">
        <v>18</v>
      </c>
      <c r="E1878" s="4">
        <v>-32414</v>
      </c>
      <c r="F1878" s="3" t="s">
        <v>2588</v>
      </c>
      <c r="G1878" s="3" t="s">
        <v>5292</v>
      </c>
      <c r="H1878" s="2" t="s">
        <v>148</v>
      </c>
      <c r="I1878" s="2" t="s">
        <v>5293</v>
      </c>
      <c r="J1878" s="3" t="str">
        <f>HYPERLINK("https://www.boe.es/gazeta/dias/1811/04/02/pdfs/GMD-1811-92.pdf#page=4","Abrir facsímil")</f>
        <v>Abrir facsímil</v>
      </c>
      <c r="K1878" s="3" t="s">
        <v>150</v>
      </c>
    </row>
    <row r="1879" spans="1:11" ht="42" customHeight="1">
      <c r="A1879" s="2" t="s">
        <v>5294</v>
      </c>
      <c r="B1879" s="2" t="s">
        <v>5295</v>
      </c>
      <c r="C1879" s="2" t="s">
        <v>26</v>
      </c>
      <c r="D1879" s="2" t="s">
        <v>18</v>
      </c>
      <c r="E1879" s="4">
        <v>-32412</v>
      </c>
      <c r="F1879" s="3" t="s">
        <v>5296</v>
      </c>
      <c r="G1879" s="3" t="s">
        <v>162</v>
      </c>
      <c r="H1879" s="2" t="s">
        <v>148</v>
      </c>
      <c r="I1879" s="2" t="s">
        <v>5297</v>
      </c>
      <c r="J1879" s="3" t="str">
        <f>HYPERLINK("https://www.boe.es/gazeta/dias/1811/04/04/pdfs/GMD-1811-94.pdf#page=4","Abrir facsímil")</f>
        <v>Abrir facsímil</v>
      </c>
      <c r="K1879" s="3" t="s">
        <v>150</v>
      </c>
    </row>
    <row r="1880" spans="1:11" ht="42" customHeight="1">
      <c r="A1880" s="2" t="s">
        <v>5298</v>
      </c>
      <c r="B1880" s="2" t="s">
        <v>5298</v>
      </c>
      <c r="C1880" s="2" t="s">
        <v>17</v>
      </c>
      <c r="D1880" s="2" t="s">
        <v>18</v>
      </c>
      <c r="E1880" s="4">
        <v>-32152</v>
      </c>
      <c r="F1880" s="3" t="s">
        <v>1673</v>
      </c>
      <c r="G1880" s="3" t="s">
        <v>57</v>
      </c>
      <c r="H1880" s="2" t="s">
        <v>148</v>
      </c>
      <c r="I1880" s="2" t="s">
        <v>5299</v>
      </c>
      <c r="J1880" s="3" t="str">
        <f>HYPERLINK("https://www.boe.es/gazeta/dias/1811/12/20/pdfs/GMD-1811-354.pdf#page=2","Abrir facsímil")</f>
        <v>Abrir facsímil</v>
      </c>
      <c r="K1880" s="3" t="s">
        <v>150</v>
      </c>
    </row>
    <row r="1881" spans="1:11" ht="42" customHeight="1">
      <c r="A1881" s="2" t="s">
        <v>5300</v>
      </c>
      <c r="B1881" s="2" t="s">
        <v>5300</v>
      </c>
      <c r="C1881" s="2" t="s">
        <v>17</v>
      </c>
      <c r="D1881" s="2" t="s">
        <v>156</v>
      </c>
      <c r="E1881" s="4">
        <v>-32384</v>
      </c>
      <c r="F1881" s="3" t="s">
        <v>338</v>
      </c>
      <c r="G1881" s="3" t="s">
        <v>2786</v>
      </c>
      <c r="H1881" s="2" t="s">
        <v>148</v>
      </c>
      <c r="I1881" s="2" t="s">
        <v>5301</v>
      </c>
      <c r="J1881" s="3" t="str">
        <f>HYPERLINK("https://www.boe.es/gazeta/dias/1811/05/02/pdfs/GEI-1811-58.pdf#page=7","Abrir facsímil")</f>
        <v>Abrir facsímil</v>
      </c>
      <c r="K1881" s="3" t="s">
        <v>150</v>
      </c>
    </row>
    <row r="1882" spans="1:11" ht="42" customHeight="1">
      <c r="A1882" s="2" t="s">
        <v>5302</v>
      </c>
      <c r="B1882" s="2" t="s">
        <v>5303</v>
      </c>
      <c r="C1882" s="2" t="s">
        <v>84</v>
      </c>
      <c r="D1882" s="2" t="s">
        <v>18</v>
      </c>
      <c r="E1882" s="4">
        <v>-32415</v>
      </c>
      <c r="F1882" s="3" t="s">
        <v>3041</v>
      </c>
      <c r="G1882" s="3" t="s">
        <v>5304</v>
      </c>
      <c r="H1882" s="2" t="s">
        <v>148</v>
      </c>
      <c r="I1882" s="2" t="s">
        <v>5305</v>
      </c>
      <c r="J1882" s="3" t="str">
        <f>HYPERLINK("https://www.boe.es/gazeta/dias/1811/04/01/pdfs/GMD-1811-91.pdf#page=4","Abrir facsímil")</f>
        <v>Abrir facsímil</v>
      </c>
      <c r="K1882" s="3" t="s">
        <v>150</v>
      </c>
    </row>
    <row r="1883" spans="1:11" ht="42" customHeight="1">
      <c r="A1883" s="2" t="s">
        <v>5306</v>
      </c>
      <c r="B1883" s="2" t="s">
        <v>5307</v>
      </c>
      <c r="C1883" s="2" t="s">
        <v>26</v>
      </c>
      <c r="D1883" s="2" t="s">
        <v>18</v>
      </c>
      <c r="E1883" s="4">
        <v>-32417</v>
      </c>
      <c r="F1883" s="3" t="s">
        <v>604</v>
      </c>
      <c r="G1883" s="3" t="s">
        <v>91</v>
      </c>
      <c r="H1883" s="2" t="s">
        <v>148</v>
      </c>
      <c r="I1883" s="2" t="s">
        <v>5308</v>
      </c>
      <c r="J1883" s="3" t="str">
        <f>HYPERLINK("https://www.boe.es/gazeta/dias/1811/03/30/pdfs/GMD-1811-89.pdf#page=4","Abrir facsímil")</f>
        <v>Abrir facsímil</v>
      </c>
      <c r="K1883" s="3" t="s">
        <v>150</v>
      </c>
    </row>
    <row r="1884" spans="1:11" ht="42" customHeight="1">
      <c r="A1884" s="2" t="s">
        <v>5309</v>
      </c>
      <c r="B1884" s="2" t="s">
        <v>5310</v>
      </c>
      <c r="C1884" s="2" t="s">
        <v>26</v>
      </c>
      <c r="D1884" s="2" t="s">
        <v>18</v>
      </c>
      <c r="E1884" s="4">
        <v>-32413</v>
      </c>
      <c r="F1884" s="3" t="s">
        <v>5311</v>
      </c>
      <c r="G1884" s="3" t="s">
        <v>2213</v>
      </c>
      <c r="H1884" s="2" t="s">
        <v>148</v>
      </c>
      <c r="I1884" s="2" t="s">
        <v>5312</v>
      </c>
      <c r="J1884" s="3" t="str">
        <f>HYPERLINK("https://www.boe.es/gazeta/dias/1811/04/03/pdfs/GMD-1811-93.pdf#page=4","Abrir facsímil")</f>
        <v>Abrir facsímil</v>
      </c>
      <c r="K1884" s="3" t="s">
        <v>150</v>
      </c>
    </row>
    <row r="1885" spans="1:11" ht="42" customHeight="1">
      <c r="A1885" s="2" t="s">
        <v>5313</v>
      </c>
      <c r="B1885" s="2" t="s">
        <v>5314</v>
      </c>
      <c r="C1885" s="2" t="s">
        <v>26</v>
      </c>
      <c r="D1885" s="2" t="s">
        <v>18</v>
      </c>
      <c r="E1885" s="4">
        <v>-32409</v>
      </c>
      <c r="F1885" s="3" t="s">
        <v>4433</v>
      </c>
      <c r="G1885" s="3" t="s">
        <v>20</v>
      </c>
      <c r="H1885" s="2" t="s">
        <v>148</v>
      </c>
      <c r="I1885" s="2" t="s">
        <v>5315</v>
      </c>
      <c r="J1885" s="3" t="str">
        <f>HYPERLINK("https://www.boe.es/gazeta/dias/1811/04/07/pdfs/GMD-1811-97.pdf#page=4","Abrir facsímil")</f>
        <v>Abrir facsímil</v>
      </c>
      <c r="K1885" s="3" t="s">
        <v>150</v>
      </c>
    </row>
    <row r="1886" spans="1:11" ht="42" customHeight="1">
      <c r="A1886" s="2" t="s">
        <v>5316</v>
      </c>
      <c r="B1886" s="2" t="s">
        <v>5316</v>
      </c>
      <c r="C1886" s="2" t="s">
        <v>17</v>
      </c>
      <c r="D1886" s="2" t="s">
        <v>156</v>
      </c>
      <c r="E1886" s="4">
        <v>-32317</v>
      </c>
      <c r="F1886" s="3" t="s">
        <v>2313</v>
      </c>
      <c r="G1886" s="3" t="s">
        <v>162</v>
      </c>
      <c r="H1886" s="2" t="s">
        <v>148</v>
      </c>
      <c r="I1886" s="2" t="s">
        <v>5317</v>
      </c>
      <c r="J1886" s="3" t="str">
        <f>HYPERLINK("https://www.boe.es/gazeta/dias/1811/07/08/pdfs/GMD-1811-189.pdf#page=1","Abrir facsímil")</f>
        <v>Abrir facsímil</v>
      </c>
      <c r="K1886" s="3" t="s">
        <v>150</v>
      </c>
    </row>
    <row r="1887" spans="1:11" ht="42" customHeight="1">
      <c r="A1887" s="2" t="s">
        <v>5318</v>
      </c>
      <c r="B1887" s="2" t="s">
        <v>5319</v>
      </c>
      <c r="C1887" s="2" t="s">
        <v>26</v>
      </c>
      <c r="D1887" s="2" t="s">
        <v>141</v>
      </c>
      <c r="E1887" s="4">
        <v>-32384</v>
      </c>
      <c r="F1887" s="3" t="s">
        <v>2599</v>
      </c>
      <c r="G1887" s="3" t="s">
        <v>4480</v>
      </c>
      <c r="H1887" s="2" t="s">
        <v>148</v>
      </c>
      <c r="I1887" s="2" t="s">
        <v>5320</v>
      </c>
      <c r="J1887" s="3" t="str">
        <f>HYPERLINK("https://www.boe.es/gazeta/dias/1811/05/02/pdfs/GEI-D-1811-58.pdf#page=3","Abrir facsímil")</f>
        <v>Abrir facsímil</v>
      </c>
      <c r="K1887" s="3" t="s">
        <v>150</v>
      </c>
    </row>
    <row r="1888" spans="1:11" ht="42" customHeight="1">
      <c r="A1888" s="2" t="s">
        <v>5321</v>
      </c>
      <c r="B1888" s="2" t="s">
        <v>5321</v>
      </c>
      <c r="C1888" s="2" t="s">
        <v>26</v>
      </c>
      <c r="D1888" s="2" t="s">
        <v>105</v>
      </c>
      <c r="E1888" s="4">
        <v>-32365</v>
      </c>
      <c r="F1888" s="3" t="s">
        <v>5322</v>
      </c>
      <c r="G1888" s="3" t="s">
        <v>91</v>
      </c>
      <c r="H1888" s="2" t="s">
        <v>148</v>
      </c>
      <c r="I1888" s="2" t="s">
        <v>5323</v>
      </c>
      <c r="J1888" s="3" t="str">
        <f>HYPERLINK("https://www.boe.es/gazeta/dias/1811/05/21/pdfs/GMD-1811-141.pdf#page=1","Abrir facsímil")</f>
        <v>Abrir facsímil</v>
      </c>
      <c r="K1888" s="3" t="s">
        <v>150</v>
      </c>
    </row>
    <row r="1889" spans="1:11" ht="42" customHeight="1">
      <c r="A1889" s="2" t="s">
        <v>5324</v>
      </c>
      <c r="B1889" s="2" t="s">
        <v>5325</v>
      </c>
      <c r="C1889" s="2" t="s">
        <v>26</v>
      </c>
      <c r="D1889" s="2" t="s">
        <v>141</v>
      </c>
      <c r="E1889" s="4">
        <v>-32188</v>
      </c>
      <c r="F1889" s="3" t="s">
        <v>505</v>
      </c>
      <c r="G1889" s="3" t="s">
        <v>47</v>
      </c>
      <c r="H1889" s="2" t="s">
        <v>148</v>
      </c>
      <c r="I1889" s="2" t="s">
        <v>5326</v>
      </c>
      <c r="J1889" s="3" t="str">
        <f>HYPERLINK("https://www.boe.es/gazeta/dias/1811/11/14/pdfs/GEI-D-1811-149.pdf#page=3","Abrir facsímil")</f>
        <v>Abrir facsímil</v>
      </c>
      <c r="K1889" s="3" t="s">
        <v>150</v>
      </c>
    </row>
    <row r="1890" spans="1:11" ht="42" customHeight="1">
      <c r="A1890" s="2" t="s">
        <v>5327</v>
      </c>
      <c r="B1890" s="2" t="s">
        <v>5328</v>
      </c>
      <c r="C1890" s="2" t="s">
        <v>26</v>
      </c>
      <c r="D1890" s="2" t="s">
        <v>18</v>
      </c>
      <c r="E1890" s="4">
        <v>-32501</v>
      </c>
      <c r="F1890" s="3" t="s">
        <v>509</v>
      </c>
      <c r="G1890" s="3" t="s">
        <v>510</v>
      </c>
      <c r="H1890" s="2" t="s">
        <v>148</v>
      </c>
      <c r="I1890" s="2" t="s">
        <v>5329</v>
      </c>
      <c r="J1890" s="3" t="str">
        <f>HYPERLINK("https://www.boe.es/gazeta/dias/1811/01/05/pdfs/GEI-1811-3.pdf#page=8","Abrir facsímil")</f>
        <v>Abrir facsímil</v>
      </c>
      <c r="K1890" s="3" t="s">
        <v>150</v>
      </c>
    </row>
    <row r="1891" spans="1:11" ht="42" customHeight="1">
      <c r="A1891" s="2" t="s">
        <v>5330</v>
      </c>
      <c r="B1891" s="2" t="s">
        <v>5330</v>
      </c>
      <c r="C1891" s="2" t="s">
        <v>26</v>
      </c>
      <c r="D1891" s="2" t="s">
        <v>18</v>
      </c>
      <c r="E1891" s="4">
        <v>-32412</v>
      </c>
      <c r="F1891" s="3" t="s">
        <v>998</v>
      </c>
      <c r="G1891" s="3" t="s">
        <v>44</v>
      </c>
      <c r="H1891" s="2" t="s">
        <v>148</v>
      </c>
      <c r="I1891" s="2" t="s">
        <v>5331</v>
      </c>
      <c r="J1891" s="3" t="str">
        <f>HYPERLINK("https://www.boe.es/gazeta/dias/1811/04/04/pdfs/GEI-1811-46.pdf#page=3","Abrir facsímil")</f>
        <v>Abrir facsímil</v>
      </c>
      <c r="K1891" s="3" t="s">
        <v>150</v>
      </c>
    </row>
    <row r="1892" spans="1:11" ht="42" customHeight="1">
      <c r="A1892" s="2" t="s">
        <v>5330</v>
      </c>
      <c r="B1892" s="2" t="s">
        <v>5330</v>
      </c>
      <c r="C1892" s="2" t="s">
        <v>17</v>
      </c>
      <c r="D1892" s="2" t="s">
        <v>18</v>
      </c>
      <c r="E1892" s="4">
        <v>-32391</v>
      </c>
      <c r="F1892" s="3" t="s">
        <v>252</v>
      </c>
      <c r="G1892" s="3" t="s">
        <v>5332</v>
      </c>
      <c r="H1892" s="2" t="s">
        <v>148</v>
      </c>
      <c r="I1892" s="2" t="s">
        <v>5333</v>
      </c>
      <c r="J1892" s="3" t="str">
        <f>HYPERLINK("https://www.boe.es/gazeta/dias/1811/04/25/pdfs/GEI-1811-55.pdf#page=7","Abrir facsímil")</f>
        <v>Abrir facsímil</v>
      </c>
      <c r="K1892" s="3" t="s">
        <v>150</v>
      </c>
    </row>
    <row r="1893" spans="1:11" ht="42" customHeight="1">
      <c r="A1893" s="2" t="s">
        <v>5330</v>
      </c>
      <c r="B1893" s="2" t="s">
        <v>5330</v>
      </c>
      <c r="C1893" s="2" t="s">
        <v>17</v>
      </c>
      <c r="D1893" s="2" t="s">
        <v>156</v>
      </c>
      <c r="E1893" s="4">
        <v>-32389</v>
      </c>
      <c r="F1893" s="3" t="s">
        <v>5334</v>
      </c>
      <c r="G1893" s="3" t="s">
        <v>440</v>
      </c>
      <c r="H1893" s="2" t="s">
        <v>148</v>
      </c>
      <c r="I1893" s="2" t="s">
        <v>5335</v>
      </c>
      <c r="J1893" s="3" t="str">
        <f>HYPERLINK("https://www.boe.es/gazeta/dias/1811/04/27/pdfs/GEI-1811-56.pdf#page=2","Abrir facsímil")</f>
        <v>Abrir facsímil</v>
      </c>
      <c r="K1893" s="3" t="s">
        <v>150</v>
      </c>
    </row>
    <row r="1894" spans="1:11" ht="42" customHeight="1">
      <c r="A1894" s="2" t="s">
        <v>5330</v>
      </c>
      <c r="B1894" s="2" t="s">
        <v>5330</v>
      </c>
      <c r="C1894" s="2" t="s">
        <v>17</v>
      </c>
      <c r="D1894" s="2" t="s">
        <v>156</v>
      </c>
      <c r="E1894" s="4">
        <v>-32389</v>
      </c>
      <c r="F1894" s="3" t="s">
        <v>5334</v>
      </c>
      <c r="G1894" s="3" t="s">
        <v>20</v>
      </c>
      <c r="H1894" s="2" t="s">
        <v>148</v>
      </c>
      <c r="I1894" s="2" t="s">
        <v>5336</v>
      </c>
      <c r="J1894" s="3" t="str">
        <f>HYPERLINK("https://www.boe.es/gazeta/dias/1811/04/27/pdfs/GEI-1811-56.pdf#page=6","Abrir facsímil")</f>
        <v>Abrir facsímil</v>
      </c>
      <c r="K1894" s="3" t="s">
        <v>150</v>
      </c>
    </row>
    <row r="1895" spans="1:11" ht="42" customHeight="1">
      <c r="A1895" s="2" t="s">
        <v>5330</v>
      </c>
      <c r="B1895" s="2" t="s">
        <v>5330</v>
      </c>
      <c r="C1895" s="2" t="s">
        <v>26</v>
      </c>
      <c r="D1895" s="2" t="s">
        <v>18</v>
      </c>
      <c r="E1895" s="4">
        <v>-32316</v>
      </c>
      <c r="F1895" s="3" t="s">
        <v>5337</v>
      </c>
      <c r="G1895" s="3" t="s">
        <v>57</v>
      </c>
      <c r="H1895" s="2" t="s">
        <v>148</v>
      </c>
      <c r="I1895" s="2" t="s">
        <v>5338</v>
      </c>
      <c r="J1895" s="3" t="str">
        <f>HYPERLINK("https://www.boe.es/gazeta/dias/1811/07/09/pdfs/GEI-1811-90.pdf#page=2","Abrir facsímil")</f>
        <v>Abrir facsímil</v>
      </c>
      <c r="K1895" s="3" t="s">
        <v>150</v>
      </c>
    </row>
    <row r="1896" spans="1:11" ht="42" customHeight="1">
      <c r="A1896" s="2" t="s">
        <v>5330</v>
      </c>
      <c r="B1896" s="2" t="s">
        <v>5330</v>
      </c>
      <c r="C1896" s="2" t="s">
        <v>17</v>
      </c>
      <c r="D1896" s="2" t="s">
        <v>18</v>
      </c>
      <c r="E1896" s="4">
        <v>-32246</v>
      </c>
      <c r="F1896" s="3" t="s">
        <v>19</v>
      </c>
      <c r="G1896" s="3" t="s">
        <v>5339</v>
      </c>
      <c r="H1896" s="2" t="s">
        <v>148</v>
      </c>
      <c r="I1896" s="2" t="s">
        <v>5340</v>
      </c>
      <c r="J1896" s="3" t="str">
        <f>HYPERLINK("https://www.boe.es/gazeta/dias/1811/09/17/pdfs/GEI-1811-120.pdf#page=10","Abrir facsímil")</f>
        <v>Abrir facsímil</v>
      </c>
      <c r="K1896" s="3" t="s">
        <v>150</v>
      </c>
    </row>
    <row r="1897" spans="1:11" ht="42" customHeight="1">
      <c r="A1897" s="2" t="s">
        <v>5330</v>
      </c>
      <c r="B1897" s="2" t="s">
        <v>5330</v>
      </c>
      <c r="C1897" s="2" t="s">
        <v>17</v>
      </c>
      <c r="D1897" s="2" t="s">
        <v>18</v>
      </c>
      <c r="E1897" s="4">
        <v>-32246</v>
      </c>
      <c r="F1897" s="3" t="s">
        <v>19</v>
      </c>
      <c r="G1897" s="3" t="s">
        <v>5341</v>
      </c>
      <c r="H1897" s="2" t="s">
        <v>148</v>
      </c>
      <c r="I1897" s="2" t="s">
        <v>5342</v>
      </c>
      <c r="J1897" s="3" t="str">
        <f>HYPERLINK("https://www.boe.es/gazeta/dias/1811/09/17/pdfs/GEI-1811-120.pdf#page=12","Abrir facsímil")</f>
        <v>Abrir facsímil</v>
      </c>
      <c r="K1897" s="3" t="s">
        <v>150</v>
      </c>
    </row>
    <row r="1898" spans="1:11" ht="42" customHeight="1">
      <c r="A1898" s="2" t="s">
        <v>5343</v>
      </c>
      <c r="B1898" s="2" t="s">
        <v>5344</v>
      </c>
      <c r="C1898" s="2" t="s">
        <v>367</v>
      </c>
      <c r="D1898" s="2" t="s">
        <v>18</v>
      </c>
      <c r="E1898" s="4">
        <v>-32352</v>
      </c>
      <c r="F1898" s="3" t="s">
        <v>834</v>
      </c>
      <c r="G1898" s="3" t="s">
        <v>183</v>
      </c>
      <c r="H1898" s="2" t="s">
        <v>148</v>
      </c>
      <c r="I1898" s="2" t="s">
        <v>5345</v>
      </c>
      <c r="J1898" s="3" t="str">
        <f>HYPERLINK("https://www.boe.es/gazeta/dias/1811/06/03/pdfs/GMD-1811-154.pdf#page=4","Abrir facsímil")</f>
        <v>Abrir facsímil</v>
      </c>
      <c r="K1898" s="3" t="s">
        <v>150</v>
      </c>
    </row>
    <row r="1899" spans="1:11" ht="42" customHeight="1">
      <c r="A1899" s="2" t="s">
        <v>5346</v>
      </c>
      <c r="B1899" s="2" t="s">
        <v>5347</v>
      </c>
      <c r="C1899" s="2" t="s">
        <v>367</v>
      </c>
      <c r="D1899" s="2" t="s">
        <v>18</v>
      </c>
      <c r="E1899" s="4">
        <v>-32297</v>
      </c>
      <c r="F1899" s="3" t="s">
        <v>2174</v>
      </c>
      <c r="G1899" s="3" t="s">
        <v>183</v>
      </c>
      <c r="H1899" s="2" t="s">
        <v>148</v>
      </c>
      <c r="I1899" s="2" t="s">
        <v>5348</v>
      </c>
      <c r="J1899" s="3" t="str">
        <f>HYPERLINK("https://www.boe.es/gazeta/dias/1811/07/28/pdfs/GMD-1811-209.pdf#page=4","Abrir facsímil")</f>
        <v>Abrir facsímil</v>
      </c>
      <c r="K1899" s="3" t="s">
        <v>150</v>
      </c>
    </row>
    <row r="1900" spans="1:11" ht="42" customHeight="1">
      <c r="A1900" s="2" t="s">
        <v>5349</v>
      </c>
      <c r="B1900" s="2" t="s">
        <v>5349</v>
      </c>
      <c r="C1900" s="2" t="s">
        <v>17</v>
      </c>
      <c r="D1900" s="2" t="s">
        <v>18</v>
      </c>
      <c r="E1900" s="4">
        <v>-32158</v>
      </c>
      <c r="F1900" s="3" t="s">
        <v>46</v>
      </c>
      <c r="G1900" s="3" t="s">
        <v>2989</v>
      </c>
      <c r="H1900" s="2" t="s">
        <v>148</v>
      </c>
      <c r="I1900" s="2" t="s">
        <v>5350</v>
      </c>
      <c r="J1900" s="3" t="str">
        <f>HYPERLINK("https://www.boe.es/gazeta/dias/1811/12/14/pdfs/GEI-1811-162.pdf#page=3","Abrir facsímil")</f>
        <v>Abrir facsímil</v>
      </c>
      <c r="K1900" s="3" t="s">
        <v>150</v>
      </c>
    </row>
    <row r="1901" spans="1:11" ht="42" customHeight="1">
      <c r="A1901" s="2" t="s">
        <v>5351</v>
      </c>
      <c r="B1901" s="2" t="s">
        <v>5352</v>
      </c>
      <c r="C1901" s="2" t="s">
        <v>17</v>
      </c>
      <c r="D1901" s="2" t="s">
        <v>18</v>
      </c>
      <c r="E1901" s="4">
        <v>-32200</v>
      </c>
      <c r="F1901" s="3" t="s">
        <v>109</v>
      </c>
      <c r="G1901" s="3" t="s">
        <v>268</v>
      </c>
      <c r="H1901" s="2" t="s">
        <v>148</v>
      </c>
      <c r="I1901" s="2" t="s">
        <v>5353</v>
      </c>
      <c r="J1901" s="3" t="str">
        <f>HYPERLINK("https://www.boe.es/gazeta/dias/1811/11/02/pdfs/GEI-1811-141.pdf#page=7","Abrir facsímil")</f>
        <v>Abrir facsímil</v>
      </c>
      <c r="K1901" s="3" t="s">
        <v>150</v>
      </c>
    </row>
    <row r="1902" spans="1:11" ht="42" customHeight="1">
      <c r="A1902" s="2" t="s">
        <v>5354</v>
      </c>
      <c r="B1902" s="2" t="s">
        <v>5355</v>
      </c>
      <c r="C1902" s="2" t="s">
        <v>17</v>
      </c>
      <c r="D1902" s="2" t="s">
        <v>18</v>
      </c>
      <c r="E1902" s="4">
        <v>-32333</v>
      </c>
      <c r="F1902" s="3" t="s">
        <v>292</v>
      </c>
      <c r="G1902" s="3" t="s">
        <v>476</v>
      </c>
      <c r="H1902" s="2" t="s">
        <v>148</v>
      </c>
      <c r="I1902" s="2" t="s">
        <v>5356</v>
      </c>
      <c r="J1902" s="3" t="str">
        <f>HYPERLINK("https://www.boe.es/gazeta/dias/1811/06/22/pdfs/GEI-1811-83.pdf#page=7","Abrir facsímil")</f>
        <v>Abrir facsímil</v>
      </c>
      <c r="K1902" s="3" t="s">
        <v>150</v>
      </c>
    </row>
    <row r="1903" spans="1:11" ht="42" customHeight="1">
      <c r="A1903" s="2" t="s">
        <v>5357</v>
      </c>
      <c r="B1903" s="2" t="s">
        <v>5358</v>
      </c>
      <c r="C1903" s="2" t="s">
        <v>17</v>
      </c>
      <c r="D1903" s="2" t="s">
        <v>156</v>
      </c>
      <c r="E1903" s="4">
        <v>-32235</v>
      </c>
      <c r="F1903" s="3" t="s">
        <v>190</v>
      </c>
      <c r="G1903" s="3" t="s">
        <v>188</v>
      </c>
      <c r="H1903" s="2" t="s">
        <v>148</v>
      </c>
      <c r="I1903" s="2" t="s">
        <v>5359</v>
      </c>
      <c r="J1903" s="3" t="str">
        <f>HYPERLINK("https://www.boe.es/gazeta/dias/1811/09/28/pdfs/GEI-1811-125.pdf#page=8","Abrir facsímil")</f>
        <v>Abrir facsímil</v>
      </c>
      <c r="K1903" s="3" t="s">
        <v>150</v>
      </c>
    </row>
    <row r="1904" spans="1:11" ht="42" customHeight="1">
      <c r="A1904" s="2" t="s">
        <v>5360</v>
      </c>
      <c r="B1904" s="2" t="s">
        <v>5360</v>
      </c>
      <c r="C1904" s="2" t="s">
        <v>17</v>
      </c>
      <c r="D1904" s="2" t="s">
        <v>18</v>
      </c>
      <c r="E1904" s="4">
        <v>-32342</v>
      </c>
      <c r="F1904" s="3" t="s">
        <v>1474</v>
      </c>
      <c r="G1904" s="3" t="s">
        <v>586</v>
      </c>
      <c r="H1904" s="2" t="s">
        <v>148</v>
      </c>
      <c r="I1904" s="2" t="s">
        <v>5361</v>
      </c>
      <c r="J1904" s="3" t="str">
        <f>HYPERLINK("https://www.boe.es/gazeta/dias/1811/06/13/pdfs/GEI-1811-79.pdf#page=5","Abrir facsímil")</f>
        <v>Abrir facsímil</v>
      </c>
      <c r="K1904" s="3" t="s">
        <v>150</v>
      </c>
    </row>
    <row r="1905" spans="1:11" ht="42" customHeight="1">
      <c r="A1905" s="2" t="s">
        <v>5362</v>
      </c>
      <c r="B1905" s="2" t="s">
        <v>5362</v>
      </c>
      <c r="C1905" s="2" t="s">
        <v>17</v>
      </c>
      <c r="D1905" s="2" t="s">
        <v>156</v>
      </c>
      <c r="E1905" s="4">
        <v>-32384</v>
      </c>
      <c r="F1905" s="3" t="s">
        <v>338</v>
      </c>
      <c r="G1905" s="3" t="s">
        <v>5363</v>
      </c>
      <c r="H1905" s="2" t="s">
        <v>148</v>
      </c>
      <c r="I1905" s="2" t="s">
        <v>5364</v>
      </c>
      <c r="J1905" s="3" t="str">
        <f>HYPERLINK("https://www.boe.es/gazeta/dias/1811/05/02/pdfs/GEI-1811-58.pdf#page=4","Abrir facsímil")</f>
        <v>Abrir facsímil</v>
      </c>
      <c r="K1905" s="3" t="s">
        <v>150</v>
      </c>
    </row>
    <row r="1906" spans="1:11" ht="42" customHeight="1">
      <c r="A1906" s="2" t="s">
        <v>5365</v>
      </c>
      <c r="B1906" s="2" t="s">
        <v>5365</v>
      </c>
      <c r="C1906" s="2" t="s">
        <v>17</v>
      </c>
      <c r="D1906" s="2" t="s">
        <v>18</v>
      </c>
      <c r="E1906" s="4">
        <v>-32246</v>
      </c>
      <c r="F1906" s="3" t="s">
        <v>19</v>
      </c>
      <c r="G1906" s="3" t="s">
        <v>891</v>
      </c>
      <c r="H1906" s="2" t="s">
        <v>148</v>
      </c>
      <c r="I1906" s="2" t="s">
        <v>5366</v>
      </c>
      <c r="J1906" s="3" t="str">
        <f>HYPERLINK("https://www.boe.es/gazeta/dias/1811/09/17/pdfs/GEI-1811-120.pdf#page=5","Abrir facsímil")</f>
        <v>Abrir facsímil</v>
      </c>
      <c r="K1906" s="3" t="s">
        <v>150</v>
      </c>
    </row>
    <row r="1907" spans="1:11" ht="42" customHeight="1">
      <c r="A1907" s="2" t="s">
        <v>5365</v>
      </c>
      <c r="B1907" s="2" t="s">
        <v>5365</v>
      </c>
      <c r="C1907" s="2" t="s">
        <v>17</v>
      </c>
      <c r="D1907" s="2" t="s">
        <v>156</v>
      </c>
      <c r="E1907" s="4">
        <v>-32246</v>
      </c>
      <c r="F1907" s="3" t="s">
        <v>19</v>
      </c>
      <c r="G1907" s="3" t="s">
        <v>4473</v>
      </c>
      <c r="H1907" s="2" t="s">
        <v>148</v>
      </c>
      <c r="I1907" s="2" t="s">
        <v>5367</v>
      </c>
      <c r="J1907" s="3" t="str">
        <f>HYPERLINK("https://www.boe.es/gazeta/dias/1811/09/17/pdfs/GEI-1811-120.pdf#page=6","Abrir facsímil")</f>
        <v>Abrir facsímil</v>
      </c>
      <c r="K1907" s="3" t="s">
        <v>150</v>
      </c>
    </row>
    <row r="1908" spans="1:11" ht="42" customHeight="1">
      <c r="A1908" s="2" t="s">
        <v>5365</v>
      </c>
      <c r="B1908" s="2" t="s">
        <v>5365</v>
      </c>
      <c r="C1908" s="2" t="s">
        <v>17</v>
      </c>
      <c r="D1908" s="2" t="s">
        <v>18</v>
      </c>
      <c r="E1908" s="4">
        <v>-32246</v>
      </c>
      <c r="F1908" s="3" t="s">
        <v>19</v>
      </c>
      <c r="G1908" s="3" t="s">
        <v>5368</v>
      </c>
      <c r="H1908" s="2" t="s">
        <v>148</v>
      </c>
      <c r="I1908" s="2" t="s">
        <v>5369</v>
      </c>
      <c r="J1908" s="3" t="str">
        <f>HYPERLINK("https://www.boe.es/gazeta/dias/1811/09/17/pdfs/GEI-1811-120.pdf#page=9","Abrir facsímil")</f>
        <v>Abrir facsímil</v>
      </c>
      <c r="K1908" s="3" t="s">
        <v>150</v>
      </c>
    </row>
    <row r="1909" spans="1:11" ht="42" customHeight="1">
      <c r="A1909" s="2" t="s">
        <v>5365</v>
      </c>
      <c r="B1909" s="2" t="s">
        <v>5365</v>
      </c>
      <c r="C1909" s="2" t="s">
        <v>17</v>
      </c>
      <c r="D1909" s="2" t="s">
        <v>18</v>
      </c>
      <c r="E1909" s="4">
        <v>-32246</v>
      </c>
      <c r="F1909" s="3" t="s">
        <v>19</v>
      </c>
      <c r="G1909" s="3" t="s">
        <v>4705</v>
      </c>
      <c r="H1909" s="2" t="s">
        <v>148</v>
      </c>
      <c r="I1909" s="2" t="s">
        <v>5370</v>
      </c>
      <c r="J1909" s="3" t="str">
        <f>HYPERLINK("https://www.boe.es/gazeta/dias/1811/09/17/pdfs/GEI-1811-120.pdf#page=11","Abrir facsímil")</f>
        <v>Abrir facsímil</v>
      </c>
      <c r="K1909" s="3" t="s">
        <v>150</v>
      </c>
    </row>
    <row r="1910" spans="1:11" ht="42" customHeight="1">
      <c r="A1910" s="2" t="s">
        <v>5365</v>
      </c>
      <c r="B1910" s="2" t="s">
        <v>5365</v>
      </c>
      <c r="C1910" s="2" t="s">
        <v>17</v>
      </c>
      <c r="D1910" s="2" t="s">
        <v>18</v>
      </c>
      <c r="E1910" s="4">
        <v>-32246</v>
      </c>
      <c r="F1910" s="3" t="s">
        <v>19</v>
      </c>
      <c r="G1910" s="3" t="s">
        <v>4541</v>
      </c>
      <c r="H1910" s="2" t="s">
        <v>148</v>
      </c>
      <c r="I1910" s="2" t="s">
        <v>5371</v>
      </c>
      <c r="J1910" s="3" t="str">
        <f>HYPERLINK("https://www.boe.es/gazeta/dias/1811/09/17/pdfs/GEI-1811-120.pdf#page=15","Abrir facsímil")</f>
        <v>Abrir facsímil</v>
      </c>
      <c r="K1910" s="3" t="s">
        <v>150</v>
      </c>
    </row>
    <row r="1911" spans="1:11" ht="42" customHeight="1">
      <c r="A1911" s="2" t="s">
        <v>5365</v>
      </c>
      <c r="B1911" s="2" t="s">
        <v>5365</v>
      </c>
      <c r="C1911" s="2" t="s">
        <v>17</v>
      </c>
      <c r="D1911" s="2" t="s">
        <v>18</v>
      </c>
      <c r="E1911" s="4">
        <v>-32246</v>
      </c>
      <c r="F1911" s="3" t="s">
        <v>19</v>
      </c>
      <c r="G1911" s="3" t="s">
        <v>4551</v>
      </c>
      <c r="H1911" s="2" t="s">
        <v>148</v>
      </c>
      <c r="I1911" s="2" t="s">
        <v>5372</v>
      </c>
      <c r="J1911" s="3" t="str">
        <f>HYPERLINK("https://www.boe.es/gazeta/dias/1811/09/17/pdfs/GEI-1811-120.pdf#page=19","Abrir facsímil")</f>
        <v>Abrir facsímil</v>
      </c>
      <c r="K1911" s="3" t="s">
        <v>150</v>
      </c>
    </row>
    <row r="1912" spans="1:11" ht="42" customHeight="1">
      <c r="A1912" s="2" t="s">
        <v>5373</v>
      </c>
      <c r="B1912" s="2" t="s">
        <v>5374</v>
      </c>
      <c r="C1912" s="2" t="s">
        <v>367</v>
      </c>
      <c r="D1912" s="2" t="s">
        <v>18</v>
      </c>
      <c r="E1912" s="4">
        <v>-32444</v>
      </c>
      <c r="F1912" s="3" t="s">
        <v>4512</v>
      </c>
      <c r="G1912" s="3" t="s">
        <v>44</v>
      </c>
      <c r="H1912" s="2" t="s">
        <v>148</v>
      </c>
      <c r="I1912" s="2" t="s">
        <v>5375</v>
      </c>
      <c r="J1912" s="3" t="str">
        <f>HYPERLINK("https://www.boe.es/gazeta/dias/1811/03/03/pdfs/GMD-1811-62.pdf#page=2","Abrir facsímil")</f>
        <v>Abrir facsímil</v>
      </c>
      <c r="K1912" s="3" t="s">
        <v>150</v>
      </c>
    </row>
    <row r="1913" spans="1:11" ht="42" customHeight="1">
      <c r="A1913" s="2" t="s">
        <v>5376</v>
      </c>
      <c r="B1913" s="2" t="s">
        <v>5377</v>
      </c>
      <c r="C1913" s="2" t="s">
        <v>26</v>
      </c>
      <c r="D1913" s="2" t="s">
        <v>18</v>
      </c>
      <c r="E1913" s="4">
        <v>-32163</v>
      </c>
      <c r="F1913" s="3" t="s">
        <v>497</v>
      </c>
      <c r="G1913" s="3" t="s">
        <v>498</v>
      </c>
      <c r="H1913" s="2" t="s">
        <v>148</v>
      </c>
      <c r="I1913" s="2" t="s">
        <v>5378</v>
      </c>
      <c r="J1913" s="3" t="str">
        <f>HYPERLINK("https://www.boe.es/gazeta/dias/1811/12/09/pdfs/GMD-1811-343.pdf#page=4","Abrir facsímil")</f>
        <v>Abrir facsímil</v>
      </c>
      <c r="K1913" s="3" t="s">
        <v>150</v>
      </c>
    </row>
    <row r="1914" spans="1:11" ht="42" customHeight="1">
      <c r="A1914" s="2" t="s">
        <v>5379</v>
      </c>
      <c r="B1914" s="2" t="s">
        <v>5380</v>
      </c>
      <c r="C1914" s="2" t="s">
        <v>26</v>
      </c>
      <c r="D1914" s="2" t="s">
        <v>18</v>
      </c>
      <c r="E1914" s="4">
        <v>-32172</v>
      </c>
      <c r="F1914" s="3" t="s">
        <v>300</v>
      </c>
      <c r="G1914" s="3" t="s">
        <v>305</v>
      </c>
      <c r="H1914" s="2" t="s">
        <v>148</v>
      </c>
      <c r="I1914" s="2" t="s">
        <v>5381</v>
      </c>
      <c r="J1914" s="3" t="str">
        <f>HYPERLINK("https://www.boe.es/gazeta/dias/1811/11/30/pdfs/GMD-1811-334.pdf#page=3","Abrir facsímil")</f>
        <v>Abrir facsímil</v>
      </c>
      <c r="K1914" s="3" t="s">
        <v>150</v>
      </c>
    </row>
    <row r="1915" spans="1:11" ht="42" customHeight="1">
      <c r="A1915" s="2" t="s">
        <v>5382</v>
      </c>
      <c r="B1915" s="2" t="s">
        <v>5383</v>
      </c>
      <c r="C1915" s="2" t="s">
        <v>26</v>
      </c>
      <c r="D1915" s="2" t="s">
        <v>18</v>
      </c>
      <c r="E1915" s="4">
        <v>-32270</v>
      </c>
      <c r="F1915" s="3" t="s">
        <v>431</v>
      </c>
      <c r="G1915" s="3" t="s">
        <v>2080</v>
      </c>
      <c r="H1915" s="2" t="s">
        <v>148</v>
      </c>
      <c r="I1915" s="2" t="s">
        <v>5384</v>
      </c>
      <c r="J1915" s="3" t="str">
        <f>HYPERLINK("https://www.boe.es/gazeta/dias/1811/08/24/pdfs/GEI-1811-110.pdf#page=5","Abrir facsímil")</f>
        <v>Abrir facsímil</v>
      </c>
      <c r="K1915" s="3" t="s">
        <v>150</v>
      </c>
    </row>
    <row r="1916" spans="1:11" ht="42" customHeight="1">
      <c r="A1916" s="2" t="s">
        <v>5385</v>
      </c>
      <c r="B1916" s="2" t="s">
        <v>5386</v>
      </c>
      <c r="C1916" s="2" t="s">
        <v>17</v>
      </c>
      <c r="D1916" s="2" t="s">
        <v>156</v>
      </c>
      <c r="E1916" s="4">
        <v>-32416</v>
      </c>
      <c r="F1916" s="3" t="s">
        <v>954</v>
      </c>
      <c r="G1916" s="3" t="s">
        <v>183</v>
      </c>
      <c r="H1916" s="2" t="s">
        <v>148</v>
      </c>
      <c r="I1916" s="2" t="s">
        <v>5387</v>
      </c>
      <c r="J1916" s="3" t="str">
        <f>HYPERLINK("https://www.boe.es/gazeta/dias/1811/03/31/pdfs/GMD-1811-90.pdf#page=4","Abrir facsímil")</f>
        <v>Abrir facsímil</v>
      </c>
      <c r="K1916" s="3" t="s">
        <v>150</v>
      </c>
    </row>
    <row r="1917" spans="1:11" ht="42" customHeight="1">
      <c r="A1917" s="2" t="s">
        <v>5388</v>
      </c>
      <c r="B1917" s="2" t="s">
        <v>5389</v>
      </c>
      <c r="C1917" s="2" t="s">
        <v>26</v>
      </c>
      <c r="D1917" s="2" t="s">
        <v>18</v>
      </c>
      <c r="E1917" s="4">
        <v>-32200</v>
      </c>
      <c r="F1917" s="3" t="s">
        <v>109</v>
      </c>
      <c r="G1917" s="3" t="s">
        <v>268</v>
      </c>
      <c r="H1917" s="2" t="s">
        <v>148</v>
      </c>
      <c r="I1917" s="2" t="s">
        <v>5390</v>
      </c>
      <c r="J1917" s="3" t="str">
        <f>HYPERLINK("https://www.boe.es/gazeta/dias/1811/11/02/pdfs/GEI-1811-141.pdf#page=7","Abrir facsímil")</f>
        <v>Abrir facsímil</v>
      </c>
      <c r="K1917" s="3" t="s">
        <v>150</v>
      </c>
    </row>
    <row r="1918" spans="1:11" ht="42" customHeight="1">
      <c r="A1918" s="2" t="s">
        <v>5391</v>
      </c>
      <c r="B1918" s="2" t="s">
        <v>5392</v>
      </c>
      <c r="C1918" s="2" t="s">
        <v>26</v>
      </c>
      <c r="D1918" s="2" t="s">
        <v>141</v>
      </c>
      <c r="E1918" s="4">
        <v>-32355</v>
      </c>
      <c r="F1918" s="3" t="s">
        <v>537</v>
      </c>
      <c r="G1918" s="3" t="s">
        <v>2225</v>
      </c>
      <c r="H1918" s="2" t="s">
        <v>148</v>
      </c>
      <c r="I1918" s="2" t="s">
        <v>5393</v>
      </c>
      <c r="J1918" s="3" t="str">
        <f>HYPERLINK("https://www.boe.es/gazeta/dias/1811/05/31/pdfs/GMD-C-1811-151.pdf#page=5","Abrir facsímil")</f>
        <v>Abrir facsímil</v>
      </c>
      <c r="K1918" s="3" t="s">
        <v>150</v>
      </c>
    </row>
    <row r="1919" spans="1:11" ht="42" customHeight="1">
      <c r="A1919" s="2" t="s">
        <v>5394</v>
      </c>
      <c r="B1919" s="2" t="s">
        <v>5395</v>
      </c>
      <c r="C1919" s="2" t="s">
        <v>26</v>
      </c>
      <c r="D1919" s="2" t="s">
        <v>141</v>
      </c>
      <c r="E1919" s="4">
        <v>-32238</v>
      </c>
      <c r="F1919" s="3" t="s">
        <v>166</v>
      </c>
      <c r="G1919" s="3" t="s">
        <v>657</v>
      </c>
      <c r="H1919" s="2" t="s">
        <v>148</v>
      </c>
      <c r="I1919" s="2" t="s">
        <v>5396</v>
      </c>
      <c r="J1919" s="3" t="str">
        <f>HYPERLINK("https://www.boe.es/gazeta/dias/1811/09/25/pdfs/GMD-C-1811-268.pdf#page=3","Abrir facsímil")</f>
        <v>Abrir facsímil</v>
      </c>
      <c r="K1919" s="3" t="s">
        <v>150</v>
      </c>
    </row>
    <row r="1920" spans="1:11" ht="42" customHeight="1">
      <c r="A1920" s="2" t="s">
        <v>5397</v>
      </c>
      <c r="B1920" s="2" t="s">
        <v>5398</v>
      </c>
      <c r="C1920" s="2" t="s">
        <v>26</v>
      </c>
      <c r="D1920" s="2" t="s">
        <v>18</v>
      </c>
      <c r="E1920" s="4">
        <v>-32454</v>
      </c>
      <c r="F1920" s="3" t="s">
        <v>2268</v>
      </c>
      <c r="G1920" s="3" t="s">
        <v>44</v>
      </c>
      <c r="H1920" s="2" t="s">
        <v>148</v>
      </c>
      <c r="I1920" s="2" t="s">
        <v>5399</v>
      </c>
      <c r="J1920" s="3" t="str">
        <f>HYPERLINK("https://www.boe.es/gazeta/dias/1811/02/21/pdfs/GEI-1811-23.pdf#page=4","Abrir facsímil")</f>
        <v>Abrir facsímil</v>
      </c>
      <c r="K1920" s="3" t="s">
        <v>150</v>
      </c>
    </row>
    <row r="1921" spans="1:11" ht="42" customHeight="1">
      <c r="A1921" s="2" t="s">
        <v>5397</v>
      </c>
      <c r="B1921" s="2" t="s">
        <v>5398</v>
      </c>
      <c r="C1921" s="2" t="s">
        <v>17</v>
      </c>
      <c r="D1921" s="2" t="s">
        <v>18</v>
      </c>
      <c r="E1921" s="4">
        <v>-32174</v>
      </c>
      <c r="F1921" s="3" t="s">
        <v>172</v>
      </c>
      <c r="G1921" s="3" t="s">
        <v>173</v>
      </c>
      <c r="H1921" s="2" t="s">
        <v>148</v>
      </c>
      <c r="I1921" s="2" t="s">
        <v>5400</v>
      </c>
      <c r="J1921" s="3" t="str">
        <f>HYPERLINK("https://www.boe.es/gazeta/dias/1811/11/28/pdfs/GEI-1811-155.pdf#page=5","Abrir facsímil")</f>
        <v>Abrir facsímil</v>
      </c>
      <c r="K1921" s="3" t="s">
        <v>150</v>
      </c>
    </row>
    <row r="1922" spans="1:11" ht="42" customHeight="1">
      <c r="A1922" s="2" t="s">
        <v>5397</v>
      </c>
      <c r="B1922" s="2" t="s">
        <v>5398</v>
      </c>
      <c r="C1922" s="2" t="s">
        <v>26</v>
      </c>
      <c r="D1922" s="2" t="s">
        <v>18</v>
      </c>
      <c r="E1922" s="4">
        <v>-32153</v>
      </c>
      <c r="F1922" s="3" t="s">
        <v>235</v>
      </c>
      <c r="G1922" s="3" t="s">
        <v>5401</v>
      </c>
      <c r="H1922" s="2" t="s">
        <v>148</v>
      </c>
      <c r="I1922" s="2" t="s">
        <v>5402</v>
      </c>
      <c r="J1922" s="3" t="str">
        <f>HYPERLINK("https://www.boe.es/gazeta/dias/1811/12/19/pdfs/GEI-1811-164.pdf#page=6","Abrir facsímil")</f>
        <v>Abrir facsímil</v>
      </c>
      <c r="K1922" s="3" t="s">
        <v>150</v>
      </c>
    </row>
    <row r="1923" spans="1:11" ht="42" customHeight="1">
      <c r="A1923" s="2" t="s">
        <v>5403</v>
      </c>
      <c r="B1923" s="2" t="s">
        <v>5404</v>
      </c>
      <c r="C1923" s="2" t="s">
        <v>26</v>
      </c>
      <c r="D1923" s="2" t="s">
        <v>18</v>
      </c>
      <c r="E1923" s="4">
        <v>-32153</v>
      </c>
      <c r="F1923" s="3" t="s">
        <v>235</v>
      </c>
      <c r="G1923" s="3" t="s">
        <v>5401</v>
      </c>
      <c r="H1923" s="2" t="s">
        <v>148</v>
      </c>
      <c r="I1923" s="2" t="s">
        <v>5405</v>
      </c>
      <c r="J1923" s="3" t="str">
        <f>HYPERLINK("https://www.boe.es/gazeta/dias/1811/12/19/pdfs/GEI-1811-164.pdf#page=6","Abrir facsímil")</f>
        <v>Abrir facsímil</v>
      </c>
      <c r="K1923" s="3" t="s">
        <v>150</v>
      </c>
    </row>
    <row r="1924" spans="1:11" ht="42" customHeight="1">
      <c r="A1924" s="2" t="s">
        <v>5406</v>
      </c>
      <c r="B1924" s="2" t="s">
        <v>5407</v>
      </c>
      <c r="C1924" s="2" t="s">
        <v>26</v>
      </c>
      <c r="D1924" s="2" t="s">
        <v>18</v>
      </c>
      <c r="E1924" s="4">
        <v>-32249</v>
      </c>
      <c r="F1924" s="3" t="s">
        <v>182</v>
      </c>
      <c r="G1924" s="3" t="s">
        <v>44</v>
      </c>
      <c r="H1924" s="2" t="s">
        <v>148</v>
      </c>
      <c r="I1924" s="2" t="s">
        <v>5408</v>
      </c>
      <c r="J1924" s="3" t="str">
        <f>HYPERLINK("https://www.boe.es/gazeta/dias/1811/09/14/pdfs/GMD-1811-257.pdf#page=3","Abrir facsímil")</f>
        <v>Abrir facsímil</v>
      </c>
      <c r="K1924" s="3" t="s">
        <v>150</v>
      </c>
    </row>
    <row r="1925" spans="1:11" ht="42" customHeight="1">
      <c r="A1925" s="2" t="s">
        <v>5409</v>
      </c>
      <c r="B1925" s="2" t="s">
        <v>5410</v>
      </c>
      <c r="C1925" s="2" t="s">
        <v>37</v>
      </c>
      <c r="D1925" s="2" t="s">
        <v>156</v>
      </c>
      <c r="E1925" s="4">
        <v>-32333</v>
      </c>
      <c r="F1925" s="3" t="s">
        <v>292</v>
      </c>
      <c r="G1925" s="3" t="s">
        <v>476</v>
      </c>
      <c r="H1925" s="2" t="s">
        <v>148</v>
      </c>
      <c r="I1925" s="2" t="s">
        <v>5411</v>
      </c>
      <c r="J1925" s="3" t="str">
        <f>HYPERLINK("https://www.boe.es/gazeta/dias/1811/06/22/pdfs/GEI-1811-83.pdf#page=7","Abrir facsímil")</f>
        <v>Abrir facsímil</v>
      </c>
      <c r="K1925" s="3" t="s">
        <v>150</v>
      </c>
    </row>
    <row r="1926" spans="1:11" ht="42" customHeight="1">
      <c r="A1926" s="2" t="s">
        <v>5412</v>
      </c>
      <c r="B1926" s="2" t="s">
        <v>5413</v>
      </c>
      <c r="C1926" s="2" t="s">
        <v>37</v>
      </c>
      <c r="D1926" s="2" t="s">
        <v>156</v>
      </c>
      <c r="E1926" s="4">
        <v>-32179</v>
      </c>
      <c r="F1926" s="3" t="s">
        <v>614</v>
      </c>
      <c r="G1926" s="3" t="s">
        <v>5164</v>
      </c>
      <c r="H1926" s="2" t="s">
        <v>21</v>
      </c>
      <c r="I1926" s="2" t="s">
        <v>5414</v>
      </c>
      <c r="J1926" s="3" t="str">
        <f>HYPERLINK("https://www.boe.es/gazeta/dias/1811/11/23/pdfs/GEI-1811-153.pdf#page=7","Abrir facsímil")</f>
        <v>Abrir facsímil</v>
      </c>
      <c r="K1926" s="3" t="s">
        <v>23</v>
      </c>
    </row>
    <row r="1927" spans="1:11" ht="42" customHeight="1">
      <c r="A1927" s="2" t="s">
        <v>5415</v>
      </c>
      <c r="B1927" s="2" t="s">
        <v>5416</v>
      </c>
      <c r="C1927" s="2" t="s">
        <v>104</v>
      </c>
      <c r="D1927" s="2" t="s">
        <v>18</v>
      </c>
      <c r="E1927" s="4">
        <v>-32270</v>
      </c>
      <c r="F1927" s="3" t="s">
        <v>431</v>
      </c>
      <c r="G1927" s="3" t="s">
        <v>2080</v>
      </c>
      <c r="H1927" s="2" t="s">
        <v>148</v>
      </c>
      <c r="I1927" s="2" t="s">
        <v>5417</v>
      </c>
      <c r="J1927" s="3" t="str">
        <f>HYPERLINK("https://www.boe.es/gazeta/dias/1811/08/24/pdfs/GEI-1811-110.pdf#page=5","Abrir facsímil")</f>
        <v>Abrir facsímil</v>
      </c>
      <c r="K1927" s="3" t="s">
        <v>150</v>
      </c>
    </row>
    <row r="1928" spans="1:11" ht="42" customHeight="1">
      <c r="A1928" s="2" t="s">
        <v>5418</v>
      </c>
      <c r="B1928" s="2" t="s">
        <v>5419</v>
      </c>
      <c r="C1928" s="2" t="s">
        <v>26</v>
      </c>
      <c r="D1928" s="2" t="s">
        <v>141</v>
      </c>
      <c r="E1928" s="4">
        <v>-32238</v>
      </c>
      <c r="F1928" s="3" t="s">
        <v>166</v>
      </c>
      <c r="G1928" s="3" t="s">
        <v>39</v>
      </c>
      <c r="H1928" s="2" t="s">
        <v>148</v>
      </c>
      <c r="I1928" s="2" t="s">
        <v>5420</v>
      </c>
      <c r="J1928" s="3" t="str">
        <f>HYPERLINK("https://www.boe.es/gazeta/dias/1811/09/25/pdfs/GMD-C-1811-268.pdf#page=2","Abrir facsímil")</f>
        <v>Abrir facsímil</v>
      </c>
      <c r="K1928" s="3" t="s">
        <v>150</v>
      </c>
    </row>
    <row r="1929" spans="1:11" ht="42" customHeight="1">
      <c r="A1929" s="2" t="s">
        <v>5421</v>
      </c>
      <c r="B1929" s="2" t="s">
        <v>5422</v>
      </c>
      <c r="C1929" s="2" t="s">
        <v>26</v>
      </c>
      <c r="D1929" s="2" t="s">
        <v>18</v>
      </c>
      <c r="E1929" s="4">
        <v>-32489</v>
      </c>
      <c r="F1929" s="3" t="s">
        <v>722</v>
      </c>
      <c r="G1929" s="3" t="s">
        <v>468</v>
      </c>
      <c r="H1929" s="2" t="s">
        <v>148</v>
      </c>
      <c r="I1929" s="2" t="s">
        <v>5423</v>
      </c>
      <c r="J1929" s="3" t="str">
        <f>HYPERLINK("https://www.boe.es/gazeta/dias/1811/01/17/pdfs/GMD-1811-17.pdf#page=4","Abrir facsímil")</f>
        <v>Abrir facsímil</v>
      </c>
      <c r="K1929" s="3" t="s">
        <v>150</v>
      </c>
    </row>
    <row r="1930" spans="1:11" ht="42" customHeight="1">
      <c r="A1930" s="2" t="s">
        <v>5424</v>
      </c>
      <c r="B1930" s="2" t="s">
        <v>5425</v>
      </c>
      <c r="C1930" s="2" t="s">
        <v>26</v>
      </c>
      <c r="D1930" s="2" t="s">
        <v>18</v>
      </c>
      <c r="E1930" s="4">
        <v>-32181</v>
      </c>
      <c r="F1930" s="3" t="s">
        <v>1169</v>
      </c>
      <c r="G1930" s="3" t="s">
        <v>1170</v>
      </c>
      <c r="H1930" s="2" t="s">
        <v>148</v>
      </c>
      <c r="I1930" s="2" t="s">
        <v>5426</v>
      </c>
      <c r="J1930" s="3" t="str">
        <f>HYPERLINK("https://www.boe.es/gazeta/dias/1811/11/21/pdfs/GMD-1811-325.pdf#page=4","Abrir facsímil")</f>
        <v>Abrir facsímil</v>
      </c>
      <c r="K1930" s="3" t="s">
        <v>150</v>
      </c>
    </row>
    <row r="1931" spans="1:11" ht="42" customHeight="1">
      <c r="A1931" s="2" t="s">
        <v>5427</v>
      </c>
      <c r="B1931" s="2" t="s">
        <v>5428</v>
      </c>
      <c r="C1931" s="2" t="s">
        <v>17</v>
      </c>
      <c r="D1931" s="2" t="s">
        <v>156</v>
      </c>
      <c r="E1931" s="4">
        <v>-32344</v>
      </c>
      <c r="F1931" s="3" t="s">
        <v>761</v>
      </c>
      <c r="G1931" s="3" t="s">
        <v>44</v>
      </c>
      <c r="H1931" s="2" t="s">
        <v>148</v>
      </c>
      <c r="I1931" s="2" t="s">
        <v>5429</v>
      </c>
      <c r="J1931" s="3" t="str">
        <f>HYPERLINK("https://www.boe.es/gazeta/dias/1811/06/11/pdfs/GEI-1811-78.pdf#page=7","Abrir facsímil")</f>
        <v>Abrir facsímil</v>
      </c>
      <c r="K1931" s="3" t="s">
        <v>150</v>
      </c>
    </row>
    <row r="1932" spans="1:11" ht="42" customHeight="1">
      <c r="A1932" s="2" t="s">
        <v>5430</v>
      </c>
      <c r="B1932" s="2" t="s">
        <v>5430</v>
      </c>
      <c r="C1932" s="2" t="s">
        <v>17</v>
      </c>
      <c r="D1932" s="2" t="s">
        <v>18</v>
      </c>
      <c r="E1932" s="4">
        <v>-32268</v>
      </c>
      <c r="F1932" s="3" t="s">
        <v>3683</v>
      </c>
      <c r="G1932" s="3" t="s">
        <v>91</v>
      </c>
      <c r="H1932" s="2" t="s">
        <v>148</v>
      </c>
      <c r="I1932" s="2" t="s">
        <v>5431</v>
      </c>
      <c r="J1932" s="3" t="str">
        <f>HYPERLINK("https://www.boe.es/gazeta/dias/1811/08/26/pdfs/GMD-1811-238.pdf#page=3","Abrir facsímil")</f>
        <v>Abrir facsímil</v>
      </c>
      <c r="K1932" s="3" t="s">
        <v>150</v>
      </c>
    </row>
    <row r="1933" spans="1:11" ht="42" customHeight="1">
      <c r="A1933" s="2" t="s">
        <v>5432</v>
      </c>
      <c r="B1933" s="2" t="s">
        <v>5432</v>
      </c>
      <c r="C1933" s="2" t="s">
        <v>17</v>
      </c>
      <c r="D1933" s="2" t="s">
        <v>156</v>
      </c>
      <c r="E1933" s="4">
        <v>-32232</v>
      </c>
      <c r="F1933" s="3" t="s">
        <v>1816</v>
      </c>
      <c r="G1933" s="3" t="s">
        <v>162</v>
      </c>
      <c r="H1933" s="2" t="s">
        <v>148</v>
      </c>
      <c r="I1933" s="2" t="s">
        <v>5433</v>
      </c>
      <c r="J1933" s="3" t="str">
        <f>HYPERLINK("https://www.boe.es/gazeta/dias/1811/10/01/pdfs/GEI-1811-126.pdf#page=5","Abrir facsímil")</f>
        <v>Abrir facsímil</v>
      </c>
      <c r="K1933" s="3" t="s">
        <v>150</v>
      </c>
    </row>
    <row r="1934" spans="1:11" ht="42" customHeight="1">
      <c r="A1934" s="2" t="s">
        <v>5434</v>
      </c>
      <c r="B1934" s="2" t="s">
        <v>5434</v>
      </c>
      <c r="C1934" s="2" t="s">
        <v>17</v>
      </c>
      <c r="D1934" s="2" t="s">
        <v>18</v>
      </c>
      <c r="E1934" s="4">
        <v>-32242</v>
      </c>
      <c r="F1934" s="3" t="s">
        <v>3015</v>
      </c>
      <c r="G1934" s="3" t="s">
        <v>1143</v>
      </c>
      <c r="H1934" s="2" t="s">
        <v>148</v>
      </c>
      <c r="I1934" s="2" t="s">
        <v>5435</v>
      </c>
      <c r="J1934" s="3" t="str">
        <f>HYPERLINK("https://www.boe.es/gazeta/dias/1811/09/21/pdfs/GMD-1811-264.pdf#page=1","Abrir facsímil")</f>
        <v>Abrir facsímil</v>
      </c>
      <c r="K1934" s="3" t="s">
        <v>150</v>
      </c>
    </row>
    <row r="1935" spans="1:11" ht="42" customHeight="1">
      <c r="A1935" s="2" t="s">
        <v>5436</v>
      </c>
      <c r="B1935" s="2" t="s">
        <v>5436</v>
      </c>
      <c r="C1935" s="2" t="s">
        <v>17</v>
      </c>
      <c r="D1935" s="2" t="s">
        <v>156</v>
      </c>
      <c r="E1935" s="4">
        <v>-32438</v>
      </c>
      <c r="F1935" s="3" t="s">
        <v>114</v>
      </c>
      <c r="G1935" s="3" t="s">
        <v>2805</v>
      </c>
      <c r="H1935" s="2" t="s">
        <v>148</v>
      </c>
      <c r="I1935" s="2" t="s">
        <v>5437</v>
      </c>
      <c r="J1935" s="3" t="str">
        <f>HYPERLINK("https://www.boe.es/gazeta/dias/1811/03/09/pdfs/GEI-1811-33.pdf#page=6","Abrir facsímil")</f>
        <v>Abrir facsímil</v>
      </c>
      <c r="K1935" s="3" t="s">
        <v>150</v>
      </c>
    </row>
    <row r="1936" spans="1:11" ht="42" customHeight="1">
      <c r="A1936" s="2" t="s">
        <v>5438</v>
      </c>
      <c r="B1936" s="2" t="s">
        <v>5439</v>
      </c>
      <c r="C1936" s="2" t="s">
        <v>26</v>
      </c>
      <c r="D1936" s="2" t="s">
        <v>18</v>
      </c>
      <c r="E1936" s="4">
        <v>-32286</v>
      </c>
      <c r="F1936" s="3" t="s">
        <v>754</v>
      </c>
      <c r="G1936" s="3" t="s">
        <v>1728</v>
      </c>
      <c r="H1936" s="2" t="s">
        <v>148</v>
      </c>
      <c r="I1936" s="2" t="s">
        <v>5440</v>
      </c>
      <c r="J1936" s="3" t="str">
        <f>HYPERLINK("https://www.boe.es/gazeta/dias/1811/08/08/pdfs/GEI-1811-103.pdf#page=8","Abrir facsímil")</f>
        <v>Abrir facsímil</v>
      </c>
      <c r="K1936" s="3" t="s">
        <v>150</v>
      </c>
    </row>
    <row r="1937" spans="1:11" ht="42" customHeight="1">
      <c r="A1937" s="2" t="s">
        <v>5441</v>
      </c>
      <c r="B1937" s="2" t="s">
        <v>5442</v>
      </c>
      <c r="C1937" s="2" t="s">
        <v>17</v>
      </c>
      <c r="D1937" s="2" t="s">
        <v>156</v>
      </c>
      <c r="E1937" s="4">
        <v>-32407</v>
      </c>
      <c r="F1937" s="3" t="s">
        <v>38</v>
      </c>
      <c r="G1937" s="3" t="s">
        <v>480</v>
      </c>
      <c r="H1937" s="2" t="s">
        <v>148</v>
      </c>
      <c r="I1937" s="2" t="s">
        <v>5443</v>
      </c>
      <c r="J1937" s="3" t="str">
        <f>HYPERLINK("https://www.boe.es/gazeta/dias/1811/04/09/pdfs/GEI-1811-48.pdf#page=4","Abrir facsímil")</f>
        <v>Abrir facsímil</v>
      </c>
      <c r="K1937" s="3" t="s">
        <v>150</v>
      </c>
    </row>
    <row r="1938" spans="1:11" ht="42" customHeight="1">
      <c r="A1938" s="2" t="s">
        <v>5444</v>
      </c>
      <c r="B1938" s="2" t="s">
        <v>5445</v>
      </c>
      <c r="C1938" s="2" t="s">
        <v>17</v>
      </c>
      <c r="D1938" s="2" t="s">
        <v>18</v>
      </c>
      <c r="E1938" s="4">
        <v>-32337</v>
      </c>
      <c r="F1938" s="3" t="s">
        <v>5266</v>
      </c>
      <c r="G1938" s="3" t="s">
        <v>115</v>
      </c>
      <c r="H1938" s="2" t="s">
        <v>148</v>
      </c>
      <c r="I1938" s="2" t="s">
        <v>5446</v>
      </c>
      <c r="J1938" s="3" t="str">
        <f>HYPERLINK("https://www.boe.es/gazeta/dias/1811/06/18/pdfs/GEI-1811-81.pdf#page=3","Abrir facsímil")</f>
        <v>Abrir facsímil</v>
      </c>
      <c r="K1938" s="3" t="s">
        <v>150</v>
      </c>
    </row>
    <row r="1939" spans="1:11" ht="42" customHeight="1">
      <c r="A1939" s="2" t="s">
        <v>5447</v>
      </c>
      <c r="B1939" s="2" t="s">
        <v>5448</v>
      </c>
      <c r="C1939" s="2" t="s">
        <v>17</v>
      </c>
      <c r="D1939" s="2" t="s">
        <v>156</v>
      </c>
      <c r="E1939" s="4">
        <v>-32232</v>
      </c>
      <c r="F1939" s="3" t="s">
        <v>1816</v>
      </c>
      <c r="G1939" s="3" t="s">
        <v>1817</v>
      </c>
      <c r="H1939" s="2" t="s">
        <v>148</v>
      </c>
      <c r="I1939" s="2" t="s">
        <v>5449</v>
      </c>
      <c r="J1939" s="3" t="str">
        <f>HYPERLINK("https://www.boe.es/gazeta/dias/1811/10/01/pdfs/GEI-1811-126.pdf#page=8","Abrir facsímil")</f>
        <v>Abrir facsímil</v>
      </c>
      <c r="K1939" s="3" t="s">
        <v>150</v>
      </c>
    </row>
    <row r="1940" spans="1:11" ht="42" customHeight="1">
      <c r="A1940" s="2" t="s">
        <v>5450</v>
      </c>
      <c r="B1940" s="2" t="s">
        <v>5451</v>
      </c>
      <c r="C1940" s="2" t="s">
        <v>17</v>
      </c>
      <c r="D1940" s="2" t="s">
        <v>156</v>
      </c>
      <c r="E1940" s="4">
        <v>-32498</v>
      </c>
      <c r="F1940" s="3" t="s">
        <v>5452</v>
      </c>
      <c r="G1940" s="3" t="s">
        <v>245</v>
      </c>
      <c r="H1940" s="2" t="s">
        <v>148</v>
      </c>
      <c r="I1940" s="2" t="s">
        <v>5453</v>
      </c>
      <c r="J1940" s="3" t="str">
        <f>HYPERLINK("https://www.boe.es/gazeta/dias/1811/01/08/pdfs/GMD-1811-8.pdf#page=1","Abrir facsímil")</f>
        <v>Abrir facsímil</v>
      </c>
      <c r="K1940" s="3" t="s">
        <v>150</v>
      </c>
    </row>
    <row r="1941" spans="1:11" ht="42" customHeight="1">
      <c r="A1941" s="2" t="s">
        <v>5454</v>
      </c>
      <c r="B1941" s="2" t="s">
        <v>5455</v>
      </c>
      <c r="C1941" s="2" t="s">
        <v>17</v>
      </c>
      <c r="D1941" s="2" t="s">
        <v>18</v>
      </c>
      <c r="E1941" s="4">
        <v>-32349</v>
      </c>
      <c r="F1941" s="3" t="s">
        <v>3983</v>
      </c>
      <c r="G1941" s="3" t="s">
        <v>183</v>
      </c>
      <c r="H1941" s="2" t="s">
        <v>148</v>
      </c>
      <c r="I1941" s="2" t="s">
        <v>5456</v>
      </c>
      <c r="J1941" s="3" t="str">
        <f>HYPERLINK("https://www.boe.es/gazeta/dias/1811/06/06/pdfs/GMD-1811-157.pdf#page=4","Abrir facsímil")</f>
        <v>Abrir facsímil</v>
      </c>
      <c r="K1941" s="3" t="s">
        <v>150</v>
      </c>
    </row>
    <row r="1942" spans="1:11" ht="42" customHeight="1">
      <c r="A1942" s="2" t="s">
        <v>5457</v>
      </c>
      <c r="B1942" s="2" t="s">
        <v>5457</v>
      </c>
      <c r="C1942" s="2" t="s">
        <v>17</v>
      </c>
      <c r="D1942" s="2" t="s">
        <v>204</v>
      </c>
      <c r="E1942" s="4">
        <v>-32467</v>
      </c>
      <c r="F1942" s="3" t="s">
        <v>768</v>
      </c>
      <c r="G1942" s="3" t="s">
        <v>382</v>
      </c>
      <c r="H1942" s="2" t="s">
        <v>148</v>
      </c>
      <c r="I1942" s="2" t="s">
        <v>5458</v>
      </c>
      <c r="J1942" s="3" t="str">
        <f>HYPERLINK("https://www.boe.es/gazeta/dias/1811/02/08/pdfs/GMD-1811-39.pdf#page=3","Abrir facsímil")</f>
        <v>Abrir facsímil</v>
      </c>
      <c r="K1942" s="3" t="s">
        <v>150</v>
      </c>
    </row>
    <row r="1943" spans="1:11" ht="42" customHeight="1">
      <c r="A1943" s="2" t="s">
        <v>5459</v>
      </c>
      <c r="B1943" s="2" t="s">
        <v>5459</v>
      </c>
      <c r="C1943" s="2" t="s">
        <v>17</v>
      </c>
      <c r="D1943" s="2" t="s">
        <v>204</v>
      </c>
      <c r="E1943" s="4">
        <v>-32376</v>
      </c>
      <c r="F1943" s="3" t="s">
        <v>5460</v>
      </c>
      <c r="G1943" s="3" t="s">
        <v>91</v>
      </c>
      <c r="H1943" s="2" t="s">
        <v>148</v>
      </c>
      <c r="I1943" s="2" t="s">
        <v>5461</v>
      </c>
      <c r="J1943" s="3" t="str">
        <f>HYPERLINK("https://www.boe.es/gazeta/dias/1811/05/10/pdfs/GMD-1811-130.pdf#page=4","Abrir facsímil")</f>
        <v>Abrir facsímil</v>
      </c>
      <c r="K1943" s="3" t="s">
        <v>150</v>
      </c>
    </row>
    <row r="1944" spans="1:11" ht="42" customHeight="1">
      <c r="A1944" s="2" t="s">
        <v>5462</v>
      </c>
      <c r="B1944" s="2" t="s">
        <v>5462</v>
      </c>
      <c r="C1944" s="2" t="s">
        <v>17</v>
      </c>
      <c r="D1944" s="2" t="s">
        <v>204</v>
      </c>
      <c r="E1944" s="4">
        <v>-32395</v>
      </c>
      <c r="F1944" s="3" t="s">
        <v>2968</v>
      </c>
      <c r="G1944" s="3" t="s">
        <v>1710</v>
      </c>
      <c r="H1944" s="2" t="s">
        <v>148</v>
      </c>
      <c r="I1944" s="2" t="s">
        <v>5463</v>
      </c>
      <c r="J1944" s="3" t="str">
        <f>HYPERLINK("https://www.boe.es/gazeta/dias/1811/04/21/pdfs/GMD-1811-111.pdf#page=1","Abrir facsímil")</f>
        <v>Abrir facsímil</v>
      </c>
      <c r="K1944" s="3" t="s">
        <v>150</v>
      </c>
    </row>
    <row r="1945" spans="1:11" ht="42" customHeight="1">
      <c r="A1945" s="2" t="s">
        <v>5464</v>
      </c>
      <c r="B1945" s="2" t="s">
        <v>5464</v>
      </c>
      <c r="C1945" s="2" t="s">
        <v>17</v>
      </c>
      <c r="D1945" s="2" t="s">
        <v>18</v>
      </c>
      <c r="E1945" s="4">
        <v>-32457</v>
      </c>
      <c r="F1945" s="3" t="s">
        <v>3646</v>
      </c>
      <c r="G1945" s="3" t="s">
        <v>44</v>
      </c>
      <c r="H1945" s="2" t="s">
        <v>148</v>
      </c>
      <c r="I1945" s="2" t="s">
        <v>5465</v>
      </c>
      <c r="J1945" s="3" t="str">
        <f>HYPERLINK("https://www.boe.es/gazeta/dias/1811/02/18/pdfs/GMD-1811-49.pdf#page=2","Abrir facsímil")</f>
        <v>Abrir facsímil</v>
      </c>
      <c r="K1945" s="3" t="s">
        <v>150</v>
      </c>
    </row>
    <row r="1946" spans="1:11" ht="42" customHeight="1">
      <c r="A1946" s="2" t="s">
        <v>5464</v>
      </c>
      <c r="B1946" s="2" t="s">
        <v>5464</v>
      </c>
      <c r="C1946" s="2" t="s">
        <v>367</v>
      </c>
      <c r="D1946" s="2" t="s">
        <v>18</v>
      </c>
      <c r="E1946" s="4">
        <v>-32444</v>
      </c>
      <c r="F1946" s="3" t="s">
        <v>4512</v>
      </c>
      <c r="G1946" s="3" t="s">
        <v>44</v>
      </c>
      <c r="H1946" s="2" t="s">
        <v>148</v>
      </c>
      <c r="I1946" s="2" t="s">
        <v>5466</v>
      </c>
      <c r="J1946" s="3" t="str">
        <f>HYPERLINK("https://www.boe.es/gazeta/dias/1811/03/03/pdfs/GMD-1811-62.pdf#page=2","Abrir facsímil")</f>
        <v>Abrir facsímil</v>
      </c>
      <c r="K1946" s="3" t="s">
        <v>150</v>
      </c>
    </row>
    <row r="1947" spans="1:11" ht="42" customHeight="1">
      <c r="A1947" s="2" t="s">
        <v>5464</v>
      </c>
      <c r="B1947" s="2" t="s">
        <v>5464</v>
      </c>
      <c r="C1947" s="2" t="s">
        <v>17</v>
      </c>
      <c r="D1947" s="2" t="s">
        <v>156</v>
      </c>
      <c r="E1947" s="4">
        <v>-32419</v>
      </c>
      <c r="F1947" s="3" t="s">
        <v>5133</v>
      </c>
      <c r="G1947" s="3" t="s">
        <v>582</v>
      </c>
      <c r="H1947" s="2" t="s">
        <v>148</v>
      </c>
      <c r="I1947" s="2" t="s">
        <v>5467</v>
      </c>
      <c r="J1947" s="3" t="str">
        <f>HYPERLINK("https://www.boe.es/gazeta/dias/1811/03/28/pdfs/GMD-1811-87.pdf#page=1","Abrir facsímil")</f>
        <v>Abrir facsímil</v>
      </c>
      <c r="K1947" s="3" t="s">
        <v>150</v>
      </c>
    </row>
    <row r="1948" spans="1:11" ht="42" customHeight="1">
      <c r="A1948" s="2" t="s">
        <v>5464</v>
      </c>
      <c r="B1948" s="2" t="s">
        <v>5464</v>
      </c>
      <c r="C1948" s="2" t="s">
        <v>17</v>
      </c>
      <c r="D1948" s="2" t="s">
        <v>18</v>
      </c>
      <c r="E1948" s="4">
        <v>-32366</v>
      </c>
      <c r="F1948" s="3" t="s">
        <v>5468</v>
      </c>
      <c r="G1948" s="3" t="s">
        <v>248</v>
      </c>
      <c r="H1948" s="2" t="s">
        <v>148</v>
      </c>
      <c r="I1948" s="2" t="s">
        <v>5469</v>
      </c>
      <c r="J1948" s="3" t="str">
        <f>HYPERLINK("https://www.boe.es/gazeta/dias/1811/05/20/pdfs/GMD-1811-140.pdf#page=1","Abrir facsímil")</f>
        <v>Abrir facsímil</v>
      </c>
      <c r="K1948" s="3" t="s">
        <v>150</v>
      </c>
    </row>
    <row r="1949" spans="1:11" ht="42" customHeight="1">
      <c r="A1949" s="2" t="s">
        <v>5464</v>
      </c>
      <c r="B1949" s="2" t="s">
        <v>5464</v>
      </c>
      <c r="C1949" s="2" t="s">
        <v>17</v>
      </c>
      <c r="D1949" s="2" t="s">
        <v>18</v>
      </c>
      <c r="E1949" s="4">
        <v>-32360</v>
      </c>
      <c r="F1949" s="3" t="s">
        <v>5470</v>
      </c>
      <c r="G1949" s="3" t="s">
        <v>468</v>
      </c>
      <c r="H1949" s="2" t="s">
        <v>148</v>
      </c>
      <c r="I1949" s="2" t="s">
        <v>5471</v>
      </c>
      <c r="J1949" s="3" t="str">
        <f>HYPERLINK("https://www.boe.es/gazeta/dias/1811/05/26/pdfs/GMD-1811-146.pdf#page=1","Abrir facsímil")</f>
        <v>Abrir facsímil</v>
      </c>
      <c r="K1949" s="3" t="s">
        <v>150</v>
      </c>
    </row>
    <row r="1950" spans="1:11" ht="42" customHeight="1">
      <c r="A1950" s="2" t="s">
        <v>5472</v>
      </c>
      <c r="B1950" s="2" t="s">
        <v>5472</v>
      </c>
      <c r="C1950" s="2" t="s">
        <v>122</v>
      </c>
      <c r="D1950" s="2" t="s">
        <v>18</v>
      </c>
      <c r="E1950" s="4">
        <v>-32346</v>
      </c>
      <c r="F1950" s="3" t="s">
        <v>3180</v>
      </c>
      <c r="G1950" s="3" t="s">
        <v>2430</v>
      </c>
      <c r="H1950" s="2" t="s">
        <v>148</v>
      </c>
      <c r="I1950" s="2" t="s">
        <v>5473</v>
      </c>
      <c r="J1950" s="3" t="str">
        <f>HYPERLINK("https://www.boe.es/gazeta/dias/1811/06/09/pdfs/GMD-1811-160.pdf#page=1","Abrir facsímil")</f>
        <v>Abrir facsímil</v>
      </c>
      <c r="K1950" s="3" t="s">
        <v>150</v>
      </c>
    </row>
    <row r="1951" spans="1:11" ht="42" customHeight="1">
      <c r="A1951" s="2" t="s">
        <v>5464</v>
      </c>
      <c r="B1951" s="2" t="s">
        <v>5464</v>
      </c>
      <c r="C1951" s="2" t="s">
        <v>17</v>
      </c>
      <c r="D1951" s="2" t="s">
        <v>18</v>
      </c>
      <c r="E1951" s="4">
        <v>-32329</v>
      </c>
      <c r="F1951" s="3" t="s">
        <v>3214</v>
      </c>
      <c r="G1951" s="3" t="s">
        <v>5474</v>
      </c>
      <c r="H1951" s="2" t="s">
        <v>148</v>
      </c>
      <c r="I1951" s="2" t="s">
        <v>5475</v>
      </c>
      <c r="J1951" s="3" t="str">
        <f>HYPERLINK("https://www.boe.es/gazeta/dias/1811/06/26/pdfs/GMD-1811-177.pdf#page=1","Abrir facsímil")</f>
        <v>Abrir facsímil</v>
      </c>
      <c r="K1951" s="3" t="s">
        <v>150</v>
      </c>
    </row>
    <row r="1952" spans="1:11" ht="42" customHeight="1">
      <c r="A1952" s="2" t="s">
        <v>5464</v>
      </c>
      <c r="B1952" s="2" t="s">
        <v>5464</v>
      </c>
      <c r="C1952" s="2" t="s">
        <v>26</v>
      </c>
      <c r="D1952" s="2" t="s">
        <v>204</v>
      </c>
      <c r="E1952" s="4">
        <v>-32191</v>
      </c>
      <c r="F1952" s="3" t="s">
        <v>2483</v>
      </c>
      <c r="G1952" s="3" t="s">
        <v>173</v>
      </c>
      <c r="H1952" s="2" t="s">
        <v>148</v>
      </c>
      <c r="I1952" s="2" t="s">
        <v>5476</v>
      </c>
      <c r="J1952" s="3" t="str">
        <f>HYPERLINK("https://www.boe.es/gazeta/dias/1811/11/11/pdfs/GMD-1811-315.pdf#page=1","Abrir facsímil")</f>
        <v>Abrir facsímil</v>
      </c>
      <c r="K1952" s="3" t="s">
        <v>150</v>
      </c>
    </row>
    <row r="1953" spans="1:11" ht="42" customHeight="1">
      <c r="A1953" s="2" t="s">
        <v>5477</v>
      </c>
      <c r="B1953" s="2" t="s">
        <v>5477</v>
      </c>
      <c r="C1953" s="2" t="s">
        <v>17</v>
      </c>
      <c r="D1953" s="2" t="s">
        <v>156</v>
      </c>
      <c r="E1953" s="4">
        <v>-32496</v>
      </c>
      <c r="F1953" s="3" t="s">
        <v>5478</v>
      </c>
      <c r="G1953" s="3" t="s">
        <v>1184</v>
      </c>
      <c r="H1953" s="2" t="s">
        <v>148</v>
      </c>
      <c r="I1953" s="2" t="s">
        <v>5479</v>
      </c>
      <c r="J1953" s="3" t="str">
        <f>HYPERLINK("https://www.boe.es/gazeta/dias/1811/01/10/pdfs/GMD-1811-10.pdf#page=1","Abrir facsímil")</f>
        <v>Abrir facsímil</v>
      </c>
      <c r="K1953" s="3" t="s">
        <v>150</v>
      </c>
    </row>
    <row r="1954" spans="1:11" ht="42" customHeight="1">
      <c r="A1954" s="2" t="s">
        <v>5480</v>
      </c>
      <c r="B1954" s="2" t="s">
        <v>5481</v>
      </c>
      <c r="C1954" s="2" t="s">
        <v>26</v>
      </c>
      <c r="D1954" s="2" t="s">
        <v>18</v>
      </c>
      <c r="E1954" s="4">
        <v>-32172</v>
      </c>
      <c r="F1954" s="3" t="s">
        <v>707</v>
      </c>
      <c r="G1954" s="3" t="s">
        <v>1551</v>
      </c>
      <c r="H1954" s="2" t="s">
        <v>148</v>
      </c>
      <c r="I1954" s="2" t="s">
        <v>5482</v>
      </c>
      <c r="J1954" s="3" t="str">
        <f>HYPERLINK("https://www.boe.es/gazeta/dias/1811/11/30/pdfs/GEI-1811-156.pdf#page=5","Abrir facsímil")</f>
        <v>Abrir facsímil</v>
      </c>
      <c r="K1954" s="3" t="s">
        <v>150</v>
      </c>
    </row>
    <row r="1955" spans="1:11" ht="42" customHeight="1">
      <c r="A1955" s="2" t="s">
        <v>5483</v>
      </c>
      <c r="B1955" s="2" t="s">
        <v>5484</v>
      </c>
      <c r="C1955" s="2" t="s">
        <v>26</v>
      </c>
      <c r="D1955" s="2" t="s">
        <v>18</v>
      </c>
      <c r="E1955" s="4">
        <v>-32155</v>
      </c>
      <c r="F1955" s="3" t="s">
        <v>263</v>
      </c>
      <c r="G1955" s="3" t="s">
        <v>1800</v>
      </c>
      <c r="H1955" s="2" t="s">
        <v>21</v>
      </c>
      <c r="I1955" s="2" t="s">
        <v>5485</v>
      </c>
      <c r="J1955" s="3" t="str">
        <f>HYPERLINK("https://www.boe.es/gazeta/dias/1811/12/17/pdfs/GEI-1811-163.pdf#page=7","Abrir facsímil")</f>
        <v>Abrir facsímil</v>
      </c>
      <c r="K1955" s="3" t="s">
        <v>23</v>
      </c>
    </row>
    <row r="1956" spans="1:11" ht="42" customHeight="1">
      <c r="A1956" s="2" t="s">
        <v>5486</v>
      </c>
      <c r="B1956" s="2" t="s">
        <v>5487</v>
      </c>
      <c r="C1956" s="2" t="s">
        <v>26</v>
      </c>
      <c r="D1956" s="2" t="s">
        <v>141</v>
      </c>
      <c r="E1956" s="4">
        <v>-32249</v>
      </c>
      <c r="F1956" s="3" t="s">
        <v>743</v>
      </c>
      <c r="G1956" s="3" t="s">
        <v>468</v>
      </c>
      <c r="H1956" s="2" t="s">
        <v>21</v>
      </c>
      <c r="I1956" s="2" t="s">
        <v>5488</v>
      </c>
      <c r="J1956" s="3" t="str">
        <f>HYPERLINK("https://www.boe.es/gazeta/dias/1811/09/14/pdfs/GMD-C-1811-257.pdf#page=1","Abrir facsímil")</f>
        <v>Abrir facsímil</v>
      </c>
      <c r="K1956" s="3" t="s">
        <v>23</v>
      </c>
    </row>
    <row r="1957" spans="1:11" ht="42" customHeight="1">
      <c r="A1957" s="2" t="s">
        <v>5489</v>
      </c>
      <c r="B1957" s="2" t="s">
        <v>5490</v>
      </c>
      <c r="C1957" s="2" t="s">
        <v>26</v>
      </c>
      <c r="D1957" s="2" t="s">
        <v>18</v>
      </c>
      <c r="E1957" s="4">
        <v>-32188</v>
      </c>
      <c r="F1957" s="3" t="s">
        <v>356</v>
      </c>
      <c r="G1957" s="3" t="s">
        <v>248</v>
      </c>
      <c r="H1957" s="2" t="s">
        <v>21</v>
      </c>
      <c r="I1957" s="2" t="s">
        <v>5491</v>
      </c>
      <c r="J1957" s="3" t="str">
        <f>HYPERLINK("https://www.boe.es/gazeta/dias/1811/11/14/pdfs/GMD-1811-318.pdf#page=5","Abrir facsímil")</f>
        <v>Abrir facsímil</v>
      </c>
      <c r="K1957" s="3" t="s">
        <v>23</v>
      </c>
    </row>
    <row r="1958" spans="1:11" ht="42" customHeight="1">
      <c r="A1958" s="2" t="s">
        <v>5492</v>
      </c>
      <c r="B1958" s="2" t="s">
        <v>5493</v>
      </c>
      <c r="C1958" s="2" t="s">
        <v>104</v>
      </c>
      <c r="D1958" s="2" t="s">
        <v>528</v>
      </c>
      <c r="E1958" s="4">
        <v>-32219</v>
      </c>
      <c r="F1958" s="3" t="s">
        <v>529</v>
      </c>
      <c r="G1958" s="3" t="s">
        <v>530</v>
      </c>
      <c r="H1958" s="2" t="s">
        <v>21</v>
      </c>
      <c r="I1958" s="2" t="s">
        <v>5494</v>
      </c>
      <c r="J1958" s="3" t="str">
        <f>HYPERLINK("https://www.boe.es/gazeta/dias/1811/10/14/pdfs/GEI-1811-132E.pdf#page=4","Abrir facsímil")</f>
        <v>Abrir facsímil</v>
      </c>
      <c r="K1958" s="3" t="s">
        <v>23</v>
      </c>
    </row>
    <row r="1959" spans="1:11" ht="42" customHeight="1">
      <c r="A1959" s="2" t="s">
        <v>5495</v>
      </c>
      <c r="B1959" s="2" t="s">
        <v>5496</v>
      </c>
      <c r="C1959" s="2" t="s">
        <v>37</v>
      </c>
      <c r="D1959" s="2" t="s">
        <v>18</v>
      </c>
      <c r="E1959" s="4">
        <v>-32416</v>
      </c>
      <c r="F1959" s="3" t="s">
        <v>954</v>
      </c>
      <c r="G1959" s="3" t="s">
        <v>183</v>
      </c>
      <c r="H1959" s="2" t="s">
        <v>21</v>
      </c>
      <c r="I1959" s="2" t="s">
        <v>5497</v>
      </c>
      <c r="J1959" s="3" t="str">
        <f>HYPERLINK("https://www.boe.es/gazeta/dias/1811/03/31/pdfs/GMD-1811-90.pdf#page=4","Abrir facsímil")</f>
        <v>Abrir facsímil</v>
      </c>
      <c r="K1959" s="3" t="s">
        <v>23</v>
      </c>
    </row>
    <row r="1960" spans="1:11" ht="42" customHeight="1">
      <c r="A1960" s="2" t="s">
        <v>5498</v>
      </c>
      <c r="B1960" s="2" t="s">
        <v>5499</v>
      </c>
      <c r="C1960" s="2" t="s">
        <v>26</v>
      </c>
      <c r="D1960" s="2" t="s">
        <v>141</v>
      </c>
      <c r="E1960" s="4">
        <v>-32188</v>
      </c>
      <c r="F1960" s="3" t="s">
        <v>505</v>
      </c>
      <c r="G1960" s="3" t="s">
        <v>47</v>
      </c>
      <c r="H1960" s="2" t="s">
        <v>21</v>
      </c>
      <c r="I1960" s="2" t="s">
        <v>5500</v>
      </c>
      <c r="J1960" s="3" t="str">
        <f>HYPERLINK("https://www.boe.es/gazeta/dias/1811/11/14/pdfs/GEI-D-1811-149.pdf#page=3","Abrir facsímil")</f>
        <v>Abrir facsímil</v>
      </c>
      <c r="K1960" s="3" t="s">
        <v>23</v>
      </c>
    </row>
    <row r="1961" spans="1:11" ht="42" customHeight="1">
      <c r="A1961" s="2" t="s">
        <v>5501</v>
      </c>
      <c r="B1961" s="2" t="s">
        <v>5502</v>
      </c>
      <c r="C1961" s="2" t="s">
        <v>17</v>
      </c>
      <c r="D1961" s="2" t="s">
        <v>18</v>
      </c>
      <c r="E1961" s="4">
        <v>-32181</v>
      </c>
      <c r="F1961" s="3" t="s">
        <v>1169</v>
      </c>
      <c r="G1961" s="3" t="s">
        <v>1170</v>
      </c>
      <c r="H1961" s="2" t="s">
        <v>21</v>
      </c>
      <c r="I1961" s="2" t="s">
        <v>5503</v>
      </c>
      <c r="J1961" s="3" t="str">
        <f>HYPERLINK("https://www.boe.es/gazeta/dias/1811/11/21/pdfs/GMD-1811-325.pdf#page=4","Abrir facsímil")</f>
        <v>Abrir facsímil</v>
      </c>
      <c r="K1961" s="3" t="s">
        <v>23</v>
      </c>
    </row>
    <row r="1962" spans="1:11" ht="42" customHeight="1">
      <c r="A1962" s="2" t="s">
        <v>5504</v>
      </c>
      <c r="B1962" s="2" t="s">
        <v>5505</v>
      </c>
      <c r="C1962" s="2" t="s">
        <v>37</v>
      </c>
      <c r="D1962" s="2" t="s">
        <v>18</v>
      </c>
      <c r="E1962" s="4">
        <v>-32270</v>
      </c>
      <c r="F1962" s="3" t="s">
        <v>431</v>
      </c>
      <c r="G1962" s="3" t="s">
        <v>432</v>
      </c>
      <c r="H1962" s="2" t="s">
        <v>21</v>
      </c>
      <c r="I1962" s="2" t="s">
        <v>5506</v>
      </c>
      <c r="J1962" s="3" t="str">
        <f>HYPERLINK("https://www.boe.es/gazeta/dias/1811/08/24/pdfs/GEI-1811-110.pdf#page=4","Abrir facsímil")</f>
        <v>Abrir facsímil</v>
      </c>
      <c r="K1962" s="3" t="s">
        <v>23</v>
      </c>
    </row>
    <row r="1963" spans="1:11" ht="42" customHeight="1">
      <c r="A1963" s="2" t="s">
        <v>5507</v>
      </c>
      <c r="B1963" s="2" t="s">
        <v>5508</v>
      </c>
      <c r="C1963" s="2" t="s">
        <v>26</v>
      </c>
      <c r="D1963" s="2" t="s">
        <v>18</v>
      </c>
      <c r="E1963" s="4">
        <v>-32153</v>
      </c>
      <c r="F1963" s="3" t="s">
        <v>123</v>
      </c>
      <c r="G1963" s="3" t="s">
        <v>288</v>
      </c>
      <c r="H1963" s="2" t="s">
        <v>21</v>
      </c>
      <c r="I1963" s="2" t="s">
        <v>5509</v>
      </c>
      <c r="J1963" s="3" t="str">
        <f>HYPERLINK("https://www.boe.es/gazeta/dias/1811/12/19/pdfs/GMD-1811-353.pdf#page=4","Abrir facsímil")</f>
        <v>Abrir facsímil</v>
      </c>
      <c r="K1963" s="3" t="s">
        <v>23</v>
      </c>
    </row>
    <row r="1964" spans="1:11" ht="42" customHeight="1">
      <c r="A1964" s="2" t="s">
        <v>5510</v>
      </c>
      <c r="B1964" s="2" t="s">
        <v>5511</v>
      </c>
      <c r="C1964" s="2" t="s">
        <v>26</v>
      </c>
      <c r="D1964" s="2" t="s">
        <v>18</v>
      </c>
      <c r="E1964" s="4">
        <v>-32452</v>
      </c>
      <c r="F1964" s="3" t="s">
        <v>106</v>
      </c>
      <c r="G1964" s="3" t="s">
        <v>20</v>
      </c>
      <c r="H1964" s="2" t="s">
        <v>21</v>
      </c>
      <c r="I1964" s="2" t="s">
        <v>5512</v>
      </c>
      <c r="J1964" s="3" t="str">
        <f>HYPERLINK("https://www.boe.es/gazeta/dias/1811/02/23/pdfs/GEI-1811-24.pdf#page=8","Abrir facsímil")</f>
        <v>Abrir facsímil</v>
      </c>
      <c r="K1964" s="3" t="s">
        <v>23</v>
      </c>
    </row>
    <row r="1965" spans="1:11" ht="42" customHeight="1">
      <c r="A1965" s="2" t="s">
        <v>5513</v>
      </c>
      <c r="B1965" s="2" t="s">
        <v>5514</v>
      </c>
      <c r="C1965" s="2" t="s">
        <v>17</v>
      </c>
      <c r="D1965" s="2" t="s">
        <v>156</v>
      </c>
      <c r="E1965" s="4">
        <v>-32384</v>
      </c>
      <c r="F1965" s="3" t="s">
        <v>338</v>
      </c>
      <c r="G1965" s="3" t="s">
        <v>339</v>
      </c>
      <c r="H1965" s="2" t="s">
        <v>21</v>
      </c>
      <c r="I1965" s="2" t="s">
        <v>5515</v>
      </c>
      <c r="J1965" s="3" t="str">
        <f>HYPERLINK("https://www.boe.es/gazeta/dias/1811/05/02/pdfs/GEI-1811-58.pdf#page=8","Abrir facsímil")</f>
        <v>Abrir facsímil</v>
      </c>
      <c r="K1965" s="3" t="s">
        <v>23</v>
      </c>
    </row>
    <row r="1966" spans="1:11" ht="42" customHeight="1">
      <c r="A1966" s="2" t="s">
        <v>5516</v>
      </c>
      <c r="B1966" s="2" t="s">
        <v>5517</v>
      </c>
      <c r="C1966" s="2" t="s">
        <v>26</v>
      </c>
      <c r="D1966" s="2" t="s">
        <v>18</v>
      </c>
      <c r="E1966" s="4">
        <v>-32396</v>
      </c>
      <c r="F1966" s="3" t="s">
        <v>1267</v>
      </c>
      <c r="G1966" s="3" t="s">
        <v>382</v>
      </c>
      <c r="H1966" s="2" t="s">
        <v>21</v>
      </c>
      <c r="I1966" s="2" t="s">
        <v>5518</v>
      </c>
      <c r="J1966" s="3" t="str">
        <f>HYPERLINK("https://www.boe.es/gazeta/dias/1811/04/20/pdfs/GMD-1811-110.pdf#page=2","Abrir facsímil")</f>
        <v>Abrir facsímil</v>
      </c>
      <c r="K1966" s="3" t="s">
        <v>23</v>
      </c>
    </row>
    <row r="1967" spans="1:11" ht="42" customHeight="1">
      <c r="A1967" s="2" t="s">
        <v>5519</v>
      </c>
      <c r="B1967" s="2" t="s">
        <v>5520</v>
      </c>
      <c r="C1967" s="2" t="s">
        <v>122</v>
      </c>
      <c r="D1967" s="2" t="s">
        <v>18</v>
      </c>
      <c r="E1967" s="4">
        <v>-32153</v>
      </c>
      <c r="F1967" s="3" t="s">
        <v>123</v>
      </c>
      <c r="G1967" s="3" t="s">
        <v>124</v>
      </c>
      <c r="H1967" s="2" t="s">
        <v>21</v>
      </c>
      <c r="I1967" s="2" t="s">
        <v>5521</v>
      </c>
      <c r="J1967" s="3" t="str">
        <f>HYPERLINK("https://www.boe.es/gazeta/dias/1811/12/19/pdfs/GMD-1811-353.pdf#page=6","Abrir facsímil")</f>
        <v>Abrir facsímil</v>
      </c>
      <c r="K1967" s="3" t="s">
        <v>23</v>
      </c>
    </row>
    <row r="1968" spans="1:11" ht="42" customHeight="1">
      <c r="A1968" s="2" t="s">
        <v>5522</v>
      </c>
      <c r="B1968" s="2" t="s">
        <v>5523</v>
      </c>
      <c r="C1968" s="2" t="s">
        <v>17</v>
      </c>
      <c r="D1968" s="2" t="s">
        <v>18</v>
      </c>
      <c r="E1968" s="4">
        <v>-32438</v>
      </c>
      <c r="F1968" s="3" t="s">
        <v>114</v>
      </c>
      <c r="G1968" s="3" t="s">
        <v>115</v>
      </c>
      <c r="H1968" s="2" t="s">
        <v>21</v>
      </c>
      <c r="I1968" s="2" t="s">
        <v>5524</v>
      </c>
      <c r="J1968" s="3" t="str">
        <f>HYPERLINK("https://www.boe.es/gazeta/dias/1811/03/09/pdfs/GEI-1811-33.pdf#page=3","Abrir facsímil")</f>
        <v>Abrir facsímil</v>
      </c>
      <c r="K1968" s="3" t="s">
        <v>23</v>
      </c>
    </row>
    <row r="1969" spans="1:11" ht="42" customHeight="1">
      <c r="A1969" s="2" t="s">
        <v>5525</v>
      </c>
      <c r="B1969" s="2" t="s">
        <v>5526</v>
      </c>
      <c r="C1969" s="2" t="s">
        <v>26</v>
      </c>
      <c r="D1969" s="2" t="s">
        <v>18</v>
      </c>
      <c r="E1969" s="4">
        <v>-32225</v>
      </c>
      <c r="F1969" s="3" t="s">
        <v>390</v>
      </c>
      <c r="G1969" s="3" t="s">
        <v>391</v>
      </c>
      <c r="H1969" s="2" t="s">
        <v>21</v>
      </c>
      <c r="I1969" s="2" t="s">
        <v>5527</v>
      </c>
      <c r="J1969" s="3" t="str">
        <f>HYPERLINK("https://www.boe.es/gazeta/dias/1811/10/08/pdfs/GEI-1811-129.pdf#page=7","Abrir facsímil")</f>
        <v>Abrir facsímil</v>
      </c>
      <c r="K1969" s="3" t="s">
        <v>23</v>
      </c>
    </row>
    <row r="1970" spans="1:11" ht="42" customHeight="1">
      <c r="A1970" s="2" t="s">
        <v>5528</v>
      </c>
      <c r="B1970" s="2" t="s">
        <v>5529</v>
      </c>
      <c r="C1970" s="2" t="s">
        <v>37</v>
      </c>
      <c r="D1970" s="2" t="s">
        <v>105</v>
      </c>
      <c r="E1970" s="4">
        <v>-32416</v>
      </c>
      <c r="F1970" s="3" t="s">
        <v>954</v>
      </c>
      <c r="G1970" s="3" t="s">
        <v>47</v>
      </c>
      <c r="H1970" s="2" t="s">
        <v>21</v>
      </c>
      <c r="I1970" s="2" t="s">
        <v>5530</v>
      </c>
      <c r="J1970" s="3" t="str">
        <f>HYPERLINK("https://www.boe.es/gazeta/dias/1811/03/31/pdfs/GMD-1811-90.pdf#page=3","Abrir facsímil")</f>
        <v>Abrir facsímil</v>
      </c>
      <c r="K1970" s="3" t="s">
        <v>23</v>
      </c>
    </row>
    <row r="1971" spans="1:11" ht="42" customHeight="1">
      <c r="A1971" s="2" t="s">
        <v>5531</v>
      </c>
      <c r="B1971" s="2" t="s">
        <v>5532</v>
      </c>
      <c r="C1971" s="2" t="s">
        <v>17</v>
      </c>
      <c r="D1971" s="2" t="s">
        <v>18</v>
      </c>
      <c r="E1971" s="4">
        <v>-32461</v>
      </c>
      <c r="F1971" s="3" t="s">
        <v>2429</v>
      </c>
      <c r="G1971" s="3" t="s">
        <v>553</v>
      </c>
      <c r="H1971" s="2" t="s">
        <v>21</v>
      </c>
      <c r="I1971" s="2" t="s">
        <v>5533</v>
      </c>
      <c r="J1971" s="3" t="str">
        <f>HYPERLINK("https://www.boe.es/gazeta/dias/1811/02/14/pdfs/GEI-1811-20.pdf#page=1","Abrir facsímil")</f>
        <v>Abrir facsímil</v>
      </c>
      <c r="K1971" s="3" t="s">
        <v>23</v>
      </c>
    </row>
    <row r="1972" spans="1:11" ht="42" customHeight="1">
      <c r="A1972" s="2" t="s">
        <v>5534</v>
      </c>
      <c r="B1972" s="2" t="s">
        <v>5535</v>
      </c>
      <c r="C1972" s="2" t="s">
        <v>26</v>
      </c>
      <c r="D1972" s="2" t="s">
        <v>18</v>
      </c>
      <c r="E1972" s="4">
        <v>-32188</v>
      </c>
      <c r="F1972" s="3" t="s">
        <v>356</v>
      </c>
      <c r="G1972" s="3" t="s">
        <v>248</v>
      </c>
      <c r="H1972" s="2" t="s">
        <v>21</v>
      </c>
      <c r="I1972" s="2" t="s">
        <v>5536</v>
      </c>
      <c r="J1972" s="3" t="str">
        <f>HYPERLINK("https://www.boe.es/gazeta/dias/1811/11/14/pdfs/GMD-1811-318.pdf#page=5","Abrir facsímil")</f>
        <v>Abrir facsímil</v>
      </c>
      <c r="K1972" s="3" t="s">
        <v>23</v>
      </c>
    </row>
    <row r="1973" spans="1:11" ht="42" customHeight="1">
      <c r="A1973" s="2" t="s">
        <v>5537</v>
      </c>
      <c r="B1973" s="2" t="s">
        <v>5538</v>
      </c>
      <c r="C1973" s="2" t="s">
        <v>367</v>
      </c>
      <c r="D1973" s="2" t="s">
        <v>141</v>
      </c>
      <c r="E1973" s="4">
        <v>-32272</v>
      </c>
      <c r="F1973" s="3" t="s">
        <v>1150</v>
      </c>
      <c r="G1973" s="3" t="s">
        <v>248</v>
      </c>
      <c r="H1973" s="2" t="s">
        <v>21</v>
      </c>
      <c r="I1973" s="2" t="s">
        <v>5539</v>
      </c>
      <c r="J1973" s="3" t="str">
        <f>HYPERLINK("https://www.boe.es/gazeta/dias/1811/08/22/pdfs/GMD-C-1811-234.pdf#page=1","Abrir facsímil")</f>
        <v>Abrir facsímil</v>
      </c>
      <c r="K1973" s="3" t="s">
        <v>23</v>
      </c>
    </row>
    <row r="1974" spans="1:11" ht="42" customHeight="1">
      <c r="A1974" s="2" t="s">
        <v>5540</v>
      </c>
      <c r="B1974" s="2" t="s">
        <v>5541</v>
      </c>
      <c r="C1974" s="2" t="s">
        <v>367</v>
      </c>
      <c r="D1974" s="2" t="s">
        <v>141</v>
      </c>
      <c r="E1974" s="4">
        <v>-32238</v>
      </c>
      <c r="F1974" s="3" t="s">
        <v>166</v>
      </c>
      <c r="G1974" s="3" t="s">
        <v>178</v>
      </c>
      <c r="H1974" s="2" t="s">
        <v>21</v>
      </c>
      <c r="I1974" s="2" t="s">
        <v>5542</v>
      </c>
      <c r="J1974" s="3" t="str">
        <f>HYPERLINK("https://www.boe.es/gazeta/dias/1811/09/25/pdfs/GMD-C-1811-268.pdf#page=4","Abrir facsímil")</f>
        <v>Abrir facsímil</v>
      </c>
      <c r="K1974" s="3" t="s">
        <v>23</v>
      </c>
    </row>
    <row r="1975" spans="1:11" ht="42" customHeight="1">
      <c r="A1975" s="2" t="s">
        <v>5543</v>
      </c>
      <c r="B1975" s="2" t="s">
        <v>5544</v>
      </c>
      <c r="C1975" s="2" t="s">
        <v>26</v>
      </c>
      <c r="D1975" s="2" t="s">
        <v>141</v>
      </c>
      <c r="E1975" s="4">
        <v>-32238</v>
      </c>
      <c r="F1975" s="3" t="s">
        <v>166</v>
      </c>
      <c r="G1975" s="3" t="s">
        <v>129</v>
      </c>
      <c r="H1975" s="2" t="s">
        <v>21</v>
      </c>
      <c r="I1975" s="2" t="s">
        <v>5545</v>
      </c>
      <c r="J1975" s="3" t="str">
        <f>HYPERLINK("https://www.boe.es/gazeta/dias/1811/09/25/pdfs/GMD-C-1811-268.pdf#page=1","Abrir facsímil")</f>
        <v>Abrir facsímil</v>
      </c>
      <c r="K1975" s="3" t="s">
        <v>23</v>
      </c>
    </row>
    <row r="1976" spans="1:11" ht="42" customHeight="1">
      <c r="A1976" s="2" t="s">
        <v>5546</v>
      </c>
      <c r="B1976" s="2" t="s">
        <v>5547</v>
      </c>
      <c r="C1976" s="2" t="s">
        <v>26</v>
      </c>
      <c r="D1976" s="2" t="s">
        <v>18</v>
      </c>
      <c r="E1976" s="4">
        <v>-32153</v>
      </c>
      <c r="F1976" s="3" t="s">
        <v>123</v>
      </c>
      <c r="G1976" s="3" t="s">
        <v>124</v>
      </c>
      <c r="H1976" s="2" t="s">
        <v>21</v>
      </c>
      <c r="I1976" s="2" t="s">
        <v>5548</v>
      </c>
      <c r="J1976" s="3" t="str">
        <f>HYPERLINK("https://www.boe.es/gazeta/dias/1811/12/19/pdfs/GMD-1811-353.pdf#page=6","Abrir facsímil")</f>
        <v>Abrir facsímil</v>
      </c>
      <c r="K1976" s="3" t="s">
        <v>23</v>
      </c>
    </row>
    <row r="1977" spans="1:11" ht="42" customHeight="1">
      <c r="A1977" s="2" t="s">
        <v>5549</v>
      </c>
      <c r="B1977" s="2" t="s">
        <v>5550</v>
      </c>
      <c r="C1977" s="2" t="s">
        <v>26</v>
      </c>
      <c r="D1977" s="2" t="s">
        <v>18</v>
      </c>
      <c r="E1977" s="4">
        <v>-32330</v>
      </c>
      <c r="F1977" s="3" t="s">
        <v>1824</v>
      </c>
      <c r="G1977" s="3" t="s">
        <v>1105</v>
      </c>
      <c r="H1977" s="2" t="s">
        <v>21</v>
      </c>
      <c r="I1977" s="2" t="s">
        <v>5551</v>
      </c>
      <c r="J1977" s="3" t="str">
        <f>HYPERLINK("https://www.boe.es/gazeta/dias/1811/06/25/pdfs/GEI-1811-84.pdf#page=7","Abrir facsímil")</f>
        <v>Abrir facsímil</v>
      </c>
      <c r="K1977" s="3" t="s">
        <v>23</v>
      </c>
    </row>
    <row r="1978" spans="1:11" ht="42" customHeight="1">
      <c r="A1978" s="2" t="s">
        <v>5552</v>
      </c>
      <c r="B1978" s="2" t="s">
        <v>5553</v>
      </c>
      <c r="C1978" s="2" t="s">
        <v>26</v>
      </c>
      <c r="D1978" s="2" t="s">
        <v>18</v>
      </c>
      <c r="E1978" s="4">
        <v>-32454</v>
      </c>
      <c r="F1978" s="3" t="s">
        <v>2268</v>
      </c>
      <c r="G1978" s="3" t="s">
        <v>5554</v>
      </c>
      <c r="H1978" s="2" t="s">
        <v>21</v>
      </c>
      <c r="I1978" s="2" t="s">
        <v>5555</v>
      </c>
      <c r="J1978" s="3" t="str">
        <f>HYPERLINK("https://www.boe.es/gazeta/dias/1811/02/21/pdfs/GEI-1811-23.pdf#page=3","Abrir facsímil")</f>
        <v>Abrir facsímil</v>
      </c>
      <c r="K1978" s="3" t="s">
        <v>23</v>
      </c>
    </row>
    <row r="1979" spans="1:11" ht="42" customHeight="1">
      <c r="A1979" s="2" t="s">
        <v>5556</v>
      </c>
      <c r="B1979" s="2" t="s">
        <v>5557</v>
      </c>
      <c r="C1979" s="2" t="s">
        <v>26</v>
      </c>
      <c r="D1979" s="2" t="s">
        <v>18</v>
      </c>
      <c r="E1979" s="4">
        <v>-32188</v>
      </c>
      <c r="F1979" s="3" t="s">
        <v>356</v>
      </c>
      <c r="G1979" s="3" t="s">
        <v>248</v>
      </c>
      <c r="H1979" s="2" t="s">
        <v>21</v>
      </c>
      <c r="I1979" s="2" t="s">
        <v>5558</v>
      </c>
      <c r="J1979" s="3" t="str">
        <f>HYPERLINK("https://www.boe.es/gazeta/dias/1811/11/14/pdfs/GMD-1811-318.pdf#page=5","Abrir facsímil")</f>
        <v>Abrir facsímil</v>
      </c>
      <c r="K1979" s="3" t="s">
        <v>23</v>
      </c>
    </row>
    <row r="1980" spans="1:11" ht="42" customHeight="1">
      <c r="A1980" s="2" t="s">
        <v>5559</v>
      </c>
      <c r="B1980" s="2" t="s">
        <v>5560</v>
      </c>
      <c r="C1980" s="2" t="s">
        <v>17</v>
      </c>
      <c r="D1980" s="2" t="s">
        <v>156</v>
      </c>
      <c r="E1980" s="4">
        <v>-32288</v>
      </c>
      <c r="F1980" s="3" t="s">
        <v>95</v>
      </c>
      <c r="G1980" s="3" t="s">
        <v>476</v>
      </c>
      <c r="H1980" s="2" t="s">
        <v>21</v>
      </c>
      <c r="I1980" s="2" t="s">
        <v>5561</v>
      </c>
      <c r="J1980" s="3" t="str">
        <f>HYPERLINK("https://www.boe.es/gazeta/dias/1811/08/06/pdfs/GEI-1811-102.pdf#page=7","Abrir facsímil")</f>
        <v>Abrir facsímil</v>
      </c>
      <c r="K1980" s="3" t="s">
        <v>23</v>
      </c>
    </row>
    <row r="1981" spans="1:11" ht="42" customHeight="1">
      <c r="A1981" s="2" t="s">
        <v>5562</v>
      </c>
      <c r="B1981" s="2" t="s">
        <v>5563</v>
      </c>
      <c r="C1981" s="2" t="s">
        <v>26</v>
      </c>
      <c r="D1981" s="2" t="s">
        <v>18</v>
      </c>
      <c r="E1981" s="4">
        <v>-32235</v>
      </c>
      <c r="F1981" s="3" t="s">
        <v>190</v>
      </c>
      <c r="G1981" s="3" t="s">
        <v>188</v>
      </c>
      <c r="H1981" s="2" t="s">
        <v>21</v>
      </c>
      <c r="I1981" s="2" t="s">
        <v>5564</v>
      </c>
      <c r="J1981" s="3" t="str">
        <f>HYPERLINK("https://www.boe.es/gazeta/dias/1811/09/28/pdfs/GEI-1811-125.pdf#page=8","Abrir facsímil")</f>
        <v>Abrir facsímil</v>
      </c>
      <c r="K1981" s="3" t="s">
        <v>23</v>
      </c>
    </row>
    <row r="1982" spans="1:11" ht="42" customHeight="1">
      <c r="A1982" s="2" t="s">
        <v>5565</v>
      </c>
      <c r="B1982" s="2" t="s">
        <v>5566</v>
      </c>
      <c r="C1982" s="2" t="s">
        <v>37</v>
      </c>
      <c r="D1982" s="2" t="s">
        <v>18</v>
      </c>
      <c r="E1982" s="4">
        <v>-32407</v>
      </c>
      <c r="F1982" s="3" t="s">
        <v>38</v>
      </c>
      <c r="G1982" s="3" t="s">
        <v>480</v>
      </c>
      <c r="H1982" s="2" t="s">
        <v>21</v>
      </c>
      <c r="I1982" s="2" t="s">
        <v>5567</v>
      </c>
      <c r="J1982" s="3" t="str">
        <f>HYPERLINK("https://www.boe.es/gazeta/dias/1811/04/09/pdfs/GEI-1811-48.pdf#page=4","Abrir facsímil")</f>
        <v>Abrir facsímil</v>
      </c>
      <c r="K1982" s="3" t="s">
        <v>23</v>
      </c>
    </row>
    <row r="1983" spans="1:11" ht="42" customHeight="1">
      <c r="A1983" s="2" t="s">
        <v>5568</v>
      </c>
      <c r="B1983" s="2" t="s">
        <v>5569</v>
      </c>
      <c r="C1983" s="2" t="s">
        <v>17</v>
      </c>
      <c r="D1983" s="2" t="s">
        <v>18</v>
      </c>
      <c r="E1983" s="4">
        <v>-32163</v>
      </c>
      <c r="F1983" s="3" t="s">
        <v>497</v>
      </c>
      <c r="G1983" s="3" t="s">
        <v>498</v>
      </c>
      <c r="H1983" s="2" t="s">
        <v>21</v>
      </c>
      <c r="I1983" s="2" t="s">
        <v>5570</v>
      </c>
      <c r="J1983" s="3" t="str">
        <f>HYPERLINK("https://www.boe.es/gazeta/dias/1811/12/09/pdfs/GMD-1811-343.pdf#page=4","Abrir facsímil")</f>
        <v>Abrir facsímil</v>
      </c>
      <c r="K1983" s="3" t="s">
        <v>23</v>
      </c>
    </row>
    <row r="1984" spans="1:11" ht="42" customHeight="1">
      <c r="A1984" s="2" t="s">
        <v>5571</v>
      </c>
      <c r="B1984" s="2" t="s">
        <v>5572</v>
      </c>
      <c r="C1984" s="2" t="s">
        <v>26</v>
      </c>
      <c r="D1984" s="2" t="s">
        <v>141</v>
      </c>
      <c r="E1984" s="4">
        <v>-32238</v>
      </c>
      <c r="F1984" s="3" t="s">
        <v>166</v>
      </c>
      <c r="G1984" s="3" t="s">
        <v>178</v>
      </c>
      <c r="H1984" s="2" t="s">
        <v>21</v>
      </c>
      <c r="I1984" s="2" t="s">
        <v>5573</v>
      </c>
      <c r="J1984" s="3" t="str">
        <f>HYPERLINK("https://www.boe.es/gazeta/dias/1811/09/25/pdfs/GMD-C-1811-268.pdf#page=4","Abrir facsímil")</f>
        <v>Abrir facsímil</v>
      </c>
      <c r="K1984" s="3" t="s">
        <v>23</v>
      </c>
    </row>
    <row r="1985" spans="1:11" ht="42" customHeight="1">
      <c r="A1985" s="2" t="s">
        <v>5574</v>
      </c>
      <c r="B1985" s="2" t="s">
        <v>5575</v>
      </c>
      <c r="C1985" s="2" t="s">
        <v>367</v>
      </c>
      <c r="D1985" s="2" t="s">
        <v>141</v>
      </c>
      <c r="E1985" s="4">
        <v>-32249</v>
      </c>
      <c r="F1985" s="3" t="s">
        <v>743</v>
      </c>
      <c r="G1985" s="3" t="s">
        <v>1021</v>
      </c>
      <c r="H1985" s="2" t="s">
        <v>21</v>
      </c>
      <c r="I1985" s="2" t="s">
        <v>5576</v>
      </c>
      <c r="J1985" s="3" t="str">
        <f>HYPERLINK("https://www.boe.es/gazeta/dias/1811/09/14/pdfs/GMD-C-1811-257.pdf#page=2","Abrir facsímil")</f>
        <v>Abrir facsímil</v>
      </c>
      <c r="K1985" s="3" t="s">
        <v>23</v>
      </c>
    </row>
    <row r="1986" spans="1:11" ht="42" customHeight="1">
      <c r="A1986" s="2" t="s">
        <v>5577</v>
      </c>
      <c r="B1986" s="2" t="s">
        <v>5578</v>
      </c>
      <c r="C1986" s="2" t="s">
        <v>26</v>
      </c>
      <c r="D1986" s="2" t="s">
        <v>18</v>
      </c>
      <c r="E1986" s="4">
        <v>-32153</v>
      </c>
      <c r="F1986" s="3" t="s">
        <v>123</v>
      </c>
      <c r="G1986" s="3" t="s">
        <v>1067</v>
      </c>
      <c r="H1986" s="2" t="s">
        <v>21</v>
      </c>
      <c r="I1986" s="2" t="s">
        <v>5579</v>
      </c>
      <c r="J1986" s="3" t="str">
        <f>HYPERLINK("https://www.boe.es/gazeta/dias/1811/12/19/pdfs/GMD-1811-353.pdf#page=5","Abrir facsímil")</f>
        <v>Abrir facsímil</v>
      </c>
      <c r="K1986" s="3" t="s">
        <v>23</v>
      </c>
    </row>
    <row r="1987" spans="1:11" ht="42" customHeight="1">
      <c r="A1987" s="2" t="s">
        <v>5580</v>
      </c>
      <c r="B1987" s="2" t="s">
        <v>5581</v>
      </c>
      <c r="C1987" s="2" t="s">
        <v>26</v>
      </c>
      <c r="D1987" s="2" t="s">
        <v>18</v>
      </c>
      <c r="E1987" s="4">
        <v>-32153</v>
      </c>
      <c r="F1987" s="3" t="s">
        <v>123</v>
      </c>
      <c r="G1987" s="3" t="s">
        <v>1067</v>
      </c>
      <c r="H1987" s="2" t="s">
        <v>21</v>
      </c>
      <c r="I1987" s="2" t="s">
        <v>5582</v>
      </c>
      <c r="J1987" s="3" t="str">
        <f>HYPERLINK("https://www.boe.es/gazeta/dias/1811/12/19/pdfs/GMD-1811-353.pdf#page=5","Abrir facsímil")</f>
        <v>Abrir facsímil</v>
      </c>
      <c r="K1987" s="3" t="s">
        <v>23</v>
      </c>
    </row>
    <row r="1988" spans="1:11" ht="42" customHeight="1">
      <c r="A1988" s="2" t="s">
        <v>5583</v>
      </c>
      <c r="B1988" s="2" t="s">
        <v>5584</v>
      </c>
      <c r="C1988" s="2" t="s">
        <v>26</v>
      </c>
      <c r="D1988" s="2" t="s">
        <v>141</v>
      </c>
      <c r="E1988" s="4">
        <v>-32238</v>
      </c>
      <c r="F1988" s="3" t="s">
        <v>166</v>
      </c>
      <c r="G1988" s="3" t="s">
        <v>39</v>
      </c>
      <c r="H1988" s="2" t="s">
        <v>21</v>
      </c>
      <c r="I1988" s="2" t="s">
        <v>5585</v>
      </c>
      <c r="J1988" s="3" t="str">
        <f>HYPERLINK("https://www.boe.es/gazeta/dias/1811/09/25/pdfs/GMD-C-1811-268.pdf#page=2","Abrir facsímil")</f>
        <v>Abrir facsímil</v>
      </c>
      <c r="K1988" s="3" t="s">
        <v>23</v>
      </c>
    </row>
    <row r="1989" spans="1:11" ht="42" customHeight="1">
      <c r="A1989" s="2" t="s">
        <v>5586</v>
      </c>
      <c r="B1989" s="2" t="s">
        <v>5587</v>
      </c>
      <c r="C1989" s="2" t="s">
        <v>26</v>
      </c>
      <c r="D1989" s="2" t="s">
        <v>141</v>
      </c>
      <c r="E1989" s="4">
        <v>-32272</v>
      </c>
      <c r="F1989" s="3" t="s">
        <v>1150</v>
      </c>
      <c r="G1989" s="3" t="s">
        <v>468</v>
      </c>
      <c r="H1989" s="2" t="s">
        <v>21</v>
      </c>
      <c r="I1989" s="2" t="s">
        <v>5588</v>
      </c>
      <c r="J1989" s="3" t="str">
        <f>HYPERLINK("https://www.boe.es/gazeta/dias/1811/08/22/pdfs/GMD-C-1811-234.pdf#page=2","Abrir facsímil")</f>
        <v>Abrir facsímil</v>
      </c>
      <c r="K1989" s="3" t="s">
        <v>23</v>
      </c>
    </row>
    <row r="1990" spans="1:11" ht="42" customHeight="1">
      <c r="A1990" s="2" t="s">
        <v>5589</v>
      </c>
      <c r="B1990" s="2" t="s">
        <v>5590</v>
      </c>
      <c r="C1990" s="2" t="s">
        <v>26</v>
      </c>
      <c r="D1990" s="2" t="s">
        <v>141</v>
      </c>
      <c r="E1990" s="4">
        <v>-32249</v>
      </c>
      <c r="F1990" s="3" t="s">
        <v>743</v>
      </c>
      <c r="G1990" s="3" t="s">
        <v>1021</v>
      </c>
      <c r="H1990" s="2" t="s">
        <v>21</v>
      </c>
      <c r="I1990" s="2" t="s">
        <v>5591</v>
      </c>
      <c r="J1990" s="3" t="str">
        <f>HYPERLINK("https://www.boe.es/gazeta/dias/1811/09/14/pdfs/GMD-C-1811-257.pdf#page=2","Abrir facsímil")</f>
        <v>Abrir facsímil</v>
      </c>
      <c r="K1990" s="3" t="s">
        <v>23</v>
      </c>
    </row>
    <row r="1991" spans="1:11" ht="42" customHeight="1">
      <c r="A1991" s="2" t="s">
        <v>5592</v>
      </c>
      <c r="B1991" s="2" t="s">
        <v>5593</v>
      </c>
      <c r="C1991" s="2" t="s">
        <v>26</v>
      </c>
      <c r="D1991" s="2" t="s">
        <v>18</v>
      </c>
      <c r="E1991" s="4">
        <v>-32188</v>
      </c>
      <c r="F1991" s="3" t="s">
        <v>356</v>
      </c>
      <c r="G1991" s="3" t="s">
        <v>468</v>
      </c>
      <c r="H1991" s="2" t="s">
        <v>21</v>
      </c>
      <c r="I1991" s="2" t="s">
        <v>5594</v>
      </c>
      <c r="J1991" s="3" t="str">
        <f>HYPERLINK("https://www.boe.es/gazeta/dias/1811/11/14/pdfs/GMD-1811-318.pdf#page=6","Abrir facsímil")</f>
        <v>Abrir facsímil</v>
      </c>
      <c r="K1991" s="3" t="s">
        <v>23</v>
      </c>
    </row>
    <row r="1992" spans="1:11" ht="42" customHeight="1">
      <c r="A1992" s="2" t="s">
        <v>5595</v>
      </c>
      <c r="B1992" s="2" t="s">
        <v>5596</v>
      </c>
      <c r="C1992" s="2" t="s">
        <v>26</v>
      </c>
      <c r="D1992" s="2" t="s">
        <v>141</v>
      </c>
      <c r="E1992" s="4">
        <v>-32272</v>
      </c>
      <c r="F1992" s="3" t="s">
        <v>1150</v>
      </c>
      <c r="G1992" s="3" t="s">
        <v>468</v>
      </c>
      <c r="H1992" s="2" t="s">
        <v>21</v>
      </c>
      <c r="I1992" s="2" t="s">
        <v>5597</v>
      </c>
      <c r="J1992" s="3" t="str">
        <f>HYPERLINK("https://www.boe.es/gazeta/dias/1811/08/22/pdfs/GMD-C-1811-234.pdf#page=2","Abrir facsímil")</f>
        <v>Abrir facsímil</v>
      </c>
      <c r="K1992" s="3" t="s">
        <v>23</v>
      </c>
    </row>
    <row r="1993" spans="1:11" ht="42" customHeight="1">
      <c r="A1993" s="2" t="s">
        <v>5598</v>
      </c>
      <c r="B1993" s="2" t="s">
        <v>5599</v>
      </c>
      <c r="C1993" s="2" t="s">
        <v>17</v>
      </c>
      <c r="D1993" s="2" t="s">
        <v>156</v>
      </c>
      <c r="E1993" s="4">
        <v>-32375</v>
      </c>
      <c r="F1993" s="3" t="s">
        <v>1209</v>
      </c>
      <c r="G1993" s="3" t="s">
        <v>248</v>
      </c>
      <c r="H1993" s="2" t="s">
        <v>21</v>
      </c>
      <c r="I1993" s="2" t="s">
        <v>5600</v>
      </c>
      <c r="J1993" s="3" t="str">
        <f>HYPERLINK("https://www.boe.es/gazeta/dias/1811/05/11/pdfs/GEI-1811-62.pdf#page=5","Abrir facsímil")</f>
        <v>Abrir facsímil</v>
      </c>
      <c r="K1993" s="3" t="s">
        <v>23</v>
      </c>
    </row>
    <row r="1994" spans="1:11" ht="42" customHeight="1">
      <c r="A1994" s="2" t="s">
        <v>5601</v>
      </c>
      <c r="B1994" s="2" t="s">
        <v>5602</v>
      </c>
      <c r="C1994" s="2" t="s">
        <v>17</v>
      </c>
      <c r="D1994" s="2" t="s">
        <v>18</v>
      </c>
      <c r="E1994" s="4">
        <v>-32246</v>
      </c>
      <c r="F1994" s="3" t="s">
        <v>19</v>
      </c>
      <c r="G1994" s="3" t="s">
        <v>115</v>
      </c>
      <c r="H1994" s="2" t="s">
        <v>21</v>
      </c>
      <c r="I1994" s="2" t="s">
        <v>5603</v>
      </c>
      <c r="J1994" s="3" t="str">
        <f>HYPERLINK("https://www.boe.es/gazeta/dias/1811/09/17/pdfs/GEI-1811-120.pdf#page=3","Abrir facsímil")</f>
        <v>Abrir facsímil</v>
      </c>
      <c r="K1994" s="3" t="s">
        <v>23</v>
      </c>
    </row>
    <row r="1995" spans="1:11" ht="42" customHeight="1">
      <c r="A1995" s="2" t="s">
        <v>5604</v>
      </c>
      <c r="B1995" s="2" t="s">
        <v>5605</v>
      </c>
      <c r="C1995" s="2" t="s">
        <v>367</v>
      </c>
      <c r="D1995" s="2" t="s">
        <v>141</v>
      </c>
      <c r="E1995" s="4">
        <v>-32272</v>
      </c>
      <c r="F1995" s="3" t="s">
        <v>1150</v>
      </c>
      <c r="G1995" s="3" t="s">
        <v>248</v>
      </c>
      <c r="H1995" s="2" t="s">
        <v>21</v>
      </c>
      <c r="I1995" s="2" t="s">
        <v>5606</v>
      </c>
      <c r="J1995" s="3" t="str">
        <f>HYPERLINK("https://www.boe.es/gazeta/dias/1811/08/22/pdfs/GMD-C-1811-234.pdf#page=1","Abrir facsímil")</f>
        <v>Abrir facsímil</v>
      </c>
      <c r="K1995" s="3" t="s">
        <v>23</v>
      </c>
    </row>
    <row r="1996" spans="1:11" ht="42" customHeight="1">
      <c r="A1996" s="2" t="s">
        <v>5607</v>
      </c>
      <c r="B1996" s="2" t="s">
        <v>5608</v>
      </c>
      <c r="C1996" s="2" t="s">
        <v>26</v>
      </c>
      <c r="D1996" s="2" t="s">
        <v>141</v>
      </c>
      <c r="E1996" s="4">
        <v>-32272</v>
      </c>
      <c r="F1996" s="3" t="s">
        <v>1150</v>
      </c>
      <c r="G1996" s="3" t="s">
        <v>248</v>
      </c>
      <c r="H1996" s="2" t="s">
        <v>21</v>
      </c>
      <c r="I1996" s="2" t="s">
        <v>5609</v>
      </c>
      <c r="J1996" s="3" t="str">
        <f>HYPERLINK("https://www.boe.es/gazeta/dias/1811/08/22/pdfs/GMD-C-1811-234.pdf#page=1","Abrir facsímil")</f>
        <v>Abrir facsímil</v>
      </c>
      <c r="K1996" s="3" t="s">
        <v>23</v>
      </c>
    </row>
    <row r="1997" spans="1:11" ht="42" customHeight="1">
      <c r="A1997" s="2" t="s">
        <v>5610</v>
      </c>
      <c r="B1997" s="2" t="s">
        <v>5611</v>
      </c>
      <c r="C1997" s="2" t="s">
        <v>26</v>
      </c>
      <c r="D1997" s="2" t="s">
        <v>18</v>
      </c>
      <c r="E1997" s="4">
        <v>-32172</v>
      </c>
      <c r="F1997" s="3" t="s">
        <v>300</v>
      </c>
      <c r="G1997" s="3" t="s">
        <v>301</v>
      </c>
      <c r="H1997" s="2" t="s">
        <v>21</v>
      </c>
      <c r="I1997" s="2" t="s">
        <v>5612</v>
      </c>
      <c r="J1997" s="3" t="str">
        <f>HYPERLINK("https://www.boe.es/gazeta/dias/1811/11/30/pdfs/GMD-1811-334.pdf#page=4","Abrir facsímil")</f>
        <v>Abrir facsímil</v>
      </c>
      <c r="K1997" s="3" t="s">
        <v>23</v>
      </c>
    </row>
    <row r="1998" spans="1:11" ht="42" customHeight="1">
      <c r="A1998" s="2" t="s">
        <v>5613</v>
      </c>
      <c r="B1998" s="2" t="s">
        <v>5614</v>
      </c>
      <c r="C1998" s="2" t="s">
        <v>26</v>
      </c>
      <c r="D1998" s="2" t="s">
        <v>18</v>
      </c>
      <c r="E1998" s="4">
        <v>-32314</v>
      </c>
      <c r="F1998" s="3" t="s">
        <v>570</v>
      </c>
      <c r="G1998" s="3" t="s">
        <v>571</v>
      </c>
      <c r="H1998" s="2" t="s">
        <v>21</v>
      </c>
      <c r="I1998" s="2" t="s">
        <v>5615</v>
      </c>
      <c r="J1998" s="3" t="str">
        <f>HYPERLINK("https://www.boe.es/gazeta/dias/1811/07/11/pdfs/GEI-1811-91.pdf#page=7","Abrir facsímil")</f>
        <v>Abrir facsímil</v>
      </c>
      <c r="K1998" s="3" t="s">
        <v>23</v>
      </c>
    </row>
    <row r="1999" spans="1:11" ht="42" customHeight="1">
      <c r="A1999" s="2" t="s">
        <v>5616</v>
      </c>
      <c r="B1999" s="2" t="s">
        <v>5617</v>
      </c>
      <c r="C1999" s="2" t="s">
        <v>37</v>
      </c>
      <c r="D1999" s="2" t="s">
        <v>18</v>
      </c>
      <c r="E1999" s="4">
        <v>-32416</v>
      </c>
      <c r="F1999" s="3" t="s">
        <v>954</v>
      </c>
      <c r="G1999" s="3" t="s">
        <v>47</v>
      </c>
      <c r="H1999" s="2" t="s">
        <v>21</v>
      </c>
      <c r="I1999" s="2" t="s">
        <v>5618</v>
      </c>
      <c r="J1999" s="3" t="str">
        <f>HYPERLINK("https://www.boe.es/gazeta/dias/1811/03/31/pdfs/GMD-1811-90.pdf#page=3","Abrir facsímil")</f>
        <v>Abrir facsímil</v>
      </c>
      <c r="K1999" s="3" t="s">
        <v>23</v>
      </c>
    </row>
    <row r="2000" spans="1:11" ht="42" customHeight="1">
      <c r="A2000" s="2" t="s">
        <v>5619</v>
      </c>
      <c r="B2000" s="2" t="s">
        <v>5620</v>
      </c>
      <c r="C2000" s="2" t="s">
        <v>17</v>
      </c>
      <c r="D2000" s="2" t="s">
        <v>156</v>
      </c>
      <c r="E2000" s="4">
        <v>-32179</v>
      </c>
      <c r="F2000" s="3" t="s">
        <v>2924</v>
      </c>
      <c r="G2000" s="3" t="s">
        <v>2931</v>
      </c>
      <c r="H2000" s="2" t="s">
        <v>21</v>
      </c>
      <c r="I2000" s="2" t="s">
        <v>5621</v>
      </c>
      <c r="J2000" s="3" t="str">
        <f>HYPERLINK("https://www.boe.es/gazeta/dias/1811/11/23/pdfs/GEI-D-1811-153.pdf#page=4","Abrir facsímil")</f>
        <v>Abrir facsímil</v>
      </c>
      <c r="K2000" s="3" t="s">
        <v>23</v>
      </c>
    </row>
    <row r="2001" spans="1:11" ht="42" customHeight="1">
      <c r="A2001" s="2" t="s">
        <v>5622</v>
      </c>
      <c r="B2001" s="2" t="s">
        <v>5623</v>
      </c>
      <c r="C2001" s="2" t="s">
        <v>84</v>
      </c>
      <c r="D2001" s="2" t="s">
        <v>18</v>
      </c>
      <c r="E2001" s="4">
        <v>-32144</v>
      </c>
      <c r="F2001" s="3" t="s">
        <v>1097</v>
      </c>
      <c r="G2001" s="3" t="s">
        <v>1098</v>
      </c>
      <c r="H2001" s="2" t="s">
        <v>148</v>
      </c>
      <c r="I2001" s="2" t="s">
        <v>5624</v>
      </c>
      <c r="J2001" s="3" t="str">
        <f>HYPERLINK("https://www.boe.es/gazeta/dias/1811/12/28/pdfs/GEI-1811-168.pdf#page=8","Abrir facsímil")</f>
        <v>Abrir facsímil</v>
      </c>
      <c r="K2001" s="3" t="s">
        <v>150</v>
      </c>
    </row>
    <row r="2002" spans="1:11" ht="42" customHeight="1">
      <c r="A2002" s="2" t="s">
        <v>5625</v>
      </c>
      <c r="B2002" s="2" t="s">
        <v>5626</v>
      </c>
      <c r="C2002" s="2" t="s">
        <v>26</v>
      </c>
      <c r="D2002" s="2" t="s">
        <v>18</v>
      </c>
      <c r="E2002" s="4">
        <v>-32155</v>
      </c>
      <c r="F2002" s="3" t="s">
        <v>263</v>
      </c>
      <c r="G2002" s="3" t="s">
        <v>1800</v>
      </c>
      <c r="H2002" s="2" t="s">
        <v>148</v>
      </c>
      <c r="I2002" s="2" t="s">
        <v>5627</v>
      </c>
      <c r="J2002" s="3" t="str">
        <f>HYPERLINK("https://www.boe.es/gazeta/dias/1811/12/17/pdfs/GEI-1811-163.pdf#page=7","Abrir facsímil")</f>
        <v>Abrir facsímil</v>
      </c>
      <c r="K2002" s="3" t="s">
        <v>150</v>
      </c>
    </row>
    <row r="2003" spans="1:11" ht="42" customHeight="1">
      <c r="A2003" s="2" t="s">
        <v>5628</v>
      </c>
      <c r="B2003" s="2" t="s">
        <v>5629</v>
      </c>
      <c r="C2003" s="2" t="s">
        <v>17</v>
      </c>
      <c r="D2003" s="2" t="s">
        <v>156</v>
      </c>
      <c r="E2003" s="4">
        <v>-32165</v>
      </c>
      <c r="F2003" s="3" t="s">
        <v>1462</v>
      </c>
      <c r="G2003" s="3" t="s">
        <v>1463</v>
      </c>
      <c r="H2003" s="2" t="s">
        <v>148</v>
      </c>
      <c r="I2003" s="2" t="s">
        <v>5630</v>
      </c>
      <c r="J2003" s="3" t="str">
        <f>HYPERLINK("https://www.boe.es/gazeta/dias/1811/12/07/pdfs/GMD-1811-341.pdf#page=3","Abrir facsímil")</f>
        <v>Abrir facsímil</v>
      </c>
      <c r="K2003" s="3" t="s">
        <v>150</v>
      </c>
    </row>
    <row r="2004" spans="1:11" ht="42" customHeight="1">
      <c r="A2004" s="2" t="s">
        <v>5631</v>
      </c>
      <c r="B2004" s="2" t="s">
        <v>5631</v>
      </c>
      <c r="C2004" s="2" t="s">
        <v>17</v>
      </c>
      <c r="D2004" s="2" t="s">
        <v>18</v>
      </c>
      <c r="E2004" s="4">
        <v>-32228</v>
      </c>
      <c r="F2004" s="3" t="s">
        <v>899</v>
      </c>
      <c r="G2004" s="3" t="s">
        <v>115</v>
      </c>
      <c r="H2004" s="2" t="s">
        <v>148</v>
      </c>
      <c r="I2004" s="2" t="s">
        <v>5632</v>
      </c>
      <c r="J2004" s="3" t="str">
        <f>HYPERLINK("https://www.boe.es/gazeta/dias/1811/10/05/pdfs/GMD-1811-278.pdf#page=3","Abrir facsímil")</f>
        <v>Abrir facsímil</v>
      </c>
      <c r="K2004" s="3" t="s">
        <v>150</v>
      </c>
    </row>
    <row r="2005" spans="1:11" ht="42" customHeight="1">
      <c r="A2005" s="2" t="s">
        <v>5631</v>
      </c>
      <c r="B2005" s="2" t="s">
        <v>5631</v>
      </c>
      <c r="C2005" s="2" t="s">
        <v>17</v>
      </c>
      <c r="D2005" s="2" t="s">
        <v>18</v>
      </c>
      <c r="E2005" s="4">
        <v>-32177</v>
      </c>
      <c r="F2005" s="3" t="s">
        <v>402</v>
      </c>
      <c r="G2005" s="3" t="s">
        <v>47</v>
      </c>
      <c r="H2005" s="2" t="s">
        <v>148</v>
      </c>
      <c r="I2005" s="2" t="s">
        <v>5633</v>
      </c>
      <c r="J2005" s="3" t="str">
        <f>HYPERLINK("https://www.boe.es/gazeta/dias/1811/11/25/pdfs/GMD-1811-329.pdf#page=3","Abrir facsímil")</f>
        <v>Abrir facsímil</v>
      </c>
      <c r="K2005" s="3" t="s">
        <v>150</v>
      </c>
    </row>
    <row r="2006" spans="1:11" ht="42" customHeight="1">
      <c r="A2006" s="2" t="s">
        <v>5634</v>
      </c>
      <c r="B2006" s="2" t="s">
        <v>5634</v>
      </c>
      <c r="C2006" s="2" t="s">
        <v>17</v>
      </c>
      <c r="D2006" s="2" t="s">
        <v>156</v>
      </c>
      <c r="E2006" s="4">
        <v>-32279</v>
      </c>
      <c r="F2006" s="3" t="s">
        <v>540</v>
      </c>
      <c r="G2006" s="3" t="s">
        <v>91</v>
      </c>
      <c r="H2006" s="2" t="s">
        <v>148</v>
      </c>
      <c r="I2006" s="2" t="s">
        <v>5635</v>
      </c>
      <c r="J2006" s="3" t="str">
        <f>HYPERLINK("https://www.boe.es/gazeta/dias/1811/08/15/pdfs/GMD-1811-227.pdf#page=3","Abrir facsímil")</f>
        <v>Abrir facsímil</v>
      </c>
      <c r="K2006" s="3" t="s">
        <v>150</v>
      </c>
    </row>
    <row r="2007" spans="1:11" ht="42" customHeight="1">
      <c r="A2007" s="2" t="s">
        <v>5636</v>
      </c>
      <c r="B2007" s="2" t="s">
        <v>5636</v>
      </c>
      <c r="C2007" s="2" t="s">
        <v>17</v>
      </c>
      <c r="D2007" s="2" t="s">
        <v>156</v>
      </c>
      <c r="E2007" s="4">
        <v>-32186</v>
      </c>
      <c r="F2007" s="3" t="s">
        <v>1425</v>
      </c>
      <c r="G2007" s="3" t="s">
        <v>3662</v>
      </c>
      <c r="H2007" s="2" t="s">
        <v>148</v>
      </c>
      <c r="I2007" s="2" t="s">
        <v>5637</v>
      </c>
      <c r="J2007" s="3" t="str">
        <f>HYPERLINK("https://www.boe.es/gazeta/dias/1811/11/16/pdfs/GEI-1811-150.pdf#page=2","Abrir facsímil")</f>
        <v>Abrir facsímil</v>
      </c>
      <c r="K2007" s="3" t="s">
        <v>150</v>
      </c>
    </row>
    <row r="2008" spans="1:11" ht="42" customHeight="1">
      <c r="A2008" s="2" t="s">
        <v>5638</v>
      </c>
      <c r="B2008" s="2" t="s">
        <v>5639</v>
      </c>
      <c r="C2008" s="2" t="s">
        <v>26</v>
      </c>
      <c r="D2008" s="2" t="s">
        <v>141</v>
      </c>
      <c r="E2008" s="4">
        <v>-32396</v>
      </c>
      <c r="F2008" s="3" t="s">
        <v>804</v>
      </c>
      <c r="G2008" s="3" t="s">
        <v>805</v>
      </c>
      <c r="H2008" s="2" t="s">
        <v>148</v>
      </c>
      <c r="I2008" s="2" t="s">
        <v>5640</v>
      </c>
      <c r="J2008" s="3" t="str">
        <f>HYPERLINK("https://www.boe.es/gazeta/dias/1811/04/20/pdfs/GEI-D-1811-53.pdf#page=4","Abrir facsímil")</f>
        <v>Abrir facsímil</v>
      </c>
      <c r="K2008" s="3" t="s">
        <v>150</v>
      </c>
    </row>
    <row r="2009" spans="1:11" ht="42" customHeight="1">
      <c r="A2009" s="2" t="s">
        <v>5641</v>
      </c>
      <c r="B2009" s="2" t="s">
        <v>5642</v>
      </c>
      <c r="C2009" s="2" t="s">
        <v>17</v>
      </c>
      <c r="D2009" s="2" t="s">
        <v>18</v>
      </c>
      <c r="E2009" s="4">
        <v>-32151</v>
      </c>
      <c r="F2009" s="3" t="s">
        <v>313</v>
      </c>
      <c r="G2009" s="3" t="s">
        <v>5643</v>
      </c>
      <c r="H2009" s="2" t="s">
        <v>148</v>
      </c>
      <c r="I2009" s="2" t="s">
        <v>5644</v>
      </c>
      <c r="J2009" s="3" t="str">
        <f>HYPERLINK("https://www.boe.es/gazeta/dias/1811/12/21/pdfs/GEI-1811-165.pdf#page=8","Abrir facsímil")</f>
        <v>Abrir facsímil</v>
      </c>
      <c r="K2009" s="3" t="s">
        <v>150</v>
      </c>
    </row>
    <row r="2010" spans="1:11" ht="42" customHeight="1">
      <c r="A2010" s="2" t="s">
        <v>5645</v>
      </c>
      <c r="B2010" s="2" t="s">
        <v>5646</v>
      </c>
      <c r="C2010" s="2" t="s">
        <v>37</v>
      </c>
      <c r="D2010" s="2" t="s">
        <v>18</v>
      </c>
      <c r="E2010" s="4">
        <v>-32505</v>
      </c>
      <c r="F2010" s="3" t="s">
        <v>661</v>
      </c>
      <c r="G2010" s="3" t="s">
        <v>530</v>
      </c>
      <c r="H2010" s="2" t="s">
        <v>148</v>
      </c>
      <c r="I2010" s="2" t="s">
        <v>5647</v>
      </c>
      <c r="J2010" s="3" t="str">
        <f>HYPERLINK("https://www.boe.es/gazeta/dias/1811/01/01/pdfs/GMD-1811-1.pdf#page=3","Abrir facsímil")</f>
        <v>Abrir facsímil</v>
      </c>
      <c r="K2010" s="3" t="s">
        <v>150</v>
      </c>
    </row>
    <row r="2011" spans="1:11" ht="42" customHeight="1">
      <c r="A2011" s="2" t="s">
        <v>5648</v>
      </c>
      <c r="B2011" s="2" t="s">
        <v>5649</v>
      </c>
      <c r="C2011" s="2" t="s">
        <v>367</v>
      </c>
      <c r="D2011" s="2" t="s">
        <v>18</v>
      </c>
      <c r="E2011" s="4">
        <v>-32153</v>
      </c>
      <c r="F2011" s="3" t="s">
        <v>123</v>
      </c>
      <c r="G2011" s="3" t="s">
        <v>1067</v>
      </c>
      <c r="H2011" s="2" t="s">
        <v>148</v>
      </c>
      <c r="I2011" s="2" t="s">
        <v>5650</v>
      </c>
      <c r="J2011" s="3" t="str">
        <f>HYPERLINK("https://www.boe.es/gazeta/dias/1811/12/19/pdfs/GMD-1811-353.pdf#page=5","Abrir facsímil")</f>
        <v>Abrir facsímil</v>
      </c>
      <c r="K2011" s="3" t="s">
        <v>150</v>
      </c>
    </row>
    <row r="2012" spans="1:11" ht="42" customHeight="1">
      <c r="A2012" s="2" t="s">
        <v>5651</v>
      </c>
      <c r="B2012" s="2" t="s">
        <v>5652</v>
      </c>
      <c r="C2012" s="2" t="s">
        <v>17</v>
      </c>
      <c r="D2012" s="2" t="s">
        <v>18</v>
      </c>
      <c r="E2012" s="4">
        <v>-32498</v>
      </c>
      <c r="F2012" s="3" t="s">
        <v>828</v>
      </c>
      <c r="G2012" s="3" t="s">
        <v>331</v>
      </c>
      <c r="H2012" s="2" t="s">
        <v>148</v>
      </c>
      <c r="I2012" s="2" t="s">
        <v>5653</v>
      </c>
      <c r="J2012" s="3" t="str">
        <f>HYPERLINK("https://www.boe.es/gazeta/dias/1811/01/08/pdfs/GEI-1811-4.pdf#page=3","Abrir facsímil")</f>
        <v>Abrir facsímil</v>
      </c>
      <c r="K2012" s="3" t="s">
        <v>150</v>
      </c>
    </row>
    <row r="2013" spans="1:11" ht="42" customHeight="1">
      <c r="A2013" s="2" t="s">
        <v>5654</v>
      </c>
      <c r="B2013" s="2" t="s">
        <v>5655</v>
      </c>
      <c r="C2013" s="2" t="s">
        <v>17</v>
      </c>
      <c r="D2013" s="2" t="s">
        <v>18</v>
      </c>
      <c r="E2013" s="4">
        <v>-32200</v>
      </c>
      <c r="F2013" s="3" t="s">
        <v>109</v>
      </c>
      <c r="G2013" s="3" t="s">
        <v>268</v>
      </c>
      <c r="H2013" s="2" t="s">
        <v>148</v>
      </c>
      <c r="I2013" s="2" t="s">
        <v>5656</v>
      </c>
      <c r="J2013" s="3" t="str">
        <f>HYPERLINK("https://www.boe.es/gazeta/dias/1811/11/02/pdfs/GEI-1811-141.pdf#page=7","Abrir facsímil")</f>
        <v>Abrir facsímil</v>
      </c>
      <c r="K2013" s="3" t="s">
        <v>150</v>
      </c>
    </row>
    <row r="2014" spans="1:11" ht="42" customHeight="1">
      <c r="A2014" s="2" t="s">
        <v>5657</v>
      </c>
      <c r="B2014" s="2" t="s">
        <v>5658</v>
      </c>
      <c r="C2014" s="2" t="s">
        <v>26</v>
      </c>
      <c r="D2014" s="2" t="s">
        <v>18</v>
      </c>
      <c r="E2014" s="4">
        <v>-32496</v>
      </c>
      <c r="F2014" s="3" t="s">
        <v>1927</v>
      </c>
      <c r="G2014" s="3" t="s">
        <v>1184</v>
      </c>
      <c r="H2014" s="2" t="s">
        <v>148</v>
      </c>
      <c r="I2014" s="2" t="s">
        <v>5659</v>
      </c>
      <c r="J2014" s="3" t="str">
        <f>HYPERLINK("https://www.boe.es/gazeta/dias/1811/01/10/pdfs/GEI-1811-5.pdf#page=5","Abrir facsímil")</f>
        <v>Abrir facsímil</v>
      </c>
      <c r="K2014" s="3" t="s">
        <v>150</v>
      </c>
    </row>
    <row r="2015" spans="1:11" ht="42" customHeight="1">
      <c r="A2015" s="2" t="s">
        <v>5660</v>
      </c>
      <c r="B2015" s="2" t="s">
        <v>5661</v>
      </c>
      <c r="C2015" s="2" t="s">
        <v>17</v>
      </c>
      <c r="D2015" s="2" t="s">
        <v>156</v>
      </c>
      <c r="E2015" s="4">
        <v>-32281</v>
      </c>
      <c r="F2015" s="3" t="s">
        <v>982</v>
      </c>
      <c r="G2015" s="3" t="s">
        <v>5662</v>
      </c>
      <c r="H2015" s="2" t="s">
        <v>148</v>
      </c>
      <c r="I2015" s="2" t="s">
        <v>5663</v>
      </c>
      <c r="J2015" s="3" t="str">
        <f>HYPERLINK("https://www.boe.es/gazeta/dias/1811/08/13/pdfs/GEI-1811-105.pdf#page=6","Abrir facsímil")</f>
        <v>Abrir facsímil</v>
      </c>
      <c r="K2015" s="3" t="s">
        <v>150</v>
      </c>
    </row>
    <row r="2016" spans="1:11" ht="42" customHeight="1">
      <c r="A2016" s="2" t="s">
        <v>5664</v>
      </c>
      <c r="B2016" s="2" t="s">
        <v>5664</v>
      </c>
      <c r="C2016" s="2" t="s">
        <v>17</v>
      </c>
      <c r="D2016" s="2" t="s">
        <v>204</v>
      </c>
      <c r="E2016" s="4">
        <v>-32442</v>
      </c>
      <c r="F2016" s="3" t="s">
        <v>2354</v>
      </c>
      <c r="G2016" s="3" t="s">
        <v>57</v>
      </c>
      <c r="H2016" s="2" t="s">
        <v>148</v>
      </c>
      <c r="I2016" s="2" t="s">
        <v>5665</v>
      </c>
      <c r="J2016" s="3" t="str">
        <f>HYPERLINK("https://www.boe.es/gazeta/dias/1811/03/05/pdfs/GMD-1811-64.pdf#page=2","Abrir facsímil")</f>
        <v>Abrir facsímil</v>
      </c>
      <c r="K2016" s="3" t="s">
        <v>150</v>
      </c>
    </row>
    <row r="2017" spans="1:11" ht="42" customHeight="1">
      <c r="A2017" s="2" t="s">
        <v>5664</v>
      </c>
      <c r="B2017" s="2" t="s">
        <v>5664</v>
      </c>
      <c r="C2017" s="2" t="s">
        <v>17</v>
      </c>
      <c r="D2017" s="2" t="s">
        <v>18</v>
      </c>
      <c r="E2017" s="4">
        <v>-32185</v>
      </c>
      <c r="F2017" s="3" t="s">
        <v>1329</v>
      </c>
      <c r="G2017" s="3" t="s">
        <v>120</v>
      </c>
      <c r="H2017" s="2" t="s">
        <v>148</v>
      </c>
      <c r="I2017" s="2" t="s">
        <v>5666</v>
      </c>
      <c r="J2017" s="3" t="str">
        <f>HYPERLINK("https://www.boe.es/gazeta/dias/1811/11/17/pdfs/GMD-1811-321.pdf#page=4","Abrir facsímil")</f>
        <v>Abrir facsímil</v>
      </c>
      <c r="K2017" s="3" t="s">
        <v>150</v>
      </c>
    </row>
    <row r="2018" spans="1:11" ht="42" customHeight="1">
      <c r="A2018" s="2" t="s">
        <v>5667</v>
      </c>
      <c r="B2018" s="2" t="s">
        <v>5667</v>
      </c>
      <c r="C2018" s="2" t="s">
        <v>17</v>
      </c>
      <c r="D2018" s="2" t="s">
        <v>105</v>
      </c>
      <c r="E2018" s="4">
        <v>-32169</v>
      </c>
      <c r="F2018" s="3" t="s">
        <v>1702</v>
      </c>
      <c r="G2018" s="3" t="s">
        <v>47</v>
      </c>
      <c r="H2018" s="2" t="s">
        <v>148</v>
      </c>
      <c r="I2018" s="2" t="s">
        <v>5668</v>
      </c>
      <c r="J2018" s="3" t="str">
        <f>HYPERLINK("https://www.boe.es/gazeta/dias/1811/12/03/pdfs/GEI-1811-157.pdf#page=5","Abrir facsímil")</f>
        <v>Abrir facsímil</v>
      </c>
      <c r="K2018" s="3" t="s">
        <v>150</v>
      </c>
    </row>
    <row r="2019" spans="1:11" ht="42" customHeight="1">
      <c r="A2019" s="2" t="s">
        <v>5669</v>
      </c>
      <c r="B2019" s="2" t="s">
        <v>5670</v>
      </c>
      <c r="C2019" s="2" t="s">
        <v>17</v>
      </c>
      <c r="D2019" s="2" t="s">
        <v>18</v>
      </c>
      <c r="E2019" s="4">
        <v>-32223</v>
      </c>
      <c r="F2019" s="3" t="s">
        <v>1788</v>
      </c>
      <c r="G2019" s="3" t="s">
        <v>4151</v>
      </c>
      <c r="H2019" s="2" t="s">
        <v>148</v>
      </c>
      <c r="I2019" s="2" t="s">
        <v>5671</v>
      </c>
      <c r="J2019" s="3" t="str">
        <f>HYPERLINK("https://www.boe.es/gazeta/dias/1811/10/10/pdfs/GEI-1811-130.pdf#page=7","Abrir facsímil")</f>
        <v>Abrir facsímil</v>
      </c>
      <c r="K2019" s="3" t="s">
        <v>150</v>
      </c>
    </row>
    <row r="2020" spans="1:11" ht="42" customHeight="1">
      <c r="A2020" s="2" t="s">
        <v>5672</v>
      </c>
      <c r="B2020" s="2" t="s">
        <v>5672</v>
      </c>
      <c r="C2020" s="2" t="s">
        <v>26</v>
      </c>
      <c r="D2020" s="2" t="s">
        <v>18</v>
      </c>
      <c r="E2020" s="4">
        <v>-32486</v>
      </c>
      <c r="F2020" s="3" t="s">
        <v>556</v>
      </c>
      <c r="G2020" s="3" t="s">
        <v>248</v>
      </c>
      <c r="H2020" s="2" t="s">
        <v>148</v>
      </c>
      <c r="I2020" s="2" t="s">
        <v>5673</v>
      </c>
      <c r="J2020" s="3" t="str">
        <f>HYPERLINK("https://www.boe.es/gazeta/dias/1811/01/20/pdfs/GMD-1811-20.pdf#page=2","Abrir facsímil")</f>
        <v>Abrir facsímil</v>
      </c>
      <c r="K2020" s="3" t="s">
        <v>150</v>
      </c>
    </row>
    <row r="2021" spans="1:11" ht="42" customHeight="1">
      <c r="A2021" s="2" t="s">
        <v>5674</v>
      </c>
      <c r="B2021" s="2" t="s">
        <v>5674</v>
      </c>
      <c r="C2021" s="2" t="s">
        <v>26</v>
      </c>
      <c r="D2021" s="2" t="s">
        <v>18</v>
      </c>
      <c r="E2021" s="4">
        <v>-32422</v>
      </c>
      <c r="F2021" s="3" t="s">
        <v>5675</v>
      </c>
      <c r="G2021" s="3" t="s">
        <v>57</v>
      </c>
      <c r="H2021" s="2" t="s">
        <v>148</v>
      </c>
      <c r="I2021" s="2" t="s">
        <v>5676</v>
      </c>
      <c r="J2021" s="3" t="str">
        <f>HYPERLINK("https://www.boe.es/gazeta/dias/1811/03/25/pdfs/GMD-1811-84.pdf#page=2","Abrir facsímil")</f>
        <v>Abrir facsímil</v>
      </c>
      <c r="K2021" s="3" t="s">
        <v>150</v>
      </c>
    </row>
    <row r="2022" spans="1:11" ht="42" customHeight="1">
      <c r="A2022" s="2" t="s">
        <v>5677</v>
      </c>
      <c r="B2022" s="2" t="s">
        <v>5677</v>
      </c>
      <c r="C2022" s="2" t="s">
        <v>17</v>
      </c>
      <c r="D2022" s="2" t="s">
        <v>18</v>
      </c>
      <c r="E2022" s="4">
        <v>-32166</v>
      </c>
      <c r="F2022" s="3" t="s">
        <v>2263</v>
      </c>
      <c r="G2022" s="3" t="s">
        <v>2264</v>
      </c>
      <c r="H2022" s="2" t="s">
        <v>148</v>
      </c>
      <c r="I2022" s="2" t="s">
        <v>5678</v>
      </c>
      <c r="J2022" s="3" t="str">
        <f>HYPERLINK("https://www.boe.es/gazeta/dias/1811/12/06/pdfs/GMD-1811-340.pdf#page=4","Abrir facsímil")</f>
        <v>Abrir facsímil</v>
      </c>
      <c r="K2022" s="3" t="s">
        <v>150</v>
      </c>
    </row>
    <row r="2023" spans="1:11" ht="42" customHeight="1">
      <c r="A2023" s="2" t="s">
        <v>5679</v>
      </c>
      <c r="B2023" s="2" t="s">
        <v>5680</v>
      </c>
      <c r="C2023" s="2" t="s">
        <v>17</v>
      </c>
      <c r="D2023" s="2" t="s">
        <v>156</v>
      </c>
      <c r="E2023" s="4">
        <v>-32491</v>
      </c>
      <c r="F2023" s="3" t="s">
        <v>533</v>
      </c>
      <c r="G2023" s="3" t="s">
        <v>162</v>
      </c>
      <c r="H2023" s="2" t="s">
        <v>148</v>
      </c>
      <c r="I2023" s="2" t="s">
        <v>5681</v>
      </c>
      <c r="J2023" s="3" t="str">
        <f>HYPERLINK("https://www.boe.es/gazeta/dias/1811/01/15/pdfs/GEI-1811-7.pdf#page=11","Abrir facsímil")</f>
        <v>Abrir facsímil</v>
      </c>
      <c r="K2023" s="3" t="s">
        <v>150</v>
      </c>
    </row>
    <row r="2024" spans="1:11" ht="42" customHeight="1">
      <c r="A2024" s="2" t="s">
        <v>5682</v>
      </c>
      <c r="B2024" s="2" t="s">
        <v>5682</v>
      </c>
      <c r="C2024" s="2" t="s">
        <v>17</v>
      </c>
      <c r="D2024" s="2" t="s">
        <v>156</v>
      </c>
      <c r="E2024" s="4">
        <v>-32389</v>
      </c>
      <c r="F2024" s="3" t="s">
        <v>5683</v>
      </c>
      <c r="G2024" s="3" t="s">
        <v>468</v>
      </c>
      <c r="H2024" s="2" t="s">
        <v>148</v>
      </c>
      <c r="I2024" s="2" t="s">
        <v>5684</v>
      </c>
      <c r="J2024" s="3" t="str">
        <f>HYPERLINK("https://www.boe.es/gazeta/dias/1811/04/27/pdfs/GMD-1811-117.pdf#page=4","Abrir facsímil")</f>
        <v>Abrir facsímil</v>
      </c>
      <c r="K2024" s="3" t="s">
        <v>150</v>
      </c>
    </row>
    <row r="2025" spans="1:11" ht="42" customHeight="1">
      <c r="A2025" s="2" t="s">
        <v>5685</v>
      </c>
      <c r="B2025" s="2" t="s">
        <v>5686</v>
      </c>
      <c r="C2025" s="2" t="s">
        <v>122</v>
      </c>
      <c r="D2025" s="2" t="s">
        <v>18</v>
      </c>
      <c r="E2025" s="4">
        <v>-32165</v>
      </c>
      <c r="F2025" s="3" t="s">
        <v>1462</v>
      </c>
      <c r="G2025" s="3" t="s">
        <v>3610</v>
      </c>
      <c r="H2025" s="2" t="s">
        <v>148</v>
      </c>
      <c r="I2025" s="2" t="s">
        <v>5687</v>
      </c>
      <c r="J2025" s="3" t="str">
        <f>HYPERLINK("https://www.boe.es/gazeta/dias/1811/12/07/pdfs/GMD-1811-341.pdf#page=4","Abrir facsímil")</f>
        <v>Abrir facsímil</v>
      </c>
      <c r="K2025" s="3" t="s">
        <v>150</v>
      </c>
    </row>
    <row r="2026" spans="1:11" ht="42" customHeight="1">
      <c r="A2026" s="2" t="s">
        <v>5688</v>
      </c>
      <c r="B2026" s="2" t="s">
        <v>5688</v>
      </c>
      <c r="C2026" s="2" t="s">
        <v>104</v>
      </c>
      <c r="D2026" s="2" t="s">
        <v>18</v>
      </c>
      <c r="E2026" s="4">
        <v>-32328</v>
      </c>
      <c r="F2026" s="3" t="s">
        <v>2055</v>
      </c>
      <c r="G2026" s="3" t="s">
        <v>20</v>
      </c>
      <c r="H2026" s="2" t="s">
        <v>148</v>
      </c>
      <c r="I2026" s="2" t="s">
        <v>5689</v>
      </c>
      <c r="J2026" s="3" t="str">
        <f>HYPERLINK("https://www.boe.es/gazeta/dias/1811/06/27/pdfs/GMD-1811-178.pdf#page=3","Abrir facsímil")</f>
        <v>Abrir facsímil</v>
      </c>
      <c r="K2026" s="3" t="s">
        <v>150</v>
      </c>
    </row>
    <row r="2027" spans="1:11" ht="42" customHeight="1">
      <c r="A2027" s="2" t="s">
        <v>5688</v>
      </c>
      <c r="B2027" s="2" t="s">
        <v>5688</v>
      </c>
      <c r="C2027" s="2" t="s">
        <v>104</v>
      </c>
      <c r="D2027" s="2" t="s">
        <v>18</v>
      </c>
      <c r="E2027" s="4">
        <v>-32256</v>
      </c>
      <c r="F2027" s="3" t="s">
        <v>5690</v>
      </c>
      <c r="G2027" s="3" t="s">
        <v>5083</v>
      </c>
      <c r="H2027" s="2" t="s">
        <v>148</v>
      </c>
      <c r="I2027" s="2" t="s">
        <v>5691</v>
      </c>
      <c r="J2027" s="3" t="str">
        <f>HYPERLINK("https://www.boe.es/gazeta/dias/1811/09/07/pdfs/GMD-1811-250.pdf#page=3","Abrir facsímil")</f>
        <v>Abrir facsímil</v>
      </c>
      <c r="K2027" s="3" t="s">
        <v>150</v>
      </c>
    </row>
    <row r="2028" spans="1:11" ht="42" customHeight="1">
      <c r="A2028" s="2" t="s">
        <v>5692</v>
      </c>
      <c r="B2028" s="2" t="s">
        <v>5692</v>
      </c>
      <c r="C2028" s="2" t="s">
        <v>84</v>
      </c>
      <c r="D2028" s="2" t="s">
        <v>18</v>
      </c>
      <c r="E2028" s="4">
        <v>-32376</v>
      </c>
      <c r="F2028" s="3" t="s">
        <v>5460</v>
      </c>
      <c r="G2028" s="3" t="s">
        <v>91</v>
      </c>
      <c r="H2028" s="2" t="s">
        <v>148</v>
      </c>
      <c r="I2028" s="2" t="s">
        <v>5693</v>
      </c>
      <c r="J2028" s="3" t="str">
        <f>HYPERLINK("https://www.boe.es/gazeta/dias/1811/05/10/pdfs/GMD-1811-130.pdf#page=4","Abrir facsímil")</f>
        <v>Abrir facsímil</v>
      </c>
      <c r="K2028" s="3" t="s">
        <v>150</v>
      </c>
    </row>
    <row r="2029" spans="1:11" ht="42" customHeight="1">
      <c r="A2029" s="2" t="s">
        <v>5694</v>
      </c>
      <c r="B2029" s="2" t="s">
        <v>5694</v>
      </c>
      <c r="C2029" s="2" t="s">
        <v>17</v>
      </c>
      <c r="D2029" s="2" t="s">
        <v>18</v>
      </c>
      <c r="E2029" s="4">
        <v>-32155</v>
      </c>
      <c r="F2029" s="3" t="s">
        <v>263</v>
      </c>
      <c r="G2029" s="3" t="s">
        <v>5695</v>
      </c>
      <c r="H2029" s="2" t="s">
        <v>148</v>
      </c>
      <c r="I2029" s="2" t="s">
        <v>5696</v>
      </c>
      <c r="J2029" s="3" t="str">
        <f>HYPERLINK("https://www.boe.es/gazeta/dias/1811/12/17/pdfs/GEI-1811-163.pdf#page=3","Abrir facsímil")</f>
        <v>Abrir facsímil</v>
      </c>
      <c r="K2029" s="3" t="s">
        <v>150</v>
      </c>
    </row>
    <row r="2030" spans="1:11" ht="42" customHeight="1">
      <c r="A2030" s="2" t="s">
        <v>5697</v>
      </c>
      <c r="B2030" s="2" t="s">
        <v>5697</v>
      </c>
      <c r="C2030" s="2" t="s">
        <v>17</v>
      </c>
      <c r="D2030" s="2" t="s">
        <v>18</v>
      </c>
      <c r="E2030" s="4">
        <v>-32239</v>
      </c>
      <c r="F2030" s="3" t="s">
        <v>3634</v>
      </c>
      <c r="G2030" s="3" t="s">
        <v>515</v>
      </c>
      <c r="H2030" s="2" t="s">
        <v>148</v>
      </c>
      <c r="I2030" s="2" t="s">
        <v>5698</v>
      </c>
      <c r="J2030" s="3" t="str">
        <f>HYPERLINK("https://www.boe.es/gazeta/dias/1811/09/24/pdfs/GMD-1811-267.pdf#page=2","Abrir facsímil")</f>
        <v>Abrir facsímil</v>
      </c>
      <c r="K2030" s="3" t="s">
        <v>150</v>
      </c>
    </row>
    <row r="2031" spans="1:11" ht="42" customHeight="1">
      <c r="A2031" s="2" t="s">
        <v>5699</v>
      </c>
      <c r="B2031" s="2" t="s">
        <v>5699</v>
      </c>
      <c r="C2031" s="2" t="s">
        <v>17</v>
      </c>
      <c r="D2031" s="2" t="s">
        <v>204</v>
      </c>
      <c r="E2031" s="4">
        <v>-32429</v>
      </c>
      <c r="F2031" s="3" t="s">
        <v>770</v>
      </c>
      <c r="G2031" s="3" t="s">
        <v>183</v>
      </c>
      <c r="H2031" s="2" t="s">
        <v>148</v>
      </c>
      <c r="I2031" s="2" t="s">
        <v>5700</v>
      </c>
      <c r="J2031" s="3" t="str">
        <f>HYPERLINK("https://www.boe.es/gazeta/dias/1811/03/18/pdfs/GMD-1811-77.pdf#page=4","Abrir facsímil")</f>
        <v>Abrir facsímil</v>
      </c>
      <c r="K2031" s="3" t="s">
        <v>150</v>
      </c>
    </row>
    <row r="2032" spans="1:11" ht="42" customHeight="1">
      <c r="A2032" s="2" t="s">
        <v>5701</v>
      </c>
      <c r="B2032" s="2" t="s">
        <v>5701</v>
      </c>
      <c r="C2032" s="2" t="s">
        <v>17</v>
      </c>
      <c r="D2032" s="2" t="s">
        <v>18</v>
      </c>
      <c r="E2032" s="4">
        <v>-32184</v>
      </c>
      <c r="F2032" s="3" t="s">
        <v>275</v>
      </c>
      <c r="G2032" s="3" t="s">
        <v>47</v>
      </c>
      <c r="H2032" s="2" t="s">
        <v>148</v>
      </c>
      <c r="I2032" s="2" t="s">
        <v>5702</v>
      </c>
      <c r="J2032" s="3" t="str">
        <f>HYPERLINK("https://www.boe.es/gazeta/dias/1811/11/18/pdfs/GMD-1811-322.pdf#page=2","Abrir facsímil")</f>
        <v>Abrir facsímil</v>
      </c>
      <c r="K2032" s="3" t="s">
        <v>150</v>
      </c>
    </row>
    <row r="2033" spans="1:11" ht="42" customHeight="1">
      <c r="A2033" s="2" t="s">
        <v>5703</v>
      </c>
      <c r="B2033" s="2" t="s">
        <v>5703</v>
      </c>
      <c r="C2033" s="2" t="s">
        <v>17</v>
      </c>
      <c r="D2033" s="2" t="s">
        <v>18</v>
      </c>
      <c r="E2033" s="4">
        <v>-32312</v>
      </c>
      <c r="F2033" s="3" t="s">
        <v>2640</v>
      </c>
      <c r="G2033" s="3" t="s">
        <v>3105</v>
      </c>
      <c r="H2033" s="2" t="s">
        <v>148</v>
      </c>
      <c r="I2033" s="2" t="s">
        <v>5704</v>
      </c>
      <c r="J2033" s="3" t="str">
        <f>HYPERLINK("https://www.boe.es/gazeta/dias/1811/07/13/pdfs/GEI-1811-92.pdf#page=5","Abrir facsímil")</f>
        <v>Abrir facsímil</v>
      </c>
      <c r="K2033" s="3" t="s">
        <v>150</v>
      </c>
    </row>
    <row r="2034" spans="1:11" ht="42" customHeight="1">
      <c r="A2034" s="2" t="s">
        <v>5705</v>
      </c>
      <c r="B2034" s="2" t="s">
        <v>5706</v>
      </c>
      <c r="C2034" s="2" t="s">
        <v>17</v>
      </c>
      <c r="D2034" s="2" t="s">
        <v>105</v>
      </c>
      <c r="E2034" s="4">
        <v>-32480</v>
      </c>
      <c r="F2034" s="3" t="s">
        <v>3061</v>
      </c>
      <c r="G2034" s="3" t="s">
        <v>5707</v>
      </c>
      <c r="H2034" s="2" t="s">
        <v>21</v>
      </c>
      <c r="I2034" s="2" t="s">
        <v>5708</v>
      </c>
      <c r="J2034" s="3" t="str">
        <f>HYPERLINK("https://www.boe.es/gazeta/dias/1811/01/26/pdfs/GEI-1811-12.pdf#page=7","Abrir facsímil")</f>
        <v>Abrir facsímil</v>
      </c>
      <c r="K2034" s="3" t="s">
        <v>23</v>
      </c>
    </row>
    <row r="2035" spans="1:11" ht="42" customHeight="1">
      <c r="A2035" s="2" t="s">
        <v>5709</v>
      </c>
      <c r="B2035" s="2" t="s">
        <v>5710</v>
      </c>
      <c r="C2035" s="2" t="s">
        <v>26</v>
      </c>
      <c r="D2035" s="2" t="s">
        <v>18</v>
      </c>
      <c r="E2035" s="4">
        <v>-32188</v>
      </c>
      <c r="F2035" s="3" t="s">
        <v>356</v>
      </c>
      <c r="G2035" s="3" t="s">
        <v>248</v>
      </c>
      <c r="H2035" s="2" t="s">
        <v>21</v>
      </c>
      <c r="I2035" s="2" t="s">
        <v>5711</v>
      </c>
      <c r="J2035" s="3" t="str">
        <f>HYPERLINK("https://www.boe.es/gazeta/dias/1811/11/14/pdfs/GMD-1811-318.pdf#page=5","Abrir facsímil")</f>
        <v>Abrir facsímil</v>
      </c>
      <c r="K2035" s="3" t="s">
        <v>23</v>
      </c>
    </row>
    <row r="2036" spans="1:11" ht="42" customHeight="1">
      <c r="A2036" s="2" t="s">
        <v>5712</v>
      </c>
      <c r="B2036" s="2" t="s">
        <v>5713</v>
      </c>
      <c r="C2036" s="2" t="s">
        <v>26</v>
      </c>
      <c r="D2036" s="2" t="s">
        <v>18</v>
      </c>
      <c r="E2036" s="4">
        <v>-32503</v>
      </c>
      <c r="F2036" s="3" t="s">
        <v>487</v>
      </c>
      <c r="G2036" s="3" t="s">
        <v>1930</v>
      </c>
      <c r="H2036" s="2" t="s">
        <v>21</v>
      </c>
      <c r="I2036" s="2" t="s">
        <v>5714</v>
      </c>
      <c r="J2036" s="3" t="str">
        <f>HYPERLINK("https://www.boe.es/gazeta/dias/1811/01/03/pdfs/GEI-1811-2.pdf#page=8","Abrir facsímil")</f>
        <v>Abrir facsímil</v>
      </c>
      <c r="K2036" s="3" t="s">
        <v>23</v>
      </c>
    </row>
    <row r="2037" spans="1:11" ht="42" customHeight="1">
      <c r="A2037" s="2" t="s">
        <v>5715</v>
      </c>
      <c r="B2037" s="2" t="s">
        <v>5716</v>
      </c>
      <c r="C2037" s="2" t="s">
        <v>26</v>
      </c>
      <c r="D2037" s="2" t="s">
        <v>141</v>
      </c>
      <c r="E2037" s="4">
        <v>-32249</v>
      </c>
      <c r="F2037" s="3" t="s">
        <v>743</v>
      </c>
      <c r="G2037" s="3" t="s">
        <v>468</v>
      </c>
      <c r="H2037" s="2" t="s">
        <v>148</v>
      </c>
      <c r="I2037" s="2" t="s">
        <v>5717</v>
      </c>
      <c r="J2037" s="3" t="str">
        <f>HYPERLINK("https://www.boe.es/gazeta/dias/1811/09/14/pdfs/GMD-C-1811-257.pdf#page=1","Abrir facsímil")</f>
        <v>Abrir facsímil</v>
      </c>
      <c r="K2037" s="3" t="s">
        <v>150</v>
      </c>
    </row>
    <row r="2038" spans="1:11" ht="42" customHeight="1">
      <c r="A2038" s="2" t="s">
        <v>5715</v>
      </c>
      <c r="B2038" s="2" t="s">
        <v>5716</v>
      </c>
      <c r="C2038" s="2" t="s">
        <v>26</v>
      </c>
      <c r="D2038" s="2" t="s">
        <v>18</v>
      </c>
      <c r="E2038" s="4">
        <v>-32188</v>
      </c>
      <c r="F2038" s="3" t="s">
        <v>356</v>
      </c>
      <c r="G2038" s="3" t="s">
        <v>468</v>
      </c>
      <c r="H2038" s="2" t="s">
        <v>148</v>
      </c>
      <c r="I2038" s="2" t="s">
        <v>5718</v>
      </c>
      <c r="J2038" s="3" t="str">
        <f>HYPERLINK("https://www.boe.es/gazeta/dias/1811/11/14/pdfs/GMD-1811-318.pdf#page=6","Abrir facsímil")</f>
        <v>Abrir facsímil</v>
      </c>
      <c r="K2038" s="3" t="s">
        <v>150</v>
      </c>
    </row>
    <row r="2039" spans="1:11" ht="42" customHeight="1">
      <c r="A2039" s="2" t="s">
        <v>5715</v>
      </c>
      <c r="B2039" s="2" t="s">
        <v>5716</v>
      </c>
      <c r="C2039" s="2" t="s">
        <v>26</v>
      </c>
      <c r="D2039" s="2" t="s">
        <v>18</v>
      </c>
      <c r="E2039" s="4">
        <v>-32155</v>
      </c>
      <c r="F2039" s="3" t="s">
        <v>99</v>
      </c>
      <c r="G2039" s="3" t="s">
        <v>100</v>
      </c>
      <c r="H2039" s="2" t="s">
        <v>148</v>
      </c>
      <c r="I2039" s="2" t="s">
        <v>5719</v>
      </c>
      <c r="J2039" s="3" t="str">
        <f>HYPERLINK("https://www.boe.es/gazeta/dias/1811/12/17/pdfs/GMD-1811-351.pdf#page=4","Abrir facsímil")</f>
        <v>Abrir facsímil</v>
      </c>
      <c r="K2039" s="3" t="s">
        <v>150</v>
      </c>
    </row>
    <row r="2040" spans="1:11" ht="42" customHeight="1">
      <c r="A2040" s="2" t="s">
        <v>5720</v>
      </c>
      <c r="B2040" s="2" t="s">
        <v>5721</v>
      </c>
      <c r="C2040" s="2" t="s">
        <v>17</v>
      </c>
      <c r="D2040" s="2" t="s">
        <v>18</v>
      </c>
      <c r="E2040" s="4">
        <v>-32216</v>
      </c>
      <c r="F2040" s="3" t="s">
        <v>5136</v>
      </c>
      <c r="G2040" s="3" t="s">
        <v>5722</v>
      </c>
      <c r="H2040" s="2" t="s">
        <v>148</v>
      </c>
      <c r="I2040" s="2" t="s">
        <v>5723</v>
      </c>
      <c r="J2040" s="3" t="str">
        <f>HYPERLINK("https://www.boe.es/gazeta/dias/1811/10/17/pdfs/GMD-1811-290.pdf#page=2","Abrir facsímil")</f>
        <v>Abrir facsímil</v>
      </c>
      <c r="K2040" s="3" t="s">
        <v>150</v>
      </c>
    </row>
    <row r="2041" spans="1:11" ht="42" customHeight="1">
      <c r="A2041" s="2" t="s">
        <v>5724</v>
      </c>
      <c r="B2041" s="2" t="s">
        <v>5725</v>
      </c>
      <c r="C2041" s="2" t="s">
        <v>26</v>
      </c>
      <c r="D2041" s="2" t="s">
        <v>18</v>
      </c>
      <c r="E2041" s="4">
        <v>-32188</v>
      </c>
      <c r="F2041" s="3" t="s">
        <v>356</v>
      </c>
      <c r="G2041" s="3" t="s">
        <v>248</v>
      </c>
      <c r="H2041" s="2" t="s">
        <v>148</v>
      </c>
      <c r="I2041" s="2" t="s">
        <v>5726</v>
      </c>
      <c r="J2041" s="3" t="str">
        <f>HYPERLINK("https://www.boe.es/gazeta/dias/1811/11/14/pdfs/GMD-1811-318.pdf#page=5","Abrir facsímil")</f>
        <v>Abrir facsímil</v>
      </c>
      <c r="K2041" s="3" t="s">
        <v>150</v>
      </c>
    </row>
    <row r="2042" spans="1:11" ht="42" customHeight="1">
      <c r="A2042" s="2" t="s">
        <v>5727</v>
      </c>
      <c r="B2042" s="2" t="s">
        <v>5728</v>
      </c>
      <c r="C2042" s="2" t="s">
        <v>26</v>
      </c>
      <c r="D2042" s="2" t="s">
        <v>18</v>
      </c>
      <c r="E2042" s="4">
        <v>-32188</v>
      </c>
      <c r="F2042" s="3" t="s">
        <v>356</v>
      </c>
      <c r="G2042" s="3" t="s">
        <v>248</v>
      </c>
      <c r="H2042" s="2" t="s">
        <v>148</v>
      </c>
      <c r="I2042" s="2" t="s">
        <v>5729</v>
      </c>
      <c r="J2042" s="3" t="str">
        <f>HYPERLINK("https://www.boe.es/gazeta/dias/1811/11/14/pdfs/GMD-1811-318.pdf#page=5","Abrir facsímil")</f>
        <v>Abrir facsímil</v>
      </c>
      <c r="K2042" s="3" t="s">
        <v>150</v>
      </c>
    </row>
    <row r="2043" spans="1:11" ht="42" customHeight="1">
      <c r="A2043" s="2" t="s">
        <v>5730</v>
      </c>
      <c r="B2043" s="2" t="s">
        <v>5731</v>
      </c>
      <c r="C2043" s="2" t="s">
        <v>26</v>
      </c>
      <c r="D2043" s="2" t="s">
        <v>141</v>
      </c>
      <c r="E2043" s="4">
        <v>-32249</v>
      </c>
      <c r="F2043" s="3" t="s">
        <v>743</v>
      </c>
      <c r="G2043" s="3" t="s">
        <v>468</v>
      </c>
      <c r="H2043" s="2" t="s">
        <v>148</v>
      </c>
      <c r="I2043" s="2" t="s">
        <v>5732</v>
      </c>
      <c r="J2043" s="3" t="str">
        <f>HYPERLINK("https://www.boe.es/gazeta/dias/1811/09/14/pdfs/GMD-C-1811-257.pdf#page=1","Abrir facsímil")</f>
        <v>Abrir facsímil</v>
      </c>
      <c r="K2043" s="3" t="s">
        <v>150</v>
      </c>
    </row>
    <row r="2044" spans="1:11" ht="42" customHeight="1">
      <c r="A2044" s="2" t="s">
        <v>5733</v>
      </c>
      <c r="B2044" s="2" t="s">
        <v>5734</v>
      </c>
      <c r="C2044" s="2" t="s">
        <v>26</v>
      </c>
      <c r="D2044" s="2" t="s">
        <v>18</v>
      </c>
      <c r="E2044" s="4">
        <v>-32165</v>
      </c>
      <c r="F2044" s="3" t="s">
        <v>1462</v>
      </c>
      <c r="G2044" s="3" t="s">
        <v>1463</v>
      </c>
      <c r="H2044" s="2" t="s">
        <v>148</v>
      </c>
      <c r="I2044" s="2" t="s">
        <v>5735</v>
      </c>
      <c r="J2044" s="3" t="str">
        <f>HYPERLINK("https://www.boe.es/gazeta/dias/1811/12/07/pdfs/GMD-1811-341.pdf#page=3","Abrir facsímil")</f>
        <v>Abrir facsímil</v>
      </c>
      <c r="K2044" s="3" t="s">
        <v>150</v>
      </c>
    </row>
    <row r="2045" spans="1:11" ht="42" customHeight="1">
      <c r="A2045" s="2" t="s">
        <v>5736</v>
      </c>
      <c r="B2045" s="2" t="s">
        <v>5737</v>
      </c>
      <c r="C2045" s="2" t="s">
        <v>66</v>
      </c>
      <c r="D2045" s="2" t="s">
        <v>18</v>
      </c>
      <c r="E2045" s="4">
        <v>-32153</v>
      </c>
      <c r="F2045" s="3" t="s">
        <v>123</v>
      </c>
      <c r="G2045" s="3" t="s">
        <v>288</v>
      </c>
      <c r="H2045" s="2" t="s">
        <v>148</v>
      </c>
      <c r="I2045" s="2" t="s">
        <v>5738</v>
      </c>
      <c r="J2045" s="3" t="str">
        <f>HYPERLINK("https://www.boe.es/gazeta/dias/1811/12/19/pdfs/GMD-1811-353.pdf#page=4","Abrir facsímil")</f>
        <v>Abrir facsímil</v>
      </c>
      <c r="K2045" s="3" t="s">
        <v>150</v>
      </c>
    </row>
    <row r="2046" spans="1:11" ht="42" customHeight="1">
      <c r="A2046" s="2" t="s">
        <v>5739</v>
      </c>
      <c r="B2046" s="2" t="s">
        <v>5740</v>
      </c>
      <c r="C2046" s="2" t="s">
        <v>26</v>
      </c>
      <c r="D2046" s="2" t="s">
        <v>141</v>
      </c>
      <c r="E2046" s="4">
        <v>-32188</v>
      </c>
      <c r="F2046" s="3" t="s">
        <v>505</v>
      </c>
      <c r="G2046" s="3" t="s">
        <v>162</v>
      </c>
      <c r="H2046" s="2" t="s">
        <v>148</v>
      </c>
      <c r="I2046" s="2" t="s">
        <v>5741</v>
      </c>
      <c r="J2046" s="3" t="str">
        <f>HYPERLINK("https://www.boe.es/gazeta/dias/1811/11/14/pdfs/GEI-D-1811-149.pdf#page=4","Abrir facsímil")</f>
        <v>Abrir facsímil</v>
      </c>
      <c r="K2046" s="3" t="s">
        <v>150</v>
      </c>
    </row>
    <row r="2047" spans="1:11" ht="42" customHeight="1">
      <c r="A2047" s="2" t="s">
        <v>5742</v>
      </c>
      <c r="B2047" s="2" t="s">
        <v>5743</v>
      </c>
      <c r="C2047" s="2" t="s">
        <v>26</v>
      </c>
      <c r="D2047" s="2" t="s">
        <v>141</v>
      </c>
      <c r="E2047" s="4">
        <v>-32188</v>
      </c>
      <c r="F2047" s="3" t="s">
        <v>505</v>
      </c>
      <c r="G2047" s="3" t="s">
        <v>162</v>
      </c>
      <c r="H2047" s="2" t="s">
        <v>148</v>
      </c>
      <c r="I2047" s="2" t="s">
        <v>5744</v>
      </c>
      <c r="J2047" s="3" t="str">
        <f>HYPERLINK("https://www.boe.es/gazeta/dias/1811/11/14/pdfs/GEI-D-1811-149.pdf#page=4","Abrir facsímil")</f>
        <v>Abrir facsímil</v>
      </c>
      <c r="K2047" s="3" t="s">
        <v>150</v>
      </c>
    </row>
    <row r="2048" spans="1:11" ht="42" customHeight="1">
      <c r="A2048" s="2" t="s">
        <v>5745</v>
      </c>
      <c r="B2048" s="2" t="s">
        <v>5746</v>
      </c>
      <c r="C2048" s="2" t="s">
        <v>17</v>
      </c>
      <c r="D2048" s="2" t="s">
        <v>18</v>
      </c>
      <c r="E2048" s="4">
        <v>-32228</v>
      </c>
      <c r="F2048" s="3" t="s">
        <v>899</v>
      </c>
      <c r="G2048" s="3" t="s">
        <v>162</v>
      </c>
      <c r="H2048" s="2" t="s">
        <v>148</v>
      </c>
      <c r="I2048" s="2" t="s">
        <v>5747</v>
      </c>
      <c r="J2048" s="3" t="str">
        <f>HYPERLINK("https://www.boe.es/gazeta/dias/1811/10/05/pdfs/GMD-1811-278.pdf#page=1","Abrir facsímil")</f>
        <v>Abrir facsímil</v>
      </c>
      <c r="K2048" s="3" t="s">
        <v>150</v>
      </c>
    </row>
    <row r="2049" spans="1:11" ht="42" customHeight="1">
      <c r="A2049" s="2" t="s">
        <v>5748</v>
      </c>
      <c r="B2049" s="2" t="s">
        <v>5749</v>
      </c>
      <c r="C2049" s="2" t="s">
        <v>17</v>
      </c>
      <c r="D2049" s="2" t="s">
        <v>18</v>
      </c>
      <c r="E2049" s="4">
        <v>-32153</v>
      </c>
      <c r="F2049" s="3" t="s">
        <v>235</v>
      </c>
      <c r="G2049" s="3" t="s">
        <v>2181</v>
      </c>
      <c r="H2049" s="2" t="s">
        <v>148</v>
      </c>
      <c r="I2049" s="2" t="s">
        <v>5750</v>
      </c>
      <c r="J2049" s="3" t="str">
        <f>HYPERLINK("https://www.boe.es/gazeta/dias/1811/12/19/pdfs/GEI-1811-164.pdf#page=8","Abrir facsímil")</f>
        <v>Abrir facsímil</v>
      </c>
      <c r="K2049" s="3" t="s">
        <v>150</v>
      </c>
    </row>
    <row r="2050" spans="1:11" ht="42" customHeight="1">
      <c r="A2050" s="2" t="s">
        <v>5751</v>
      </c>
      <c r="B2050" s="2" t="s">
        <v>5752</v>
      </c>
      <c r="C2050" s="2" t="s">
        <v>26</v>
      </c>
      <c r="D2050" s="2" t="s">
        <v>18</v>
      </c>
      <c r="E2050" s="4">
        <v>-32286</v>
      </c>
      <c r="F2050" s="3" t="s">
        <v>754</v>
      </c>
      <c r="G2050" s="3" t="s">
        <v>1728</v>
      </c>
      <c r="H2050" s="2" t="s">
        <v>148</v>
      </c>
      <c r="I2050" s="2" t="s">
        <v>5753</v>
      </c>
      <c r="J2050" s="3" t="str">
        <f>HYPERLINK("https://www.boe.es/gazeta/dias/1811/08/08/pdfs/GEI-1811-103.pdf#page=8","Abrir facsímil")</f>
        <v>Abrir facsímil</v>
      </c>
      <c r="K2050" s="3" t="s">
        <v>150</v>
      </c>
    </row>
    <row r="2051" spans="1:11" ht="42" customHeight="1">
      <c r="A2051" s="2" t="s">
        <v>5754</v>
      </c>
      <c r="B2051" s="2" t="s">
        <v>5755</v>
      </c>
      <c r="C2051" s="2" t="s">
        <v>26</v>
      </c>
      <c r="D2051" s="2" t="s">
        <v>18</v>
      </c>
      <c r="E2051" s="4">
        <v>-32340</v>
      </c>
      <c r="F2051" s="3" t="s">
        <v>565</v>
      </c>
      <c r="G2051" s="3" t="s">
        <v>91</v>
      </c>
      <c r="H2051" s="2" t="s">
        <v>148</v>
      </c>
      <c r="I2051" s="2" t="s">
        <v>5756</v>
      </c>
      <c r="J2051" s="3" t="str">
        <f>HYPERLINK("https://www.boe.es/gazeta/dias/1811/06/15/pdfs/GEI-1811-80.pdf#page=8","Abrir facsímil")</f>
        <v>Abrir facsímil</v>
      </c>
      <c r="K2051" s="3" t="s">
        <v>150</v>
      </c>
    </row>
    <row r="2052" spans="1:11" ht="42" customHeight="1">
      <c r="A2052" s="2" t="s">
        <v>5757</v>
      </c>
      <c r="B2052" s="2" t="s">
        <v>5758</v>
      </c>
      <c r="C2052" s="2" t="s">
        <v>367</v>
      </c>
      <c r="D2052" s="2" t="s">
        <v>141</v>
      </c>
      <c r="E2052" s="4">
        <v>-32238</v>
      </c>
      <c r="F2052" s="3" t="s">
        <v>166</v>
      </c>
      <c r="G2052" s="3" t="s">
        <v>178</v>
      </c>
      <c r="H2052" s="2" t="s">
        <v>148</v>
      </c>
      <c r="I2052" s="2" t="s">
        <v>5759</v>
      </c>
      <c r="J2052" s="3" t="str">
        <f>HYPERLINK("https://www.boe.es/gazeta/dias/1811/09/25/pdfs/GMD-C-1811-268.pdf#page=4","Abrir facsímil")</f>
        <v>Abrir facsímil</v>
      </c>
      <c r="K2052" s="3" t="s">
        <v>150</v>
      </c>
    </row>
    <row r="2053" spans="1:11" ht="42" customHeight="1">
      <c r="A2053" s="2" t="s">
        <v>5760</v>
      </c>
      <c r="B2053" s="2" t="s">
        <v>5761</v>
      </c>
      <c r="C2053" s="2" t="s">
        <v>26</v>
      </c>
      <c r="D2053" s="2" t="s">
        <v>18</v>
      </c>
      <c r="E2053" s="4">
        <v>-32295</v>
      </c>
      <c r="F2053" s="3" t="s">
        <v>279</v>
      </c>
      <c r="G2053" s="3" t="s">
        <v>44</v>
      </c>
      <c r="H2053" s="2" t="s">
        <v>148</v>
      </c>
      <c r="I2053" s="2" t="s">
        <v>5762</v>
      </c>
      <c r="J2053" s="3" t="str">
        <f>HYPERLINK("https://www.boe.es/gazeta/dias/1811/07/30/pdfs/GEI-1811-99.pdf#page=8","Abrir facsímil")</f>
        <v>Abrir facsímil</v>
      </c>
      <c r="K2053" s="3" t="s">
        <v>150</v>
      </c>
    </row>
    <row r="2054" spans="1:11" ht="42" customHeight="1">
      <c r="A2054" s="2" t="s">
        <v>5763</v>
      </c>
      <c r="B2054" s="2" t="s">
        <v>5764</v>
      </c>
      <c r="C2054" s="2" t="s">
        <v>841</v>
      </c>
      <c r="D2054" s="2" t="s">
        <v>18</v>
      </c>
      <c r="E2054" s="4">
        <v>-32228</v>
      </c>
      <c r="F2054" s="3" t="s">
        <v>372</v>
      </c>
      <c r="G2054" s="3" t="s">
        <v>20</v>
      </c>
      <c r="H2054" s="2" t="s">
        <v>148</v>
      </c>
      <c r="I2054" s="2" t="s">
        <v>5765</v>
      </c>
      <c r="J2054" s="3" t="str">
        <f>HYPERLINK("https://www.boe.es/gazeta/dias/1811/10/05/pdfs/GEI-1811-128.pdf#page=8","Abrir facsímil")</f>
        <v>Abrir facsímil</v>
      </c>
      <c r="K2054" s="3" t="s">
        <v>150</v>
      </c>
    </row>
    <row r="2055" spans="1:11" ht="42" customHeight="1">
      <c r="A2055" s="2" t="s">
        <v>5766</v>
      </c>
      <c r="B2055" s="2" t="s">
        <v>5767</v>
      </c>
      <c r="C2055" s="2" t="s">
        <v>17</v>
      </c>
      <c r="D2055" s="2" t="s">
        <v>18</v>
      </c>
      <c r="E2055" s="4">
        <v>-32200</v>
      </c>
      <c r="F2055" s="3" t="s">
        <v>109</v>
      </c>
      <c r="G2055" s="3" t="s">
        <v>586</v>
      </c>
      <c r="H2055" s="2" t="s">
        <v>148</v>
      </c>
      <c r="I2055" s="2" t="s">
        <v>5768</v>
      </c>
      <c r="J2055" s="3" t="str">
        <f>HYPERLINK("https://www.boe.es/gazeta/dias/1811/11/02/pdfs/GEI-1811-141.pdf#page=8","Abrir facsímil")</f>
        <v>Abrir facsímil</v>
      </c>
      <c r="K2055" s="3" t="s">
        <v>150</v>
      </c>
    </row>
    <row r="2056" spans="1:11" ht="42" customHeight="1">
      <c r="A2056" s="2" t="s">
        <v>5769</v>
      </c>
      <c r="B2056" s="2" t="s">
        <v>5770</v>
      </c>
      <c r="C2056" s="2" t="s">
        <v>17</v>
      </c>
      <c r="D2056" s="2" t="s">
        <v>156</v>
      </c>
      <c r="E2056" s="4">
        <v>-32309</v>
      </c>
      <c r="F2056" s="3" t="s">
        <v>2496</v>
      </c>
      <c r="G2056" s="3" t="s">
        <v>47</v>
      </c>
      <c r="H2056" s="2" t="s">
        <v>148</v>
      </c>
      <c r="I2056" s="2" t="s">
        <v>5771</v>
      </c>
      <c r="J2056" s="3" t="str">
        <f>HYPERLINK("https://www.boe.es/gazeta/dias/1811/07/16/pdfs/GEI-1811-93.pdf#page=8","Abrir facsímil")</f>
        <v>Abrir facsímil</v>
      </c>
      <c r="K2056" s="3" t="s">
        <v>150</v>
      </c>
    </row>
    <row r="2057" spans="1:11" ht="42" customHeight="1">
      <c r="A2057" s="2" t="s">
        <v>5772</v>
      </c>
      <c r="B2057" s="2" t="s">
        <v>5773</v>
      </c>
      <c r="C2057" s="2" t="s">
        <v>26</v>
      </c>
      <c r="D2057" s="2" t="s">
        <v>105</v>
      </c>
      <c r="E2057" s="4">
        <v>-32297</v>
      </c>
      <c r="F2057" s="3" t="s">
        <v>2174</v>
      </c>
      <c r="G2057" s="3" t="s">
        <v>183</v>
      </c>
      <c r="H2057" s="2" t="s">
        <v>148</v>
      </c>
      <c r="I2057" s="2" t="s">
        <v>5774</v>
      </c>
      <c r="J2057" s="3" t="str">
        <f>HYPERLINK("https://www.boe.es/gazeta/dias/1811/07/28/pdfs/GMD-1811-209.pdf#page=4","Abrir facsímil")</f>
        <v>Abrir facsímil</v>
      </c>
      <c r="K2057" s="3" t="s">
        <v>150</v>
      </c>
    </row>
    <row r="2058" spans="1:11" ht="42" customHeight="1">
      <c r="A2058" s="2" t="s">
        <v>5775</v>
      </c>
      <c r="B2058" s="2" t="s">
        <v>5776</v>
      </c>
      <c r="C2058" s="2" t="s">
        <v>841</v>
      </c>
      <c r="D2058" s="2" t="s">
        <v>18</v>
      </c>
      <c r="E2058" s="4">
        <v>-32421</v>
      </c>
      <c r="F2058" s="3" t="s">
        <v>79</v>
      </c>
      <c r="G2058" s="3" t="s">
        <v>488</v>
      </c>
      <c r="H2058" s="2" t="s">
        <v>148</v>
      </c>
      <c r="I2058" s="2" t="s">
        <v>5777</v>
      </c>
      <c r="J2058" s="3" t="str">
        <f>HYPERLINK("https://www.boe.es/gazeta/dias/1811/03/26/pdfs/GEI-1811-42.pdf#page=8","Abrir facsímil")</f>
        <v>Abrir facsímil</v>
      </c>
      <c r="K2058" s="3" t="s">
        <v>150</v>
      </c>
    </row>
    <row r="2059" spans="1:11" ht="42" customHeight="1">
      <c r="A2059" s="2" t="s">
        <v>5778</v>
      </c>
      <c r="B2059" s="2" t="s">
        <v>5779</v>
      </c>
      <c r="C2059" s="2" t="s">
        <v>17</v>
      </c>
      <c r="D2059" s="2" t="s">
        <v>18</v>
      </c>
      <c r="E2059" s="4">
        <v>-32421</v>
      </c>
      <c r="F2059" s="3" t="s">
        <v>79</v>
      </c>
      <c r="G2059" s="3" t="s">
        <v>488</v>
      </c>
      <c r="H2059" s="2" t="s">
        <v>148</v>
      </c>
      <c r="I2059" s="2" t="s">
        <v>5780</v>
      </c>
      <c r="J2059" s="3" t="str">
        <f>HYPERLINK("https://www.boe.es/gazeta/dias/1811/03/26/pdfs/GEI-1811-42.pdf#page=8","Abrir facsímil")</f>
        <v>Abrir facsímil</v>
      </c>
      <c r="K2059" s="3" t="s">
        <v>150</v>
      </c>
    </row>
    <row r="2060" spans="1:11" ht="42" customHeight="1">
      <c r="A2060" s="2" t="s">
        <v>5781</v>
      </c>
      <c r="B2060" s="2" t="s">
        <v>5782</v>
      </c>
      <c r="C2060" s="2" t="s">
        <v>26</v>
      </c>
      <c r="D2060" s="2" t="s">
        <v>18</v>
      </c>
      <c r="E2060" s="4">
        <v>-32251</v>
      </c>
      <c r="F2060" s="3" t="s">
        <v>726</v>
      </c>
      <c r="G2060" s="3" t="s">
        <v>727</v>
      </c>
      <c r="H2060" s="2" t="s">
        <v>148</v>
      </c>
      <c r="I2060" s="2" t="s">
        <v>5783</v>
      </c>
      <c r="J2060" s="3" t="str">
        <f>HYPERLINK("https://www.boe.es/gazeta/dias/1811/09/12/pdfs/GEI-1811-118.pdf#page=8","Abrir facsímil")</f>
        <v>Abrir facsímil</v>
      </c>
      <c r="K2060" s="3" t="s">
        <v>150</v>
      </c>
    </row>
    <row r="2061" spans="1:11" ht="42" customHeight="1">
      <c r="A2061" s="2" t="s">
        <v>5784</v>
      </c>
      <c r="B2061" s="2" t="s">
        <v>5785</v>
      </c>
      <c r="C2061" s="2" t="s">
        <v>84</v>
      </c>
      <c r="D2061" s="2" t="s">
        <v>18</v>
      </c>
      <c r="E2061" s="4">
        <v>-32457</v>
      </c>
      <c r="F2061" s="3" t="s">
        <v>3646</v>
      </c>
      <c r="G2061" s="3" t="s">
        <v>107</v>
      </c>
      <c r="H2061" s="2" t="s">
        <v>148</v>
      </c>
      <c r="I2061" s="2" t="s">
        <v>5786</v>
      </c>
      <c r="J2061" s="3" t="str">
        <f>HYPERLINK("https://www.boe.es/gazeta/dias/1811/02/18/pdfs/GMD-1811-49.pdf#page=4","Abrir facsímil")</f>
        <v>Abrir facsímil</v>
      </c>
      <c r="K2061" s="3" t="s">
        <v>150</v>
      </c>
    </row>
    <row r="2062" spans="1:11" ht="42" customHeight="1">
      <c r="A2062" s="2" t="s">
        <v>5787</v>
      </c>
      <c r="B2062" s="2" t="s">
        <v>5788</v>
      </c>
      <c r="C2062" s="2" t="s">
        <v>104</v>
      </c>
      <c r="D2062" s="2" t="s">
        <v>141</v>
      </c>
      <c r="E2062" s="4">
        <v>-32272</v>
      </c>
      <c r="F2062" s="3" t="s">
        <v>1150</v>
      </c>
      <c r="G2062" s="3" t="s">
        <v>248</v>
      </c>
      <c r="H2062" s="2" t="s">
        <v>148</v>
      </c>
      <c r="I2062" s="2" t="s">
        <v>5789</v>
      </c>
      <c r="J2062" s="3" t="str">
        <f>HYPERLINK("https://www.boe.es/gazeta/dias/1811/08/22/pdfs/GMD-C-1811-234.pdf#page=1","Abrir facsímil")</f>
        <v>Abrir facsímil</v>
      </c>
      <c r="K2062" s="3" t="s">
        <v>150</v>
      </c>
    </row>
    <row r="2063" spans="1:11" ht="42" customHeight="1">
      <c r="A2063" s="2" t="s">
        <v>5790</v>
      </c>
      <c r="B2063" s="2" t="s">
        <v>5791</v>
      </c>
      <c r="C2063" s="2" t="s">
        <v>26</v>
      </c>
      <c r="D2063" s="2" t="s">
        <v>18</v>
      </c>
      <c r="E2063" s="4">
        <v>-32501</v>
      </c>
      <c r="F2063" s="3" t="s">
        <v>509</v>
      </c>
      <c r="G2063" s="3" t="s">
        <v>510</v>
      </c>
      <c r="H2063" s="2" t="s">
        <v>148</v>
      </c>
      <c r="I2063" s="2" t="s">
        <v>5792</v>
      </c>
      <c r="J2063" s="3" t="str">
        <f>HYPERLINK("https://www.boe.es/gazeta/dias/1811/01/05/pdfs/GEI-1811-3.pdf#page=8","Abrir facsímil")</f>
        <v>Abrir facsímil</v>
      </c>
      <c r="K2063" s="3" t="s">
        <v>150</v>
      </c>
    </row>
    <row r="2064" spans="1:11" ht="42" customHeight="1">
      <c r="A2064" s="2" t="s">
        <v>5793</v>
      </c>
      <c r="B2064" s="2" t="s">
        <v>5794</v>
      </c>
      <c r="C2064" s="2" t="s">
        <v>26</v>
      </c>
      <c r="D2064" s="2" t="s">
        <v>105</v>
      </c>
      <c r="E2064" s="4">
        <v>-32179</v>
      </c>
      <c r="F2064" s="3" t="s">
        <v>3269</v>
      </c>
      <c r="G2064" s="3" t="s">
        <v>91</v>
      </c>
      <c r="H2064" s="2" t="s">
        <v>148</v>
      </c>
      <c r="I2064" s="2" t="s">
        <v>5795</v>
      </c>
      <c r="J2064" s="3" t="str">
        <f>HYPERLINK("https://www.boe.es/gazeta/dias/1811/11/23/pdfs/GMD-1811-327.pdf#page=4","Abrir facsímil")</f>
        <v>Abrir facsímil</v>
      </c>
      <c r="K2064" s="3" t="s">
        <v>150</v>
      </c>
    </row>
    <row r="2065" spans="1:11" ht="42" customHeight="1">
      <c r="A2065" s="2" t="s">
        <v>5796</v>
      </c>
      <c r="B2065" s="2" t="s">
        <v>5797</v>
      </c>
      <c r="C2065" s="2" t="s">
        <v>17</v>
      </c>
      <c r="D2065" s="2" t="s">
        <v>18</v>
      </c>
      <c r="E2065" s="4">
        <v>-32263</v>
      </c>
      <c r="F2065" s="3" t="s">
        <v>3780</v>
      </c>
      <c r="G2065" s="3" t="s">
        <v>3781</v>
      </c>
      <c r="H2065" s="2" t="s">
        <v>148</v>
      </c>
      <c r="I2065" s="2" t="s">
        <v>5798</v>
      </c>
      <c r="J2065" s="3" t="str">
        <f>HYPERLINK("https://www.boe.es/gazeta/dias/1811/08/31/pdfs/GMD-1811-243.pdf#page=4","Abrir facsímil")</f>
        <v>Abrir facsímil</v>
      </c>
      <c r="K2065" s="3" t="s">
        <v>150</v>
      </c>
    </row>
    <row r="2066" spans="1:11" ht="42" customHeight="1">
      <c r="A2066" s="2" t="s">
        <v>5799</v>
      </c>
      <c r="B2066" s="2" t="s">
        <v>5800</v>
      </c>
      <c r="C2066" s="2" t="s">
        <v>17</v>
      </c>
      <c r="D2066" s="2" t="s">
        <v>18</v>
      </c>
      <c r="E2066" s="4">
        <v>-32309</v>
      </c>
      <c r="F2066" s="3" t="s">
        <v>2496</v>
      </c>
      <c r="G2066" s="3" t="s">
        <v>47</v>
      </c>
      <c r="H2066" s="2" t="s">
        <v>148</v>
      </c>
      <c r="I2066" s="2" t="s">
        <v>5801</v>
      </c>
      <c r="J2066" s="3" t="str">
        <f>HYPERLINK("https://www.boe.es/gazeta/dias/1811/07/16/pdfs/GEI-1811-93.pdf#page=8","Abrir facsímil")</f>
        <v>Abrir facsímil</v>
      </c>
      <c r="K2066" s="3" t="s">
        <v>150</v>
      </c>
    </row>
    <row r="2067" spans="1:11" ht="42" customHeight="1">
      <c r="A2067" s="2" t="s">
        <v>5802</v>
      </c>
      <c r="B2067" s="2" t="s">
        <v>5803</v>
      </c>
      <c r="C2067" s="2" t="s">
        <v>17</v>
      </c>
      <c r="D2067" s="2" t="s">
        <v>204</v>
      </c>
      <c r="E2067" s="4">
        <v>-32389</v>
      </c>
      <c r="F2067" s="3" t="s">
        <v>5334</v>
      </c>
      <c r="G2067" s="3" t="s">
        <v>2384</v>
      </c>
      <c r="H2067" s="2" t="s">
        <v>148</v>
      </c>
      <c r="I2067" s="2" t="s">
        <v>5804</v>
      </c>
      <c r="J2067" s="3" t="str">
        <f>HYPERLINK("https://www.boe.es/gazeta/dias/1811/04/27/pdfs/GEI-1811-56.pdf#page=8","Abrir facsímil")</f>
        <v>Abrir facsímil</v>
      </c>
      <c r="K2067" s="3" t="s">
        <v>150</v>
      </c>
    </row>
    <row r="2068" spans="1:11" ht="42" customHeight="1">
      <c r="A2068" s="2" t="s">
        <v>5805</v>
      </c>
      <c r="B2068" s="2" t="s">
        <v>5806</v>
      </c>
      <c r="C2068" s="2" t="s">
        <v>17</v>
      </c>
      <c r="D2068" s="2" t="s">
        <v>156</v>
      </c>
      <c r="E2068" s="4">
        <v>-32494</v>
      </c>
      <c r="F2068" s="3" t="s">
        <v>3050</v>
      </c>
      <c r="G2068" s="3" t="s">
        <v>1179</v>
      </c>
      <c r="H2068" s="2" t="s">
        <v>148</v>
      </c>
      <c r="I2068" s="2" t="s">
        <v>5807</v>
      </c>
      <c r="J2068" s="3" t="str">
        <f>HYPERLINK("https://www.boe.es/gazeta/dias/1811/01/12/pdfs/GEI-1811-6.pdf#page=7","Abrir facsímil")</f>
        <v>Abrir facsímil</v>
      </c>
      <c r="K2068" s="3" t="s">
        <v>150</v>
      </c>
    </row>
    <row r="2069" spans="1:11" ht="42" customHeight="1">
      <c r="A2069" s="2" t="s">
        <v>5808</v>
      </c>
      <c r="B2069" s="2" t="s">
        <v>5809</v>
      </c>
      <c r="C2069" s="2" t="s">
        <v>17</v>
      </c>
      <c r="D2069" s="2" t="s">
        <v>18</v>
      </c>
      <c r="E2069" s="4">
        <v>-32421</v>
      </c>
      <c r="F2069" s="3" t="s">
        <v>79</v>
      </c>
      <c r="G2069" s="3" t="s">
        <v>488</v>
      </c>
      <c r="H2069" s="2" t="s">
        <v>148</v>
      </c>
      <c r="I2069" s="2" t="s">
        <v>5810</v>
      </c>
      <c r="J2069" s="3" t="str">
        <f>HYPERLINK("https://www.boe.es/gazeta/dias/1811/03/26/pdfs/GEI-1811-42.pdf#page=8","Abrir facsímil")</f>
        <v>Abrir facsímil</v>
      </c>
      <c r="K2069" s="3" t="s">
        <v>150</v>
      </c>
    </row>
    <row r="2070" spans="1:11" ht="42" customHeight="1">
      <c r="A2070" s="2" t="s">
        <v>5811</v>
      </c>
      <c r="B2070" s="2" t="s">
        <v>5812</v>
      </c>
      <c r="C2070" s="2" t="s">
        <v>26</v>
      </c>
      <c r="D2070" s="2" t="s">
        <v>141</v>
      </c>
      <c r="E2070" s="4">
        <v>-32249</v>
      </c>
      <c r="F2070" s="3" t="s">
        <v>743</v>
      </c>
      <c r="G2070" s="3" t="s">
        <v>1021</v>
      </c>
      <c r="H2070" s="2" t="s">
        <v>148</v>
      </c>
      <c r="I2070" s="2" t="s">
        <v>5813</v>
      </c>
      <c r="J2070" s="3" t="str">
        <f>HYPERLINK("https://www.boe.es/gazeta/dias/1811/09/14/pdfs/GMD-C-1811-257.pdf#page=2","Abrir facsímil")</f>
        <v>Abrir facsímil</v>
      </c>
      <c r="K2070" s="3" t="s">
        <v>150</v>
      </c>
    </row>
    <row r="2071" spans="1:11" ht="42" customHeight="1">
      <c r="A2071" s="2" t="s">
        <v>5811</v>
      </c>
      <c r="B2071" s="2" t="s">
        <v>5812</v>
      </c>
      <c r="C2071" s="2" t="s">
        <v>26</v>
      </c>
      <c r="D2071" s="2" t="s">
        <v>141</v>
      </c>
      <c r="E2071" s="4">
        <v>-32238</v>
      </c>
      <c r="F2071" s="3" t="s">
        <v>166</v>
      </c>
      <c r="G2071" s="3" t="s">
        <v>178</v>
      </c>
      <c r="H2071" s="2" t="s">
        <v>148</v>
      </c>
      <c r="I2071" s="2" t="s">
        <v>5814</v>
      </c>
      <c r="J2071" s="3" t="str">
        <f>HYPERLINK("https://www.boe.es/gazeta/dias/1811/09/25/pdfs/GMD-C-1811-268.pdf#page=4","Abrir facsímil")</f>
        <v>Abrir facsímil</v>
      </c>
      <c r="K2071" s="3" t="s">
        <v>150</v>
      </c>
    </row>
    <row r="2072" spans="1:11" ht="42" customHeight="1">
      <c r="A2072" s="2" t="s">
        <v>5815</v>
      </c>
      <c r="B2072" s="2" t="s">
        <v>5816</v>
      </c>
      <c r="C2072" s="2" t="s">
        <v>104</v>
      </c>
      <c r="D2072" s="2" t="s">
        <v>141</v>
      </c>
      <c r="E2072" s="4">
        <v>-32272</v>
      </c>
      <c r="F2072" s="3" t="s">
        <v>1150</v>
      </c>
      <c r="G2072" s="3" t="s">
        <v>468</v>
      </c>
      <c r="H2072" s="2" t="s">
        <v>148</v>
      </c>
      <c r="I2072" s="2" t="s">
        <v>5817</v>
      </c>
      <c r="J2072" s="3" t="str">
        <f>HYPERLINK("https://www.boe.es/gazeta/dias/1811/08/22/pdfs/GMD-C-1811-234.pdf#page=2","Abrir facsímil")</f>
        <v>Abrir facsímil</v>
      </c>
      <c r="K2072" s="3" t="s">
        <v>150</v>
      </c>
    </row>
    <row r="2073" spans="1:11" ht="42" customHeight="1">
      <c r="A2073" s="2" t="s">
        <v>5818</v>
      </c>
      <c r="B2073" s="2" t="s">
        <v>5819</v>
      </c>
      <c r="C2073" s="2" t="s">
        <v>26</v>
      </c>
      <c r="D2073" s="2" t="s">
        <v>18</v>
      </c>
      <c r="E2073" s="4">
        <v>-32153</v>
      </c>
      <c r="F2073" s="3" t="s">
        <v>123</v>
      </c>
      <c r="G2073" s="3" t="s">
        <v>288</v>
      </c>
      <c r="H2073" s="2" t="s">
        <v>148</v>
      </c>
      <c r="I2073" s="2" t="s">
        <v>5820</v>
      </c>
      <c r="J2073" s="3" t="str">
        <f>HYPERLINK("https://www.boe.es/gazeta/dias/1811/12/19/pdfs/GMD-1811-353.pdf#page=4","Abrir facsímil")</f>
        <v>Abrir facsímil</v>
      </c>
      <c r="K2073" s="3" t="s">
        <v>150</v>
      </c>
    </row>
    <row r="2074" spans="1:11" ht="42" customHeight="1">
      <c r="A2074" s="2" t="s">
        <v>5821</v>
      </c>
      <c r="B2074" s="2" t="s">
        <v>5822</v>
      </c>
      <c r="C2074" s="2" t="s">
        <v>17</v>
      </c>
      <c r="D2074" s="2" t="s">
        <v>18</v>
      </c>
      <c r="E2074" s="4">
        <v>-32300</v>
      </c>
      <c r="F2074" s="3" t="s">
        <v>61</v>
      </c>
      <c r="G2074" s="3" t="s">
        <v>221</v>
      </c>
      <c r="H2074" s="2" t="s">
        <v>148</v>
      </c>
      <c r="I2074" s="2" t="s">
        <v>5823</v>
      </c>
      <c r="J2074" s="3" t="str">
        <f>HYPERLINK("https://www.boe.es/gazeta/dias/1811/07/25/pdfs/GEI-1811-97.pdf#page=4","Abrir facsímil")</f>
        <v>Abrir facsímil</v>
      </c>
      <c r="K2074" s="3" t="s">
        <v>150</v>
      </c>
    </row>
    <row r="2075" spans="1:11" ht="42" customHeight="1">
      <c r="A2075" s="2" t="s">
        <v>5824</v>
      </c>
      <c r="B2075" s="2" t="s">
        <v>5825</v>
      </c>
      <c r="C2075" s="2" t="s">
        <v>26</v>
      </c>
      <c r="D2075" s="2" t="s">
        <v>105</v>
      </c>
      <c r="E2075" s="4">
        <v>-32195</v>
      </c>
      <c r="F2075" s="3" t="s">
        <v>439</v>
      </c>
      <c r="G2075" s="3" t="s">
        <v>2092</v>
      </c>
      <c r="H2075" s="2" t="s">
        <v>148</v>
      </c>
      <c r="I2075" s="2" t="s">
        <v>5826</v>
      </c>
      <c r="J2075" s="3" t="str">
        <f>HYPERLINK("https://www.boe.es/gazeta/dias/1811/11/07/pdfs/GEI-1811-144.pdf#page=7","Abrir facsímil")</f>
        <v>Abrir facsímil</v>
      </c>
      <c r="K2075" s="3" t="s">
        <v>150</v>
      </c>
    </row>
    <row r="2076" spans="1:11" ht="42" customHeight="1">
      <c r="A2076" s="2" t="s">
        <v>5827</v>
      </c>
      <c r="B2076" s="2" t="s">
        <v>5828</v>
      </c>
      <c r="C2076" s="2" t="s">
        <v>26</v>
      </c>
      <c r="D2076" s="2" t="s">
        <v>105</v>
      </c>
      <c r="E2076" s="4">
        <v>-32155</v>
      </c>
      <c r="F2076" s="3" t="s">
        <v>99</v>
      </c>
      <c r="G2076" s="3" t="s">
        <v>100</v>
      </c>
      <c r="H2076" s="2" t="s">
        <v>148</v>
      </c>
      <c r="I2076" s="2" t="s">
        <v>5829</v>
      </c>
      <c r="J2076" s="3" t="str">
        <f>HYPERLINK("https://www.boe.es/gazeta/dias/1811/12/17/pdfs/GMD-1811-351.pdf#page=4","Abrir facsímil")</f>
        <v>Abrir facsímil</v>
      </c>
      <c r="K2076" s="3" t="s">
        <v>150</v>
      </c>
    </row>
    <row r="2077" spans="1:11" ht="42" customHeight="1">
      <c r="A2077" s="2" t="s">
        <v>5830</v>
      </c>
      <c r="B2077" s="2" t="s">
        <v>5831</v>
      </c>
      <c r="C2077" s="2" t="s">
        <v>26</v>
      </c>
      <c r="D2077" s="2" t="s">
        <v>18</v>
      </c>
      <c r="E2077" s="4">
        <v>-32188</v>
      </c>
      <c r="F2077" s="3" t="s">
        <v>356</v>
      </c>
      <c r="G2077" s="3" t="s">
        <v>248</v>
      </c>
      <c r="H2077" s="2" t="s">
        <v>148</v>
      </c>
      <c r="I2077" s="2" t="s">
        <v>5832</v>
      </c>
      <c r="J2077" s="3" t="str">
        <f>HYPERLINK("https://www.boe.es/gazeta/dias/1811/11/14/pdfs/GMD-1811-318.pdf#page=5","Abrir facsímil")</f>
        <v>Abrir facsímil</v>
      </c>
      <c r="K2077" s="3" t="s">
        <v>150</v>
      </c>
    </row>
    <row r="2078" spans="1:11" ht="42" customHeight="1">
      <c r="A2078" s="2" t="s">
        <v>5833</v>
      </c>
      <c r="B2078" s="2" t="s">
        <v>5834</v>
      </c>
      <c r="C2078" s="2" t="s">
        <v>17</v>
      </c>
      <c r="D2078" s="2" t="s">
        <v>18</v>
      </c>
      <c r="E2078" s="4">
        <v>-32416</v>
      </c>
      <c r="F2078" s="3" t="s">
        <v>954</v>
      </c>
      <c r="G2078" s="3" t="s">
        <v>47</v>
      </c>
      <c r="H2078" s="2" t="s">
        <v>148</v>
      </c>
      <c r="I2078" s="2" t="s">
        <v>5835</v>
      </c>
      <c r="J2078" s="3" t="str">
        <f>HYPERLINK("https://www.boe.es/gazeta/dias/1811/03/31/pdfs/GMD-1811-90.pdf#page=3","Abrir facsímil")</f>
        <v>Abrir facsímil</v>
      </c>
      <c r="K2078" s="3" t="s">
        <v>150</v>
      </c>
    </row>
    <row r="2079" spans="1:11" ht="42" customHeight="1">
      <c r="A2079" s="2" t="s">
        <v>5836</v>
      </c>
      <c r="B2079" s="2" t="s">
        <v>5837</v>
      </c>
      <c r="C2079" s="2" t="s">
        <v>26</v>
      </c>
      <c r="D2079" s="2" t="s">
        <v>141</v>
      </c>
      <c r="E2079" s="4">
        <v>-32319</v>
      </c>
      <c r="F2079" s="3" t="s">
        <v>907</v>
      </c>
      <c r="G2079" s="3" t="s">
        <v>134</v>
      </c>
      <c r="H2079" s="2" t="s">
        <v>148</v>
      </c>
      <c r="I2079" s="2" t="s">
        <v>5838</v>
      </c>
      <c r="J2079" s="3" t="str">
        <f>HYPERLINK("https://www.boe.es/gazeta/dias/1811/07/06/pdfs/GEI-D-1811-89.pdf#page=4","Abrir facsímil")</f>
        <v>Abrir facsímil</v>
      </c>
      <c r="K2079" s="3" t="s">
        <v>150</v>
      </c>
    </row>
    <row r="2080" spans="1:11" ht="42" customHeight="1">
      <c r="A2080" s="2" t="s">
        <v>5839</v>
      </c>
      <c r="B2080" s="2" t="s">
        <v>5840</v>
      </c>
      <c r="C2080" s="2" t="s">
        <v>104</v>
      </c>
      <c r="D2080" s="2" t="s">
        <v>18</v>
      </c>
      <c r="E2080" s="4">
        <v>-32270</v>
      </c>
      <c r="F2080" s="3" t="s">
        <v>431</v>
      </c>
      <c r="G2080" s="3" t="s">
        <v>2080</v>
      </c>
      <c r="H2080" s="2" t="s">
        <v>148</v>
      </c>
      <c r="I2080" s="2" t="s">
        <v>5841</v>
      </c>
      <c r="J2080" s="3" t="str">
        <f>HYPERLINK("https://www.boe.es/gazeta/dias/1811/08/24/pdfs/GEI-1811-110.pdf#page=5","Abrir facsímil")</f>
        <v>Abrir facsímil</v>
      </c>
      <c r="K2080" s="3" t="s">
        <v>150</v>
      </c>
    </row>
    <row r="2081" spans="1:11" ht="42" customHeight="1">
      <c r="A2081" s="2" t="s">
        <v>5842</v>
      </c>
      <c r="B2081" s="2" t="s">
        <v>5843</v>
      </c>
      <c r="C2081" s="2" t="s">
        <v>26</v>
      </c>
      <c r="D2081" s="2" t="s">
        <v>18</v>
      </c>
      <c r="E2081" s="4">
        <v>-32263</v>
      </c>
      <c r="F2081" s="3" t="s">
        <v>3780</v>
      </c>
      <c r="G2081" s="3" t="s">
        <v>3781</v>
      </c>
      <c r="H2081" s="2" t="s">
        <v>148</v>
      </c>
      <c r="I2081" s="2" t="s">
        <v>5844</v>
      </c>
      <c r="J2081" s="3" t="str">
        <f>HYPERLINK("https://www.boe.es/gazeta/dias/1811/08/31/pdfs/GMD-1811-243.pdf#page=4","Abrir facsímil")</f>
        <v>Abrir facsímil</v>
      </c>
      <c r="K2081" s="3" t="s">
        <v>150</v>
      </c>
    </row>
    <row r="2082" spans="1:11" ht="42" customHeight="1">
      <c r="A2082" s="2" t="s">
        <v>5845</v>
      </c>
      <c r="B2082" s="2" t="s">
        <v>5846</v>
      </c>
      <c r="C2082" s="2" t="s">
        <v>17</v>
      </c>
      <c r="D2082" s="2" t="s">
        <v>18</v>
      </c>
      <c r="E2082" s="4">
        <v>-32463</v>
      </c>
      <c r="F2082" s="3" t="s">
        <v>734</v>
      </c>
      <c r="G2082" s="3" t="s">
        <v>515</v>
      </c>
      <c r="H2082" s="2" t="s">
        <v>148</v>
      </c>
      <c r="I2082" s="2" t="s">
        <v>5847</v>
      </c>
      <c r="J2082" s="3" t="str">
        <f>HYPERLINK("https://www.boe.es/gazeta/dias/1811/02/12/pdfs/GEI-1811-19.pdf#page=7","Abrir facsímil")</f>
        <v>Abrir facsímil</v>
      </c>
      <c r="K2082" s="3" t="s">
        <v>150</v>
      </c>
    </row>
    <row r="2083" spans="1:11" ht="42" customHeight="1">
      <c r="A2083" s="2" t="s">
        <v>5848</v>
      </c>
      <c r="B2083" s="2" t="s">
        <v>5849</v>
      </c>
      <c r="C2083" s="2" t="s">
        <v>367</v>
      </c>
      <c r="D2083" s="2" t="s">
        <v>18</v>
      </c>
      <c r="E2083" s="4">
        <v>-32357</v>
      </c>
      <c r="F2083" s="3" t="s">
        <v>2775</v>
      </c>
      <c r="G2083" s="3" t="s">
        <v>57</v>
      </c>
      <c r="H2083" s="2" t="s">
        <v>148</v>
      </c>
      <c r="I2083" s="2" t="s">
        <v>5850</v>
      </c>
      <c r="J2083" s="3" t="str">
        <f>HYPERLINK("https://www.boe.es/gazeta/dias/1811/05/29/pdfs/GMD-1811-149.pdf#page=2","Abrir facsímil")</f>
        <v>Abrir facsímil</v>
      </c>
      <c r="K2083" s="3" t="s">
        <v>150</v>
      </c>
    </row>
    <row r="2084" spans="1:11" ht="42" customHeight="1">
      <c r="A2084" s="2" t="s">
        <v>5851</v>
      </c>
      <c r="B2084" s="2" t="s">
        <v>5852</v>
      </c>
      <c r="C2084" s="2" t="s">
        <v>26</v>
      </c>
      <c r="D2084" s="2" t="s">
        <v>18</v>
      </c>
      <c r="E2084" s="4">
        <v>-32300</v>
      </c>
      <c r="F2084" s="3" t="s">
        <v>492</v>
      </c>
      <c r="G2084" s="3" t="s">
        <v>493</v>
      </c>
      <c r="H2084" s="2" t="s">
        <v>148</v>
      </c>
      <c r="I2084" s="2" t="s">
        <v>5853</v>
      </c>
      <c r="J2084" s="3" t="str">
        <f>HYPERLINK("https://www.boe.es/gazeta/dias/1811/07/25/pdfs/GMD-1811-206.pdf#page=4","Abrir facsímil")</f>
        <v>Abrir facsímil</v>
      </c>
      <c r="K2084" s="3" t="s">
        <v>150</v>
      </c>
    </row>
    <row r="2085" spans="1:11" ht="42" customHeight="1">
      <c r="A2085" s="2" t="s">
        <v>5854</v>
      </c>
      <c r="B2085" s="2" t="s">
        <v>5855</v>
      </c>
      <c r="C2085" s="2" t="s">
        <v>26</v>
      </c>
      <c r="D2085" s="2" t="s">
        <v>141</v>
      </c>
      <c r="E2085" s="4">
        <v>-32272</v>
      </c>
      <c r="F2085" s="3" t="s">
        <v>1150</v>
      </c>
      <c r="G2085" s="3" t="s">
        <v>468</v>
      </c>
      <c r="H2085" s="2" t="s">
        <v>148</v>
      </c>
      <c r="I2085" s="2" t="s">
        <v>5856</v>
      </c>
      <c r="J2085" s="3" t="str">
        <f>HYPERLINK("https://www.boe.es/gazeta/dias/1811/08/22/pdfs/GMD-C-1811-234.pdf#page=2","Abrir facsímil")</f>
        <v>Abrir facsímil</v>
      </c>
      <c r="K2085" s="3" t="s">
        <v>150</v>
      </c>
    </row>
    <row r="2086" spans="1:11" ht="42" customHeight="1">
      <c r="A2086" s="2" t="s">
        <v>5857</v>
      </c>
      <c r="B2086" s="2" t="s">
        <v>5858</v>
      </c>
      <c r="C2086" s="2" t="s">
        <v>17</v>
      </c>
      <c r="D2086" s="2" t="s">
        <v>156</v>
      </c>
      <c r="E2086" s="4">
        <v>-32165</v>
      </c>
      <c r="F2086" s="3" t="s">
        <v>1462</v>
      </c>
      <c r="G2086" s="3" t="s">
        <v>1463</v>
      </c>
      <c r="H2086" s="2" t="s">
        <v>148</v>
      </c>
      <c r="I2086" s="2" t="s">
        <v>5859</v>
      </c>
      <c r="J2086" s="3" t="str">
        <f>HYPERLINK("https://www.boe.es/gazeta/dias/1811/12/07/pdfs/GMD-1811-341.pdf#page=3","Abrir facsímil")</f>
        <v>Abrir facsímil</v>
      </c>
      <c r="K2086" s="3" t="s">
        <v>150</v>
      </c>
    </row>
    <row r="2087" spans="1:11" ht="42" customHeight="1">
      <c r="A2087" s="2" t="s">
        <v>5860</v>
      </c>
      <c r="B2087" s="2" t="s">
        <v>5861</v>
      </c>
      <c r="C2087" s="2" t="s">
        <v>26</v>
      </c>
      <c r="D2087" s="2" t="s">
        <v>204</v>
      </c>
      <c r="E2087" s="4">
        <v>-32187</v>
      </c>
      <c r="F2087" s="3" t="s">
        <v>1775</v>
      </c>
      <c r="G2087" s="3" t="s">
        <v>657</v>
      </c>
      <c r="H2087" s="2" t="s">
        <v>148</v>
      </c>
      <c r="I2087" s="2" t="s">
        <v>5862</v>
      </c>
      <c r="J2087" s="3" t="str">
        <f>HYPERLINK("https://www.boe.es/gazeta/dias/1811/11/15/pdfs/GMD-1811-319.pdf#page=4","Abrir facsímil")</f>
        <v>Abrir facsímil</v>
      </c>
      <c r="K2087" s="3" t="s">
        <v>150</v>
      </c>
    </row>
    <row r="2088" spans="1:11" ht="42" customHeight="1">
      <c r="A2088" s="2" t="s">
        <v>5863</v>
      </c>
      <c r="B2088" s="2" t="s">
        <v>5864</v>
      </c>
      <c r="C2088" s="2" t="s">
        <v>26</v>
      </c>
      <c r="D2088" s="2" t="s">
        <v>18</v>
      </c>
      <c r="E2088" s="4">
        <v>-32202</v>
      </c>
      <c r="F2088" s="3" t="s">
        <v>2194</v>
      </c>
      <c r="G2088" s="3" t="s">
        <v>91</v>
      </c>
      <c r="H2088" s="2" t="s">
        <v>148</v>
      </c>
      <c r="I2088" s="2" t="s">
        <v>5865</v>
      </c>
      <c r="J2088" s="3" t="str">
        <f>HYPERLINK("https://www.boe.es/gazeta/dias/1811/10/31/pdfs/GEI-1811-140.pdf#page=5","Abrir facsímil")</f>
        <v>Abrir facsímil</v>
      </c>
      <c r="K2088" s="3" t="s">
        <v>150</v>
      </c>
    </row>
    <row r="2089" spans="1:11" ht="42" customHeight="1">
      <c r="A2089" s="2" t="s">
        <v>5866</v>
      </c>
      <c r="B2089" s="2" t="s">
        <v>5867</v>
      </c>
      <c r="C2089" s="2" t="s">
        <v>26</v>
      </c>
      <c r="D2089" s="2" t="s">
        <v>18</v>
      </c>
      <c r="E2089" s="4">
        <v>-32188</v>
      </c>
      <c r="F2089" s="3" t="s">
        <v>356</v>
      </c>
      <c r="G2089" s="3" t="s">
        <v>248</v>
      </c>
      <c r="H2089" s="2" t="s">
        <v>148</v>
      </c>
      <c r="I2089" s="2" t="s">
        <v>5868</v>
      </c>
      <c r="J2089" s="3" t="str">
        <f>HYPERLINK("https://www.boe.es/gazeta/dias/1811/11/14/pdfs/GMD-1811-318.pdf#page=5","Abrir facsímil")</f>
        <v>Abrir facsímil</v>
      </c>
      <c r="K2089" s="3" t="s">
        <v>150</v>
      </c>
    </row>
    <row r="2090" spans="1:11" ht="42" customHeight="1">
      <c r="A2090" s="2" t="s">
        <v>5869</v>
      </c>
      <c r="B2090" s="2" t="s">
        <v>5870</v>
      </c>
      <c r="C2090" s="2" t="s">
        <v>841</v>
      </c>
      <c r="D2090" s="2" t="s">
        <v>141</v>
      </c>
      <c r="E2090" s="4">
        <v>-32188</v>
      </c>
      <c r="F2090" s="3" t="s">
        <v>505</v>
      </c>
      <c r="G2090" s="3" t="s">
        <v>47</v>
      </c>
      <c r="H2090" s="2" t="s">
        <v>148</v>
      </c>
      <c r="I2090" s="2" t="s">
        <v>5871</v>
      </c>
      <c r="J2090" s="3" t="str">
        <f>HYPERLINK("https://www.boe.es/gazeta/dias/1811/11/14/pdfs/GEI-D-1811-149.pdf#page=3","Abrir facsímil")</f>
        <v>Abrir facsímil</v>
      </c>
      <c r="K2090" s="3" t="s">
        <v>150</v>
      </c>
    </row>
    <row r="2091" spans="1:11" ht="42" customHeight="1">
      <c r="A2091" s="2" t="s">
        <v>5872</v>
      </c>
      <c r="B2091" s="2" t="s">
        <v>5873</v>
      </c>
      <c r="C2091" s="2" t="s">
        <v>26</v>
      </c>
      <c r="D2091" s="2" t="s">
        <v>18</v>
      </c>
      <c r="E2091" s="4">
        <v>-32188</v>
      </c>
      <c r="F2091" s="3" t="s">
        <v>356</v>
      </c>
      <c r="G2091" s="3" t="s">
        <v>248</v>
      </c>
      <c r="H2091" s="2" t="s">
        <v>148</v>
      </c>
      <c r="I2091" s="2" t="s">
        <v>5874</v>
      </c>
      <c r="J2091" s="3" t="str">
        <f>HYPERLINK("https://www.boe.es/gazeta/dias/1811/11/14/pdfs/GMD-1811-318.pdf#page=5","Abrir facsímil")</f>
        <v>Abrir facsímil</v>
      </c>
      <c r="K2091" s="3" t="s">
        <v>150</v>
      </c>
    </row>
    <row r="2092" spans="1:11" ht="42" customHeight="1">
      <c r="A2092" s="2" t="s">
        <v>5875</v>
      </c>
      <c r="B2092" s="2" t="s">
        <v>5876</v>
      </c>
      <c r="C2092" s="2" t="s">
        <v>17</v>
      </c>
      <c r="D2092" s="2" t="s">
        <v>18</v>
      </c>
      <c r="E2092" s="4">
        <v>-32481</v>
      </c>
      <c r="F2092" s="3" t="s">
        <v>1687</v>
      </c>
      <c r="G2092" s="3" t="s">
        <v>4089</v>
      </c>
      <c r="H2092" s="2" t="s">
        <v>148</v>
      </c>
      <c r="I2092" s="2" t="s">
        <v>5877</v>
      </c>
      <c r="J2092" s="3" t="str">
        <f>HYPERLINK("https://www.boe.es/gazeta/dias/1811/01/25/pdfs/GMD-1811-25.pdf#page=4","Abrir facsímil")</f>
        <v>Abrir facsímil</v>
      </c>
      <c r="K2092" s="3" t="s">
        <v>150</v>
      </c>
    </row>
    <row r="2093" spans="1:11" ht="42" customHeight="1">
      <c r="A2093" s="2" t="s">
        <v>5878</v>
      </c>
      <c r="B2093" s="2" t="s">
        <v>5879</v>
      </c>
      <c r="C2093" s="2" t="s">
        <v>104</v>
      </c>
      <c r="D2093" s="2" t="s">
        <v>18</v>
      </c>
      <c r="E2093" s="4">
        <v>-32349</v>
      </c>
      <c r="F2093" s="3" t="s">
        <v>3983</v>
      </c>
      <c r="G2093" s="3" t="s">
        <v>183</v>
      </c>
      <c r="H2093" s="2" t="s">
        <v>148</v>
      </c>
      <c r="I2093" s="2" t="s">
        <v>5880</v>
      </c>
      <c r="J2093" s="3" t="str">
        <f>HYPERLINK("https://www.boe.es/gazeta/dias/1811/06/06/pdfs/GMD-1811-157.pdf#page=4","Abrir facsímil")</f>
        <v>Abrir facsímil</v>
      </c>
      <c r="K2093" s="3" t="s">
        <v>150</v>
      </c>
    </row>
    <row r="2094" spans="1:11" ht="42" customHeight="1">
      <c r="A2094" s="2" t="s">
        <v>5878</v>
      </c>
      <c r="B2094" s="2" t="s">
        <v>5879</v>
      </c>
      <c r="C2094" s="2" t="s">
        <v>26</v>
      </c>
      <c r="D2094" s="2" t="s">
        <v>18</v>
      </c>
      <c r="E2094" s="4">
        <v>-32303</v>
      </c>
      <c r="F2094" s="3" t="s">
        <v>2811</v>
      </c>
      <c r="G2094" s="3" t="s">
        <v>3577</v>
      </c>
      <c r="H2094" s="2" t="s">
        <v>148</v>
      </c>
      <c r="I2094" s="2" t="s">
        <v>5881</v>
      </c>
      <c r="J2094" s="3" t="str">
        <f>HYPERLINK("https://www.boe.es/gazeta/dias/1811/07/22/pdfs/GMD-1811-203.pdf#page=4","Abrir facsímil")</f>
        <v>Abrir facsímil</v>
      </c>
      <c r="K2094" s="3" t="s">
        <v>150</v>
      </c>
    </row>
    <row r="2095" spans="1:11" ht="42" customHeight="1">
      <c r="A2095" s="2" t="s">
        <v>5882</v>
      </c>
      <c r="B2095" s="2" t="s">
        <v>5883</v>
      </c>
      <c r="C2095" s="2" t="s">
        <v>17</v>
      </c>
      <c r="D2095" s="2" t="s">
        <v>18</v>
      </c>
      <c r="E2095" s="4">
        <v>-32470</v>
      </c>
      <c r="F2095" s="3" t="s">
        <v>1432</v>
      </c>
      <c r="G2095" s="3" t="s">
        <v>3543</v>
      </c>
      <c r="H2095" s="2" t="s">
        <v>148</v>
      </c>
      <c r="I2095" s="2" t="s">
        <v>5884</v>
      </c>
      <c r="J2095" s="3" t="str">
        <f>HYPERLINK("https://www.boe.es/gazeta/dias/1811/02/05/pdfs/GEI-1811-16.pdf#page=8","Abrir facsímil")</f>
        <v>Abrir facsímil</v>
      </c>
      <c r="K2095" s="3" t="s">
        <v>150</v>
      </c>
    </row>
    <row r="2096" spans="1:11" ht="42" customHeight="1">
      <c r="A2096" s="2" t="s">
        <v>5885</v>
      </c>
      <c r="B2096" s="2" t="s">
        <v>5886</v>
      </c>
      <c r="C2096" s="2" t="s">
        <v>26</v>
      </c>
      <c r="D2096" s="2" t="s">
        <v>141</v>
      </c>
      <c r="E2096" s="4">
        <v>-32238</v>
      </c>
      <c r="F2096" s="3" t="s">
        <v>166</v>
      </c>
      <c r="G2096" s="3" t="s">
        <v>178</v>
      </c>
      <c r="H2096" s="2" t="s">
        <v>148</v>
      </c>
      <c r="I2096" s="2" t="s">
        <v>5887</v>
      </c>
      <c r="J2096" s="3" t="str">
        <f>HYPERLINK("https://www.boe.es/gazeta/dias/1811/09/25/pdfs/GMD-C-1811-268.pdf#page=4","Abrir facsímil")</f>
        <v>Abrir facsímil</v>
      </c>
      <c r="K2096" s="3" t="s">
        <v>150</v>
      </c>
    </row>
    <row r="2097" spans="1:11" ht="42" customHeight="1">
      <c r="A2097" s="2" t="s">
        <v>5885</v>
      </c>
      <c r="B2097" s="2" t="s">
        <v>5886</v>
      </c>
      <c r="C2097" s="2" t="s">
        <v>26</v>
      </c>
      <c r="D2097" s="2" t="s">
        <v>18</v>
      </c>
      <c r="E2097" s="4">
        <v>-32188</v>
      </c>
      <c r="F2097" s="3" t="s">
        <v>356</v>
      </c>
      <c r="G2097" s="3" t="s">
        <v>248</v>
      </c>
      <c r="H2097" s="2" t="s">
        <v>148</v>
      </c>
      <c r="I2097" s="2" t="s">
        <v>5888</v>
      </c>
      <c r="J2097" s="3" t="str">
        <f>HYPERLINK("https://www.boe.es/gazeta/dias/1811/11/14/pdfs/GMD-1811-318.pdf#page=5","Abrir facsímil")</f>
        <v>Abrir facsímil</v>
      </c>
      <c r="K2097" s="3" t="s">
        <v>150</v>
      </c>
    </row>
    <row r="2098" spans="1:11" ht="42" customHeight="1">
      <c r="A2098" s="2" t="s">
        <v>5889</v>
      </c>
      <c r="B2098" s="2" t="s">
        <v>5890</v>
      </c>
      <c r="C2098" s="2" t="s">
        <v>26</v>
      </c>
      <c r="D2098" s="2" t="s">
        <v>18</v>
      </c>
      <c r="E2098" s="4">
        <v>-32494</v>
      </c>
      <c r="F2098" s="3" t="s">
        <v>3050</v>
      </c>
      <c r="G2098" s="3" t="s">
        <v>1179</v>
      </c>
      <c r="H2098" s="2" t="s">
        <v>148</v>
      </c>
      <c r="I2098" s="2" t="s">
        <v>5891</v>
      </c>
      <c r="J2098" s="3" t="str">
        <f>HYPERLINK("https://www.boe.es/gazeta/dias/1811/01/12/pdfs/GEI-1811-6.pdf#page=7","Abrir facsímil")</f>
        <v>Abrir facsímil</v>
      </c>
      <c r="K2098" s="3" t="s">
        <v>150</v>
      </c>
    </row>
    <row r="2099" spans="1:11" ht="42" customHeight="1">
      <c r="A2099" s="2" t="s">
        <v>5892</v>
      </c>
      <c r="B2099" s="2" t="s">
        <v>5893</v>
      </c>
      <c r="C2099" s="2" t="s">
        <v>17</v>
      </c>
      <c r="D2099" s="2" t="s">
        <v>156</v>
      </c>
      <c r="E2099" s="4">
        <v>-32202</v>
      </c>
      <c r="F2099" s="3" t="s">
        <v>2194</v>
      </c>
      <c r="G2099" s="3" t="s">
        <v>510</v>
      </c>
      <c r="H2099" s="2" t="s">
        <v>148</v>
      </c>
      <c r="I2099" s="2" t="s">
        <v>5894</v>
      </c>
      <c r="J2099" s="3" t="str">
        <f>HYPERLINK("https://www.boe.es/gazeta/dias/1811/10/31/pdfs/GEI-1811-140.pdf#page=8","Abrir facsímil")</f>
        <v>Abrir facsímil</v>
      </c>
      <c r="K2099" s="3" t="s">
        <v>150</v>
      </c>
    </row>
    <row r="2100" spans="1:11" ht="42" customHeight="1">
      <c r="A2100" s="2" t="s">
        <v>5895</v>
      </c>
      <c r="B2100" s="2" t="s">
        <v>5896</v>
      </c>
      <c r="C2100" s="2" t="s">
        <v>17</v>
      </c>
      <c r="D2100" s="2" t="s">
        <v>156</v>
      </c>
      <c r="E2100" s="4">
        <v>-32211</v>
      </c>
      <c r="F2100" s="3" t="s">
        <v>1074</v>
      </c>
      <c r="G2100" s="3" t="s">
        <v>248</v>
      </c>
      <c r="H2100" s="2" t="s">
        <v>148</v>
      </c>
      <c r="I2100" s="2" t="s">
        <v>5897</v>
      </c>
      <c r="J2100" s="3" t="str">
        <f>HYPERLINK("https://www.boe.es/gazeta/dias/1811/10/22/pdfs/GEI-1811-136.pdf#page=8","Abrir facsímil")</f>
        <v>Abrir facsímil</v>
      </c>
      <c r="K2100" s="3" t="s">
        <v>150</v>
      </c>
    </row>
    <row r="2101" spans="1:11" ht="42" customHeight="1">
      <c r="A2101" s="2" t="s">
        <v>5898</v>
      </c>
      <c r="B2101" s="2" t="s">
        <v>5899</v>
      </c>
      <c r="C2101" s="2" t="s">
        <v>26</v>
      </c>
      <c r="D2101" s="2" t="s">
        <v>18</v>
      </c>
      <c r="E2101" s="4">
        <v>-32463</v>
      </c>
      <c r="F2101" s="3" t="s">
        <v>734</v>
      </c>
      <c r="G2101" s="3" t="s">
        <v>735</v>
      </c>
      <c r="H2101" s="2" t="s">
        <v>148</v>
      </c>
      <c r="I2101" s="2" t="s">
        <v>5900</v>
      </c>
      <c r="J2101" s="3" t="str">
        <f>HYPERLINK("https://www.boe.es/gazeta/dias/1811/02/12/pdfs/GEI-1811-19.pdf#page=8","Abrir facsímil")</f>
        <v>Abrir facsímil</v>
      </c>
      <c r="K2101" s="3" t="s">
        <v>150</v>
      </c>
    </row>
    <row r="2102" spans="1:11" ht="42" customHeight="1">
      <c r="A2102" s="2" t="s">
        <v>5901</v>
      </c>
      <c r="B2102" s="2" t="s">
        <v>5902</v>
      </c>
      <c r="C2102" s="2" t="s">
        <v>37</v>
      </c>
      <c r="D2102" s="2" t="s">
        <v>18</v>
      </c>
      <c r="E2102" s="4">
        <v>-32202</v>
      </c>
      <c r="F2102" s="3" t="s">
        <v>1634</v>
      </c>
      <c r="G2102" s="3" t="s">
        <v>178</v>
      </c>
      <c r="H2102" s="2" t="s">
        <v>148</v>
      </c>
      <c r="I2102" s="2" t="s">
        <v>5903</v>
      </c>
      <c r="J2102" s="3" t="str">
        <f>HYPERLINK("https://www.boe.es/gazeta/dias/1811/10/31/pdfs/GMD-1811-304.pdf#page=4","Abrir facsímil")</f>
        <v>Abrir facsímil</v>
      </c>
      <c r="K2102" s="3" t="s">
        <v>150</v>
      </c>
    </row>
    <row r="2103" spans="1:11" ht="42" customHeight="1">
      <c r="A2103" s="2" t="s">
        <v>5904</v>
      </c>
      <c r="B2103" s="2" t="s">
        <v>5905</v>
      </c>
      <c r="C2103" s="2" t="s">
        <v>84</v>
      </c>
      <c r="D2103" s="2" t="s">
        <v>105</v>
      </c>
      <c r="E2103" s="4">
        <v>-32144</v>
      </c>
      <c r="F2103" s="3" t="s">
        <v>1097</v>
      </c>
      <c r="G2103" s="3" t="s">
        <v>1098</v>
      </c>
      <c r="H2103" s="2" t="s">
        <v>148</v>
      </c>
      <c r="I2103" s="2" t="s">
        <v>5906</v>
      </c>
      <c r="J2103" s="3" t="str">
        <f>HYPERLINK("https://www.boe.es/gazeta/dias/1811/12/28/pdfs/GEI-1811-168.pdf#page=8","Abrir facsímil")</f>
        <v>Abrir facsímil</v>
      </c>
      <c r="K2103" s="3" t="s">
        <v>150</v>
      </c>
    </row>
    <row r="2104" spans="1:11" ht="42" customHeight="1">
      <c r="A2104" s="2" t="s">
        <v>5907</v>
      </c>
      <c r="B2104" s="2" t="s">
        <v>5908</v>
      </c>
      <c r="C2104" s="2" t="s">
        <v>26</v>
      </c>
      <c r="D2104" s="2" t="s">
        <v>141</v>
      </c>
      <c r="E2104" s="4">
        <v>-32238</v>
      </c>
      <c r="F2104" s="3" t="s">
        <v>166</v>
      </c>
      <c r="G2104" s="3" t="s">
        <v>178</v>
      </c>
      <c r="H2104" s="2" t="s">
        <v>148</v>
      </c>
      <c r="I2104" s="2" t="s">
        <v>5909</v>
      </c>
      <c r="J2104" s="3" t="str">
        <f>HYPERLINK("https://www.boe.es/gazeta/dias/1811/09/25/pdfs/GMD-C-1811-268.pdf#page=4","Abrir facsímil")</f>
        <v>Abrir facsímil</v>
      </c>
      <c r="K2104" s="3" t="s">
        <v>150</v>
      </c>
    </row>
    <row r="2105" spans="1:11" ht="42" customHeight="1">
      <c r="A2105" s="2" t="s">
        <v>5910</v>
      </c>
      <c r="B2105" s="2" t="s">
        <v>5911</v>
      </c>
      <c r="C2105" s="2" t="s">
        <v>104</v>
      </c>
      <c r="D2105" s="2" t="s">
        <v>18</v>
      </c>
      <c r="E2105" s="4">
        <v>-32365</v>
      </c>
      <c r="F2105" s="3" t="s">
        <v>119</v>
      </c>
      <c r="G2105" s="3" t="s">
        <v>1988</v>
      </c>
      <c r="H2105" s="2" t="s">
        <v>148</v>
      </c>
      <c r="I2105" s="2" t="s">
        <v>5912</v>
      </c>
      <c r="J2105" s="3" t="str">
        <f>HYPERLINK("https://www.boe.es/gazeta/dias/1811/05/21/pdfs/GEI-1811-67.pdf#page=8","Abrir facsímil")</f>
        <v>Abrir facsímil</v>
      </c>
      <c r="K2105" s="3" t="s">
        <v>150</v>
      </c>
    </row>
    <row r="2106" spans="1:11" ht="42" customHeight="1">
      <c r="A2106" s="2" t="s">
        <v>5913</v>
      </c>
      <c r="B2106" s="2" t="s">
        <v>5914</v>
      </c>
      <c r="C2106" s="2" t="s">
        <v>122</v>
      </c>
      <c r="D2106" s="2" t="s">
        <v>141</v>
      </c>
      <c r="E2106" s="4">
        <v>-32238</v>
      </c>
      <c r="F2106" s="3" t="s">
        <v>166</v>
      </c>
      <c r="G2106" s="3" t="s">
        <v>129</v>
      </c>
      <c r="H2106" s="2" t="s">
        <v>148</v>
      </c>
      <c r="I2106" s="2" t="s">
        <v>5915</v>
      </c>
      <c r="J2106" s="3" t="str">
        <f>HYPERLINK("https://www.boe.es/gazeta/dias/1811/09/25/pdfs/GMD-C-1811-268.pdf#page=1","Abrir facsímil")</f>
        <v>Abrir facsímil</v>
      </c>
      <c r="K2106" s="3" t="s">
        <v>150</v>
      </c>
    </row>
    <row r="2107" spans="1:11" ht="42" customHeight="1">
      <c r="A2107" s="2" t="s">
        <v>5916</v>
      </c>
      <c r="B2107" s="2" t="s">
        <v>5917</v>
      </c>
      <c r="C2107" s="2" t="s">
        <v>26</v>
      </c>
      <c r="D2107" s="2" t="s">
        <v>141</v>
      </c>
      <c r="E2107" s="4">
        <v>-32249</v>
      </c>
      <c r="F2107" s="3" t="s">
        <v>743</v>
      </c>
      <c r="G2107" s="3" t="s">
        <v>468</v>
      </c>
      <c r="H2107" s="2" t="s">
        <v>148</v>
      </c>
      <c r="I2107" s="2" t="s">
        <v>5918</v>
      </c>
      <c r="J2107" s="3" t="str">
        <f>HYPERLINK("https://www.boe.es/gazeta/dias/1811/09/14/pdfs/GMD-C-1811-257.pdf#page=1","Abrir facsímil")</f>
        <v>Abrir facsímil</v>
      </c>
      <c r="K2107" s="3" t="s">
        <v>150</v>
      </c>
    </row>
    <row r="2108" spans="1:11" ht="42" customHeight="1">
      <c r="A2108" s="2" t="s">
        <v>5919</v>
      </c>
      <c r="B2108" s="2" t="s">
        <v>5920</v>
      </c>
      <c r="C2108" s="2" t="s">
        <v>26</v>
      </c>
      <c r="D2108" s="2" t="s">
        <v>18</v>
      </c>
      <c r="E2108" s="4">
        <v>-32487</v>
      </c>
      <c r="F2108" s="3" t="s">
        <v>842</v>
      </c>
      <c r="G2108" s="3" t="s">
        <v>440</v>
      </c>
      <c r="H2108" s="2" t="s">
        <v>148</v>
      </c>
      <c r="I2108" s="2" t="s">
        <v>5921</v>
      </c>
      <c r="J2108" s="3" t="str">
        <f>HYPERLINK("https://www.boe.es/gazeta/dias/1811/01/19/pdfs/GEI-1811-9.pdf#page=2","Abrir facsímil")</f>
        <v>Abrir facsímil</v>
      </c>
      <c r="K2108" s="3" t="s">
        <v>150</v>
      </c>
    </row>
    <row r="2109" spans="1:11" ht="42" customHeight="1">
      <c r="A2109" s="2" t="s">
        <v>5922</v>
      </c>
      <c r="B2109" s="2" t="s">
        <v>5923</v>
      </c>
      <c r="C2109" s="2" t="s">
        <v>104</v>
      </c>
      <c r="D2109" s="2" t="s">
        <v>18</v>
      </c>
      <c r="E2109" s="4">
        <v>-32459</v>
      </c>
      <c r="F2109" s="3" t="s">
        <v>1034</v>
      </c>
      <c r="G2109" s="3" t="s">
        <v>510</v>
      </c>
      <c r="H2109" s="2" t="s">
        <v>148</v>
      </c>
      <c r="I2109" s="2" t="s">
        <v>5924</v>
      </c>
      <c r="J2109" s="3" t="str">
        <f>HYPERLINK("https://www.boe.es/gazeta/dias/1811/02/16/pdfs/GEI-1811-21.pdf#page=8","Abrir facsímil")</f>
        <v>Abrir facsímil</v>
      </c>
      <c r="K2109" s="3" t="s">
        <v>150</v>
      </c>
    </row>
    <row r="2110" spans="1:11" ht="42" customHeight="1">
      <c r="A2110" s="2" t="s">
        <v>5925</v>
      </c>
      <c r="B2110" s="2" t="s">
        <v>5926</v>
      </c>
      <c r="C2110" s="2" t="s">
        <v>37</v>
      </c>
      <c r="D2110" s="2" t="s">
        <v>18</v>
      </c>
      <c r="E2110" s="4">
        <v>-32145</v>
      </c>
      <c r="F2110" s="3" t="s">
        <v>417</v>
      </c>
      <c r="G2110" s="3" t="s">
        <v>418</v>
      </c>
      <c r="H2110" s="2" t="s">
        <v>148</v>
      </c>
      <c r="I2110" s="2" t="s">
        <v>5927</v>
      </c>
      <c r="J2110" s="3" t="str">
        <f>HYPERLINK("https://www.boe.es/gazeta/dias/1811/12/27/pdfs/GMD-1811-361.pdf#page=4","Abrir facsímil")</f>
        <v>Abrir facsímil</v>
      </c>
      <c r="K2110" s="3" t="s">
        <v>150</v>
      </c>
    </row>
    <row r="2111" spans="1:11" ht="42" customHeight="1">
      <c r="A2111" s="2" t="s">
        <v>5928</v>
      </c>
      <c r="B2111" s="2" t="s">
        <v>5929</v>
      </c>
      <c r="C2111" s="2" t="s">
        <v>26</v>
      </c>
      <c r="D2111" s="2" t="s">
        <v>18</v>
      </c>
      <c r="E2111" s="4">
        <v>-32397</v>
      </c>
      <c r="F2111" s="3" t="s">
        <v>359</v>
      </c>
      <c r="G2111" s="3" t="s">
        <v>57</v>
      </c>
      <c r="H2111" s="2" t="s">
        <v>148</v>
      </c>
      <c r="I2111" s="2" t="s">
        <v>5930</v>
      </c>
      <c r="J2111" s="3" t="str">
        <f>HYPERLINK("https://www.boe.es/gazeta/dias/1811/04/19/pdfs/GMD-1811-109.pdf#page=2","Abrir facsímil")</f>
        <v>Abrir facsímil</v>
      </c>
      <c r="K2111" s="3" t="s">
        <v>150</v>
      </c>
    </row>
    <row r="2112" spans="1:11" ht="42" customHeight="1">
      <c r="A2112" s="2" t="s">
        <v>5931</v>
      </c>
      <c r="B2112" s="2" t="s">
        <v>5932</v>
      </c>
      <c r="C2112" s="2" t="s">
        <v>841</v>
      </c>
      <c r="D2112" s="2" t="s">
        <v>18</v>
      </c>
      <c r="E2112" s="4">
        <v>-32317</v>
      </c>
      <c r="F2112" s="3" t="s">
        <v>2313</v>
      </c>
      <c r="G2112" s="3" t="s">
        <v>162</v>
      </c>
      <c r="H2112" s="2" t="s">
        <v>148</v>
      </c>
      <c r="I2112" s="2" t="s">
        <v>5933</v>
      </c>
      <c r="J2112" s="3" t="str">
        <f>HYPERLINK("https://www.boe.es/gazeta/dias/1811/07/08/pdfs/GMD-1811-189.pdf#page=1","Abrir facsímil")</f>
        <v>Abrir facsímil</v>
      </c>
      <c r="K2112" s="3" t="s">
        <v>150</v>
      </c>
    </row>
    <row r="2113" spans="1:11" ht="42" customHeight="1">
      <c r="A2113" s="2" t="s">
        <v>5934</v>
      </c>
      <c r="B2113" s="2" t="s">
        <v>5935</v>
      </c>
      <c r="C2113" s="2" t="s">
        <v>17</v>
      </c>
      <c r="D2113" s="2" t="s">
        <v>156</v>
      </c>
      <c r="E2113" s="4">
        <v>-32225</v>
      </c>
      <c r="F2113" s="3" t="s">
        <v>390</v>
      </c>
      <c r="G2113" s="3" t="s">
        <v>1368</v>
      </c>
      <c r="H2113" s="2" t="s">
        <v>148</v>
      </c>
      <c r="I2113" s="2" t="s">
        <v>5936</v>
      </c>
      <c r="J2113" s="3" t="str">
        <f>HYPERLINK("https://www.boe.es/gazeta/dias/1811/10/08/pdfs/GEI-1811-129.pdf#page=8","Abrir facsímil")</f>
        <v>Abrir facsímil</v>
      </c>
      <c r="K2113" s="3" t="s">
        <v>150</v>
      </c>
    </row>
    <row r="2114" spans="1:11" ht="42" customHeight="1">
      <c r="A2114" s="2" t="s">
        <v>5937</v>
      </c>
      <c r="B2114" s="2" t="s">
        <v>5938</v>
      </c>
      <c r="C2114" s="2" t="s">
        <v>104</v>
      </c>
      <c r="D2114" s="2" t="s">
        <v>18</v>
      </c>
      <c r="E2114" s="4">
        <v>-32235</v>
      </c>
      <c r="F2114" s="3" t="s">
        <v>190</v>
      </c>
      <c r="G2114" s="3" t="s">
        <v>188</v>
      </c>
      <c r="H2114" s="2" t="s">
        <v>148</v>
      </c>
      <c r="I2114" s="2" t="s">
        <v>5939</v>
      </c>
      <c r="J2114" s="3" t="str">
        <f>HYPERLINK("https://www.boe.es/gazeta/dias/1811/09/28/pdfs/GEI-1811-125.pdf#page=8","Abrir facsímil")</f>
        <v>Abrir facsímil</v>
      </c>
      <c r="K2114" s="3" t="s">
        <v>150</v>
      </c>
    </row>
    <row r="2115" spans="1:11" ht="42" customHeight="1">
      <c r="A2115" s="2" t="s">
        <v>5940</v>
      </c>
      <c r="B2115" s="2" t="s">
        <v>5941</v>
      </c>
      <c r="C2115" s="2" t="s">
        <v>26</v>
      </c>
      <c r="D2115" s="2" t="s">
        <v>18</v>
      </c>
      <c r="E2115" s="4">
        <v>-32141</v>
      </c>
      <c r="F2115" s="3" t="s">
        <v>327</v>
      </c>
      <c r="G2115" s="3" t="s">
        <v>20</v>
      </c>
      <c r="H2115" s="2" t="s">
        <v>148</v>
      </c>
      <c r="I2115" s="2" t="s">
        <v>5942</v>
      </c>
      <c r="J2115" s="3" t="str">
        <f>HYPERLINK("https://www.boe.es/gazeta/dias/1811/12/31/pdfs/GMD-1811-365.pdf#page=4","Abrir facsímil")</f>
        <v>Abrir facsímil</v>
      </c>
      <c r="K2115" s="3" t="s">
        <v>150</v>
      </c>
    </row>
    <row r="2116" spans="1:11" ht="42" customHeight="1">
      <c r="A2116" s="2" t="s">
        <v>5943</v>
      </c>
      <c r="B2116" s="2" t="s">
        <v>5944</v>
      </c>
      <c r="C2116" s="2" t="s">
        <v>84</v>
      </c>
      <c r="D2116" s="2" t="s">
        <v>18</v>
      </c>
      <c r="E2116" s="4">
        <v>-32487</v>
      </c>
      <c r="F2116" s="3" t="s">
        <v>842</v>
      </c>
      <c r="G2116" s="3" t="s">
        <v>488</v>
      </c>
      <c r="H2116" s="2" t="s">
        <v>148</v>
      </c>
      <c r="I2116" s="2" t="s">
        <v>5945</v>
      </c>
      <c r="J2116" s="3" t="str">
        <f>HYPERLINK("https://www.boe.es/gazeta/dias/1811/01/19/pdfs/GEI-1811-9.pdf#page=8","Abrir facsímil")</f>
        <v>Abrir facsímil</v>
      </c>
      <c r="K2116" s="3" t="s">
        <v>150</v>
      </c>
    </row>
    <row r="2117" spans="1:11" ht="42" customHeight="1">
      <c r="A2117" s="2" t="s">
        <v>5946</v>
      </c>
      <c r="B2117" s="2" t="s">
        <v>5947</v>
      </c>
      <c r="C2117" s="2" t="s">
        <v>26</v>
      </c>
      <c r="D2117" s="2" t="s">
        <v>105</v>
      </c>
      <c r="E2117" s="4">
        <v>-32280</v>
      </c>
      <c r="F2117" s="3" t="s">
        <v>142</v>
      </c>
      <c r="G2117" s="3" t="s">
        <v>47</v>
      </c>
      <c r="H2117" s="2" t="s">
        <v>148</v>
      </c>
      <c r="I2117" s="2" t="s">
        <v>5948</v>
      </c>
      <c r="J2117" s="3" t="str">
        <f>HYPERLINK("https://www.boe.es/gazeta/dias/1811/08/14/pdfs/GMD-C-1811-226.pdf#page=1","Abrir facsímil")</f>
        <v>Abrir facsímil</v>
      </c>
      <c r="K2117" s="3" t="s">
        <v>150</v>
      </c>
    </row>
    <row r="2118" spans="1:11" ht="42" customHeight="1">
      <c r="A2118" s="2" t="s">
        <v>5949</v>
      </c>
      <c r="B2118" s="2" t="s">
        <v>5950</v>
      </c>
      <c r="C2118" s="2" t="s">
        <v>26</v>
      </c>
      <c r="D2118" s="2" t="s">
        <v>18</v>
      </c>
      <c r="E2118" s="4">
        <v>-32463</v>
      </c>
      <c r="F2118" s="3" t="s">
        <v>734</v>
      </c>
      <c r="G2118" s="3" t="s">
        <v>515</v>
      </c>
      <c r="H2118" s="2" t="s">
        <v>148</v>
      </c>
      <c r="I2118" s="2" t="s">
        <v>5951</v>
      </c>
      <c r="J2118" s="3" t="str">
        <f>HYPERLINK("https://www.boe.es/gazeta/dias/1811/02/12/pdfs/GEI-1811-19.pdf#page=7","Abrir facsímil")</f>
        <v>Abrir facsímil</v>
      </c>
      <c r="K2118" s="3" t="s">
        <v>150</v>
      </c>
    </row>
    <row r="2119" spans="1:11" ht="42" customHeight="1">
      <c r="A2119" s="2" t="s">
        <v>5952</v>
      </c>
      <c r="B2119" s="2" t="s">
        <v>5953</v>
      </c>
      <c r="C2119" s="2" t="s">
        <v>37</v>
      </c>
      <c r="D2119" s="2" t="s">
        <v>18</v>
      </c>
      <c r="E2119" s="4">
        <v>-32192</v>
      </c>
      <c r="F2119" s="3" t="s">
        <v>673</v>
      </c>
      <c r="G2119" s="3" t="s">
        <v>305</v>
      </c>
      <c r="H2119" s="2" t="s">
        <v>148</v>
      </c>
      <c r="I2119" s="2" t="s">
        <v>5954</v>
      </c>
      <c r="J2119" s="3" t="str">
        <f>HYPERLINK("https://www.boe.es/gazeta/dias/1811/11/10/pdfs/GMD-1811-314.pdf#page=4","Abrir facsímil")</f>
        <v>Abrir facsímil</v>
      </c>
      <c r="K2119" s="3" t="s">
        <v>150</v>
      </c>
    </row>
    <row r="2120" spans="1:11" ht="42" customHeight="1">
      <c r="A2120" s="2" t="s">
        <v>5955</v>
      </c>
      <c r="B2120" s="2" t="s">
        <v>5956</v>
      </c>
      <c r="C2120" s="2" t="s">
        <v>84</v>
      </c>
      <c r="D2120" s="2" t="s">
        <v>105</v>
      </c>
      <c r="E2120" s="4">
        <v>-32197</v>
      </c>
      <c r="F2120" s="3" t="s">
        <v>687</v>
      </c>
      <c r="G2120" s="3" t="s">
        <v>1240</v>
      </c>
      <c r="H2120" s="2" t="s">
        <v>148</v>
      </c>
      <c r="I2120" s="2" t="s">
        <v>5957</v>
      </c>
      <c r="J2120" s="3" t="str">
        <f>HYPERLINK("https://www.boe.es/gazeta/dias/1811/11/05/pdfs/GEI-1811-143.pdf#page=8","Abrir facsímil")</f>
        <v>Abrir facsímil</v>
      </c>
      <c r="K2120" s="3" t="s">
        <v>150</v>
      </c>
    </row>
    <row r="2121" spans="1:11" ht="42" customHeight="1">
      <c r="A2121" s="2" t="s">
        <v>5958</v>
      </c>
      <c r="B2121" s="2" t="s">
        <v>5959</v>
      </c>
      <c r="C2121" s="2" t="s">
        <v>37</v>
      </c>
      <c r="D2121" s="2" t="s">
        <v>156</v>
      </c>
      <c r="E2121" s="4">
        <v>-32219</v>
      </c>
      <c r="F2121" s="3" t="s">
        <v>529</v>
      </c>
      <c r="G2121" s="3" t="s">
        <v>530</v>
      </c>
      <c r="H2121" s="2" t="s">
        <v>148</v>
      </c>
      <c r="I2121" s="2" t="s">
        <v>5960</v>
      </c>
      <c r="J2121" s="3" t="str">
        <f>HYPERLINK("https://www.boe.es/gazeta/dias/1811/10/14/pdfs/GEI-1811-132E.pdf#page=4","Abrir facsímil")</f>
        <v>Abrir facsímil</v>
      </c>
      <c r="K2121" s="3" t="s">
        <v>150</v>
      </c>
    </row>
    <row r="2122" spans="1:11" ht="42" customHeight="1">
      <c r="A2122" s="2" t="s">
        <v>5961</v>
      </c>
      <c r="B2122" s="2" t="s">
        <v>5962</v>
      </c>
      <c r="C2122" s="2" t="s">
        <v>17</v>
      </c>
      <c r="D2122" s="2" t="s">
        <v>18</v>
      </c>
      <c r="E2122" s="4">
        <v>-32451</v>
      </c>
      <c r="F2122" s="3" t="s">
        <v>2651</v>
      </c>
      <c r="G2122" s="3" t="s">
        <v>2652</v>
      </c>
      <c r="H2122" s="2" t="s">
        <v>148</v>
      </c>
      <c r="I2122" s="2" t="s">
        <v>5963</v>
      </c>
      <c r="J2122" s="3" t="str">
        <f>HYPERLINK("https://www.boe.es/gazeta/dias/1811/02/24/pdfs/GMD-1811-55.pdf#page=4","Abrir facsímil")</f>
        <v>Abrir facsímil</v>
      </c>
      <c r="K2122" s="3" t="s">
        <v>150</v>
      </c>
    </row>
    <row r="2123" spans="1:11" ht="42" customHeight="1">
      <c r="A2123" s="2" t="s">
        <v>5964</v>
      </c>
      <c r="B2123" s="2" t="s">
        <v>5965</v>
      </c>
      <c r="C2123" s="2" t="s">
        <v>26</v>
      </c>
      <c r="D2123" s="2" t="s">
        <v>18</v>
      </c>
      <c r="E2123" s="4">
        <v>-32414</v>
      </c>
      <c r="F2123" s="3" t="s">
        <v>213</v>
      </c>
      <c r="G2123" s="3" t="s">
        <v>214</v>
      </c>
      <c r="H2123" s="2" t="s">
        <v>148</v>
      </c>
      <c r="I2123" s="2" t="s">
        <v>5966</v>
      </c>
      <c r="J2123" s="3" t="str">
        <f>HYPERLINK("https://www.boe.es/gazeta/dias/1811/04/02/pdfs/GEI-1811-45.pdf#page=6","Abrir facsímil")</f>
        <v>Abrir facsímil</v>
      </c>
      <c r="K2123" s="3" t="s">
        <v>150</v>
      </c>
    </row>
    <row r="2124" spans="1:11" ht="42" customHeight="1">
      <c r="A2124" s="2" t="s">
        <v>5967</v>
      </c>
      <c r="B2124" s="2" t="s">
        <v>5968</v>
      </c>
      <c r="C2124" s="2" t="s">
        <v>841</v>
      </c>
      <c r="D2124" s="2" t="s">
        <v>18</v>
      </c>
      <c r="E2124" s="4">
        <v>-32175</v>
      </c>
      <c r="F2124" s="3" t="s">
        <v>1671</v>
      </c>
      <c r="G2124" s="3" t="s">
        <v>1184</v>
      </c>
      <c r="H2124" s="2" t="s">
        <v>148</v>
      </c>
      <c r="I2124" s="2" t="s">
        <v>5969</v>
      </c>
      <c r="J2124" s="3" t="str">
        <f>HYPERLINK("https://www.boe.es/gazeta/dias/1811/11/27/pdfs/GMD-1811-331.pdf#page=4","Abrir facsímil")</f>
        <v>Abrir facsímil</v>
      </c>
      <c r="K2124" s="3" t="s">
        <v>150</v>
      </c>
    </row>
    <row r="2125" spans="1:11" ht="42" customHeight="1">
      <c r="A2125" s="2" t="s">
        <v>5970</v>
      </c>
      <c r="B2125" s="2" t="s">
        <v>5971</v>
      </c>
      <c r="C2125" s="2" t="s">
        <v>26</v>
      </c>
      <c r="D2125" s="2" t="s">
        <v>18</v>
      </c>
      <c r="E2125" s="4">
        <v>-32183</v>
      </c>
      <c r="F2125" s="3" t="s">
        <v>5972</v>
      </c>
      <c r="G2125" s="3" t="s">
        <v>47</v>
      </c>
      <c r="H2125" s="2" t="s">
        <v>148</v>
      </c>
      <c r="I2125" s="2" t="s">
        <v>5973</v>
      </c>
      <c r="J2125" s="3" t="str">
        <f>HYPERLINK("https://www.boe.es/gazeta/dias/1811/11/19/pdfs/GMD-1811-323.pdf#page=1","Abrir facsímil")</f>
        <v>Abrir facsímil</v>
      </c>
      <c r="K2125" s="3" t="s">
        <v>150</v>
      </c>
    </row>
    <row r="2126" spans="1:11" ht="42" customHeight="1">
      <c r="A2126" s="2" t="s">
        <v>5974</v>
      </c>
      <c r="B2126" s="2" t="s">
        <v>5975</v>
      </c>
      <c r="C2126" s="2" t="s">
        <v>17</v>
      </c>
      <c r="D2126" s="2" t="s">
        <v>18</v>
      </c>
      <c r="E2126" s="4">
        <v>-32463</v>
      </c>
      <c r="F2126" s="3" t="s">
        <v>734</v>
      </c>
      <c r="G2126" s="3" t="s">
        <v>735</v>
      </c>
      <c r="H2126" s="2" t="s">
        <v>148</v>
      </c>
      <c r="I2126" s="2" t="s">
        <v>5976</v>
      </c>
      <c r="J2126" s="3" t="str">
        <f>HYPERLINK("https://www.boe.es/gazeta/dias/1811/02/12/pdfs/GEI-1811-19.pdf#page=8","Abrir facsímil")</f>
        <v>Abrir facsímil</v>
      </c>
      <c r="K2126" s="3" t="s">
        <v>150</v>
      </c>
    </row>
    <row r="2127" spans="1:11" ht="42" customHeight="1">
      <c r="A2127" s="2" t="s">
        <v>5977</v>
      </c>
      <c r="B2127" s="2" t="s">
        <v>5978</v>
      </c>
      <c r="C2127" s="2" t="s">
        <v>26</v>
      </c>
      <c r="D2127" s="2" t="s">
        <v>18</v>
      </c>
      <c r="E2127" s="4">
        <v>-32144</v>
      </c>
      <c r="F2127" s="3" t="s">
        <v>1097</v>
      </c>
      <c r="G2127" s="3" t="s">
        <v>1098</v>
      </c>
      <c r="H2127" s="2" t="s">
        <v>148</v>
      </c>
      <c r="I2127" s="2" t="s">
        <v>5979</v>
      </c>
      <c r="J2127" s="3" t="str">
        <f>HYPERLINK("https://www.boe.es/gazeta/dias/1811/12/28/pdfs/GEI-1811-168.pdf#page=8","Abrir facsímil")</f>
        <v>Abrir facsímil</v>
      </c>
      <c r="K2127" s="3" t="s">
        <v>150</v>
      </c>
    </row>
    <row r="2128" spans="1:11" ht="42" customHeight="1">
      <c r="A2128" s="2" t="s">
        <v>5980</v>
      </c>
      <c r="B2128" s="2" t="s">
        <v>5981</v>
      </c>
      <c r="C2128" s="2" t="s">
        <v>26</v>
      </c>
      <c r="D2128" s="2" t="s">
        <v>141</v>
      </c>
      <c r="E2128" s="4">
        <v>-32238</v>
      </c>
      <c r="F2128" s="3" t="s">
        <v>166</v>
      </c>
      <c r="G2128" s="3" t="s">
        <v>657</v>
      </c>
      <c r="H2128" s="2" t="s">
        <v>148</v>
      </c>
      <c r="I2128" s="2" t="s">
        <v>5982</v>
      </c>
      <c r="J2128" s="3" t="str">
        <f>HYPERLINK("https://www.boe.es/gazeta/dias/1811/09/25/pdfs/GMD-C-1811-268.pdf#page=3","Abrir facsímil")</f>
        <v>Abrir facsímil</v>
      </c>
      <c r="K2128" s="3" t="s">
        <v>150</v>
      </c>
    </row>
    <row r="2129" spans="1:11" ht="42" customHeight="1">
      <c r="A2129" s="2" t="s">
        <v>5983</v>
      </c>
      <c r="B2129" s="2" t="s">
        <v>5984</v>
      </c>
      <c r="C2129" s="2" t="s">
        <v>26</v>
      </c>
      <c r="D2129" s="2" t="s">
        <v>18</v>
      </c>
      <c r="E2129" s="4">
        <v>-32201</v>
      </c>
      <c r="F2129" s="3" t="s">
        <v>2643</v>
      </c>
      <c r="G2129" s="3" t="s">
        <v>1087</v>
      </c>
      <c r="H2129" s="2" t="s">
        <v>21</v>
      </c>
      <c r="I2129" s="2" t="s">
        <v>5985</v>
      </c>
      <c r="J2129" s="3" t="str">
        <f>HYPERLINK("https://www.boe.es/gazeta/dias/1811/11/01/pdfs/GMD-1811-305.pdf#page=4","Abrir facsímil")</f>
        <v>Abrir facsímil</v>
      </c>
      <c r="K2129" s="3" t="s">
        <v>23</v>
      </c>
    </row>
    <row r="2130" spans="1:11" ht="42" customHeight="1">
      <c r="A2130" s="2" t="s">
        <v>5986</v>
      </c>
      <c r="B2130" s="2" t="s">
        <v>5987</v>
      </c>
      <c r="C2130" s="2" t="s">
        <v>26</v>
      </c>
      <c r="D2130" s="2" t="s">
        <v>18</v>
      </c>
      <c r="E2130" s="4">
        <v>-32504</v>
      </c>
      <c r="F2130" s="3" t="s">
        <v>5988</v>
      </c>
      <c r="G2130" s="3" t="s">
        <v>183</v>
      </c>
      <c r="H2130" s="2" t="s">
        <v>148</v>
      </c>
      <c r="I2130" s="2" t="s">
        <v>5989</v>
      </c>
      <c r="J2130" s="3" t="str">
        <f>HYPERLINK("https://www.boe.es/gazeta/dias/1811/01/02/pdfs/GMD-1811-2.pdf#page=4","Abrir facsímil")</f>
        <v>Abrir facsímil</v>
      </c>
      <c r="K2130" s="3" t="s">
        <v>150</v>
      </c>
    </row>
    <row r="2131" spans="1:11" ht="42" customHeight="1">
      <c r="A2131" s="2" t="s">
        <v>5990</v>
      </c>
      <c r="B2131" s="2" t="s">
        <v>5991</v>
      </c>
      <c r="C2131" s="2" t="s">
        <v>26</v>
      </c>
      <c r="D2131" s="2" t="s">
        <v>18</v>
      </c>
      <c r="E2131" s="4">
        <v>-32302</v>
      </c>
      <c r="F2131" s="3" t="s">
        <v>412</v>
      </c>
      <c r="G2131" s="3" t="s">
        <v>657</v>
      </c>
      <c r="H2131" s="2" t="s">
        <v>148</v>
      </c>
      <c r="I2131" s="2" t="s">
        <v>5992</v>
      </c>
      <c r="J2131" s="3" t="str">
        <f>HYPERLINK("https://www.boe.es/gazeta/dias/1811/07/23/pdfs/GMD-1811-204.pdf#page=3","Abrir facsímil")</f>
        <v>Abrir facsímil</v>
      </c>
      <c r="K2131" s="3" t="s">
        <v>150</v>
      </c>
    </row>
    <row r="2132" spans="1:11" ht="42" customHeight="1">
      <c r="A2132" s="2" t="s">
        <v>5993</v>
      </c>
      <c r="B2132" s="2" t="s">
        <v>5994</v>
      </c>
      <c r="C2132" s="2" t="s">
        <v>104</v>
      </c>
      <c r="D2132" s="2" t="s">
        <v>105</v>
      </c>
      <c r="E2132" s="4">
        <v>-32461</v>
      </c>
      <c r="F2132" s="3" t="s">
        <v>1383</v>
      </c>
      <c r="G2132" s="3" t="s">
        <v>1143</v>
      </c>
      <c r="H2132" s="2" t="s">
        <v>148</v>
      </c>
      <c r="I2132" s="2" t="s">
        <v>5995</v>
      </c>
      <c r="J2132" s="3" t="str">
        <f>HYPERLINK("https://www.boe.es/gazeta/dias/1811/02/14/pdfs/GMD-1811-45.pdf#page=3","Abrir facsímil")</f>
        <v>Abrir facsímil</v>
      </c>
      <c r="K2132" s="3" t="s">
        <v>150</v>
      </c>
    </row>
    <row r="2133" spans="1:11" ht="42" customHeight="1">
      <c r="A2133" s="2" t="s">
        <v>5996</v>
      </c>
      <c r="B2133" s="2" t="s">
        <v>5997</v>
      </c>
      <c r="C2133" s="2" t="s">
        <v>17</v>
      </c>
      <c r="D2133" s="2" t="s">
        <v>18</v>
      </c>
      <c r="E2133" s="4">
        <v>-32209</v>
      </c>
      <c r="F2133" s="3" t="s">
        <v>1324</v>
      </c>
      <c r="G2133" s="3" t="s">
        <v>1325</v>
      </c>
      <c r="H2133" s="2" t="s">
        <v>148</v>
      </c>
      <c r="I2133" s="2" t="s">
        <v>5998</v>
      </c>
      <c r="J2133" s="3" t="str">
        <f>HYPERLINK("https://www.boe.es/gazeta/dias/1811/10/24/pdfs/GMD-1811-297.pdf#page=2","Abrir facsímil")</f>
        <v>Abrir facsímil</v>
      </c>
      <c r="K2133" s="3" t="s">
        <v>150</v>
      </c>
    </row>
    <row r="2134" spans="1:11" ht="42" customHeight="1">
      <c r="A2134" s="2" t="s">
        <v>5999</v>
      </c>
      <c r="B2134" s="2" t="s">
        <v>6000</v>
      </c>
      <c r="C2134" s="2" t="s">
        <v>26</v>
      </c>
      <c r="D2134" s="2" t="s">
        <v>18</v>
      </c>
      <c r="E2134" s="4">
        <v>-32278</v>
      </c>
      <c r="F2134" s="3" t="s">
        <v>765</v>
      </c>
      <c r="G2134" s="3" t="s">
        <v>162</v>
      </c>
      <c r="H2134" s="2" t="s">
        <v>21</v>
      </c>
      <c r="I2134" s="2" t="s">
        <v>6001</v>
      </c>
      <c r="J2134" s="3" t="str">
        <f>HYPERLINK("https://www.boe.es/gazeta/dias/1811/08/16/pdfs/GMD-1811-228.pdf#page=3","Abrir facsímil")</f>
        <v>Abrir facsímil</v>
      </c>
      <c r="K2134" s="3" t="s">
        <v>23</v>
      </c>
    </row>
    <row r="2135" spans="1:11" ht="42" customHeight="1">
      <c r="A2135" s="2" t="s">
        <v>6002</v>
      </c>
      <c r="B2135" s="2" t="s">
        <v>6003</v>
      </c>
      <c r="C2135" s="2" t="s">
        <v>26</v>
      </c>
      <c r="D2135" s="2" t="s">
        <v>18</v>
      </c>
      <c r="E2135" s="4">
        <v>-32288</v>
      </c>
      <c r="F2135" s="3" t="s">
        <v>95</v>
      </c>
      <c r="G2135" s="3" t="s">
        <v>476</v>
      </c>
      <c r="H2135" s="2" t="s">
        <v>21</v>
      </c>
      <c r="I2135" s="2" t="s">
        <v>6004</v>
      </c>
      <c r="J2135" s="3" t="str">
        <f>HYPERLINK("https://www.boe.es/gazeta/dias/1811/08/06/pdfs/GEI-1811-102.pdf#page=7","Abrir facsímil")</f>
        <v>Abrir facsímil</v>
      </c>
      <c r="K2135" s="3" t="s">
        <v>23</v>
      </c>
    </row>
    <row r="2136" spans="1:11" ht="42" customHeight="1">
      <c r="A2136" s="2" t="s">
        <v>6005</v>
      </c>
      <c r="B2136" s="2" t="s">
        <v>6006</v>
      </c>
      <c r="C2136" s="2" t="s">
        <v>17</v>
      </c>
      <c r="D2136" s="2" t="s">
        <v>156</v>
      </c>
      <c r="E2136" s="4">
        <v>-32444</v>
      </c>
      <c r="F2136" s="3" t="s">
        <v>4512</v>
      </c>
      <c r="G2136" s="3" t="s">
        <v>178</v>
      </c>
      <c r="H2136" s="2" t="s">
        <v>148</v>
      </c>
      <c r="I2136" s="2" t="s">
        <v>6007</v>
      </c>
      <c r="J2136" s="3" t="str">
        <f>HYPERLINK("https://www.boe.es/gazeta/dias/1811/03/03/pdfs/GMD-1811-62.pdf#page=3","Abrir facsímil")</f>
        <v>Abrir facsímil</v>
      </c>
      <c r="K2136" s="3" t="s">
        <v>150</v>
      </c>
    </row>
    <row r="2137" spans="1:11" ht="42" customHeight="1">
      <c r="A2137" s="2" t="s">
        <v>6008</v>
      </c>
      <c r="B2137" s="2" t="s">
        <v>6009</v>
      </c>
      <c r="C2137" s="2" t="s">
        <v>26</v>
      </c>
      <c r="D2137" s="2" t="s">
        <v>18</v>
      </c>
      <c r="E2137" s="4">
        <v>-32396</v>
      </c>
      <c r="F2137" s="3" t="s">
        <v>1267</v>
      </c>
      <c r="G2137" s="3" t="s">
        <v>6010</v>
      </c>
      <c r="H2137" s="2" t="s">
        <v>148</v>
      </c>
      <c r="I2137" s="2" t="s">
        <v>6011</v>
      </c>
      <c r="J2137" s="3" t="str">
        <f>HYPERLINK("https://www.boe.es/gazeta/dias/1811/04/20/pdfs/GMD-1811-110.pdf#page=1","Abrir facsímil")</f>
        <v>Abrir facsímil</v>
      </c>
      <c r="K2137" s="3" t="s">
        <v>150</v>
      </c>
    </row>
    <row r="2138" spans="1:11" ht="42" customHeight="1">
      <c r="A2138" s="2" t="s">
        <v>6008</v>
      </c>
      <c r="B2138" s="2" t="s">
        <v>6009</v>
      </c>
      <c r="C2138" s="2" t="s">
        <v>26</v>
      </c>
      <c r="D2138" s="2" t="s">
        <v>18</v>
      </c>
      <c r="E2138" s="4">
        <v>-32358</v>
      </c>
      <c r="F2138" s="3" t="s">
        <v>3186</v>
      </c>
      <c r="G2138" s="3" t="s">
        <v>162</v>
      </c>
      <c r="H2138" s="2" t="s">
        <v>148</v>
      </c>
      <c r="I2138" s="2" t="s">
        <v>6012</v>
      </c>
      <c r="J2138" s="3" t="str">
        <f>HYPERLINK("https://www.boe.es/gazeta/dias/1811/05/28/pdfs/GMD-1811-148.pdf#page=1","Abrir facsímil")</f>
        <v>Abrir facsímil</v>
      </c>
      <c r="K2138" s="3" t="s">
        <v>150</v>
      </c>
    </row>
    <row r="2139" spans="1:11" ht="42" customHeight="1">
      <c r="A2139" s="2" t="s">
        <v>6013</v>
      </c>
      <c r="B2139" s="2" t="s">
        <v>6014</v>
      </c>
      <c r="C2139" s="2" t="s">
        <v>26</v>
      </c>
      <c r="D2139" s="2" t="s">
        <v>18</v>
      </c>
      <c r="E2139" s="4">
        <v>-32399</v>
      </c>
      <c r="F2139" s="3" t="s">
        <v>6015</v>
      </c>
      <c r="G2139" s="3" t="s">
        <v>6016</v>
      </c>
      <c r="H2139" s="2" t="s">
        <v>148</v>
      </c>
      <c r="I2139" s="2" t="s">
        <v>6017</v>
      </c>
      <c r="J2139" s="3" t="str">
        <f>HYPERLINK("https://www.boe.es/gazeta/dias/1811/04/17/pdfs/GMD-1811-107.pdf#page=1","Abrir facsímil")</f>
        <v>Abrir facsímil</v>
      </c>
      <c r="K2139" s="3" t="s">
        <v>150</v>
      </c>
    </row>
    <row r="2140" spans="1:11" ht="42" customHeight="1">
      <c r="A2140" s="2" t="s">
        <v>6013</v>
      </c>
      <c r="B2140" s="2" t="s">
        <v>6014</v>
      </c>
      <c r="C2140" s="2" t="s">
        <v>26</v>
      </c>
      <c r="D2140" s="2" t="s">
        <v>18</v>
      </c>
      <c r="E2140" s="4">
        <v>-32354</v>
      </c>
      <c r="F2140" s="3" t="s">
        <v>6018</v>
      </c>
      <c r="G2140" s="3" t="s">
        <v>6019</v>
      </c>
      <c r="H2140" s="2" t="s">
        <v>148</v>
      </c>
      <c r="I2140" s="2" t="s">
        <v>6020</v>
      </c>
      <c r="J2140" s="3" t="str">
        <f>HYPERLINK("https://www.boe.es/gazeta/dias/1811/06/01/pdfs/GMD-1811-152.pdf#page=1","Abrir facsímil")</f>
        <v>Abrir facsímil</v>
      </c>
      <c r="K2140" s="3" t="s">
        <v>150</v>
      </c>
    </row>
    <row r="2141" spans="1:11" ht="42" customHeight="1">
      <c r="A2141" s="2" t="s">
        <v>6021</v>
      </c>
      <c r="B2141" s="2" t="s">
        <v>6022</v>
      </c>
      <c r="C2141" s="2" t="s">
        <v>26</v>
      </c>
      <c r="D2141" s="2" t="s">
        <v>18</v>
      </c>
      <c r="E2141" s="4">
        <v>-32204</v>
      </c>
      <c r="F2141" s="3" t="s">
        <v>177</v>
      </c>
      <c r="G2141" s="3" t="s">
        <v>6023</v>
      </c>
      <c r="H2141" s="2" t="s">
        <v>148</v>
      </c>
      <c r="I2141" s="2" t="s">
        <v>6024</v>
      </c>
      <c r="J2141" s="3" t="str">
        <f>HYPERLINK("https://www.boe.es/gazeta/dias/1811/10/29/pdfs/GMD-1811-302.pdf#page=1","Abrir facsímil")</f>
        <v>Abrir facsímil</v>
      </c>
      <c r="K2141" s="3" t="s">
        <v>150</v>
      </c>
    </row>
    <row r="2142" spans="1:11" ht="42" customHeight="1">
      <c r="A2142" s="2" t="s">
        <v>6025</v>
      </c>
      <c r="B2142" s="2" t="s">
        <v>6026</v>
      </c>
      <c r="C2142" s="2" t="s">
        <v>104</v>
      </c>
      <c r="D2142" s="2" t="s">
        <v>18</v>
      </c>
      <c r="E2142" s="4">
        <v>-32318</v>
      </c>
      <c r="F2142" s="3" t="s">
        <v>1193</v>
      </c>
      <c r="G2142" s="3" t="s">
        <v>2612</v>
      </c>
      <c r="H2142" s="2" t="s">
        <v>21</v>
      </c>
      <c r="I2142" s="2" t="s">
        <v>6027</v>
      </c>
      <c r="J2142" s="3" t="str">
        <f>HYPERLINK("https://www.boe.es/gazeta/dias/1811/07/07/pdfs/GMD-1811-188.pdf#page=1","Abrir facsímil")</f>
        <v>Abrir facsímil</v>
      </c>
      <c r="K2142" s="3" t="s">
        <v>23</v>
      </c>
    </row>
    <row r="2143" spans="1:11" ht="42" customHeight="1">
      <c r="A2143" s="2" t="s">
        <v>6028</v>
      </c>
      <c r="B2143" s="2" t="s">
        <v>6029</v>
      </c>
      <c r="C2143" s="2" t="s">
        <v>26</v>
      </c>
      <c r="D2143" s="2" t="s">
        <v>18</v>
      </c>
      <c r="E2143" s="4">
        <v>-32157</v>
      </c>
      <c r="F2143" s="3" t="s">
        <v>200</v>
      </c>
      <c r="G2143" s="3" t="s">
        <v>6030</v>
      </c>
      <c r="H2143" s="2" t="s">
        <v>148</v>
      </c>
      <c r="I2143" s="2" t="s">
        <v>6031</v>
      </c>
      <c r="J2143" s="3" t="str">
        <f>HYPERLINK("https://www.boe.es/gazeta/dias/1811/12/15/pdfs/GMD-1811-349.pdf#page=4","Abrir facsímil")</f>
        <v>Abrir facsímil</v>
      </c>
      <c r="K2143" s="3" t="s">
        <v>150</v>
      </c>
    </row>
    <row r="2144" spans="1:11" ht="42" customHeight="1">
      <c r="A2144" s="2" t="s">
        <v>6032</v>
      </c>
      <c r="B2144" s="2" t="s">
        <v>6033</v>
      </c>
      <c r="C2144" s="2" t="s">
        <v>17</v>
      </c>
      <c r="D2144" s="2" t="s">
        <v>18</v>
      </c>
      <c r="E2144" s="4">
        <v>-32235</v>
      </c>
      <c r="F2144" s="3" t="s">
        <v>376</v>
      </c>
      <c r="G2144" s="3" t="s">
        <v>1280</v>
      </c>
      <c r="H2144" s="2" t="s">
        <v>148</v>
      </c>
      <c r="I2144" s="2" t="s">
        <v>6034</v>
      </c>
      <c r="J2144" s="3" t="str">
        <f>HYPERLINK("https://www.boe.es/gazeta/dias/1811/09/28/pdfs/GMD-1811-271.pdf#page=2","Abrir facsímil")</f>
        <v>Abrir facsímil</v>
      </c>
      <c r="K2144" s="3" t="s">
        <v>150</v>
      </c>
    </row>
    <row r="2145" spans="1:11" ht="42" customHeight="1">
      <c r="A2145" s="2" t="s">
        <v>6035</v>
      </c>
      <c r="B2145" s="2" t="s">
        <v>6036</v>
      </c>
      <c r="C2145" s="2" t="s">
        <v>104</v>
      </c>
      <c r="D2145" s="2" t="s">
        <v>18</v>
      </c>
      <c r="E2145" s="4">
        <v>-32340</v>
      </c>
      <c r="F2145" s="3" t="s">
        <v>565</v>
      </c>
      <c r="G2145" s="3" t="s">
        <v>91</v>
      </c>
      <c r="H2145" s="2" t="s">
        <v>148</v>
      </c>
      <c r="I2145" s="2" t="s">
        <v>6037</v>
      </c>
      <c r="J2145" s="3" t="str">
        <f>HYPERLINK("https://www.boe.es/gazeta/dias/1811/06/15/pdfs/GEI-1811-80.pdf#page=8","Abrir facsímil")</f>
        <v>Abrir facsímil</v>
      </c>
      <c r="K2145" s="3" t="s">
        <v>150</v>
      </c>
    </row>
    <row r="2146" spans="1:11" ht="42" customHeight="1">
      <c r="A2146" s="2" t="s">
        <v>6038</v>
      </c>
      <c r="B2146" s="2" t="s">
        <v>6039</v>
      </c>
      <c r="C2146" s="2" t="s">
        <v>26</v>
      </c>
      <c r="D2146" s="2" t="s">
        <v>141</v>
      </c>
      <c r="E2146" s="4">
        <v>-32272</v>
      </c>
      <c r="F2146" s="3" t="s">
        <v>1150</v>
      </c>
      <c r="G2146" s="3" t="s">
        <v>248</v>
      </c>
      <c r="H2146" s="2" t="s">
        <v>148</v>
      </c>
      <c r="I2146" s="2" t="s">
        <v>6040</v>
      </c>
      <c r="J2146" s="3" t="str">
        <f>HYPERLINK("https://www.boe.es/gazeta/dias/1811/08/22/pdfs/GMD-C-1811-234.pdf#page=1","Abrir facsímil")</f>
        <v>Abrir facsímil</v>
      </c>
      <c r="K2146" s="3" t="s">
        <v>150</v>
      </c>
    </row>
    <row r="2147" spans="1:11" ht="42" customHeight="1">
      <c r="A2147" s="2" t="s">
        <v>6038</v>
      </c>
      <c r="B2147" s="2" t="s">
        <v>6039</v>
      </c>
      <c r="C2147" s="2" t="s">
        <v>66</v>
      </c>
      <c r="D2147" s="2" t="s">
        <v>18</v>
      </c>
      <c r="E2147" s="4">
        <v>-32153</v>
      </c>
      <c r="F2147" s="3" t="s">
        <v>123</v>
      </c>
      <c r="G2147" s="3" t="s">
        <v>288</v>
      </c>
      <c r="H2147" s="2" t="s">
        <v>148</v>
      </c>
      <c r="I2147" s="2" t="s">
        <v>6041</v>
      </c>
      <c r="J2147" s="3" t="str">
        <f>HYPERLINK("https://www.boe.es/gazeta/dias/1811/12/19/pdfs/GMD-1811-353.pdf#page=4","Abrir facsímil")</f>
        <v>Abrir facsímil</v>
      </c>
      <c r="K2147" s="3" t="s">
        <v>150</v>
      </c>
    </row>
    <row r="2148" spans="1:11" ht="42" customHeight="1">
      <c r="A2148" s="2" t="s">
        <v>6042</v>
      </c>
      <c r="B2148" s="2" t="s">
        <v>6043</v>
      </c>
      <c r="C2148" s="2" t="s">
        <v>26</v>
      </c>
      <c r="D2148" s="2" t="s">
        <v>18</v>
      </c>
      <c r="E2148" s="4">
        <v>-32416</v>
      </c>
      <c r="F2148" s="3" t="s">
        <v>954</v>
      </c>
      <c r="G2148" s="3" t="s">
        <v>47</v>
      </c>
      <c r="H2148" s="2" t="s">
        <v>148</v>
      </c>
      <c r="I2148" s="2" t="s">
        <v>6044</v>
      </c>
      <c r="J2148" s="3" t="str">
        <f>HYPERLINK("https://www.boe.es/gazeta/dias/1811/03/31/pdfs/GMD-1811-90.pdf#page=3","Abrir facsímil")</f>
        <v>Abrir facsímil</v>
      </c>
      <c r="K2148" s="3" t="s">
        <v>150</v>
      </c>
    </row>
    <row r="2149" spans="1:11" ht="42" customHeight="1">
      <c r="A2149" s="2" t="s">
        <v>6045</v>
      </c>
      <c r="B2149" s="2" t="s">
        <v>6046</v>
      </c>
      <c r="C2149" s="2" t="s">
        <v>17</v>
      </c>
      <c r="D2149" s="2" t="s">
        <v>18</v>
      </c>
      <c r="E2149" s="4">
        <v>-32439</v>
      </c>
      <c r="F2149" s="3" t="s">
        <v>4682</v>
      </c>
      <c r="G2149" s="3" t="s">
        <v>115</v>
      </c>
      <c r="H2149" s="2" t="s">
        <v>148</v>
      </c>
      <c r="I2149" s="2" t="s">
        <v>6047</v>
      </c>
      <c r="J2149" s="3" t="str">
        <f>HYPERLINK("https://www.boe.es/gazeta/dias/1811/03/08/pdfs/GMD-1811-67.pdf#page=3","Abrir facsímil")</f>
        <v>Abrir facsímil</v>
      </c>
      <c r="K2149" s="3" t="s">
        <v>150</v>
      </c>
    </row>
    <row r="2150" spans="1:11" ht="42" customHeight="1">
      <c r="A2150" s="2" t="s">
        <v>6048</v>
      </c>
      <c r="B2150" s="2" t="s">
        <v>6049</v>
      </c>
      <c r="C2150" s="2" t="s">
        <v>104</v>
      </c>
      <c r="D2150" s="2" t="s">
        <v>18</v>
      </c>
      <c r="E2150" s="4">
        <v>-32182</v>
      </c>
      <c r="F2150" s="3" t="s">
        <v>653</v>
      </c>
      <c r="G2150" s="3" t="s">
        <v>582</v>
      </c>
      <c r="H2150" s="2" t="s">
        <v>148</v>
      </c>
      <c r="I2150" s="2" t="s">
        <v>6050</v>
      </c>
      <c r="J2150" s="3" t="str">
        <f>HYPERLINK("https://www.boe.es/gazeta/dias/1811/11/20/pdfs/GMD-1811-324.pdf#page=2","Abrir facsímil")</f>
        <v>Abrir facsímil</v>
      </c>
      <c r="K2150" s="3" t="s">
        <v>150</v>
      </c>
    </row>
    <row r="2151" spans="1:11" ht="42" customHeight="1">
      <c r="A2151" s="2" t="s">
        <v>6051</v>
      </c>
      <c r="B2151" s="2" t="s">
        <v>6052</v>
      </c>
      <c r="C2151" s="2" t="s">
        <v>84</v>
      </c>
      <c r="D2151" s="2" t="s">
        <v>18</v>
      </c>
      <c r="E2151" s="4">
        <v>-32386</v>
      </c>
      <c r="F2151" s="3" t="s">
        <v>6053</v>
      </c>
      <c r="G2151" s="3" t="s">
        <v>6054</v>
      </c>
      <c r="H2151" s="2" t="s">
        <v>148</v>
      </c>
      <c r="I2151" s="2" t="s">
        <v>6055</v>
      </c>
      <c r="J2151" s="3" t="str">
        <f>HYPERLINK("https://www.boe.es/gazeta/dias/1811/04/30/pdfs/GMD-1811-120.pdf#page=2","Abrir facsímil")</f>
        <v>Abrir facsímil</v>
      </c>
      <c r="K2151" s="3" t="s">
        <v>150</v>
      </c>
    </row>
    <row r="2152" spans="1:11" ht="42" customHeight="1">
      <c r="A2152" s="2" t="s">
        <v>6056</v>
      </c>
      <c r="B2152" s="2" t="s">
        <v>6057</v>
      </c>
      <c r="C2152" s="2" t="s">
        <v>26</v>
      </c>
      <c r="D2152" s="2" t="s">
        <v>18</v>
      </c>
      <c r="E2152" s="4">
        <v>-32188</v>
      </c>
      <c r="F2152" s="3" t="s">
        <v>356</v>
      </c>
      <c r="G2152" s="3" t="s">
        <v>248</v>
      </c>
      <c r="H2152" s="2" t="s">
        <v>148</v>
      </c>
      <c r="I2152" s="2" t="s">
        <v>6058</v>
      </c>
      <c r="J2152" s="3" t="str">
        <f>HYPERLINK("https://www.boe.es/gazeta/dias/1811/11/14/pdfs/GMD-1811-318.pdf#page=5","Abrir facsímil")</f>
        <v>Abrir facsímil</v>
      </c>
      <c r="K2152" s="3" t="s">
        <v>150</v>
      </c>
    </row>
    <row r="2153" spans="1:11" ht="42" customHeight="1">
      <c r="A2153" s="2" t="s">
        <v>6059</v>
      </c>
      <c r="B2153" s="2" t="s">
        <v>6060</v>
      </c>
      <c r="C2153" s="2" t="s">
        <v>26</v>
      </c>
      <c r="D2153" s="2" t="s">
        <v>105</v>
      </c>
      <c r="E2153" s="4">
        <v>-32153</v>
      </c>
      <c r="F2153" s="3" t="s">
        <v>123</v>
      </c>
      <c r="G2153" s="3" t="s">
        <v>288</v>
      </c>
      <c r="H2153" s="2" t="s">
        <v>148</v>
      </c>
      <c r="I2153" s="2" t="s">
        <v>6061</v>
      </c>
      <c r="J2153" s="3" t="str">
        <f>HYPERLINK("https://www.boe.es/gazeta/dias/1811/12/19/pdfs/GMD-1811-353.pdf#page=4","Abrir facsímil")</f>
        <v>Abrir facsímil</v>
      </c>
      <c r="K2153" s="3" t="s">
        <v>150</v>
      </c>
    </row>
    <row r="2154" spans="1:11" ht="42" customHeight="1">
      <c r="A2154" s="2" t="s">
        <v>6062</v>
      </c>
      <c r="B2154" s="2" t="s">
        <v>6063</v>
      </c>
      <c r="C2154" s="2" t="s">
        <v>26</v>
      </c>
      <c r="D2154" s="2" t="s">
        <v>141</v>
      </c>
      <c r="E2154" s="4">
        <v>-32249</v>
      </c>
      <c r="F2154" s="3" t="s">
        <v>743</v>
      </c>
      <c r="G2154" s="3" t="s">
        <v>1021</v>
      </c>
      <c r="H2154" s="2" t="s">
        <v>148</v>
      </c>
      <c r="I2154" s="2" t="s">
        <v>6064</v>
      </c>
      <c r="J2154" s="3" t="str">
        <f>HYPERLINK("https://www.boe.es/gazeta/dias/1811/09/14/pdfs/GMD-C-1811-257.pdf#page=2","Abrir facsímil")</f>
        <v>Abrir facsímil</v>
      </c>
      <c r="K2154" s="3" t="s">
        <v>150</v>
      </c>
    </row>
    <row r="2155" spans="1:11" ht="42" customHeight="1">
      <c r="A2155" s="2" t="s">
        <v>6065</v>
      </c>
      <c r="B2155" s="2" t="s">
        <v>6066</v>
      </c>
      <c r="C2155" s="2" t="s">
        <v>37</v>
      </c>
      <c r="D2155" s="2" t="s">
        <v>18</v>
      </c>
      <c r="E2155" s="4">
        <v>-32319</v>
      </c>
      <c r="F2155" s="3" t="s">
        <v>975</v>
      </c>
      <c r="G2155" s="3" t="s">
        <v>2246</v>
      </c>
      <c r="H2155" s="2" t="s">
        <v>148</v>
      </c>
      <c r="I2155" s="2" t="s">
        <v>6067</v>
      </c>
      <c r="J2155" s="3" t="str">
        <f>HYPERLINK("https://www.boe.es/gazeta/dias/1811/07/06/pdfs/GEI-1811-89.pdf#page=5","Abrir facsímil")</f>
        <v>Abrir facsímil</v>
      </c>
      <c r="K2155" s="3" t="s">
        <v>150</v>
      </c>
    </row>
    <row r="2156" spans="1:11" ht="42" customHeight="1">
      <c r="A2156" s="2" t="s">
        <v>6068</v>
      </c>
      <c r="B2156" s="2" t="s">
        <v>6069</v>
      </c>
      <c r="C2156" s="2" t="s">
        <v>17</v>
      </c>
      <c r="D2156" s="2" t="s">
        <v>156</v>
      </c>
      <c r="E2156" s="4">
        <v>-32165</v>
      </c>
      <c r="F2156" s="3" t="s">
        <v>1462</v>
      </c>
      <c r="G2156" s="3" t="s">
        <v>1463</v>
      </c>
      <c r="H2156" s="2" t="s">
        <v>148</v>
      </c>
      <c r="I2156" s="2" t="s">
        <v>6070</v>
      </c>
      <c r="J2156" s="3" t="str">
        <f>HYPERLINK("https://www.boe.es/gazeta/dias/1811/12/07/pdfs/GMD-1811-341.pdf#page=3","Abrir facsímil")</f>
        <v>Abrir facsímil</v>
      </c>
      <c r="K2156" s="3" t="s">
        <v>150</v>
      </c>
    </row>
    <row r="2157" spans="1:11" ht="42" customHeight="1">
      <c r="A2157" s="2" t="s">
        <v>6071</v>
      </c>
      <c r="B2157" s="2" t="s">
        <v>6072</v>
      </c>
      <c r="C2157" s="2" t="s">
        <v>37</v>
      </c>
      <c r="D2157" s="2" t="s">
        <v>18</v>
      </c>
      <c r="E2157" s="4">
        <v>-32343</v>
      </c>
      <c r="F2157" s="3" t="s">
        <v>6073</v>
      </c>
      <c r="G2157" s="3" t="s">
        <v>284</v>
      </c>
      <c r="H2157" s="2" t="s">
        <v>148</v>
      </c>
      <c r="I2157" s="2" t="s">
        <v>6074</v>
      </c>
      <c r="J2157" s="3" t="str">
        <f>HYPERLINK("https://www.boe.es/gazeta/dias/1811/06/12/pdfs/GMD-1811-163.pdf#page=1","Abrir facsímil")</f>
        <v>Abrir facsímil</v>
      </c>
      <c r="K2157" s="3" t="s">
        <v>150</v>
      </c>
    </row>
    <row r="2158" spans="1:11" ht="42" customHeight="1">
      <c r="A2158" s="2" t="s">
        <v>6075</v>
      </c>
      <c r="B2158" s="2" t="s">
        <v>6076</v>
      </c>
      <c r="C2158" s="2" t="s">
        <v>26</v>
      </c>
      <c r="D2158" s="2" t="s">
        <v>18</v>
      </c>
      <c r="E2158" s="4">
        <v>-32286</v>
      </c>
      <c r="F2158" s="3" t="s">
        <v>754</v>
      </c>
      <c r="G2158" s="3" t="s">
        <v>1728</v>
      </c>
      <c r="H2158" s="2" t="s">
        <v>148</v>
      </c>
      <c r="I2158" s="2" t="s">
        <v>6077</v>
      </c>
      <c r="J2158" s="3" t="str">
        <f>HYPERLINK("https://www.boe.es/gazeta/dias/1811/08/08/pdfs/GEI-1811-103.pdf#page=8","Abrir facsímil")</f>
        <v>Abrir facsímil</v>
      </c>
      <c r="K2158" s="3" t="s">
        <v>150</v>
      </c>
    </row>
    <row r="2159" spans="1:11" ht="42" customHeight="1">
      <c r="A2159" s="2" t="s">
        <v>6078</v>
      </c>
      <c r="B2159" s="2" t="s">
        <v>6079</v>
      </c>
      <c r="C2159" s="2" t="s">
        <v>26</v>
      </c>
      <c r="D2159" s="2" t="s">
        <v>18</v>
      </c>
      <c r="E2159" s="4">
        <v>-32410</v>
      </c>
      <c r="F2159" s="3" t="s">
        <v>6080</v>
      </c>
      <c r="G2159" s="3" t="s">
        <v>6081</v>
      </c>
      <c r="H2159" s="2" t="s">
        <v>148</v>
      </c>
      <c r="I2159" s="2" t="s">
        <v>6082</v>
      </c>
      <c r="J2159" s="3" t="str">
        <f>HYPERLINK("https://www.boe.es/gazeta/dias/1811/04/06/pdfs/GMD-1811-96.pdf#page=3","Abrir facsímil")</f>
        <v>Abrir facsímil</v>
      </c>
      <c r="K2159" s="3" t="s">
        <v>150</v>
      </c>
    </row>
    <row r="2160" spans="1:11" ht="42" customHeight="1">
      <c r="A2160" s="2" t="s">
        <v>6078</v>
      </c>
      <c r="B2160" s="2" t="s">
        <v>6079</v>
      </c>
      <c r="C2160" s="2" t="s">
        <v>26</v>
      </c>
      <c r="D2160" s="2" t="s">
        <v>105</v>
      </c>
      <c r="E2160" s="4">
        <v>-32407</v>
      </c>
      <c r="F2160" s="3" t="s">
        <v>6083</v>
      </c>
      <c r="G2160" s="3" t="s">
        <v>498</v>
      </c>
      <c r="H2160" s="2" t="s">
        <v>148</v>
      </c>
      <c r="I2160" s="2" t="s">
        <v>6084</v>
      </c>
      <c r="J2160" s="3" t="str">
        <f>HYPERLINK("https://www.boe.es/gazeta/dias/1811/04/09/pdfs/GMD-1811-99.pdf#page=4","Abrir facsímil")</f>
        <v>Abrir facsímil</v>
      </c>
      <c r="K2160" s="3" t="s">
        <v>150</v>
      </c>
    </row>
    <row r="2161" spans="1:11" ht="42" customHeight="1">
      <c r="A2161" s="2" t="s">
        <v>6078</v>
      </c>
      <c r="B2161" s="2" t="s">
        <v>6079</v>
      </c>
      <c r="C2161" s="2" t="s">
        <v>26</v>
      </c>
      <c r="D2161" s="2" t="s">
        <v>204</v>
      </c>
      <c r="E2161" s="4">
        <v>-32406</v>
      </c>
      <c r="F2161" s="3" t="s">
        <v>535</v>
      </c>
      <c r="G2161" s="3" t="s">
        <v>20</v>
      </c>
      <c r="H2161" s="2" t="s">
        <v>148</v>
      </c>
      <c r="I2161" s="2" t="s">
        <v>6085</v>
      </c>
      <c r="J2161" s="3" t="str">
        <f>HYPERLINK("https://www.boe.es/gazeta/dias/1811/04/10/pdfs/GMD-1811-100.pdf#page=3","Abrir facsímil")</f>
        <v>Abrir facsímil</v>
      </c>
      <c r="K2161" s="3" t="s">
        <v>150</v>
      </c>
    </row>
    <row r="2162" spans="1:11" ht="42" customHeight="1">
      <c r="A2162" s="2" t="s">
        <v>6086</v>
      </c>
      <c r="B2162" s="2" t="s">
        <v>6087</v>
      </c>
      <c r="C2162" s="2" t="s">
        <v>26</v>
      </c>
      <c r="D2162" s="2" t="s">
        <v>18</v>
      </c>
      <c r="E2162" s="4">
        <v>-32406</v>
      </c>
      <c r="F2162" s="3" t="s">
        <v>535</v>
      </c>
      <c r="G2162" s="3" t="s">
        <v>1784</v>
      </c>
      <c r="H2162" s="2" t="s">
        <v>148</v>
      </c>
      <c r="I2162" s="2" t="s">
        <v>6088</v>
      </c>
      <c r="J2162" s="3" t="str">
        <f>HYPERLINK("https://www.boe.es/gazeta/dias/1811/04/10/pdfs/GMD-1811-100.pdf#page=4","Abrir facsímil")</f>
        <v>Abrir facsímil</v>
      </c>
      <c r="K2162" s="3" t="s">
        <v>150</v>
      </c>
    </row>
    <row r="2163" spans="1:11" ht="42" customHeight="1">
      <c r="A2163" s="2" t="s">
        <v>6089</v>
      </c>
      <c r="B2163" s="2" t="s">
        <v>6090</v>
      </c>
      <c r="C2163" s="2" t="s">
        <v>26</v>
      </c>
      <c r="D2163" s="2" t="s">
        <v>141</v>
      </c>
      <c r="E2163" s="4">
        <v>-32238</v>
      </c>
      <c r="F2163" s="3" t="s">
        <v>166</v>
      </c>
      <c r="G2163" s="3" t="s">
        <v>129</v>
      </c>
      <c r="H2163" s="2" t="s">
        <v>148</v>
      </c>
      <c r="I2163" s="2" t="s">
        <v>6091</v>
      </c>
      <c r="J2163" s="3" t="str">
        <f>HYPERLINK("https://www.boe.es/gazeta/dias/1811/09/25/pdfs/GMD-C-1811-268.pdf#page=1","Abrir facsímil")</f>
        <v>Abrir facsímil</v>
      </c>
      <c r="K2163" s="3" t="s">
        <v>150</v>
      </c>
    </row>
    <row r="2164" spans="1:11" ht="42" customHeight="1">
      <c r="A2164" s="2" t="s">
        <v>6092</v>
      </c>
      <c r="B2164" s="2" t="s">
        <v>6093</v>
      </c>
      <c r="C2164" s="2" t="s">
        <v>26</v>
      </c>
      <c r="D2164" s="2" t="s">
        <v>18</v>
      </c>
      <c r="E2164" s="4">
        <v>-32153</v>
      </c>
      <c r="F2164" s="3" t="s">
        <v>123</v>
      </c>
      <c r="G2164" s="3" t="s">
        <v>288</v>
      </c>
      <c r="H2164" s="2" t="s">
        <v>148</v>
      </c>
      <c r="I2164" s="2" t="s">
        <v>6094</v>
      </c>
      <c r="J2164" s="3" t="str">
        <f>HYPERLINK("https://www.boe.es/gazeta/dias/1811/12/19/pdfs/GMD-1811-353.pdf#page=4","Abrir facsímil")</f>
        <v>Abrir facsímil</v>
      </c>
      <c r="K2164" s="3" t="s">
        <v>150</v>
      </c>
    </row>
    <row r="2165" spans="1:11" ht="42" customHeight="1">
      <c r="A2165" s="2" t="s">
        <v>6095</v>
      </c>
      <c r="B2165" s="2" t="s">
        <v>6096</v>
      </c>
      <c r="C2165" s="2" t="s">
        <v>104</v>
      </c>
      <c r="D2165" s="2" t="s">
        <v>18</v>
      </c>
      <c r="E2165" s="4">
        <v>-32377</v>
      </c>
      <c r="F2165" s="3" t="s">
        <v>6097</v>
      </c>
      <c r="G2165" s="3" t="s">
        <v>6098</v>
      </c>
      <c r="H2165" s="2" t="s">
        <v>148</v>
      </c>
      <c r="I2165" s="2" t="s">
        <v>6099</v>
      </c>
      <c r="J2165" s="3" t="str">
        <f>HYPERLINK("https://www.boe.es/gazeta/dias/1811/05/09/pdfs/GEI-1811-61.pdf#page=1","Abrir facsímil")</f>
        <v>Abrir facsímil</v>
      </c>
      <c r="K2165" s="3" t="s">
        <v>150</v>
      </c>
    </row>
    <row r="2166" spans="1:11" ht="42" customHeight="1">
      <c r="A2166" s="2" t="s">
        <v>6100</v>
      </c>
      <c r="B2166" s="2" t="s">
        <v>6101</v>
      </c>
      <c r="C2166" s="2" t="s">
        <v>26</v>
      </c>
      <c r="D2166" s="2" t="s">
        <v>18</v>
      </c>
      <c r="E2166" s="4">
        <v>-32340</v>
      </c>
      <c r="F2166" s="3" t="s">
        <v>6102</v>
      </c>
      <c r="G2166" s="3" t="s">
        <v>6103</v>
      </c>
      <c r="H2166" s="2" t="s">
        <v>148</v>
      </c>
      <c r="I2166" s="2" t="s">
        <v>6104</v>
      </c>
      <c r="J2166" s="3" t="str">
        <f>HYPERLINK("https://www.boe.es/gazeta/dias/1811/06/15/pdfs/GMD-1811-166.pdf#page=1","Abrir facsímil")</f>
        <v>Abrir facsímil</v>
      </c>
      <c r="K2166" s="3" t="s">
        <v>150</v>
      </c>
    </row>
    <row r="2167" spans="1:11" ht="42" customHeight="1">
      <c r="A2167" s="2" t="s">
        <v>6105</v>
      </c>
      <c r="B2167" s="2" t="s">
        <v>6106</v>
      </c>
      <c r="C2167" s="2" t="s">
        <v>26</v>
      </c>
      <c r="D2167" s="2" t="s">
        <v>105</v>
      </c>
      <c r="E2167" s="4">
        <v>-32492</v>
      </c>
      <c r="F2167" s="3" t="s">
        <v>1512</v>
      </c>
      <c r="G2167" s="3" t="s">
        <v>183</v>
      </c>
      <c r="H2167" s="2" t="s">
        <v>148</v>
      </c>
      <c r="I2167" s="2" t="s">
        <v>6107</v>
      </c>
      <c r="J2167" s="3" t="str">
        <f>HYPERLINK("https://www.boe.es/gazeta/dias/1811/01/14/pdfs/GMD-1811-14.pdf#page=4","Abrir facsímil")</f>
        <v>Abrir facsímil</v>
      </c>
      <c r="K2167" s="3" t="s">
        <v>150</v>
      </c>
    </row>
    <row r="2168" spans="1:11" ht="42" customHeight="1">
      <c r="A2168" s="2" t="s">
        <v>6108</v>
      </c>
      <c r="B2168" s="2" t="s">
        <v>6109</v>
      </c>
      <c r="C2168" s="2" t="s">
        <v>104</v>
      </c>
      <c r="D2168" s="2" t="s">
        <v>18</v>
      </c>
      <c r="E2168" s="4">
        <v>-32435</v>
      </c>
      <c r="F2168" s="3" t="s">
        <v>6110</v>
      </c>
      <c r="G2168" s="3" t="s">
        <v>282</v>
      </c>
      <c r="H2168" s="2" t="s">
        <v>148</v>
      </c>
      <c r="I2168" s="2" t="s">
        <v>6111</v>
      </c>
      <c r="J2168" s="3" t="str">
        <f>HYPERLINK("https://www.boe.es/gazeta/dias/1811/03/12/pdfs/GMD-1811-71.pdf#page=2","Abrir facsímil")</f>
        <v>Abrir facsímil</v>
      </c>
      <c r="K2168" s="3" t="s">
        <v>150</v>
      </c>
    </row>
    <row r="2169" spans="1:11" ht="42" customHeight="1">
      <c r="A2169" s="2" t="s">
        <v>6112</v>
      </c>
      <c r="B2169" s="2" t="s">
        <v>6113</v>
      </c>
      <c r="C2169" s="2" t="s">
        <v>26</v>
      </c>
      <c r="D2169" s="2" t="s">
        <v>204</v>
      </c>
      <c r="E2169" s="4">
        <v>-32181</v>
      </c>
      <c r="F2169" s="3" t="s">
        <v>1169</v>
      </c>
      <c r="G2169" s="3" t="s">
        <v>6114</v>
      </c>
      <c r="H2169" s="2" t="s">
        <v>148</v>
      </c>
      <c r="I2169" s="2" t="s">
        <v>6115</v>
      </c>
      <c r="J2169" s="3" t="str">
        <f>HYPERLINK("https://www.boe.es/gazeta/dias/1811/11/21/pdfs/GMD-1811-325.pdf#page=1","Abrir facsímil")</f>
        <v>Abrir facsímil</v>
      </c>
      <c r="K2169" s="3" t="s">
        <v>150</v>
      </c>
    </row>
    <row r="2170" spans="1:11" ht="42" customHeight="1">
      <c r="A2170" s="2" t="s">
        <v>6116</v>
      </c>
      <c r="B2170" s="2" t="s">
        <v>6117</v>
      </c>
      <c r="C2170" s="2" t="s">
        <v>37</v>
      </c>
      <c r="D2170" s="2" t="s">
        <v>18</v>
      </c>
      <c r="E2170" s="4">
        <v>-32396</v>
      </c>
      <c r="F2170" s="3" t="s">
        <v>1267</v>
      </c>
      <c r="G2170" s="3" t="s">
        <v>382</v>
      </c>
      <c r="H2170" s="2" t="s">
        <v>148</v>
      </c>
      <c r="I2170" s="2" t="s">
        <v>6118</v>
      </c>
      <c r="J2170" s="3" t="str">
        <f>HYPERLINK("https://www.boe.es/gazeta/dias/1811/04/20/pdfs/GMD-1811-110.pdf#page=2","Abrir facsímil")</f>
        <v>Abrir facsímil</v>
      </c>
      <c r="K2170" s="3" t="s">
        <v>150</v>
      </c>
    </row>
    <row r="2171" spans="1:11" ht="42" customHeight="1">
      <c r="A2171" s="2" t="s">
        <v>6119</v>
      </c>
      <c r="B2171" s="2" t="s">
        <v>6120</v>
      </c>
      <c r="C2171" s="2" t="s">
        <v>37</v>
      </c>
      <c r="D2171" s="2" t="s">
        <v>204</v>
      </c>
      <c r="E2171" s="4">
        <v>-32326</v>
      </c>
      <c r="F2171" s="3" t="s">
        <v>43</v>
      </c>
      <c r="G2171" s="3" t="s">
        <v>4791</v>
      </c>
      <c r="H2171" s="2" t="s">
        <v>148</v>
      </c>
      <c r="I2171" s="2" t="s">
        <v>6121</v>
      </c>
      <c r="J2171" s="3" t="str">
        <f>HYPERLINK("https://www.boe.es/gazeta/dias/1811/06/29/pdfs/GEI-1811-86.pdf#page=8","Abrir facsímil")</f>
        <v>Abrir facsímil</v>
      </c>
      <c r="K2171" s="3" t="s">
        <v>150</v>
      </c>
    </row>
    <row r="2172" spans="1:11" ht="42" customHeight="1">
      <c r="A2172" s="2" t="s">
        <v>6122</v>
      </c>
      <c r="B2172" s="2" t="s">
        <v>6123</v>
      </c>
      <c r="C2172" s="2" t="s">
        <v>17</v>
      </c>
      <c r="D2172" s="2" t="s">
        <v>141</v>
      </c>
      <c r="E2172" s="4">
        <v>-32209</v>
      </c>
      <c r="F2172" s="3" t="s">
        <v>1779</v>
      </c>
      <c r="G2172" s="3" t="s">
        <v>1780</v>
      </c>
      <c r="H2172" s="2" t="s">
        <v>21</v>
      </c>
      <c r="I2172" s="2" t="s">
        <v>6124</v>
      </c>
      <c r="J2172" s="3" t="str">
        <f>HYPERLINK("https://www.boe.es/gazeta/dias/1811/10/24/pdfs/GEI-D-1811-137.pdf#page=2","Abrir facsímil")</f>
        <v>Abrir facsímil</v>
      </c>
      <c r="K2172" s="3" t="s">
        <v>23</v>
      </c>
    </row>
    <row r="2173" spans="1:11" ht="42" customHeight="1">
      <c r="A2173" s="2" t="s">
        <v>6125</v>
      </c>
      <c r="B2173" s="2" t="s">
        <v>6126</v>
      </c>
      <c r="C2173" s="2" t="s">
        <v>26</v>
      </c>
      <c r="D2173" s="2" t="s">
        <v>105</v>
      </c>
      <c r="E2173" s="4">
        <v>-32344</v>
      </c>
      <c r="F2173" s="3" t="s">
        <v>761</v>
      </c>
      <c r="G2173" s="3" t="s">
        <v>3380</v>
      </c>
      <c r="H2173" s="2" t="s">
        <v>21</v>
      </c>
      <c r="I2173" s="2" t="s">
        <v>6127</v>
      </c>
      <c r="J2173" s="3" t="str">
        <f>HYPERLINK("https://www.boe.es/gazeta/dias/1811/06/11/pdfs/GEI-1811-78.pdf#page=6","Abrir facsímil")</f>
        <v>Abrir facsímil</v>
      </c>
      <c r="K2173" s="3" t="s">
        <v>23</v>
      </c>
    </row>
    <row r="2174" spans="1:11" ht="42" customHeight="1">
      <c r="A2174" s="2" t="s">
        <v>6128</v>
      </c>
      <c r="B2174" s="2" t="s">
        <v>6129</v>
      </c>
      <c r="C2174" s="2" t="s">
        <v>26</v>
      </c>
      <c r="D2174" s="2" t="s">
        <v>18</v>
      </c>
      <c r="E2174" s="4">
        <v>-32188</v>
      </c>
      <c r="F2174" s="3" t="s">
        <v>356</v>
      </c>
      <c r="G2174" s="3" t="s">
        <v>468</v>
      </c>
      <c r="H2174" s="2" t="s">
        <v>148</v>
      </c>
      <c r="I2174" s="2" t="s">
        <v>6130</v>
      </c>
      <c r="J2174" s="3" t="str">
        <f>HYPERLINK("https://www.boe.es/gazeta/dias/1811/11/14/pdfs/GMD-1811-318.pdf#page=6","Abrir facsímil")</f>
        <v>Abrir facsímil</v>
      </c>
      <c r="K2174" s="3" t="s">
        <v>150</v>
      </c>
    </row>
    <row r="2175" spans="1:11" ht="42" customHeight="1">
      <c r="A2175" s="2" t="s">
        <v>6131</v>
      </c>
      <c r="B2175" s="2" t="s">
        <v>6132</v>
      </c>
      <c r="C2175" s="2" t="s">
        <v>17</v>
      </c>
      <c r="D2175" s="2" t="s">
        <v>18</v>
      </c>
      <c r="E2175" s="4">
        <v>-32295</v>
      </c>
      <c r="F2175" s="3" t="s">
        <v>279</v>
      </c>
      <c r="G2175" s="3" t="s">
        <v>6133</v>
      </c>
      <c r="H2175" s="2" t="s">
        <v>21</v>
      </c>
      <c r="I2175" s="2" t="s">
        <v>6134</v>
      </c>
      <c r="J2175" s="3" t="str">
        <f>HYPERLINK("https://www.boe.es/gazeta/dias/1811/07/30/pdfs/GEI-1811-99.pdf#page=6","Abrir facsímil")</f>
        <v>Abrir facsímil</v>
      </c>
      <c r="K2175" s="3" t="s">
        <v>23</v>
      </c>
    </row>
    <row r="2176" spans="1:11" ht="42" customHeight="1">
      <c r="A2176" s="2" t="s">
        <v>6135</v>
      </c>
      <c r="B2176" s="2" t="s">
        <v>6136</v>
      </c>
      <c r="C2176" s="2" t="s">
        <v>26</v>
      </c>
      <c r="D2176" s="2" t="s">
        <v>18</v>
      </c>
      <c r="E2176" s="4">
        <v>-32242</v>
      </c>
      <c r="F2176" s="3" t="s">
        <v>1295</v>
      </c>
      <c r="G2176" s="3" t="s">
        <v>1296</v>
      </c>
      <c r="H2176" s="2" t="s">
        <v>148</v>
      </c>
      <c r="I2176" s="2" t="s">
        <v>6137</v>
      </c>
      <c r="J2176" s="3" t="str">
        <f>HYPERLINK("https://www.boe.es/gazeta/dias/1811/09/21/pdfs/GEI-1811-122.pdf#page=8","Abrir facsímil")</f>
        <v>Abrir facsímil</v>
      </c>
      <c r="K2176" s="3" t="s">
        <v>150</v>
      </c>
    </row>
    <row r="2177" spans="1:11" ht="42" customHeight="1">
      <c r="A2177" s="2" t="s">
        <v>6138</v>
      </c>
      <c r="B2177" s="2" t="s">
        <v>6139</v>
      </c>
      <c r="C2177" s="2" t="s">
        <v>26</v>
      </c>
      <c r="D2177" s="2" t="s">
        <v>18</v>
      </c>
      <c r="E2177" s="4">
        <v>-32153</v>
      </c>
      <c r="F2177" s="3" t="s">
        <v>123</v>
      </c>
      <c r="G2177" s="3" t="s">
        <v>1067</v>
      </c>
      <c r="H2177" s="2" t="s">
        <v>148</v>
      </c>
      <c r="I2177" s="2" t="s">
        <v>6140</v>
      </c>
      <c r="J2177" s="3" t="str">
        <f>HYPERLINK("https://www.boe.es/gazeta/dias/1811/12/19/pdfs/GMD-1811-353.pdf#page=5","Abrir facsímil")</f>
        <v>Abrir facsímil</v>
      </c>
      <c r="K2177" s="3" t="s">
        <v>150</v>
      </c>
    </row>
    <row r="2178" spans="1:11" ht="42" customHeight="1">
      <c r="A2178" s="2" t="s">
        <v>6141</v>
      </c>
      <c r="B2178" s="2" t="s">
        <v>6142</v>
      </c>
      <c r="C2178" s="2" t="s">
        <v>26</v>
      </c>
      <c r="D2178" s="2" t="s">
        <v>18</v>
      </c>
      <c r="E2178" s="4">
        <v>-32153</v>
      </c>
      <c r="F2178" s="3" t="s">
        <v>123</v>
      </c>
      <c r="G2178" s="3" t="s">
        <v>124</v>
      </c>
      <c r="H2178" s="2" t="s">
        <v>148</v>
      </c>
      <c r="I2178" s="2" t="s">
        <v>6143</v>
      </c>
      <c r="J2178" s="3" t="str">
        <f>HYPERLINK("https://www.boe.es/gazeta/dias/1811/12/19/pdfs/GMD-1811-353.pdf#page=6","Abrir facsímil")</f>
        <v>Abrir facsímil</v>
      </c>
      <c r="K2178" s="3" t="s">
        <v>150</v>
      </c>
    </row>
    <row r="2179" spans="1:11" ht="42" customHeight="1">
      <c r="A2179" s="2" t="s">
        <v>6144</v>
      </c>
      <c r="B2179" s="2" t="s">
        <v>6145</v>
      </c>
      <c r="C2179" s="2" t="s">
        <v>104</v>
      </c>
      <c r="D2179" s="2" t="s">
        <v>18</v>
      </c>
      <c r="E2179" s="4">
        <v>-32270</v>
      </c>
      <c r="F2179" s="3" t="s">
        <v>431</v>
      </c>
      <c r="G2179" s="3" t="s">
        <v>2080</v>
      </c>
      <c r="H2179" s="2" t="s">
        <v>148</v>
      </c>
      <c r="I2179" s="2" t="s">
        <v>6146</v>
      </c>
      <c r="J2179" s="3" t="str">
        <f>HYPERLINK("https://www.boe.es/gazeta/dias/1811/08/24/pdfs/GEI-1811-110.pdf#page=5","Abrir facsímil")</f>
        <v>Abrir facsímil</v>
      </c>
      <c r="K2179" s="3" t="s">
        <v>150</v>
      </c>
    </row>
    <row r="2180" spans="1:11" ht="42" customHeight="1">
      <c r="A2180" s="2" t="s">
        <v>6147</v>
      </c>
      <c r="B2180" s="2" t="s">
        <v>6148</v>
      </c>
      <c r="C2180" s="2" t="s">
        <v>26</v>
      </c>
      <c r="D2180" s="2" t="s">
        <v>18</v>
      </c>
      <c r="E2180" s="4">
        <v>-32242</v>
      </c>
      <c r="F2180" s="3" t="s">
        <v>1295</v>
      </c>
      <c r="G2180" s="3" t="s">
        <v>1296</v>
      </c>
      <c r="H2180" s="2" t="s">
        <v>148</v>
      </c>
      <c r="I2180" s="2" t="s">
        <v>6149</v>
      </c>
      <c r="J2180" s="3" t="str">
        <f>HYPERLINK("https://www.boe.es/gazeta/dias/1811/09/21/pdfs/GEI-1811-122.pdf#page=8","Abrir facsímil")</f>
        <v>Abrir facsímil</v>
      </c>
      <c r="K2180" s="3" t="s">
        <v>150</v>
      </c>
    </row>
    <row r="2181" spans="1:11" ht="42" customHeight="1">
      <c r="A2181" s="2" t="s">
        <v>6150</v>
      </c>
      <c r="B2181" s="2" t="s">
        <v>6151</v>
      </c>
      <c r="C2181" s="2" t="s">
        <v>17</v>
      </c>
      <c r="D2181" s="2" t="s">
        <v>18</v>
      </c>
      <c r="E2181" s="4">
        <v>-32252</v>
      </c>
      <c r="F2181" s="3" t="s">
        <v>3502</v>
      </c>
      <c r="G2181" s="3" t="s">
        <v>488</v>
      </c>
      <c r="H2181" s="2" t="s">
        <v>148</v>
      </c>
      <c r="I2181" s="2" t="s">
        <v>6152</v>
      </c>
      <c r="J2181" s="3" t="str">
        <f>HYPERLINK("https://www.boe.es/gazeta/dias/1811/09/11/pdfs/GMD-1811-254.pdf#page=3","Abrir facsímil")</f>
        <v>Abrir facsímil</v>
      </c>
      <c r="K2181" s="3" t="s">
        <v>150</v>
      </c>
    </row>
    <row r="2182" spans="1:11" ht="42" customHeight="1">
      <c r="A2182" s="2" t="s">
        <v>6153</v>
      </c>
      <c r="B2182" s="2" t="s">
        <v>6154</v>
      </c>
      <c r="C2182" s="2" t="s">
        <v>26</v>
      </c>
      <c r="D2182" s="2" t="s">
        <v>18</v>
      </c>
      <c r="E2182" s="4">
        <v>-32299</v>
      </c>
      <c r="F2182" s="3" t="s">
        <v>2124</v>
      </c>
      <c r="G2182" s="3" t="s">
        <v>20</v>
      </c>
      <c r="H2182" s="2" t="s">
        <v>148</v>
      </c>
      <c r="I2182" s="2" t="s">
        <v>6155</v>
      </c>
      <c r="J2182" s="3" t="str">
        <f>HYPERLINK("https://www.boe.es/gazeta/dias/1811/07/26/pdfs/GMD-1811-207.pdf#page=3","Abrir facsímil")</f>
        <v>Abrir facsímil</v>
      </c>
      <c r="K2182" s="3" t="s">
        <v>150</v>
      </c>
    </row>
    <row r="2183" spans="1:11" ht="42" customHeight="1">
      <c r="A2183" s="2" t="s">
        <v>6156</v>
      </c>
      <c r="B2183" s="2" t="s">
        <v>6157</v>
      </c>
      <c r="C2183" s="2" t="s">
        <v>26</v>
      </c>
      <c r="D2183" s="2" t="s">
        <v>141</v>
      </c>
      <c r="E2183" s="4">
        <v>-32355</v>
      </c>
      <c r="F2183" s="3" t="s">
        <v>537</v>
      </c>
      <c r="G2183" s="3" t="s">
        <v>44</v>
      </c>
      <c r="H2183" s="2" t="s">
        <v>148</v>
      </c>
      <c r="I2183" s="2" t="s">
        <v>6158</v>
      </c>
      <c r="J2183" s="3" t="str">
        <f>HYPERLINK("https://www.boe.es/gazeta/dias/1811/05/31/pdfs/GMD-C-1811-151.pdf#page=6","Abrir facsímil")</f>
        <v>Abrir facsímil</v>
      </c>
      <c r="K2183" s="3" t="s">
        <v>150</v>
      </c>
    </row>
    <row r="2184" spans="1:11" ht="42" customHeight="1">
      <c r="A2184" s="2" t="s">
        <v>6159</v>
      </c>
      <c r="B2184" s="2" t="s">
        <v>6160</v>
      </c>
      <c r="C2184" s="2" t="s">
        <v>26</v>
      </c>
      <c r="D2184" s="2" t="s">
        <v>18</v>
      </c>
      <c r="E2184" s="4">
        <v>-32204</v>
      </c>
      <c r="F2184" s="3" t="s">
        <v>1053</v>
      </c>
      <c r="G2184" s="3" t="s">
        <v>6161</v>
      </c>
      <c r="H2184" s="2" t="s">
        <v>148</v>
      </c>
      <c r="I2184" s="2" t="s">
        <v>6162</v>
      </c>
      <c r="J2184" s="3" t="str">
        <f>HYPERLINK("https://www.boe.es/gazeta/dias/1811/10/29/pdfs/GEI-1811-139.pdf#page=8","Abrir facsímil")</f>
        <v>Abrir facsímil</v>
      </c>
      <c r="K2184" s="3" t="s">
        <v>150</v>
      </c>
    </row>
    <row r="2185" spans="1:11" ht="42" customHeight="1">
      <c r="A2185" s="2" t="s">
        <v>6163</v>
      </c>
      <c r="B2185" s="2" t="s">
        <v>6164</v>
      </c>
      <c r="C2185" s="2" t="s">
        <v>17</v>
      </c>
      <c r="D2185" s="2" t="s">
        <v>156</v>
      </c>
      <c r="E2185" s="4">
        <v>-32326</v>
      </c>
      <c r="F2185" s="3" t="s">
        <v>43</v>
      </c>
      <c r="G2185" s="3" t="s">
        <v>44</v>
      </c>
      <c r="H2185" s="2" t="s">
        <v>21</v>
      </c>
      <c r="I2185" s="2" t="s">
        <v>6165</v>
      </c>
      <c r="J2185" s="3" t="str">
        <f>HYPERLINK("https://www.boe.es/gazeta/dias/1811/06/29/pdfs/GEI-1811-86.pdf#page=6","Abrir facsímil")</f>
        <v>Abrir facsímil</v>
      </c>
      <c r="K2185" s="3" t="s">
        <v>23</v>
      </c>
    </row>
    <row r="2186" spans="1:11" ht="42" customHeight="1">
      <c r="A2186" s="2" t="s">
        <v>6166</v>
      </c>
      <c r="B2186" s="2" t="s">
        <v>6167</v>
      </c>
      <c r="C2186" s="2" t="s">
        <v>17</v>
      </c>
      <c r="D2186" s="2" t="s">
        <v>156</v>
      </c>
      <c r="E2186" s="4">
        <v>-32295</v>
      </c>
      <c r="F2186" s="3" t="s">
        <v>6168</v>
      </c>
      <c r="G2186" s="3" t="s">
        <v>2682</v>
      </c>
      <c r="H2186" s="2" t="s">
        <v>21</v>
      </c>
      <c r="I2186" s="2" t="s">
        <v>6169</v>
      </c>
      <c r="J2186" s="3" t="str">
        <f>HYPERLINK("https://www.boe.es/gazeta/dias/1811/07/30/pdfs/GMD-1811-211.pdf#page=3","Abrir facsímil")</f>
        <v>Abrir facsímil</v>
      </c>
      <c r="K2186" s="3" t="s">
        <v>23</v>
      </c>
    </row>
    <row r="2187" spans="1:11" ht="42" customHeight="1">
      <c r="A2187" s="2" t="s">
        <v>6170</v>
      </c>
      <c r="B2187" s="2" t="s">
        <v>6171</v>
      </c>
      <c r="C2187" s="2" t="s">
        <v>26</v>
      </c>
      <c r="D2187" s="2" t="s">
        <v>105</v>
      </c>
      <c r="E2187" s="4">
        <v>-32292</v>
      </c>
      <c r="F2187" s="3" t="s">
        <v>408</v>
      </c>
      <c r="G2187" s="3" t="s">
        <v>409</v>
      </c>
      <c r="H2187" s="2" t="s">
        <v>148</v>
      </c>
      <c r="I2187" s="2" t="s">
        <v>6172</v>
      </c>
      <c r="J2187" s="3" t="str">
        <f>HYPERLINK("https://www.boe.es/gazeta/dias/1811/08/02/pdfs/GMD-1811-214.pdf#page=4","Abrir facsímil")</f>
        <v>Abrir facsímil</v>
      </c>
      <c r="K2187" s="3" t="s">
        <v>150</v>
      </c>
    </row>
    <row r="2188" spans="1:11" ht="42" customHeight="1">
      <c r="A2188" s="2" t="s">
        <v>6173</v>
      </c>
      <c r="B2188" s="2" t="s">
        <v>6174</v>
      </c>
      <c r="C2188" s="2" t="s">
        <v>26</v>
      </c>
      <c r="D2188" s="2" t="s">
        <v>18</v>
      </c>
      <c r="E2188" s="4">
        <v>-32286</v>
      </c>
      <c r="F2188" s="3" t="s">
        <v>754</v>
      </c>
      <c r="G2188" s="3" t="s">
        <v>1728</v>
      </c>
      <c r="H2188" s="2" t="s">
        <v>148</v>
      </c>
      <c r="I2188" s="2" t="s">
        <v>6175</v>
      </c>
      <c r="J2188" s="3" t="str">
        <f>HYPERLINK("https://www.boe.es/gazeta/dias/1811/08/08/pdfs/GEI-1811-103.pdf#page=8","Abrir facsímil")</f>
        <v>Abrir facsímil</v>
      </c>
      <c r="K2188" s="3" t="s">
        <v>150</v>
      </c>
    </row>
    <row r="2189" spans="1:11" ht="42" customHeight="1">
      <c r="A2189" s="2" t="s">
        <v>6176</v>
      </c>
      <c r="B2189" s="2" t="s">
        <v>6177</v>
      </c>
      <c r="C2189" s="2" t="s">
        <v>26</v>
      </c>
      <c r="D2189" s="2" t="s">
        <v>18</v>
      </c>
      <c r="E2189" s="4">
        <v>-32503</v>
      </c>
      <c r="F2189" s="3" t="s">
        <v>487</v>
      </c>
      <c r="G2189" s="3" t="s">
        <v>1930</v>
      </c>
      <c r="H2189" s="2" t="s">
        <v>148</v>
      </c>
      <c r="I2189" s="2" t="s">
        <v>6178</v>
      </c>
      <c r="J2189" s="3" t="str">
        <f>HYPERLINK("https://www.boe.es/gazeta/dias/1811/01/03/pdfs/GEI-1811-2.pdf#page=8","Abrir facsímil")</f>
        <v>Abrir facsímil</v>
      </c>
      <c r="K2189" s="3" t="s">
        <v>150</v>
      </c>
    </row>
    <row r="2190" spans="1:11" ht="42" customHeight="1">
      <c r="A2190" s="2" t="s">
        <v>6179</v>
      </c>
      <c r="B2190" s="2" t="s">
        <v>6180</v>
      </c>
      <c r="C2190" s="2" t="s">
        <v>26</v>
      </c>
      <c r="D2190" s="2" t="s">
        <v>105</v>
      </c>
      <c r="E2190" s="4">
        <v>-32195</v>
      </c>
      <c r="F2190" s="3" t="s">
        <v>439</v>
      </c>
      <c r="G2190" s="3" t="s">
        <v>440</v>
      </c>
      <c r="H2190" s="2" t="s">
        <v>148</v>
      </c>
      <c r="I2190" s="2" t="s">
        <v>6181</v>
      </c>
      <c r="J2190" s="3" t="str">
        <f>HYPERLINK("https://www.boe.es/gazeta/dias/1811/11/07/pdfs/GEI-1811-144.pdf#page=8","Abrir facsímil")</f>
        <v>Abrir facsímil</v>
      </c>
      <c r="K2190" s="3" t="s">
        <v>150</v>
      </c>
    </row>
    <row r="2191" spans="1:11" ht="42" customHeight="1">
      <c r="A2191" s="2" t="s">
        <v>6182</v>
      </c>
      <c r="B2191" s="2" t="s">
        <v>6183</v>
      </c>
      <c r="C2191" s="2" t="s">
        <v>17</v>
      </c>
      <c r="D2191" s="2" t="s">
        <v>18</v>
      </c>
      <c r="E2191" s="4">
        <v>-32291</v>
      </c>
      <c r="F2191" s="3" t="s">
        <v>712</v>
      </c>
      <c r="G2191" s="3" t="s">
        <v>713</v>
      </c>
      <c r="H2191" s="2" t="s">
        <v>148</v>
      </c>
      <c r="I2191" s="2" t="s">
        <v>6184</v>
      </c>
      <c r="J2191" s="3" t="str">
        <f>HYPERLINK("https://www.boe.es/gazeta/dias/1811/08/03/pdfs/GEI-1811-101.pdf#page=6","Abrir facsímil")</f>
        <v>Abrir facsímil</v>
      </c>
      <c r="K2191" s="3" t="s">
        <v>150</v>
      </c>
    </row>
    <row r="2192" spans="1:11" ht="42" customHeight="1">
      <c r="A2192" s="2" t="s">
        <v>6185</v>
      </c>
      <c r="B2192" s="2" t="s">
        <v>6186</v>
      </c>
      <c r="C2192" s="2" t="s">
        <v>26</v>
      </c>
      <c r="D2192" s="2" t="s">
        <v>18</v>
      </c>
      <c r="E2192" s="4">
        <v>-32151</v>
      </c>
      <c r="F2192" s="3" t="s">
        <v>313</v>
      </c>
      <c r="G2192" s="3" t="s">
        <v>44</v>
      </c>
      <c r="H2192" s="2" t="s">
        <v>21</v>
      </c>
      <c r="I2192" s="2" t="s">
        <v>6187</v>
      </c>
      <c r="J2192" s="3" t="str">
        <f>HYPERLINK("https://www.boe.es/gazeta/dias/1811/12/21/pdfs/GEI-1811-165.pdf#page=7","Abrir facsímil")</f>
        <v>Abrir facsímil</v>
      </c>
      <c r="K2192" s="3" t="s">
        <v>23</v>
      </c>
    </row>
    <row r="2193" spans="1:11" ht="42" customHeight="1">
      <c r="A2193" s="2" t="s">
        <v>6188</v>
      </c>
      <c r="B2193" s="2" t="s">
        <v>6189</v>
      </c>
      <c r="C2193" s="2" t="s">
        <v>367</v>
      </c>
      <c r="D2193" s="2" t="s">
        <v>18</v>
      </c>
      <c r="E2193" s="4">
        <v>-32502</v>
      </c>
      <c r="F2193" s="3" t="s">
        <v>6190</v>
      </c>
      <c r="G2193" s="3" t="s">
        <v>248</v>
      </c>
      <c r="H2193" s="2" t="s">
        <v>148</v>
      </c>
      <c r="I2193" s="2" t="s">
        <v>6191</v>
      </c>
      <c r="J2193" s="3" t="str">
        <f>HYPERLINK("https://www.boe.es/gazeta/dias/1811/01/04/pdfs/GMD-1811-4.pdf#page=3","Abrir facsímil")</f>
        <v>Abrir facsímil</v>
      </c>
      <c r="K2193" s="3" t="s">
        <v>150</v>
      </c>
    </row>
    <row r="2194" spans="1:11" ht="42" customHeight="1">
      <c r="A2194" s="2" t="s">
        <v>6192</v>
      </c>
      <c r="B2194" s="2" t="s">
        <v>6193</v>
      </c>
      <c r="C2194" s="2" t="s">
        <v>26</v>
      </c>
      <c r="D2194" s="2" t="s">
        <v>18</v>
      </c>
      <c r="E2194" s="4">
        <v>-32340</v>
      </c>
      <c r="F2194" s="3" t="s">
        <v>565</v>
      </c>
      <c r="G2194" s="3" t="s">
        <v>91</v>
      </c>
      <c r="H2194" s="2" t="s">
        <v>148</v>
      </c>
      <c r="I2194" s="2" t="s">
        <v>6194</v>
      </c>
      <c r="J2194" s="3" t="str">
        <f>HYPERLINK("https://www.boe.es/gazeta/dias/1811/06/15/pdfs/GEI-1811-80.pdf#page=8","Abrir facsímil")</f>
        <v>Abrir facsímil</v>
      </c>
      <c r="K2194" s="3" t="s">
        <v>150</v>
      </c>
    </row>
    <row r="2195" spans="1:11" ht="42" customHeight="1">
      <c r="A2195" s="2" t="s">
        <v>6195</v>
      </c>
      <c r="B2195" s="2" t="s">
        <v>6196</v>
      </c>
      <c r="C2195" s="2" t="s">
        <v>26</v>
      </c>
      <c r="D2195" s="2" t="s">
        <v>141</v>
      </c>
      <c r="E2195" s="4">
        <v>-32249</v>
      </c>
      <c r="F2195" s="3" t="s">
        <v>743</v>
      </c>
      <c r="G2195" s="3" t="s">
        <v>468</v>
      </c>
      <c r="H2195" s="2" t="s">
        <v>148</v>
      </c>
      <c r="I2195" s="2" t="s">
        <v>6197</v>
      </c>
      <c r="J2195" s="3" t="str">
        <f>HYPERLINK("https://www.boe.es/gazeta/dias/1811/09/14/pdfs/GMD-C-1811-257.pdf#page=1","Abrir facsímil")</f>
        <v>Abrir facsímil</v>
      </c>
      <c r="K2195" s="3" t="s">
        <v>150</v>
      </c>
    </row>
    <row r="2196" spans="1:11" ht="42" customHeight="1">
      <c r="A2196" s="2" t="s">
        <v>6198</v>
      </c>
      <c r="B2196" s="2" t="s">
        <v>6199</v>
      </c>
      <c r="C2196" s="2" t="s">
        <v>26</v>
      </c>
      <c r="D2196" s="2" t="s">
        <v>18</v>
      </c>
      <c r="E2196" s="4">
        <v>-32459</v>
      </c>
      <c r="F2196" s="3" t="s">
        <v>1034</v>
      </c>
      <c r="G2196" s="3" t="s">
        <v>510</v>
      </c>
      <c r="H2196" s="2" t="s">
        <v>148</v>
      </c>
      <c r="I2196" s="2" t="s">
        <v>6200</v>
      </c>
      <c r="J2196" s="3" t="str">
        <f>HYPERLINK("https://www.boe.es/gazeta/dias/1811/02/16/pdfs/GEI-1811-21.pdf#page=8","Abrir facsímil")</f>
        <v>Abrir facsímil</v>
      </c>
      <c r="K2196" s="3" t="s">
        <v>150</v>
      </c>
    </row>
    <row r="2197" spans="1:11" ht="42" customHeight="1">
      <c r="A2197" s="2" t="s">
        <v>6201</v>
      </c>
      <c r="B2197" s="2" t="s">
        <v>6202</v>
      </c>
      <c r="C2197" s="2" t="s">
        <v>26</v>
      </c>
      <c r="D2197" s="2" t="s">
        <v>18</v>
      </c>
      <c r="E2197" s="4">
        <v>-32323</v>
      </c>
      <c r="F2197" s="3" t="s">
        <v>322</v>
      </c>
      <c r="G2197" s="3" t="s">
        <v>323</v>
      </c>
      <c r="H2197" s="2" t="s">
        <v>148</v>
      </c>
      <c r="I2197" s="2" t="s">
        <v>6203</v>
      </c>
      <c r="J2197" s="3" t="str">
        <f>HYPERLINK("https://www.boe.es/gazeta/dias/1811/07/02/pdfs/GEI-1811-87.pdf#page=8","Abrir facsímil")</f>
        <v>Abrir facsímil</v>
      </c>
      <c r="K2197" s="3" t="s">
        <v>150</v>
      </c>
    </row>
    <row r="2198" spans="1:11" ht="42" customHeight="1">
      <c r="A2198" s="2" t="s">
        <v>6204</v>
      </c>
      <c r="B2198" s="2" t="s">
        <v>6205</v>
      </c>
      <c r="C2198" s="2" t="s">
        <v>26</v>
      </c>
      <c r="D2198" s="2" t="s">
        <v>18</v>
      </c>
      <c r="E2198" s="4">
        <v>-32442</v>
      </c>
      <c r="F2198" s="3" t="s">
        <v>634</v>
      </c>
      <c r="G2198" s="3" t="s">
        <v>245</v>
      </c>
      <c r="H2198" s="2" t="s">
        <v>148</v>
      </c>
      <c r="I2198" s="2" t="s">
        <v>6206</v>
      </c>
      <c r="J2198" s="3" t="str">
        <f>HYPERLINK("https://www.boe.es/gazeta/dias/1811/03/05/pdfs/GEI-1811-29.pdf#page=1","Abrir facsímil")</f>
        <v>Abrir facsímil</v>
      </c>
      <c r="K2198" s="3" t="s">
        <v>150</v>
      </c>
    </row>
    <row r="2199" spans="1:11" ht="42" customHeight="1">
      <c r="A2199" s="2" t="s">
        <v>6207</v>
      </c>
      <c r="B2199" s="2" t="s">
        <v>6208</v>
      </c>
      <c r="C2199" s="2" t="s">
        <v>17</v>
      </c>
      <c r="D2199" s="2" t="s">
        <v>156</v>
      </c>
      <c r="E2199" s="4">
        <v>-32198</v>
      </c>
      <c r="F2199" s="3" t="s">
        <v>6209</v>
      </c>
      <c r="G2199" s="3" t="s">
        <v>6210</v>
      </c>
      <c r="H2199" s="2" t="s">
        <v>148</v>
      </c>
      <c r="I2199" s="2" t="s">
        <v>6211</v>
      </c>
      <c r="J2199" s="3" t="str">
        <f>HYPERLINK("https://www.boe.es/gazeta/dias/1811/11/04/pdfs/GEI-1811-142E.pdf#page=3","Abrir facsímil")</f>
        <v>Abrir facsímil</v>
      </c>
      <c r="K2199" s="3" t="s">
        <v>150</v>
      </c>
    </row>
    <row r="2200" spans="1:11" ht="42" customHeight="1">
      <c r="A2200" s="2" t="s">
        <v>6212</v>
      </c>
      <c r="B2200" s="2" t="s">
        <v>6213</v>
      </c>
      <c r="C2200" s="2" t="s">
        <v>17</v>
      </c>
      <c r="D2200" s="2" t="s">
        <v>141</v>
      </c>
      <c r="E2200" s="4">
        <v>-32319</v>
      </c>
      <c r="F2200" s="3" t="s">
        <v>907</v>
      </c>
      <c r="G2200" s="3" t="s">
        <v>134</v>
      </c>
      <c r="H2200" s="2" t="s">
        <v>148</v>
      </c>
      <c r="I2200" s="2" t="s">
        <v>6214</v>
      </c>
      <c r="J2200" s="3" t="str">
        <f>HYPERLINK("https://www.boe.es/gazeta/dias/1811/07/06/pdfs/GEI-D-1811-89.pdf#page=4","Abrir facsímil")</f>
        <v>Abrir facsímil</v>
      </c>
      <c r="K2200" s="3" t="s">
        <v>150</v>
      </c>
    </row>
    <row r="2201" spans="1:11" ht="42" customHeight="1">
      <c r="A2201" s="2" t="s">
        <v>6215</v>
      </c>
      <c r="B2201" s="2" t="s">
        <v>6216</v>
      </c>
      <c r="C2201" s="2" t="s">
        <v>26</v>
      </c>
      <c r="D2201" s="2" t="s">
        <v>105</v>
      </c>
      <c r="E2201" s="4">
        <v>-32238</v>
      </c>
      <c r="F2201" s="3" t="s">
        <v>166</v>
      </c>
      <c r="G2201" s="3" t="s">
        <v>39</v>
      </c>
      <c r="H2201" s="2" t="s">
        <v>148</v>
      </c>
      <c r="I2201" s="2" t="s">
        <v>6217</v>
      </c>
      <c r="J2201" s="3" t="str">
        <f>HYPERLINK("https://www.boe.es/gazeta/dias/1811/09/25/pdfs/GMD-C-1811-268.pdf#page=2","Abrir facsímil")</f>
        <v>Abrir facsímil</v>
      </c>
      <c r="K2201" s="3" t="s">
        <v>150</v>
      </c>
    </row>
    <row r="2202" spans="1:11" ht="42" customHeight="1">
      <c r="A2202" s="2" t="s">
        <v>6218</v>
      </c>
      <c r="B2202" s="2" t="s">
        <v>6219</v>
      </c>
      <c r="C2202" s="2" t="s">
        <v>26</v>
      </c>
      <c r="D2202" s="2" t="s">
        <v>141</v>
      </c>
      <c r="E2202" s="4">
        <v>-32249</v>
      </c>
      <c r="F2202" s="3" t="s">
        <v>743</v>
      </c>
      <c r="G2202" s="3" t="s">
        <v>1021</v>
      </c>
      <c r="H2202" s="2" t="s">
        <v>148</v>
      </c>
      <c r="I2202" s="2" t="s">
        <v>6220</v>
      </c>
      <c r="J2202" s="3" t="str">
        <f>HYPERLINK("https://www.boe.es/gazeta/dias/1811/09/14/pdfs/GMD-C-1811-257.pdf#page=2","Abrir facsímil")</f>
        <v>Abrir facsímil</v>
      </c>
      <c r="K2202" s="3" t="s">
        <v>150</v>
      </c>
    </row>
    <row r="2203" spans="1:11" ht="42" customHeight="1">
      <c r="A2203" s="2" t="s">
        <v>6221</v>
      </c>
      <c r="B2203" s="2" t="s">
        <v>6222</v>
      </c>
      <c r="C2203" s="2" t="s">
        <v>26</v>
      </c>
      <c r="D2203" s="2" t="s">
        <v>18</v>
      </c>
      <c r="E2203" s="4">
        <v>-32141</v>
      </c>
      <c r="F2203" s="3" t="s">
        <v>327</v>
      </c>
      <c r="G2203" s="3" t="s">
        <v>115</v>
      </c>
      <c r="H2203" s="2" t="s">
        <v>148</v>
      </c>
      <c r="I2203" s="2" t="s">
        <v>6223</v>
      </c>
      <c r="J2203" s="3" t="str">
        <f>HYPERLINK("https://www.boe.es/gazeta/dias/1811/12/31/pdfs/GMD-1811-365.pdf#page=3","Abrir facsímil")</f>
        <v>Abrir facsímil</v>
      </c>
      <c r="K2203" s="3" t="s">
        <v>150</v>
      </c>
    </row>
    <row r="2204" spans="1:11" ht="42" customHeight="1">
      <c r="A2204" s="2" t="s">
        <v>6224</v>
      </c>
      <c r="B2204" s="2" t="s">
        <v>6225</v>
      </c>
      <c r="C2204" s="2" t="s">
        <v>122</v>
      </c>
      <c r="D2204" s="2" t="s">
        <v>18</v>
      </c>
      <c r="E2204" s="4">
        <v>-32297</v>
      </c>
      <c r="F2204" s="3" t="s">
        <v>2174</v>
      </c>
      <c r="G2204" s="3" t="s">
        <v>115</v>
      </c>
      <c r="H2204" s="2" t="s">
        <v>148</v>
      </c>
      <c r="I2204" s="2" t="s">
        <v>6226</v>
      </c>
      <c r="J2204" s="3" t="str">
        <f>HYPERLINK("https://www.boe.es/gazeta/dias/1811/07/28/pdfs/GMD-1811-209.pdf#page=3","Abrir facsímil")</f>
        <v>Abrir facsímil</v>
      </c>
      <c r="K2204" s="3" t="s">
        <v>150</v>
      </c>
    </row>
    <row r="2205" spans="1:11" ht="42" customHeight="1">
      <c r="A2205" s="2" t="s">
        <v>6227</v>
      </c>
      <c r="B2205" s="2" t="s">
        <v>6228</v>
      </c>
      <c r="C2205" s="2" t="s">
        <v>26</v>
      </c>
      <c r="D2205" s="2" t="s">
        <v>18</v>
      </c>
      <c r="E2205" s="4">
        <v>-32141</v>
      </c>
      <c r="F2205" s="3" t="s">
        <v>327</v>
      </c>
      <c r="G2205" s="3" t="s">
        <v>20</v>
      </c>
      <c r="H2205" s="2" t="s">
        <v>148</v>
      </c>
      <c r="I2205" s="2" t="s">
        <v>6229</v>
      </c>
      <c r="J2205" s="3" t="str">
        <f>HYPERLINK("https://www.boe.es/gazeta/dias/1811/12/31/pdfs/GMD-1811-365.pdf#page=4","Abrir facsímil")</f>
        <v>Abrir facsímil</v>
      </c>
      <c r="K2205" s="3" t="s">
        <v>150</v>
      </c>
    </row>
    <row r="2206" spans="1:11" ht="42" customHeight="1">
      <c r="A2206" s="2" t="s">
        <v>6230</v>
      </c>
      <c r="B2206" s="2" t="s">
        <v>6231</v>
      </c>
      <c r="C2206" s="2" t="s">
        <v>104</v>
      </c>
      <c r="D2206" s="2" t="s">
        <v>18</v>
      </c>
      <c r="E2206" s="4">
        <v>-32326</v>
      </c>
      <c r="F2206" s="3" t="s">
        <v>43</v>
      </c>
      <c r="G2206" s="3" t="s">
        <v>47</v>
      </c>
      <c r="H2206" s="2" t="s">
        <v>148</v>
      </c>
      <c r="I2206" s="2" t="s">
        <v>6232</v>
      </c>
      <c r="J2206" s="3" t="str">
        <f>HYPERLINK("https://www.boe.es/gazeta/dias/1811/06/29/pdfs/GEI-1811-86.pdf#page=3","Abrir facsímil")</f>
        <v>Abrir facsímil</v>
      </c>
      <c r="K2206" s="3" t="s">
        <v>150</v>
      </c>
    </row>
    <row r="2207" spans="1:11" ht="42" customHeight="1">
      <c r="A2207" s="2" t="s">
        <v>6233</v>
      </c>
      <c r="B2207" s="2" t="s">
        <v>6234</v>
      </c>
      <c r="C2207" s="2" t="s">
        <v>84</v>
      </c>
      <c r="D2207" s="2" t="s">
        <v>18</v>
      </c>
      <c r="E2207" s="4">
        <v>-32417</v>
      </c>
      <c r="F2207" s="3" t="s">
        <v>604</v>
      </c>
      <c r="G2207" s="3" t="s">
        <v>178</v>
      </c>
      <c r="H2207" s="2" t="s">
        <v>148</v>
      </c>
      <c r="I2207" s="2" t="s">
        <v>6235</v>
      </c>
      <c r="J2207" s="3" t="str">
        <f>HYPERLINK("https://www.boe.es/gazeta/dias/1811/03/30/pdfs/GMD-1811-89.pdf#page=3","Abrir facsímil")</f>
        <v>Abrir facsímil</v>
      </c>
      <c r="K2207" s="3" t="s">
        <v>150</v>
      </c>
    </row>
    <row r="2208" spans="1:11" ht="42" customHeight="1">
      <c r="A2208" s="2" t="s">
        <v>6236</v>
      </c>
      <c r="B2208" s="2" t="s">
        <v>6237</v>
      </c>
      <c r="C2208" s="2" t="s">
        <v>26</v>
      </c>
      <c r="D2208" s="2" t="s">
        <v>105</v>
      </c>
      <c r="E2208" s="4">
        <v>-32238</v>
      </c>
      <c r="F2208" s="3" t="s">
        <v>166</v>
      </c>
      <c r="G2208" s="3" t="s">
        <v>657</v>
      </c>
      <c r="H2208" s="2" t="s">
        <v>148</v>
      </c>
      <c r="I2208" s="2" t="s">
        <v>6238</v>
      </c>
      <c r="J2208" s="3" t="str">
        <f>HYPERLINK("https://www.boe.es/gazeta/dias/1811/09/25/pdfs/GMD-C-1811-268.pdf#page=3","Abrir facsímil")</f>
        <v>Abrir facsímil</v>
      </c>
      <c r="K2208" s="3" t="s">
        <v>150</v>
      </c>
    </row>
    <row r="2209" spans="1:11" ht="42" customHeight="1">
      <c r="A2209" s="2" t="s">
        <v>6239</v>
      </c>
      <c r="B2209" s="2" t="s">
        <v>6240</v>
      </c>
      <c r="C2209" s="2" t="s">
        <v>26</v>
      </c>
      <c r="D2209" s="2" t="s">
        <v>105</v>
      </c>
      <c r="E2209" s="4">
        <v>-32195</v>
      </c>
      <c r="F2209" s="3" t="s">
        <v>439</v>
      </c>
      <c r="G2209" s="3" t="s">
        <v>440</v>
      </c>
      <c r="H2209" s="2" t="s">
        <v>148</v>
      </c>
      <c r="I2209" s="2" t="s">
        <v>6241</v>
      </c>
      <c r="J2209" s="3" t="str">
        <f>HYPERLINK("https://www.boe.es/gazeta/dias/1811/11/07/pdfs/GEI-1811-144.pdf#page=8","Abrir facsímil")</f>
        <v>Abrir facsímil</v>
      </c>
      <c r="K2209" s="3" t="s">
        <v>150</v>
      </c>
    </row>
    <row r="2210" spans="1:11" ht="42" customHeight="1">
      <c r="A2210" s="2" t="s">
        <v>6242</v>
      </c>
      <c r="B2210" s="2" t="s">
        <v>6243</v>
      </c>
      <c r="C2210" s="2" t="s">
        <v>17</v>
      </c>
      <c r="D2210" s="2" t="s">
        <v>18</v>
      </c>
      <c r="E2210" s="4">
        <v>-32246</v>
      </c>
      <c r="F2210" s="3" t="s">
        <v>19</v>
      </c>
      <c r="G2210" s="3" t="s">
        <v>115</v>
      </c>
      <c r="H2210" s="2" t="s">
        <v>148</v>
      </c>
      <c r="I2210" s="2" t="s">
        <v>6244</v>
      </c>
      <c r="J2210" s="3" t="str">
        <f>HYPERLINK("https://www.boe.es/gazeta/dias/1811/09/17/pdfs/GEI-1811-120.pdf#page=3","Abrir facsímil")</f>
        <v>Abrir facsímil</v>
      </c>
      <c r="K2210" s="3" t="s">
        <v>150</v>
      </c>
    </row>
    <row r="2211" spans="1:11" ht="42" customHeight="1">
      <c r="A2211" s="2" t="s">
        <v>6245</v>
      </c>
      <c r="B2211" s="2" t="s">
        <v>6246</v>
      </c>
      <c r="C2211" s="2" t="s">
        <v>26</v>
      </c>
      <c r="D2211" s="2" t="s">
        <v>18</v>
      </c>
      <c r="E2211" s="4">
        <v>-32249</v>
      </c>
      <c r="F2211" s="3" t="s">
        <v>182</v>
      </c>
      <c r="G2211" s="3" t="s">
        <v>183</v>
      </c>
      <c r="H2211" s="2" t="s">
        <v>148</v>
      </c>
      <c r="I2211" s="2" t="s">
        <v>6247</v>
      </c>
      <c r="J2211" s="3" t="str">
        <f>HYPERLINK("https://www.boe.es/gazeta/dias/1811/09/14/pdfs/GMD-1811-257.pdf#page=4","Abrir facsímil")</f>
        <v>Abrir facsímil</v>
      </c>
      <c r="K2211" s="3" t="s">
        <v>150</v>
      </c>
    </row>
    <row r="2212" spans="1:11" ht="42" customHeight="1">
      <c r="A2212" s="2" t="s">
        <v>6248</v>
      </c>
      <c r="B2212" s="2" t="s">
        <v>6249</v>
      </c>
      <c r="C2212" s="2" t="s">
        <v>26</v>
      </c>
      <c r="D2212" s="2" t="s">
        <v>18</v>
      </c>
      <c r="E2212" s="4">
        <v>-32242</v>
      </c>
      <c r="F2212" s="3" t="s">
        <v>1295</v>
      </c>
      <c r="G2212" s="3" t="s">
        <v>1296</v>
      </c>
      <c r="H2212" s="2" t="s">
        <v>148</v>
      </c>
      <c r="I2212" s="2" t="s">
        <v>6250</v>
      </c>
      <c r="J2212" s="3" t="str">
        <f>HYPERLINK("https://www.boe.es/gazeta/dias/1811/09/21/pdfs/GEI-1811-122.pdf#page=8","Abrir facsímil")</f>
        <v>Abrir facsímil</v>
      </c>
      <c r="K2212" s="3" t="s">
        <v>150</v>
      </c>
    </row>
    <row r="2213" spans="1:11" ht="42" customHeight="1">
      <c r="A2213" s="2" t="s">
        <v>6251</v>
      </c>
      <c r="B2213" s="2" t="s">
        <v>6252</v>
      </c>
      <c r="C2213" s="2" t="s">
        <v>17</v>
      </c>
      <c r="D2213" s="2" t="s">
        <v>18</v>
      </c>
      <c r="E2213" s="4">
        <v>-32144</v>
      </c>
      <c r="F2213" s="3" t="s">
        <v>1097</v>
      </c>
      <c r="G2213" s="3" t="s">
        <v>1098</v>
      </c>
      <c r="H2213" s="2" t="s">
        <v>148</v>
      </c>
      <c r="I2213" s="2" t="s">
        <v>6253</v>
      </c>
      <c r="J2213" s="3" t="str">
        <f>HYPERLINK("https://www.boe.es/gazeta/dias/1811/12/28/pdfs/GEI-1811-168.pdf#page=8","Abrir facsímil")</f>
        <v>Abrir facsímil</v>
      </c>
      <c r="K2213" s="3" t="s">
        <v>150</v>
      </c>
    </row>
    <row r="2214" spans="1:11" ht="42" customHeight="1">
      <c r="A2214" s="2" t="s">
        <v>6254</v>
      </c>
      <c r="B2214" s="2" t="s">
        <v>6255</v>
      </c>
      <c r="C2214" s="2" t="s">
        <v>17</v>
      </c>
      <c r="D2214" s="2" t="s">
        <v>18</v>
      </c>
      <c r="E2214" s="4">
        <v>-32416</v>
      </c>
      <c r="F2214" s="3" t="s">
        <v>954</v>
      </c>
      <c r="G2214" s="3" t="s">
        <v>183</v>
      </c>
      <c r="H2214" s="2" t="s">
        <v>148</v>
      </c>
      <c r="I2214" s="2" t="s">
        <v>6256</v>
      </c>
      <c r="J2214" s="3" t="str">
        <f>HYPERLINK("https://www.boe.es/gazeta/dias/1811/03/31/pdfs/GMD-1811-90.pdf#page=4","Abrir facsímil")</f>
        <v>Abrir facsímil</v>
      </c>
      <c r="K2214" s="3" t="s">
        <v>150</v>
      </c>
    </row>
    <row r="2215" spans="1:11" ht="42" customHeight="1">
      <c r="A2215" s="2" t="s">
        <v>6257</v>
      </c>
      <c r="B2215" s="2" t="s">
        <v>6258</v>
      </c>
      <c r="C2215" s="2" t="s">
        <v>26</v>
      </c>
      <c r="D2215" s="2" t="s">
        <v>18</v>
      </c>
      <c r="E2215" s="4">
        <v>-32211</v>
      </c>
      <c r="F2215" s="3" t="s">
        <v>1230</v>
      </c>
      <c r="G2215" s="3" t="s">
        <v>377</v>
      </c>
      <c r="H2215" s="2" t="s">
        <v>148</v>
      </c>
      <c r="I2215" s="2" t="s">
        <v>6259</v>
      </c>
      <c r="J2215" s="3" t="str">
        <f>HYPERLINK("https://www.boe.es/gazeta/dias/1811/10/22/pdfs/GMD-1811-295.pdf#page=4","Abrir facsímil")</f>
        <v>Abrir facsímil</v>
      </c>
      <c r="K2215" s="3" t="s">
        <v>150</v>
      </c>
    </row>
    <row r="2216" spans="1:11" ht="42" customHeight="1">
      <c r="A2216" s="2" t="s">
        <v>6260</v>
      </c>
      <c r="B2216" s="2" t="s">
        <v>6261</v>
      </c>
      <c r="C2216" s="2" t="s">
        <v>26</v>
      </c>
      <c r="D2216" s="2" t="s">
        <v>18</v>
      </c>
      <c r="E2216" s="4">
        <v>-32155</v>
      </c>
      <c r="F2216" s="3" t="s">
        <v>99</v>
      </c>
      <c r="G2216" s="3" t="s">
        <v>100</v>
      </c>
      <c r="H2216" s="2" t="s">
        <v>148</v>
      </c>
      <c r="I2216" s="2" t="s">
        <v>6262</v>
      </c>
      <c r="J2216" s="3" t="str">
        <f>HYPERLINK("https://www.boe.es/gazeta/dias/1811/12/17/pdfs/GMD-1811-351.pdf#page=4","Abrir facsímil")</f>
        <v>Abrir facsímil</v>
      </c>
      <c r="K2216" s="3" t="s">
        <v>150</v>
      </c>
    </row>
    <row r="2217" spans="1:11" ht="42" customHeight="1">
      <c r="A2217" s="2" t="s">
        <v>6263</v>
      </c>
      <c r="B2217" s="2" t="s">
        <v>6264</v>
      </c>
      <c r="C2217" s="2" t="s">
        <v>17</v>
      </c>
      <c r="D2217" s="2" t="s">
        <v>156</v>
      </c>
      <c r="E2217" s="4">
        <v>-32470</v>
      </c>
      <c r="F2217" s="3" t="s">
        <v>1432</v>
      </c>
      <c r="G2217" s="3" t="s">
        <v>3543</v>
      </c>
      <c r="H2217" s="2" t="s">
        <v>148</v>
      </c>
      <c r="I2217" s="2" t="s">
        <v>6265</v>
      </c>
      <c r="J2217" s="3" t="str">
        <f>HYPERLINK("https://www.boe.es/gazeta/dias/1811/02/05/pdfs/GEI-1811-16.pdf#page=8","Abrir facsímil")</f>
        <v>Abrir facsímil</v>
      </c>
      <c r="K2217" s="3" t="s">
        <v>150</v>
      </c>
    </row>
    <row r="2218" spans="1:11" ht="42" customHeight="1">
      <c r="A2218" s="2" t="s">
        <v>6266</v>
      </c>
      <c r="B2218" s="2" t="s">
        <v>6267</v>
      </c>
      <c r="C2218" s="2" t="s">
        <v>26</v>
      </c>
      <c r="D2218" s="2" t="s">
        <v>18</v>
      </c>
      <c r="E2218" s="4">
        <v>-32390</v>
      </c>
      <c r="F2218" s="3" t="s">
        <v>6268</v>
      </c>
      <c r="G2218" s="3" t="s">
        <v>183</v>
      </c>
      <c r="H2218" s="2" t="s">
        <v>148</v>
      </c>
      <c r="I2218" s="2" t="s">
        <v>6269</v>
      </c>
      <c r="J2218" s="3" t="str">
        <f>HYPERLINK("https://www.boe.es/gazeta/dias/1811/04/26/pdfs/GMD-1811-116.pdf#page=4","Abrir facsímil")</f>
        <v>Abrir facsímil</v>
      </c>
      <c r="K2218" s="3" t="s">
        <v>150</v>
      </c>
    </row>
    <row r="2219" spans="1:11" ht="42" customHeight="1">
      <c r="A2219" s="2" t="s">
        <v>6270</v>
      </c>
      <c r="B2219" s="2" t="s">
        <v>6271</v>
      </c>
      <c r="C2219" s="2" t="s">
        <v>17</v>
      </c>
      <c r="D2219" s="2" t="s">
        <v>18</v>
      </c>
      <c r="E2219" s="4">
        <v>-32174</v>
      </c>
      <c r="F2219" s="3" t="s">
        <v>172</v>
      </c>
      <c r="G2219" s="3" t="s">
        <v>6272</v>
      </c>
      <c r="H2219" s="2" t="s">
        <v>148</v>
      </c>
      <c r="I2219" s="2" t="s">
        <v>6273</v>
      </c>
      <c r="J2219" s="3" t="str">
        <f>HYPERLINK("https://www.boe.es/gazeta/dias/1811/11/28/pdfs/GEI-1811-155.pdf#page=7","Abrir facsímil")</f>
        <v>Abrir facsímil</v>
      </c>
      <c r="K2219" s="3" t="s">
        <v>150</v>
      </c>
    </row>
    <row r="2220" spans="1:11" ht="42" customHeight="1">
      <c r="A2220" s="2" t="s">
        <v>6274</v>
      </c>
      <c r="B2220" s="2" t="s">
        <v>6275</v>
      </c>
      <c r="C2220" s="2" t="s">
        <v>17</v>
      </c>
      <c r="D2220" s="2" t="s">
        <v>156</v>
      </c>
      <c r="E2220" s="4">
        <v>-32426</v>
      </c>
      <c r="F2220" s="3" t="s">
        <v>2729</v>
      </c>
      <c r="G2220" s="3" t="s">
        <v>20</v>
      </c>
      <c r="H2220" s="2" t="s">
        <v>148</v>
      </c>
      <c r="I2220" s="2" t="s">
        <v>6276</v>
      </c>
      <c r="J2220" s="3" t="str">
        <f>HYPERLINK("https://www.boe.es/gazeta/dias/1811/03/21/pdfs/GEI-1811-40.pdf#page=3","Abrir facsímil")</f>
        <v>Abrir facsímil</v>
      </c>
      <c r="K2220" s="3" t="s">
        <v>150</v>
      </c>
    </row>
    <row r="2221" spans="1:11" ht="42" customHeight="1">
      <c r="A2221" s="2" t="s">
        <v>6277</v>
      </c>
      <c r="B2221" s="2" t="s">
        <v>6278</v>
      </c>
      <c r="C2221" s="2" t="s">
        <v>17</v>
      </c>
      <c r="D2221" s="2" t="s">
        <v>18</v>
      </c>
      <c r="E2221" s="4">
        <v>-32421</v>
      </c>
      <c r="F2221" s="3" t="s">
        <v>6279</v>
      </c>
      <c r="G2221" s="3" t="s">
        <v>6280</v>
      </c>
      <c r="H2221" s="2" t="s">
        <v>148</v>
      </c>
      <c r="I2221" s="2" t="s">
        <v>6281</v>
      </c>
      <c r="J2221" s="3" t="str">
        <f>HYPERLINK("https://www.boe.es/gazeta/dias/1811/03/26/pdfs/GMD-1811-85.pdf#page=1","Abrir facsímil")</f>
        <v>Abrir facsímil</v>
      </c>
      <c r="K2221" s="3" t="s">
        <v>150</v>
      </c>
    </row>
    <row r="2222" spans="1:11" ht="42" customHeight="1">
      <c r="A2222" s="2" t="s">
        <v>6282</v>
      </c>
      <c r="B2222" s="2" t="s">
        <v>6283</v>
      </c>
      <c r="C2222" s="2" t="s">
        <v>26</v>
      </c>
      <c r="D2222" s="2" t="s">
        <v>18</v>
      </c>
      <c r="E2222" s="4">
        <v>-32242</v>
      </c>
      <c r="F2222" s="3" t="s">
        <v>1295</v>
      </c>
      <c r="G2222" s="3" t="s">
        <v>1296</v>
      </c>
      <c r="H2222" s="2" t="s">
        <v>148</v>
      </c>
      <c r="I2222" s="2" t="s">
        <v>6284</v>
      </c>
      <c r="J2222" s="3" t="str">
        <f>HYPERLINK("https://www.boe.es/gazeta/dias/1811/09/21/pdfs/GEI-1811-122.pdf#page=8","Abrir facsímil")</f>
        <v>Abrir facsímil</v>
      </c>
      <c r="K2222" s="3" t="s">
        <v>150</v>
      </c>
    </row>
    <row r="2223" spans="1:11" ht="42" customHeight="1">
      <c r="A2223" s="2" t="s">
        <v>6285</v>
      </c>
      <c r="B2223" s="2" t="s">
        <v>6286</v>
      </c>
      <c r="C2223" s="2" t="s">
        <v>26</v>
      </c>
      <c r="D2223" s="2" t="s">
        <v>105</v>
      </c>
      <c r="E2223" s="4">
        <v>-32280</v>
      </c>
      <c r="F2223" s="3" t="s">
        <v>142</v>
      </c>
      <c r="G2223" s="3" t="s">
        <v>47</v>
      </c>
      <c r="H2223" s="2" t="s">
        <v>148</v>
      </c>
      <c r="I2223" s="2" t="s">
        <v>6287</v>
      </c>
      <c r="J2223" s="3" t="str">
        <f>HYPERLINK("https://www.boe.es/gazeta/dias/1811/08/14/pdfs/GMD-C-1811-226.pdf#page=1","Abrir facsímil")</f>
        <v>Abrir facsímil</v>
      </c>
      <c r="K2223" s="3" t="s">
        <v>150</v>
      </c>
    </row>
    <row r="2224" spans="1:11" ht="42" customHeight="1">
      <c r="A2224" s="2" t="s">
        <v>6288</v>
      </c>
      <c r="B2224" s="2" t="s">
        <v>6289</v>
      </c>
      <c r="C2224" s="2" t="s">
        <v>26</v>
      </c>
      <c r="D2224" s="2" t="s">
        <v>141</v>
      </c>
      <c r="E2224" s="4">
        <v>-32272</v>
      </c>
      <c r="F2224" s="3" t="s">
        <v>1150</v>
      </c>
      <c r="G2224" s="3" t="s">
        <v>248</v>
      </c>
      <c r="H2224" s="2" t="s">
        <v>148</v>
      </c>
      <c r="I2224" s="2" t="s">
        <v>6290</v>
      </c>
      <c r="J2224" s="3" t="str">
        <f>HYPERLINK("https://www.boe.es/gazeta/dias/1811/08/22/pdfs/GMD-C-1811-234.pdf#page=1","Abrir facsímil")</f>
        <v>Abrir facsímil</v>
      </c>
      <c r="K2224" s="3" t="s">
        <v>150</v>
      </c>
    </row>
    <row r="2225" spans="1:11" ht="42" customHeight="1">
      <c r="A2225" s="2" t="s">
        <v>6291</v>
      </c>
      <c r="B2225" s="2" t="s">
        <v>6292</v>
      </c>
      <c r="C2225" s="2" t="s">
        <v>17</v>
      </c>
      <c r="D2225" s="2" t="s">
        <v>18</v>
      </c>
      <c r="E2225" s="4">
        <v>-32297</v>
      </c>
      <c r="F2225" s="3" t="s">
        <v>2174</v>
      </c>
      <c r="G2225" s="3" t="s">
        <v>183</v>
      </c>
      <c r="H2225" s="2" t="s">
        <v>148</v>
      </c>
      <c r="I2225" s="2" t="s">
        <v>6293</v>
      </c>
      <c r="J2225" s="3" t="str">
        <f>HYPERLINK("https://www.boe.es/gazeta/dias/1811/07/28/pdfs/GMD-1811-209.pdf#page=4","Abrir facsímil")</f>
        <v>Abrir facsímil</v>
      </c>
      <c r="K2225" s="3" t="s">
        <v>150</v>
      </c>
    </row>
    <row r="2226" spans="1:11" ht="42" customHeight="1">
      <c r="A2226" s="2" t="s">
        <v>6294</v>
      </c>
      <c r="B2226" s="2" t="s">
        <v>6295</v>
      </c>
      <c r="C2226" s="2" t="s">
        <v>26</v>
      </c>
      <c r="D2226" s="2" t="s">
        <v>18</v>
      </c>
      <c r="E2226" s="4">
        <v>-32245</v>
      </c>
      <c r="F2226" s="3" t="s">
        <v>6296</v>
      </c>
      <c r="G2226" s="3" t="s">
        <v>47</v>
      </c>
      <c r="H2226" s="2" t="s">
        <v>148</v>
      </c>
      <c r="I2226" s="2" t="s">
        <v>6297</v>
      </c>
      <c r="J2226" s="3" t="str">
        <f>HYPERLINK("https://www.boe.es/gazeta/dias/1811/09/18/pdfs/GMD-1811-261.pdf#page=2","Abrir facsímil")</f>
        <v>Abrir facsímil</v>
      </c>
      <c r="K2226" s="3" t="s">
        <v>150</v>
      </c>
    </row>
    <row r="2227" spans="1:11" ht="42" customHeight="1">
      <c r="A2227" s="2" t="s">
        <v>6298</v>
      </c>
      <c r="B2227" s="2" t="s">
        <v>6299</v>
      </c>
      <c r="C2227" s="2" t="s">
        <v>17</v>
      </c>
      <c r="D2227" s="2" t="s">
        <v>18</v>
      </c>
      <c r="E2227" s="4">
        <v>-32215</v>
      </c>
      <c r="F2227" s="3" t="s">
        <v>6300</v>
      </c>
      <c r="G2227" s="3" t="s">
        <v>6301</v>
      </c>
      <c r="H2227" s="2" t="s">
        <v>148</v>
      </c>
      <c r="I2227" s="2" t="s">
        <v>6302</v>
      </c>
      <c r="J2227" s="3" t="str">
        <f>HYPERLINK("https://www.boe.es/gazeta/dias/1811/10/18/pdfs/GMD-1811-291.pdf#page=3","Abrir facsímil")</f>
        <v>Abrir facsímil</v>
      </c>
      <c r="K2227" s="3" t="s">
        <v>150</v>
      </c>
    </row>
    <row r="2228" spans="1:11" ht="42" customHeight="1">
      <c r="A2228" s="2" t="s">
        <v>6303</v>
      </c>
      <c r="B2228" s="2" t="s">
        <v>6304</v>
      </c>
      <c r="C2228" s="2" t="s">
        <v>66</v>
      </c>
      <c r="D2228" s="2" t="s">
        <v>141</v>
      </c>
      <c r="E2228" s="4">
        <v>-32238</v>
      </c>
      <c r="F2228" s="3" t="s">
        <v>166</v>
      </c>
      <c r="G2228" s="3" t="s">
        <v>129</v>
      </c>
      <c r="H2228" s="2" t="s">
        <v>148</v>
      </c>
      <c r="I2228" s="2" t="s">
        <v>6305</v>
      </c>
      <c r="J2228" s="3" t="str">
        <f>HYPERLINK("https://www.boe.es/gazeta/dias/1811/09/25/pdfs/GMD-C-1811-268.pdf#page=1","Abrir facsímil")</f>
        <v>Abrir facsímil</v>
      </c>
      <c r="K2228" s="3" t="s">
        <v>150</v>
      </c>
    </row>
    <row r="2229" spans="1:11" ht="42" customHeight="1">
      <c r="A2229" s="2" t="s">
        <v>6303</v>
      </c>
      <c r="B2229" s="2" t="s">
        <v>6304</v>
      </c>
      <c r="C2229" s="2" t="s">
        <v>26</v>
      </c>
      <c r="D2229" s="2" t="s">
        <v>18</v>
      </c>
      <c r="E2229" s="4">
        <v>-32153</v>
      </c>
      <c r="F2229" s="3" t="s">
        <v>123</v>
      </c>
      <c r="G2229" s="3" t="s">
        <v>1067</v>
      </c>
      <c r="H2229" s="2" t="s">
        <v>148</v>
      </c>
      <c r="I2229" s="2" t="s">
        <v>6306</v>
      </c>
      <c r="J2229" s="3" t="str">
        <f>HYPERLINK("https://www.boe.es/gazeta/dias/1811/12/19/pdfs/GMD-1811-353.pdf#page=5","Abrir facsímil")</f>
        <v>Abrir facsímil</v>
      </c>
      <c r="K2229" s="3" t="s">
        <v>150</v>
      </c>
    </row>
    <row r="2230" spans="1:11" ht="42" customHeight="1">
      <c r="A2230" s="2" t="s">
        <v>6307</v>
      </c>
      <c r="B2230" s="2" t="s">
        <v>6308</v>
      </c>
      <c r="C2230" s="2" t="s">
        <v>26</v>
      </c>
      <c r="D2230" s="2" t="s">
        <v>18</v>
      </c>
      <c r="E2230" s="4">
        <v>-32153</v>
      </c>
      <c r="F2230" s="3" t="s">
        <v>123</v>
      </c>
      <c r="G2230" s="3" t="s">
        <v>124</v>
      </c>
      <c r="H2230" s="2" t="s">
        <v>148</v>
      </c>
      <c r="I2230" s="2" t="s">
        <v>6309</v>
      </c>
      <c r="J2230" s="3" t="str">
        <f>HYPERLINK("https://www.boe.es/gazeta/dias/1811/12/19/pdfs/GMD-1811-353.pdf#page=6","Abrir facsímil")</f>
        <v>Abrir facsímil</v>
      </c>
      <c r="K2230" s="3" t="s">
        <v>150</v>
      </c>
    </row>
    <row r="2231" spans="1:11" ht="42" customHeight="1">
      <c r="A2231" s="2" t="s">
        <v>6310</v>
      </c>
      <c r="B2231" s="2" t="s">
        <v>6311</v>
      </c>
      <c r="C2231" s="2" t="s">
        <v>26</v>
      </c>
      <c r="D2231" s="2" t="s">
        <v>18</v>
      </c>
      <c r="E2231" s="4">
        <v>-32416</v>
      </c>
      <c r="F2231" s="3" t="s">
        <v>954</v>
      </c>
      <c r="G2231" s="3" t="s">
        <v>183</v>
      </c>
      <c r="H2231" s="2" t="s">
        <v>148</v>
      </c>
      <c r="I2231" s="2" t="s">
        <v>6312</v>
      </c>
      <c r="J2231" s="3" t="str">
        <f>HYPERLINK("https://www.boe.es/gazeta/dias/1811/03/31/pdfs/GMD-1811-90.pdf#page=4","Abrir facsímil")</f>
        <v>Abrir facsímil</v>
      </c>
      <c r="K2231" s="3" t="s">
        <v>150</v>
      </c>
    </row>
    <row r="2232" spans="1:11" ht="42" customHeight="1">
      <c r="A2232" s="2" t="s">
        <v>6313</v>
      </c>
      <c r="B2232" s="2" t="s">
        <v>6314</v>
      </c>
      <c r="C2232" s="2" t="s">
        <v>26</v>
      </c>
      <c r="D2232" s="2" t="s">
        <v>18</v>
      </c>
      <c r="E2232" s="4">
        <v>-32286</v>
      </c>
      <c r="F2232" s="3" t="s">
        <v>754</v>
      </c>
      <c r="G2232" s="3" t="s">
        <v>1728</v>
      </c>
      <c r="H2232" s="2" t="s">
        <v>148</v>
      </c>
      <c r="I2232" s="2" t="s">
        <v>6315</v>
      </c>
      <c r="J2232" s="3" t="str">
        <f>HYPERLINK("https://www.boe.es/gazeta/dias/1811/08/08/pdfs/GEI-1811-103.pdf#page=8","Abrir facsímil")</f>
        <v>Abrir facsímil</v>
      </c>
      <c r="K2232" s="3" t="s">
        <v>150</v>
      </c>
    </row>
    <row r="2233" spans="1:11" ht="42" customHeight="1">
      <c r="A2233" s="2" t="s">
        <v>6316</v>
      </c>
      <c r="B2233" s="2" t="s">
        <v>6317</v>
      </c>
      <c r="C2233" s="2" t="s">
        <v>17</v>
      </c>
      <c r="D2233" s="2" t="s">
        <v>18</v>
      </c>
      <c r="E2233" s="4">
        <v>-32151</v>
      </c>
      <c r="F2233" s="3" t="s">
        <v>313</v>
      </c>
      <c r="G2233" s="3" t="s">
        <v>4240</v>
      </c>
      <c r="H2233" s="2" t="s">
        <v>148</v>
      </c>
      <c r="I2233" s="2" t="s">
        <v>6318</v>
      </c>
      <c r="J2233" s="3" t="str">
        <f>HYPERLINK("https://www.boe.es/gazeta/dias/1811/12/21/pdfs/GEI-1811-165.pdf#page=5","Abrir facsímil")</f>
        <v>Abrir facsímil</v>
      </c>
      <c r="K2233" s="3" t="s">
        <v>150</v>
      </c>
    </row>
    <row r="2234" spans="1:11" ht="42" customHeight="1">
      <c r="A2234" s="2" t="s">
        <v>6319</v>
      </c>
      <c r="B2234" s="2" t="s">
        <v>6320</v>
      </c>
      <c r="C2234" s="2" t="s">
        <v>37</v>
      </c>
      <c r="D2234" s="2" t="s">
        <v>18</v>
      </c>
      <c r="E2234" s="4">
        <v>-32368</v>
      </c>
      <c r="F2234" s="3" t="s">
        <v>2511</v>
      </c>
      <c r="G2234" s="3" t="s">
        <v>846</v>
      </c>
      <c r="H2234" s="2" t="s">
        <v>148</v>
      </c>
      <c r="I2234" s="2" t="s">
        <v>6321</v>
      </c>
      <c r="J2234" s="3" t="str">
        <f>HYPERLINK("https://www.boe.es/gazeta/dias/1811/05/18/pdfs/GEI-1811-65.pdf#page=7","Abrir facsímil")</f>
        <v>Abrir facsímil</v>
      </c>
      <c r="K2234" s="3" t="s">
        <v>150</v>
      </c>
    </row>
    <row r="2235" spans="1:11" ht="42" customHeight="1">
      <c r="A2235" s="2" t="s">
        <v>6322</v>
      </c>
      <c r="B2235" s="2" t="s">
        <v>6323</v>
      </c>
      <c r="C2235" s="2" t="s">
        <v>37</v>
      </c>
      <c r="D2235" s="2" t="s">
        <v>18</v>
      </c>
      <c r="E2235" s="4">
        <v>-32228</v>
      </c>
      <c r="F2235" s="3" t="s">
        <v>372</v>
      </c>
      <c r="G2235" s="3" t="s">
        <v>6324</v>
      </c>
      <c r="H2235" s="2" t="s">
        <v>148</v>
      </c>
      <c r="I2235" s="2" t="s">
        <v>6325</v>
      </c>
      <c r="J2235" s="3" t="str">
        <f>HYPERLINK("https://www.boe.es/gazeta/dias/1811/10/05/pdfs/GEI-1811-128.pdf#page=1","Abrir facsímil")</f>
        <v>Abrir facsímil</v>
      </c>
      <c r="K2235" s="3" t="s">
        <v>150</v>
      </c>
    </row>
    <row r="2236" spans="1:11" ht="42" customHeight="1">
      <c r="A2236" s="2" t="s">
        <v>6326</v>
      </c>
      <c r="B2236" s="2" t="s">
        <v>6327</v>
      </c>
      <c r="C2236" s="2" t="s">
        <v>17</v>
      </c>
      <c r="D2236" s="2" t="s">
        <v>156</v>
      </c>
      <c r="E2236" s="4">
        <v>-32389</v>
      </c>
      <c r="F2236" s="3" t="s">
        <v>524</v>
      </c>
      <c r="G2236" s="3" t="s">
        <v>525</v>
      </c>
      <c r="H2236" s="2" t="s">
        <v>148</v>
      </c>
      <c r="I2236" s="2" t="s">
        <v>6328</v>
      </c>
      <c r="J2236" s="3" t="str">
        <f>HYPERLINK("https://www.boe.es/gazeta/dias/1811/04/27/pdfs/GEI-D-1811-56.pdf#page=4","Abrir facsímil")</f>
        <v>Abrir facsímil</v>
      </c>
      <c r="K2236" s="3" t="s">
        <v>150</v>
      </c>
    </row>
    <row r="2237" spans="1:11" ht="42" customHeight="1">
      <c r="A2237" s="2" t="s">
        <v>6329</v>
      </c>
      <c r="B2237" s="2" t="s">
        <v>6330</v>
      </c>
      <c r="C2237" s="2" t="s">
        <v>26</v>
      </c>
      <c r="D2237" s="2" t="s">
        <v>18</v>
      </c>
      <c r="E2237" s="4">
        <v>-32340</v>
      </c>
      <c r="F2237" s="3" t="s">
        <v>565</v>
      </c>
      <c r="G2237" s="3" t="s">
        <v>91</v>
      </c>
      <c r="H2237" s="2" t="s">
        <v>148</v>
      </c>
      <c r="I2237" s="2" t="s">
        <v>6331</v>
      </c>
      <c r="J2237" s="3" t="str">
        <f>HYPERLINK("https://www.boe.es/gazeta/dias/1811/06/15/pdfs/GEI-1811-80.pdf#page=8","Abrir facsímil")</f>
        <v>Abrir facsímil</v>
      </c>
      <c r="K2237" s="3" t="s">
        <v>150</v>
      </c>
    </row>
    <row r="2238" spans="1:11" ht="42" customHeight="1">
      <c r="A2238" s="2" t="s">
        <v>6332</v>
      </c>
      <c r="B2238" s="2" t="s">
        <v>6333</v>
      </c>
      <c r="C2238" s="2" t="s">
        <v>17</v>
      </c>
      <c r="D2238" s="2" t="s">
        <v>18</v>
      </c>
      <c r="E2238" s="4">
        <v>-32230</v>
      </c>
      <c r="F2238" s="3" t="s">
        <v>625</v>
      </c>
      <c r="G2238" s="3" t="s">
        <v>1258</v>
      </c>
      <c r="H2238" s="2" t="s">
        <v>148</v>
      </c>
      <c r="I2238" s="2" t="s">
        <v>6334</v>
      </c>
      <c r="J2238" s="3" t="str">
        <f>HYPERLINK("https://www.boe.es/gazeta/dias/1811/10/03/pdfs/GEI-1811-127.pdf#page=8","Abrir facsímil")</f>
        <v>Abrir facsímil</v>
      </c>
      <c r="K2238" s="3" t="s">
        <v>150</v>
      </c>
    </row>
    <row r="2239" spans="1:11" ht="42" customHeight="1">
      <c r="A2239" s="2" t="s">
        <v>6335</v>
      </c>
      <c r="B2239" s="2" t="s">
        <v>6336</v>
      </c>
      <c r="C2239" s="2" t="s">
        <v>37</v>
      </c>
      <c r="D2239" s="2" t="s">
        <v>141</v>
      </c>
      <c r="E2239" s="4">
        <v>-32389</v>
      </c>
      <c r="F2239" s="3" t="s">
        <v>524</v>
      </c>
      <c r="G2239" s="3" t="s">
        <v>525</v>
      </c>
      <c r="H2239" s="2" t="s">
        <v>148</v>
      </c>
      <c r="I2239" s="2" t="s">
        <v>6337</v>
      </c>
      <c r="J2239" s="3" t="str">
        <f>HYPERLINK("https://www.boe.es/gazeta/dias/1811/04/27/pdfs/GEI-D-1811-56.pdf#page=4","Abrir facsímil")</f>
        <v>Abrir facsímil</v>
      </c>
      <c r="K2239" s="3" t="s">
        <v>150</v>
      </c>
    </row>
    <row r="2240" spans="1:11" ht="42" customHeight="1">
      <c r="A2240" s="2" t="s">
        <v>6338</v>
      </c>
      <c r="B2240" s="2" t="s">
        <v>6339</v>
      </c>
      <c r="C2240" s="2" t="s">
        <v>17</v>
      </c>
      <c r="D2240" s="2" t="s">
        <v>156</v>
      </c>
      <c r="E2240" s="4">
        <v>-32151</v>
      </c>
      <c r="F2240" s="3" t="s">
        <v>313</v>
      </c>
      <c r="G2240" s="3" t="s">
        <v>5007</v>
      </c>
      <c r="H2240" s="2" t="s">
        <v>148</v>
      </c>
      <c r="I2240" s="2" t="s">
        <v>6340</v>
      </c>
      <c r="J2240" s="3" t="str">
        <f>HYPERLINK("https://www.boe.es/gazeta/dias/1811/12/21/pdfs/GEI-1811-165.pdf#page=4","Abrir facsímil")</f>
        <v>Abrir facsímil</v>
      </c>
      <c r="K2240" s="3" t="s">
        <v>150</v>
      </c>
    </row>
    <row r="2241" spans="1:11" ht="42" customHeight="1">
      <c r="A2241" s="2" t="s">
        <v>6341</v>
      </c>
      <c r="B2241" s="2" t="s">
        <v>6342</v>
      </c>
      <c r="C2241" s="2" t="s">
        <v>26</v>
      </c>
      <c r="D2241" s="2" t="s">
        <v>141</v>
      </c>
      <c r="E2241" s="4">
        <v>-32249</v>
      </c>
      <c r="F2241" s="3" t="s">
        <v>743</v>
      </c>
      <c r="G2241" s="3" t="s">
        <v>1021</v>
      </c>
      <c r="H2241" s="2" t="s">
        <v>148</v>
      </c>
      <c r="I2241" s="2" t="s">
        <v>6343</v>
      </c>
      <c r="J2241" s="3" t="str">
        <f>HYPERLINK("https://www.boe.es/gazeta/dias/1811/09/14/pdfs/GMD-C-1811-257.pdf#page=2","Abrir facsímil")</f>
        <v>Abrir facsímil</v>
      </c>
      <c r="K2241" s="3" t="s">
        <v>150</v>
      </c>
    </row>
    <row r="2242" spans="1:11" ht="42" customHeight="1">
      <c r="A2242" s="2" t="s">
        <v>6344</v>
      </c>
      <c r="B2242" s="2" t="s">
        <v>6345</v>
      </c>
      <c r="C2242" s="2" t="s">
        <v>26</v>
      </c>
      <c r="D2242" s="2" t="s">
        <v>18</v>
      </c>
      <c r="E2242" s="4">
        <v>-32288</v>
      </c>
      <c r="F2242" s="3" t="s">
        <v>95</v>
      </c>
      <c r="G2242" s="3" t="s">
        <v>47</v>
      </c>
      <c r="H2242" s="2" t="s">
        <v>148</v>
      </c>
      <c r="I2242" s="2" t="s">
        <v>6346</v>
      </c>
      <c r="J2242" s="3" t="str">
        <f>HYPERLINK("https://www.boe.es/gazeta/dias/1811/08/06/pdfs/GEI-1811-102.pdf#page=8","Abrir facsímil")</f>
        <v>Abrir facsímil</v>
      </c>
      <c r="K2242" s="3" t="s">
        <v>150</v>
      </c>
    </row>
    <row r="2243" spans="1:11" ht="42" customHeight="1">
      <c r="A2243" s="2" t="s">
        <v>6347</v>
      </c>
      <c r="B2243" s="2" t="s">
        <v>6348</v>
      </c>
      <c r="C2243" s="2" t="s">
        <v>84</v>
      </c>
      <c r="D2243" s="2" t="s">
        <v>18</v>
      </c>
      <c r="E2243" s="4">
        <v>-32284</v>
      </c>
      <c r="F2243" s="3" t="s">
        <v>2818</v>
      </c>
      <c r="G2243" s="3" t="s">
        <v>44</v>
      </c>
      <c r="H2243" s="2" t="s">
        <v>148</v>
      </c>
      <c r="I2243" s="2" t="s">
        <v>6349</v>
      </c>
      <c r="J2243" s="3" t="str">
        <f>HYPERLINK("https://www.boe.es/gazeta/dias/1811/08/10/pdfs/GMD-1811-222.pdf#page=4","Abrir facsímil")</f>
        <v>Abrir facsímil</v>
      </c>
      <c r="K2243" s="3" t="s">
        <v>150</v>
      </c>
    </row>
    <row r="2244" spans="1:11" ht="42" customHeight="1">
      <c r="A2244" s="2" t="s">
        <v>6350</v>
      </c>
      <c r="B2244" s="2" t="s">
        <v>6351</v>
      </c>
      <c r="C2244" s="2" t="s">
        <v>26</v>
      </c>
      <c r="D2244" s="2" t="s">
        <v>18</v>
      </c>
      <c r="E2244" s="4">
        <v>-32181</v>
      </c>
      <c r="F2244" s="3" t="s">
        <v>1169</v>
      </c>
      <c r="G2244" s="3" t="s">
        <v>1170</v>
      </c>
      <c r="H2244" s="2" t="s">
        <v>148</v>
      </c>
      <c r="I2244" s="2" t="s">
        <v>6352</v>
      </c>
      <c r="J2244" s="3" t="str">
        <f>HYPERLINK("https://www.boe.es/gazeta/dias/1811/11/21/pdfs/GMD-1811-325.pdf#page=4","Abrir facsímil")</f>
        <v>Abrir facsímil</v>
      </c>
      <c r="K2244" s="3" t="s">
        <v>150</v>
      </c>
    </row>
    <row r="2245" spans="1:11" ht="42" customHeight="1">
      <c r="A2245" s="2" t="s">
        <v>6353</v>
      </c>
      <c r="B2245" s="2" t="s">
        <v>6354</v>
      </c>
      <c r="C2245" s="2" t="s">
        <v>367</v>
      </c>
      <c r="D2245" s="2" t="s">
        <v>141</v>
      </c>
      <c r="E2245" s="4">
        <v>-32238</v>
      </c>
      <c r="F2245" s="3" t="s">
        <v>166</v>
      </c>
      <c r="G2245" s="3" t="s">
        <v>178</v>
      </c>
      <c r="H2245" s="2" t="s">
        <v>21</v>
      </c>
      <c r="I2245" s="2" t="s">
        <v>6355</v>
      </c>
      <c r="J2245" s="3" t="str">
        <f>HYPERLINK("https://www.boe.es/gazeta/dias/1811/09/25/pdfs/GMD-C-1811-268.pdf#page=4","Abrir facsímil")</f>
        <v>Abrir facsímil</v>
      </c>
      <c r="K2245" s="3" t="s">
        <v>23</v>
      </c>
    </row>
    <row r="2246" spans="1:11" ht="42" customHeight="1">
      <c r="A2246" s="2" t="s">
        <v>6356</v>
      </c>
      <c r="B2246" s="2" t="s">
        <v>6357</v>
      </c>
      <c r="C2246" s="2" t="s">
        <v>26</v>
      </c>
      <c r="D2246" s="2" t="s">
        <v>141</v>
      </c>
      <c r="E2246" s="4">
        <v>-32272</v>
      </c>
      <c r="F2246" s="3" t="s">
        <v>1150</v>
      </c>
      <c r="G2246" s="3" t="s">
        <v>468</v>
      </c>
      <c r="H2246" s="2" t="s">
        <v>21</v>
      </c>
      <c r="I2246" s="2" t="s">
        <v>6358</v>
      </c>
      <c r="J2246" s="3" t="str">
        <f>HYPERLINK("https://www.boe.es/gazeta/dias/1811/08/22/pdfs/GMD-C-1811-234.pdf#page=2","Abrir facsímil")</f>
        <v>Abrir facsímil</v>
      </c>
      <c r="K2246" s="3" t="s">
        <v>23</v>
      </c>
    </row>
    <row r="2247" spans="1:11" ht="42" customHeight="1">
      <c r="A2247" s="2" t="s">
        <v>6359</v>
      </c>
      <c r="B2247" s="2" t="s">
        <v>6360</v>
      </c>
      <c r="C2247" s="2" t="s">
        <v>17</v>
      </c>
      <c r="D2247" s="2" t="s">
        <v>156</v>
      </c>
      <c r="E2247" s="4">
        <v>-32416</v>
      </c>
      <c r="F2247" s="3" t="s">
        <v>954</v>
      </c>
      <c r="G2247" s="3" t="s">
        <v>47</v>
      </c>
      <c r="H2247" s="2" t="s">
        <v>21</v>
      </c>
      <c r="I2247" s="2" t="s">
        <v>6361</v>
      </c>
      <c r="J2247" s="3" t="str">
        <f>HYPERLINK("https://www.boe.es/gazeta/dias/1811/03/31/pdfs/GMD-1811-90.pdf#page=3","Abrir facsímil")</f>
        <v>Abrir facsímil</v>
      </c>
      <c r="K2247" s="3" t="s">
        <v>23</v>
      </c>
    </row>
    <row r="2248" spans="1:11" ht="42" customHeight="1">
      <c r="A2248" s="2" t="s">
        <v>6362</v>
      </c>
      <c r="B2248" s="2" t="s">
        <v>6363</v>
      </c>
      <c r="C2248" s="2" t="s">
        <v>26</v>
      </c>
      <c r="D2248" s="2" t="s">
        <v>141</v>
      </c>
      <c r="E2248" s="4">
        <v>-32355</v>
      </c>
      <c r="F2248" s="3" t="s">
        <v>537</v>
      </c>
      <c r="G2248" s="3" t="s">
        <v>2225</v>
      </c>
      <c r="H2248" s="2" t="s">
        <v>21</v>
      </c>
      <c r="I2248" s="2" t="s">
        <v>6364</v>
      </c>
      <c r="J2248" s="3" t="str">
        <f>HYPERLINK("https://www.boe.es/gazeta/dias/1811/05/31/pdfs/GMD-C-1811-151.pdf#page=5","Abrir facsímil")</f>
        <v>Abrir facsímil</v>
      </c>
      <c r="K2248" s="3" t="s">
        <v>23</v>
      </c>
    </row>
    <row r="2249" spans="1:11" ht="42" customHeight="1">
      <c r="A2249" s="2" t="s">
        <v>6365</v>
      </c>
      <c r="B2249" s="2" t="s">
        <v>6366</v>
      </c>
      <c r="C2249" s="2" t="s">
        <v>26</v>
      </c>
      <c r="D2249" s="2" t="s">
        <v>18</v>
      </c>
      <c r="E2249" s="4">
        <v>-32141</v>
      </c>
      <c r="F2249" s="3" t="s">
        <v>327</v>
      </c>
      <c r="G2249" s="3" t="s">
        <v>20</v>
      </c>
      <c r="H2249" s="2" t="s">
        <v>21</v>
      </c>
      <c r="I2249" s="2" t="s">
        <v>6367</v>
      </c>
      <c r="J2249" s="3" t="str">
        <f>HYPERLINK("https://www.boe.es/gazeta/dias/1811/12/31/pdfs/GMD-1811-365.pdf#page=4","Abrir facsímil")</f>
        <v>Abrir facsímil</v>
      </c>
      <c r="K2249" s="3" t="s">
        <v>23</v>
      </c>
    </row>
    <row r="2250" spans="1:11" ht="42" customHeight="1">
      <c r="A2250" s="2" t="s">
        <v>6368</v>
      </c>
      <c r="B2250" s="2" t="s">
        <v>6369</v>
      </c>
      <c r="C2250" s="2" t="s">
        <v>26</v>
      </c>
      <c r="D2250" s="2" t="s">
        <v>141</v>
      </c>
      <c r="E2250" s="4">
        <v>-32249</v>
      </c>
      <c r="F2250" s="3" t="s">
        <v>743</v>
      </c>
      <c r="G2250" s="3" t="s">
        <v>1021</v>
      </c>
      <c r="H2250" s="2" t="s">
        <v>21</v>
      </c>
      <c r="I2250" s="2" t="s">
        <v>6370</v>
      </c>
      <c r="J2250" s="3" t="str">
        <f>HYPERLINK("https://www.boe.es/gazeta/dias/1811/09/14/pdfs/GMD-C-1811-257.pdf#page=2","Abrir facsímil")</f>
        <v>Abrir facsímil</v>
      </c>
      <c r="K2250" s="3" t="s">
        <v>23</v>
      </c>
    </row>
    <row r="2251" spans="1:11" ht="42" customHeight="1">
      <c r="A2251" s="2" t="s">
        <v>6371</v>
      </c>
      <c r="B2251" s="2" t="s">
        <v>6372</v>
      </c>
      <c r="C2251" s="2" t="s">
        <v>17</v>
      </c>
      <c r="D2251" s="2" t="s">
        <v>18</v>
      </c>
      <c r="E2251" s="4">
        <v>-32349</v>
      </c>
      <c r="F2251" s="3" t="s">
        <v>239</v>
      </c>
      <c r="G2251" s="3" t="s">
        <v>1995</v>
      </c>
      <c r="H2251" s="2" t="s">
        <v>21</v>
      </c>
      <c r="I2251" s="2" t="s">
        <v>6373</v>
      </c>
      <c r="J2251" s="3" t="str">
        <f>HYPERLINK("https://www.boe.es/gazeta/dias/1811/06/06/pdfs/GEI-1811-76.pdf#page=7","Abrir facsímil")</f>
        <v>Abrir facsímil</v>
      </c>
      <c r="K2251" s="3" t="s">
        <v>23</v>
      </c>
    </row>
    <row r="2252" spans="1:11" ht="42" customHeight="1">
      <c r="A2252" s="2" t="s">
        <v>6374</v>
      </c>
      <c r="B2252" s="2" t="s">
        <v>6375</v>
      </c>
      <c r="C2252" s="2" t="s">
        <v>367</v>
      </c>
      <c r="D2252" s="2" t="s">
        <v>18</v>
      </c>
      <c r="E2252" s="4">
        <v>-32444</v>
      </c>
      <c r="F2252" s="3" t="s">
        <v>4512</v>
      </c>
      <c r="G2252" s="3" t="s">
        <v>162</v>
      </c>
      <c r="H2252" s="2" t="s">
        <v>148</v>
      </c>
      <c r="I2252" s="2" t="s">
        <v>6376</v>
      </c>
      <c r="J2252" s="3" t="str">
        <f>HYPERLINK("https://www.boe.es/gazeta/dias/1811/03/03/pdfs/GMD-1811-62.pdf#page=4","Abrir facsímil")</f>
        <v>Abrir facsímil</v>
      </c>
      <c r="K2252" s="3" t="s">
        <v>150</v>
      </c>
    </row>
    <row r="2253" spans="1:11" ht="42" customHeight="1">
      <c r="A2253" s="2" t="s">
        <v>6377</v>
      </c>
      <c r="B2253" s="2" t="s">
        <v>6378</v>
      </c>
      <c r="C2253" s="2" t="s">
        <v>26</v>
      </c>
      <c r="D2253" s="2" t="s">
        <v>18</v>
      </c>
      <c r="E2253" s="4">
        <v>-32423</v>
      </c>
      <c r="F2253" s="3" t="s">
        <v>6379</v>
      </c>
      <c r="G2253" s="3" t="s">
        <v>4024</v>
      </c>
      <c r="H2253" s="2" t="s">
        <v>148</v>
      </c>
      <c r="I2253" s="2" t="s">
        <v>6380</v>
      </c>
      <c r="J2253" s="3" t="str">
        <f>HYPERLINK("https://www.boe.es/gazeta/dias/1811/03/24/pdfs/GMD-1811-83.pdf#page=1","Abrir facsímil")</f>
        <v>Abrir facsímil</v>
      </c>
      <c r="K2253" s="3" t="s">
        <v>150</v>
      </c>
    </row>
    <row r="2254" spans="1:11" ht="42" customHeight="1">
      <c r="A2254" s="2" t="s">
        <v>6381</v>
      </c>
      <c r="B2254" s="2" t="s">
        <v>6382</v>
      </c>
      <c r="C2254" s="2" t="s">
        <v>26</v>
      </c>
      <c r="D2254" s="2" t="s">
        <v>204</v>
      </c>
      <c r="E2254" s="4">
        <v>-32496</v>
      </c>
      <c r="F2254" s="3" t="s">
        <v>5478</v>
      </c>
      <c r="G2254" s="3" t="s">
        <v>6383</v>
      </c>
      <c r="H2254" s="2" t="s">
        <v>148</v>
      </c>
      <c r="I2254" s="2" t="s">
        <v>6384</v>
      </c>
      <c r="J2254" s="3" t="str">
        <f>HYPERLINK("https://www.boe.es/gazeta/dias/1811/01/10/pdfs/GMD-1811-10.pdf#page=2","Abrir facsímil")</f>
        <v>Abrir facsímil</v>
      </c>
      <c r="K2254" s="3" t="s">
        <v>150</v>
      </c>
    </row>
    <row r="2255" spans="1:11" ht="42" customHeight="1">
      <c r="A2255" s="2" t="s">
        <v>6385</v>
      </c>
      <c r="B2255" s="2" t="s">
        <v>6386</v>
      </c>
      <c r="C2255" s="2" t="s">
        <v>26</v>
      </c>
      <c r="D2255" s="2" t="s">
        <v>18</v>
      </c>
      <c r="E2255" s="4">
        <v>-32144</v>
      </c>
      <c r="F2255" s="3" t="s">
        <v>1097</v>
      </c>
      <c r="G2255" s="3" t="s">
        <v>1098</v>
      </c>
      <c r="H2255" s="2" t="s">
        <v>148</v>
      </c>
      <c r="I2255" s="2" t="s">
        <v>6387</v>
      </c>
      <c r="J2255" s="3" t="str">
        <f>HYPERLINK("https://www.boe.es/gazeta/dias/1811/12/28/pdfs/GEI-1811-168.pdf#page=8","Abrir facsímil")</f>
        <v>Abrir facsímil</v>
      </c>
      <c r="K2255" s="3" t="s">
        <v>150</v>
      </c>
    </row>
    <row r="2256" spans="1:11" ht="42" customHeight="1">
      <c r="A2256" s="2" t="s">
        <v>6388</v>
      </c>
      <c r="B2256" s="2" t="s">
        <v>6389</v>
      </c>
      <c r="C2256" s="2" t="s">
        <v>26</v>
      </c>
      <c r="D2256" s="2" t="s">
        <v>18</v>
      </c>
      <c r="E2256" s="4">
        <v>-32276</v>
      </c>
      <c r="F2256" s="3" t="s">
        <v>1361</v>
      </c>
      <c r="G2256" s="3" t="s">
        <v>183</v>
      </c>
      <c r="H2256" s="2" t="s">
        <v>148</v>
      </c>
      <c r="I2256" s="2" t="s">
        <v>6390</v>
      </c>
      <c r="J2256" s="3" t="str">
        <f>HYPERLINK("https://www.boe.es/gazeta/dias/1811/08/18/pdfs/GMD-1811-230.pdf#page=4","Abrir facsímil")</f>
        <v>Abrir facsímil</v>
      </c>
      <c r="K2256" s="3" t="s">
        <v>150</v>
      </c>
    </row>
    <row r="2257" spans="1:11" ht="42" customHeight="1">
      <c r="A2257" s="2" t="s">
        <v>6391</v>
      </c>
      <c r="B2257" s="2" t="s">
        <v>6392</v>
      </c>
      <c r="C2257" s="2" t="s">
        <v>37</v>
      </c>
      <c r="D2257" s="2" t="s">
        <v>156</v>
      </c>
      <c r="E2257" s="4">
        <v>-32389</v>
      </c>
      <c r="F2257" s="3" t="s">
        <v>524</v>
      </c>
      <c r="G2257" s="3" t="s">
        <v>525</v>
      </c>
      <c r="H2257" s="2" t="s">
        <v>148</v>
      </c>
      <c r="I2257" s="2" t="s">
        <v>6393</v>
      </c>
      <c r="J2257" s="3" t="str">
        <f>HYPERLINK("https://www.boe.es/gazeta/dias/1811/04/27/pdfs/GEI-D-1811-56.pdf#page=4","Abrir facsímil")</f>
        <v>Abrir facsímil</v>
      </c>
      <c r="K2257" s="3" t="s">
        <v>150</v>
      </c>
    </row>
    <row r="2258" spans="1:11" ht="42" customHeight="1">
      <c r="A2258" s="2" t="s">
        <v>6394</v>
      </c>
      <c r="B2258" s="2" t="s">
        <v>6395</v>
      </c>
      <c r="C2258" s="2" t="s">
        <v>26</v>
      </c>
      <c r="D2258" s="2" t="s">
        <v>18</v>
      </c>
      <c r="E2258" s="4">
        <v>-32340</v>
      </c>
      <c r="F2258" s="3" t="s">
        <v>565</v>
      </c>
      <c r="G2258" s="3" t="s">
        <v>91</v>
      </c>
      <c r="H2258" s="2" t="s">
        <v>148</v>
      </c>
      <c r="I2258" s="2" t="s">
        <v>6396</v>
      </c>
      <c r="J2258" s="3" t="str">
        <f>HYPERLINK("https://www.boe.es/gazeta/dias/1811/06/15/pdfs/GEI-1811-80.pdf#page=8","Abrir facsímil")</f>
        <v>Abrir facsímil</v>
      </c>
      <c r="K2258" s="3" t="s">
        <v>150</v>
      </c>
    </row>
    <row r="2259" spans="1:11" ht="42" customHeight="1">
      <c r="A2259" s="2" t="s">
        <v>6397</v>
      </c>
      <c r="B2259" s="2" t="s">
        <v>6398</v>
      </c>
      <c r="C2259" s="2" t="s">
        <v>26</v>
      </c>
      <c r="D2259" s="2" t="s">
        <v>141</v>
      </c>
      <c r="E2259" s="4">
        <v>-32250</v>
      </c>
      <c r="F2259" s="3" t="s">
        <v>1178</v>
      </c>
      <c r="G2259" s="3" t="s">
        <v>657</v>
      </c>
      <c r="H2259" s="2" t="s">
        <v>148</v>
      </c>
      <c r="I2259" s="2" t="s">
        <v>6399</v>
      </c>
      <c r="J2259" s="3" t="str">
        <f>HYPERLINK("https://www.boe.es/gazeta/dias/1811/09/13/pdfs/GMD-C-1811-256.pdf#page=4","Abrir facsímil")</f>
        <v>Abrir facsímil</v>
      </c>
      <c r="K2259" s="3" t="s">
        <v>150</v>
      </c>
    </row>
    <row r="2260" spans="1:11" ht="42" customHeight="1">
      <c r="A2260" s="2" t="s">
        <v>6400</v>
      </c>
      <c r="B2260" s="2" t="s">
        <v>6401</v>
      </c>
      <c r="C2260" s="2" t="s">
        <v>26</v>
      </c>
      <c r="D2260" s="2" t="s">
        <v>141</v>
      </c>
      <c r="E2260" s="4">
        <v>-32250</v>
      </c>
      <c r="F2260" s="3" t="s">
        <v>1178</v>
      </c>
      <c r="G2260" s="3" t="s">
        <v>134</v>
      </c>
      <c r="H2260" s="2" t="s">
        <v>148</v>
      </c>
      <c r="I2260" s="2" t="s">
        <v>6402</v>
      </c>
      <c r="J2260" s="3" t="str">
        <f>HYPERLINK("https://www.boe.es/gazeta/dias/1811/09/13/pdfs/GMD-C-1811-256.pdf#page=11","Abrir facsímil")</f>
        <v>Abrir facsímil</v>
      </c>
      <c r="K2260" s="3" t="s">
        <v>150</v>
      </c>
    </row>
    <row r="2261" spans="1:11" ht="42" customHeight="1">
      <c r="A2261" s="2" t="s">
        <v>6403</v>
      </c>
      <c r="B2261" s="2" t="s">
        <v>6404</v>
      </c>
      <c r="C2261" s="2" t="s">
        <v>26</v>
      </c>
      <c r="D2261" s="2" t="s">
        <v>18</v>
      </c>
      <c r="E2261" s="4">
        <v>-32188</v>
      </c>
      <c r="F2261" s="3" t="s">
        <v>356</v>
      </c>
      <c r="G2261" s="3" t="s">
        <v>248</v>
      </c>
      <c r="H2261" s="2" t="s">
        <v>148</v>
      </c>
      <c r="I2261" s="2" t="s">
        <v>6405</v>
      </c>
      <c r="J2261" s="3" t="str">
        <f>HYPERLINK("https://www.boe.es/gazeta/dias/1811/11/14/pdfs/GMD-1811-318.pdf#page=5","Abrir facsímil")</f>
        <v>Abrir facsímil</v>
      </c>
      <c r="K2261" s="3" t="s">
        <v>150</v>
      </c>
    </row>
    <row r="2262" spans="1:11" ht="42" customHeight="1">
      <c r="A2262" s="2" t="s">
        <v>6406</v>
      </c>
      <c r="B2262" s="2" t="s">
        <v>6407</v>
      </c>
      <c r="C2262" s="2" t="s">
        <v>17</v>
      </c>
      <c r="D2262" s="2" t="s">
        <v>156</v>
      </c>
      <c r="E2262" s="4">
        <v>-32452</v>
      </c>
      <c r="F2262" s="3" t="s">
        <v>106</v>
      </c>
      <c r="G2262" s="3" t="s">
        <v>20</v>
      </c>
      <c r="H2262" s="2" t="s">
        <v>148</v>
      </c>
      <c r="I2262" s="2" t="s">
        <v>6408</v>
      </c>
      <c r="J2262" s="3" t="str">
        <f>HYPERLINK("https://www.boe.es/gazeta/dias/1811/02/23/pdfs/GEI-1811-24.pdf#page=8","Abrir facsímil")</f>
        <v>Abrir facsímil</v>
      </c>
      <c r="K2262" s="3" t="s">
        <v>150</v>
      </c>
    </row>
    <row r="2263" spans="1:11" ht="42" customHeight="1">
      <c r="A2263" s="2" t="s">
        <v>6409</v>
      </c>
      <c r="B2263" s="2" t="s">
        <v>6410</v>
      </c>
      <c r="C2263" s="2" t="s">
        <v>104</v>
      </c>
      <c r="D2263" s="2" t="s">
        <v>141</v>
      </c>
      <c r="E2263" s="4">
        <v>-32238</v>
      </c>
      <c r="F2263" s="3" t="s">
        <v>166</v>
      </c>
      <c r="G2263" s="3" t="s">
        <v>129</v>
      </c>
      <c r="H2263" s="2" t="s">
        <v>148</v>
      </c>
      <c r="I2263" s="2" t="s">
        <v>6411</v>
      </c>
      <c r="J2263" s="3" t="str">
        <f>HYPERLINK("https://www.boe.es/gazeta/dias/1811/09/25/pdfs/GMD-C-1811-268.pdf#page=1","Abrir facsímil")</f>
        <v>Abrir facsímil</v>
      </c>
      <c r="K2263" s="3" t="s">
        <v>150</v>
      </c>
    </row>
    <row r="2264" spans="1:11" ht="42" customHeight="1">
      <c r="A2264" s="2" t="s">
        <v>6412</v>
      </c>
      <c r="B2264" s="2" t="s">
        <v>6413</v>
      </c>
      <c r="C2264" s="2" t="s">
        <v>17</v>
      </c>
      <c r="D2264" s="2" t="s">
        <v>18</v>
      </c>
      <c r="E2264" s="4">
        <v>-32470</v>
      </c>
      <c r="F2264" s="3" t="s">
        <v>1432</v>
      </c>
      <c r="G2264" s="3" t="s">
        <v>1433</v>
      </c>
      <c r="H2264" s="2" t="s">
        <v>148</v>
      </c>
      <c r="I2264" s="2" t="s">
        <v>6414</v>
      </c>
      <c r="J2264" s="3" t="str">
        <f>HYPERLINK("https://www.boe.es/gazeta/dias/1811/02/05/pdfs/GEI-1811-16.pdf#page=4","Abrir facsímil")</f>
        <v>Abrir facsímil</v>
      </c>
      <c r="K2264" s="3" t="s">
        <v>150</v>
      </c>
    </row>
    <row r="2265" spans="1:11" ht="42" customHeight="1">
      <c r="A2265" s="2" t="s">
        <v>6415</v>
      </c>
      <c r="B2265" s="2" t="s">
        <v>6416</v>
      </c>
      <c r="C2265" s="2" t="s">
        <v>26</v>
      </c>
      <c r="D2265" s="2" t="s">
        <v>18</v>
      </c>
      <c r="E2265" s="4">
        <v>-32288</v>
      </c>
      <c r="F2265" s="3" t="s">
        <v>95</v>
      </c>
      <c r="G2265" s="3" t="s">
        <v>47</v>
      </c>
      <c r="H2265" s="2" t="s">
        <v>148</v>
      </c>
      <c r="I2265" s="2" t="s">
        <v>6417</v>
      </c>
      <c r="J2265" s="3" t="str">
        <f>HYPERLINK("https://www.boe.es/gazeta/dias/1811/08/06/pdfs/GEI-1811-102.pdf#page=8","Abrir facsímil")</f>
        <v>Abrir facsímil</v>
      </c>
      <c r="K2265" s="3" t="s">
        <v>150</v>
      </c>
    </row>
    <row r="2266" spans="1:11" ht="42" customHeight="1">
      <c r="A2266" s="2" t="s">
        <v>6418</v>
      </c>
      <c r="B2266" s="2" t="s">
        <v>6419</v>
      </c>
      <c r="C2266" s="2" t="s">
        <v>17</v>
      </c>
      <c r="D2266" s="2" t="s">
        <v>18</v>
      </c>
      <c r="E2266" s="4">
        <v>-32440</v>
      </c>
      <c r="F2266" s="3" t="s">
        <v>1254</v>
      </c>
      <c r="G2266" s="3" t="s">
        <v>47</v>
      </c>
      <c r="H2266" s="2" t="s">
        <v>148</v>
      </c>
      <c r="I2266" s="2" t="s">
        <v>6420</v>
      </c>
      <c r="J2266" s="3" t="str">
        <f>HYPERLINK("https://www.boe.es/gazeta/dias/1811/03/07/pdfs/GEI-1811-32.pdf#page=3","Abrir facsímil")</f>
        <v>Abrir facsímil</v>
      </c>
      <c r="K2266" s="3" t="s">
        <v>150</v>
      </c>
    </row>
    <row r="2267" spans="1:11" ht="42" customHeight="1">
      <c r="A2267" s="2" t="s">
        <v>6421</v>
      </c>
      <c r="B2267" s="2" t="s">
        <v>6422</v>
      </c>
      <c r="C2267" s="2" t="s">
        <v>17</v>
      </c>
      <c r="D2267" s="2" t="s">
        <v>18</v>
      </c>
      <c r="E2267" s="4">
        <v>-32487</v>
      </c>
      <c r="F2267" s="3" t="s">
        <v>842</v>
      </c>
      <c r="G2267" s="3" t="s">
        <v>162</v>
      </c>
      <c r="H2267" s="2" t="s">
        <v>148</v>
      </c>
      <c r="I2267" s="2" t="s">
        <v>6423</v>
      </c>
      <c r="J2267" s="3" t="str">
        <f>HYPERLINK("https://www.boe.es/gazeta/dias/1811/01/19/pdfs/GEI-1811-9.pdf#page=4","Abrir facsímil")</f>
        <v>Abrir facsímil</v>
      </c>
      <c r="K2267" s="3" t="s">
        <v>150</v>
      </c>
    </row>
    <row r="2268" spans="1:11" ht="42" customHeight="1">
      <c r="A2268" s="2" t="s">
        <v>6424</v>
      </c>
      <c r="B2268" s="2" t="s">
        <v>6425</v>
      </c>
      <c r="C2268" s="2" t="s">
        <v>84</v>
      </c>
      <c r="D2268" s="2" t="s">
        <v>18</v>
      </c>
      <c r="E2268" s="4">
        <v>-32259</v>
      </c>
      <c r="F2268" s="3" t="s">
        <v>3276</v>
      </c>
      <c r="G2268" s="3" t="s">
        <v>47</v>
      </c>
      <c r="H2268" s="2" t="s">
        <v>148</v>
      </c>
      <c r="I2268" s="2" t="s">
        <v>6426</v>
      </c>
      <c r="J2268" s="3" t="str">
        <f>HYPERLINK("https://www.boe.es/gazeta/dias/1811/09/04/pdfs/GMD-1811-247.pdf#page=4","Abrir facsímil")</f>
        <v>Abrir facsímil</v>
      </c>
      <c r="K2268" s="3" t="s">
        <v>150</v>
      </c>
    </row>
    <row r="2269" spans="1:11" ht="42" customHeight="1">
      <c r="A2269" s="2" t="s">
        <v>6427</v>
      </c>
      <c r="B2269" s="2" t="s">
        <v>6428</v>
      </c>
      <c r="C2269" s="2" t="s">
        <v>26</v>
      </c>
      <c r="D2269" s="2" t="s">
        <v>18</v>
      </c>
      <c r="E2269" s="4">
        <v>-32153</v>
      </c>
      <c r="F2269" s="3" t="s">
        <v>123</v>
      </c>
      <c r="G2269" s="3" t="s">
        <v>1067</v>
      </c>
      <c r="H2269" s="2" t="s">
        <v>148</v>
      </c>
      <c r="I2269" s="2" t="s">
        <v>6429</v>
      </c>
      <c r="J2269" s="3" t="str">
        <f>HYPERLINK("https://www.boe.es/gazeta/dias/1811/12/19/pdfs/GMD-1811-353.pdf#page=5","Abrir facsímil")</f>
        <v>Abrir facsímil</v>
      </c>
      <c r="K2269" s="3" t="s">
        <v>150</v>
      </c>
    </row>
    <row r="2270" spans="1:11" ht="42" customHeight="1">
      <c r="A2270" s="2" t="s">
        <v>6430</v>
      </c>
      <c r="B2270" s="2" t="s">
        <v>6431</v>
      </c>
      <c r="C2270" s="2" t="s">
        <v>17</v>
      </c>
      <c r="D2270" s="2" t="s">
        <v>18</v>
      </c>
      <c r="E2270" s="4">
        <v>-32200</v>
      </c>
      <c r="F2270" s="3" t="s">
        <v>109</v>
      </c>
      <c r="G2270" s="3" t="s">
        <v>586</v>
      </c>
      <c r="H2270" s="2" t="s">
        <v>148</v>
      </c>
      <c r="I2270" s="2" t="s">
        <v>6432</v>
      </c>
      <c r="J2270" s="3" t="str">
        <f>HYPERLINK("https://www.boe.es/gazeta/dias/1811/11/02/pdfs/GEI-1811-141.pdf#page=8","Abrir facsímil")</f>
        <v>Abrir facsímil</v>
      </c>
      <c r="K2270" s="3" t="s">
        <v>150</v>
      </c>
    </row>
    <row r="2271" spans="1:11" ht="42" customHeight="1">
      <c r="A2271" s="2" t="s">
        <v>6433</v>
      </c>
      <c r="B2271" s="2" t="s">
        <v>6434</v>
      </c>
      <c r="C2271" s="2" t="s">
        <v>17</v>
      </c>
      <c r="D2271" s="2" t="s">
        <v>156</v>
      </c>
      <c r="E2271" s="4">
        <v>-32330</v>
      </c>
      <c r="F2271" s="3" t="s">
        <v>1824</v>
      </c>
      <c r="G2271" s="3" t="s">
        <v>47</v>
      </c>
      <c r="H2271" s="2" t="s">
        <v>148</v>
      </c>
      <c r="I2271" s="2" t="s">
        <v>6435</v>
      </c>
      <c r="J2271" s="3" t="str">
        <f>HYPERLINK("https://www.boe.es/gazeta/dias/1811/06/25/pdfs/GEI-1811-84.pdf#page=3","Abrir facsímil")</f>
        <v>Abrir facsímil</v>
      </c>
      <c r="K2271" s="3" t="s">
        <v>150</v>
      </c>
    </row>
    <row r="2272" spans="1:11" ht="42" customHeight="1">
      <c r="A2272" s="2" t="s">
        <v>6436</v>
      </c>
      <c r="B2272" s="2" t="s">
        <v>6437</v>
      </c>
      <c r="C2272" s="2" t="s">
        <v>104</v>
      </c>
      <c r="D2272" s="2" t="s">
        <v>18</v>
      </c>
      <c r="E2272" s="4">
        <v>-32375</v>
      </c>
      <c r="F2272" s="3" t="s">
        <v>1209</v>
      </c>
      <c r="G2272" s="3" t="s">
        <v>4086</v>
      </c>
      <c r="H2272" s="2" t="s">
        <v>148</v>
      </c>
      <c r="I2272" s="2" t="s">
        <v>6438</v>
      </c>
      <c r="J2272" s="3" t="str">
        <f>HYPERLINK("https://www.boe.es/gazeta/dias/1811/05/11/pdfs/GEI-1811-62.pdf#page=3","Abrir facsímil")</f>
        <v>Abrir facsímil</v>
      </c>
      <c r="K2272" s="3" t="s">
        <v>150</v>
      </c>
    </row>
    <row r="2273" spans="1:11" ht="42" customHeight="1">
      <c r="A2273" s="2" t="s">
        <v>6439</v>
      </c>
      <c r="B2273" s="2" t="s">
        <v>6440</v>
      </c>
      <c r="C2273" s="2" t="s">
        <v>26</v>
      </c>
      <c r="D2273" s="2" t="s">
        <v>18</v>
      </c>
      <c r="E2273" s="4">
        <v>-32340</v>
      </c>
      <c r="F2273" s="3" t="s">
        <v>565</v>
      </c>
      <c r="G2273" s="3" t="s">
        <v>91</v>
      </c>
      <c r="H2273" s="2" t="s">
        <v>148</v>
      </c>
      <c r="I2273" s="2" t="s">
        <v>6441</v>
      </c>
      <c r="J2273" s="3" t="str">
        <f>HYPERLINK("https://www.boe.es/gazeta/dias/1811/06/15/pdfs/GEI-1811-80.pdf#page=8","Abrir facsímil")</f>
        <v>Abrir facsímil</v>
      </c>
      <c r="K2273" s="3" t="s">
        <v>150</v>
      </c>
    </row>
    <row r="2274" spans="1:11" ht="42" customHeight="1">
      <c r="A2274" s="2" t="s">
        <v>6442</v>
      </c>
      <c r="B2274" s="2" t="s">
        <v>6443</v>
      </c>
      <c r="C2274" s="2" t="s">
        <v>17</v>
      </c>
      <c r="D2274" s="2" t="s">
        <v>156</v>
      </c>
      <c r="E2274" s="4">
        <v>-32440</v>
      </c>
      <c r="F2274" s="3" t="s">
        <v>1254</v>
      </c>
      <c r="G2274" s="3" t="s">
        <v>6444</v>
      </c>
      <c r="H2274" s="2" t="s">
        <v>148</v>
      </c>
      <c r="I2274" s="2" t="s">
        <v>6445</v>
      </c>
      <c r="J2274" s="3" t="str">
        <f>HYPERLINK("https://www.boe.es/gazeta/dias/1811/03/07/pdfs/GEI-1811-32.pdf#page=5","Abrir facsímil")</f>
        <v>Abrir facsímil</v>
      </c>
      <c r="K2274" s="3" t="s">
        <v>150</v>
      </c>
    </row>
    <row r="2275" spans="1:11" ht="42" customHeight="1">
      <c r="A2275" s="2" t="s">
        <v>6446</v>
      </c>
      <c r="B2275" s="2" t="s">
        <v>6447</v>
      </c>
      <c r="C2275" s="2" t="s">
        <v>17</v>
      </c>
      <c r="D2275" s="2" t="s">
        <v>18</v>
      </c>
      <c r="E2275" s="4">
        <v>-32414</v>
      </c>
      <c r="F2275" s="3" t="s">
        <v>213</v>
      </c>
      <c r="G2275" s="3" t="s">
        <v>91</v>
      </c>
      <c r="H2275" s="2" t="s">
        <v>148</v>
      </c>
      <c r="I2275" s="2" t="s">
        <v>6448</v>
      </c>
      <c r="J2275" s="3" t="str">
        <f>HYPERLINK("https://www.boe.es/gazeta/dias/1811/04/02/pdfs/GEI-1811-45.pdf#page=2","Abrir facsímil")</f>
        <v>Abrir facsímil</v>
      </c>
      <c r="K2275" s="3" t="s">
        <v>150</v>
      </c>
    </row>
    <row r="2276" spans="1:11" ht="42" customHeight="1">
      <c r="A2276" s="2" t="s">
        <v>6449</v>
      </c>
      <c r="B2276" s="2" t="s">
        <v>6450</v>
      </c>
      <c r="C2276" s="2" t="s">
        <v>37</v>
      </c>
      <c r="D2276" s="2" t="s">
        <v>204</v>
      </c>
      <c r="E2276" s="4">
        <v>-32382</v>
      </c>
      <c r="F2276" s="3" t="s">
        <v>6451</v>
      </c>
      <c r="G2276" s="3" t="s">
        <v>91</v>
      </c>
      <c r="H2276" s="2" t="s">
        <v>148</v>
      </c>
      <c r="I2276" s="2" t="s">
        <v>6452</v>
      </c>
      <c r="J2276" s="3" t="str">
        <f>HYPERLINK("https://www.boe.es/gazeta/dias/1811/05/04/pdfs/GMD-1811-124.pdf#page=1","Abrir facsímil")</f>
        <v>Abrir facsímil</v>
      </c>
      <c r="K2276" s="3" t="s">
        <v>150</v>
      </c>
    </row>
    <row r="2277" spans="1:11" ht="42" customHeight="1">
      <c r="A2277" s="2" t="s">
        <v>6453</v>
      </c>
      <c r="B2277" s="2" t="s">
        <v>6454</v>
      </c>
      <c r="C2277" s="2" t="s">
        <v>84</v>
      </c>
      <c r="D2277" s="2" t="s">
        <v>18</v>
      </c>
      <c r="E2277" s="4">
        <v>-32471</v>
      </c>
      <c r="F2277" s="3" t="s">
        <v>1571</v>
      </c>
      <c r="G2277" s="3" t="s">
        <v>1184</v>
      </c>
      <c r="H2277" s="2" t="s">
        <v>148</v>
      </c>
      <c r="I2277" s="2" t="s">
        <v>6455</v>
      </c>
      <c r="J2277" s="3" t="str">
        <f>HYPERLINK("https://www.boe.es/gazeta/dias/1811/02/04/pdfs/GMD-1811-35.pdf#page=1","Abrir facsímil")</f>
        <v>Abrir facsímil</v>
      </c>
      <c r="K2277" s="3" t="s">
        <v>150</v>
      </c>
    </row>
    <row r="2278" spans="1:11" ht="42" customHeight="1">
      <c r="A2278" s="2" t="s">
        <v>6456</v>
      </c>
      <c r="B2278" s="2" t="s">
        <v>6457</v>
      </c>
      <c r="C2278" s="2" t="s">
        <v>17</v>
      </c>
      <c r="D2278" s="2" t="s">
        <v>18</v>
      </c>
      <c r="E2278" s="4">
        <v>-32163</v>
      </c>
      <c r="F2278" s="3" t="s">
        <v>497</v>
      </c>
      <c r="G2278" s="3" t="s">
        <v>6458</v>
      </c>
      <c r="H2278" s="2" t="s">
        <v>148</v>
      </c>
      <c r="I2278" s="2" t="s">
        <v>6459</v>
      </c>
      <c r="J2278" s="3" t="str">
        <f>HYPERLINK("https://www.boe.es/gazeta/dias/1811/12/09/pdfs/GMD-1811-343.pdf#page=2","Abrir facsímil")</f>
        <v>Abrir facsímil</v>
      </c>
      <c r="K2278" s="3" t="s">
        <v>150</v>
      </c>
    </row>
    <row r="2279" spans="1:11" ht="42" customHeight="1">
      <c r="A2279" s="2" t="s">
        <v>6460</v>
      </c>
      <c r="B2279" s="2" t="s">
        <v>6461</v>
      </c>
      <c r="C2279" s="2" t="s">
        <v>17</v>
      </c>
      <c r="D2279" s="2" t="s">
        <v>18</v>
      </c>
      <c r="E2279" s="4">
        <v>-32284</v>
      </c>
      <c r="F2279" s="3" t="s">
        <v>170</v>
      </c>
      <c r="G2279" s="3" t="s">
        <v>1388</v>
      </c>
      <c r="H2279" s="2" t="s">
        <v>148</v>
      </c>
      <c r="I2279" s="2" t="s">
        <v>6462</v>
      </c>
      <c r="J2279" s="3" t="str">
        <f>HYPERLINK("https://www.boe.es/gazeta/dias/1811/08/10/pdfs/GEI-1811-104.pdf#page=8","Abrir facsímil")</f>
        <v>Abrir facsímil</v>
      </c>
      <c r="K2279" s="3" t="s">
        <v>150</v>
      </c>
    </row>
    <row r="2280" spans="1:11" ht="42" customHeight="1">
      <c r="A2280" s="2" t="s">
        <v>6460</v>
      </c>
      <c r="B2280" s="2" t="s">
        <v>6461</v>
      </c>
      <c r="C2280" s="2" t="s">
        <v>26</v>
      </c>
      <c r="D2280" s="2" t="s">
        <v>18</v>
      </c>
      <c r="E2280" s="4">
        <v>-32225</v>
      </c>
      <c r="F2280" s="3" t="s">
        <v>390</v>
      </c>
      <c r="G2280" s="3" t="s">
        <v>1368</v>
      </c>
      <c r="H2280" s="2" t="s">
        <v>148</v>
      </c>
      <c r="I2280" s="2" t="s">
        <v>6463</v>
      </c>
      <c r="J2280" s="3" t="str">
        <f>HYPERLINK("https://www.boe.es/gazeta/dias/1811/10/08/pdfs/GEI-1811-129.pdf#page=8","Abrir facsímil")</f>
        <v>Abrir facsímil</v>
      </c>
      <c r="K2280" s="3" t="s">
        <v>150</v>
      </c>
    </row>
    <row r="2281" spans="1:11" ht="42" customHeight="1">
      <c r="A2281" s="2" t="s">
        <v>6460</v>
      </c>
      <c r="B2281" s="2" t="s">
        <v>6461</v>
      </c>
      <c r="C2281" s="2" t="s">
        <v>17</v>
      </c>
      <c r="D2281" s="2" t="s">
        <v>18</v>
      </c>
      <c r="E2281" s="4">
        <v>-32200</v>
      </c>
      <c r="F2281" s="3" t="s">
        <v>109</v>
      </c>
      <c r="G2281" s="3" t="s">
        <v>586</v>
      </c>
      <c r="H2281" s="2" t="s">
        <v>148</v>
      </c>
      <c r="I2281" s="2" t="s">
        <v>6464</v>
      </c>
      <c r="J2281" s="3" t="str">
        <f>HYPERLINK("https://www.boe.es/gazeta/dias/1811/11/02/pdfs/GEI-1811-141.pdf#page=8","Abrir facsímil")</f>
        <v>Abrir facsímil</v>
      </c>
      <c r="K2281" s="3" t="s">
        <v>150</v>
      </c>
    </row>
    <row r="2282" spans="1:11" ht="42" customHeight="1">
      <c r="A2282" s="2" t="s">
        <v>6465</v>
      </c>
      <c r="B2282" s="2" t="s">
        <v>6466</v>
      </c>
      <c r="C2282" s="2" t="s">
        <v>26</v>
      </c>
      <c r="D2282" s="2" t="s">
        <v>141</v>
      </c>
      <c r="E2282" s="4">
        <v>-32396</v>
      </c>
      <c r="F2282" s="3" t="s">
        <v>804</v>
      </c>
      <c r="G2282" s="3" t="s">
        <v>805</v>
      </c>
      <c r="H2282" s="2" t="s">
        <v>148</v>
      </c>
      <c r="I2282" s="2" t="s">
        <v>6467</v>
      </c>
      <c r="J2282" s="3" t="str">
        <f>HYPERLINK("https://www.boe.es/gazeta/dias/1811/04/20/pdfs/GEI-D-1811-53.pdf#page=4","Abrir facsímil")</f>
        <v>Abrir facsímil</v>
      </c>
      <c r="K2282" s="3" t="s">
        <v>150</v>
      </c>
    </row>
    <row r="2283" spans="1:11" ht="42" customHeight="1">
      <c r="A2283" s="2" t="s">
        <v>6468</v>
      </c>
      <c r="B2283" s="2" t="s">
        <v>6469</v>
      </c>
      <c r="C2283" s="2" t="s">
        <v>26</v>
      </c>
      <c r="D2283" s="2" t="s">
        <v>18</v>
      </c>
      <c r="E2283" s="4">
        <v>-32340</v>
      </c>
      <c r="F2283" s="3" t="s">
        <v>565</v>
      </c>
      <c r="G2283" s="3" t="s">
        <v>91</v>
      </c>
      <c r="H2283" s="2" t="s">
        <v>148</v>
      </c>
      <c r="I2283" s="2" t="s">
        <v>6470</v>
      </c>
      <c r="J2283" s="3" t="str">
        <f>HYPERLINK("https://www.boe.es/gazeta/dias/1811/06/15/pdfs/GEI-1811-80.pdf#page=8","Abrir facsímil")</f>
        <v>Abrir facsímil</v>
      </c>
      <c r="K2283" s="3" t="s">
        <v>150</v>
      </c>
    </row>
    <row r="2284" spans="1:11" ht="42" customHeight="1">
      <c r="A2284" s="2" t="s">
        <v>6471</v>
      </c>
      <c r="B2284" s="2" t="s">
        <v>6472</v>
      </c>
      <c r="C2284" s="2" t="s">
        <v>26</v>
      </c>
      <c r="D2284" s="2" t="s">
        <v>18</v>
      </c>
      <c r="E2284" s="4">
        <v>-32174</v>
      </c>
      <c r="F2284" s="3" t="s">
        <v>172</v>
      </c>
      <c r="G2284" s="3" t="s">
        <v>173</v>
      </c>
      <c r="H2284" s="2" t="s">
        <v>148</v>
      </c>
      <c r="I2284" s="2" t="s">
        <v>6473</v>
      </c>
      <c r="J2284" s="3" t="str">
        <f>HYPERLINK("https://www.boe.es/gazeta/dias/1811/11/28/pdfs/GEI-1811-155.pdf#page=5","Abrir facsímil")</f>
        <v>Abrir facsímil</v>
      </c>
      <c r="K2284" s="3" t="s">
        <v>150</v>
      </c>
    </row>
    <row r="2285" spans="1:11" ht="42" customHeight="1">
      <c r="A2285" s="2" t="s">
        <v>6474</v>
      </c>
      <c r="B2285" s="2" t="s">
        <v>6475</v>
      </c>
      <c r="C2285" s="2" t="s">
        <v>26</v>
      </c>
      <c r="D2285" s="2" t="s">
        <v>18</v>
      </c>
      <c r="E2285" s="4">
        <v>-32188</v>
      </c>
      <c r="F2285" s="3" t="s">
        <v>356</v>
      </c>
      <c r="G2285" s="3" t="s">
        <v>468</v>
      </c>
      <c r="H2285" s="2" t="s">
        <v>148</v>
      </c>
      <c r="I2285" s="2" t="s">
        <v>6476</v>
      </c>
      <c r="J2285" s="3" t="str">
        <f>HYPERLINK("https://www.boe.es/gazeta/dias/1811/11/14/pdfs/GMD-1811-318.pdf#page=6","Abrir facsímil")</f>
        <v>Abrir facsímil</v>
      </c>
      <c r="K2285" s="3" t="s">
        <v>150</v>
      </c>
    </row>
    <row r="2286" spans="1:11" ht="42" customHeight="1">
      <c r="A2286" s="2" t="s">
        <v>6477</v>
      </c>
      <c r="B2286" s="2" t="s">
        <v>6478</v>
      </c>
      <c r="C2286" s="2" t="s">
        <v>26</v>
      </c>
      <c r="D2286" s="2" t="s">
        <v>18</v>
      </c>
      <c r="E2286" s="4">
        <v>-32155</v>
      </c>
      <c r="F2286" s="3" t="s">
        <v>263</v>
      </c>
      <c r="G2286" s="3" t="s">
        <v>1800</v>
      </c>
      <c r="H2286" s="2" t="s">
        <v>21</v>
      </c>
      <c r="I2286" s="2" t="s">
        <v>6479</v>
      </c>
      <c r="J2286" s="3" t="str">
        <f>HYPERLINK("https://www.boe.es/gazeta/dias/1811/12/17/pdfs/GEI-1811-163.pdf#page=7","Abrir facsímil")</f>
        <v>Abrir facsímil</v>
      </c>
      <c r="K2286" s="3" t="s">
        <v>23</v>
      </c>
    </row>
    <row r="2287" spans="1:11" ht="42" customHeight="1">
      <c r="A2287" s="2" t="s">
        <v>6480</v>
      </c>
      <c r="B2287" s="2" t="s">
        <v>6481</v>
      </c>
      <c r="C2287" s="2" t="s">
        <v>84</v>
      </c>
      <c r="D2287" s="2" t="s">
        <v>105</v>
      </c>
      <c r="E2287" s="4">
        <v>-32295</v>
      </c>
      <c r="F2287" s="3" t="s">
        <v>279</v>
      </c>
      <c r="G2287" s="3" t="s">
        <v>44</v>
      </c>
      <c r="H2287" s="2" t="s">
        <v>148</v>
      </c>
      <c r="I2287" s="2" t="s">
        <v>6482</v>
      </c>
      <c r="J2287" s="3" t="str">
        <f>HYPERLINK("https://www.boe.es/gazeta/dias/1811/07/30/pdfs/GEI-1811-99.pdf#page=8","Abrir facsímil")</f>
        <v>Abrir facsímil</v>
      </c>
      <c r="K2287" s="3" t="s">
        <v>150</v>
      </c>
    </row>
    <row r="2288" spans="1:11" ht="42" customHeight="1">
      <c r="A2288" s="2" t="s">
        <v>6483</v>
      </c>
      <c r="B2288" s="2" t="s">
        <v>6484</v>
      </c>
      <c r="C2288" s="2" t="s">
        <v>26</v>
      </c>
      <c r="D2288" s="2" t="s">
        <v>141</v>
      </c>
      <c r="E2288" s="4">
        <v>-32249</v>
      </c>
      <c r="F2288" s="3" t="s">
        <v>743</v>
      </c>
      <c r="G2288" s="3" t="s">
        <v>1021</v>
      </c>
      <c r="H2288" s="2" t="s">
        <v>148</v>
      </c>
      <c r="I2288" s="2" t="s">
        <v>6485</v>
      </c>
      <c r="J2288" s="3" t="str">
        <f>HYPERLINK("https://www.boe.es/gazeta/dias/1811/09/14/pdfs/GMD-C-1811-257.pdf#page=2","Abrir facsímil")</f>
        <v>Abrir facsímil</v>
      </c>
      <c r="K2288" s="3" t="s">
        <v>150</v>
      </c>
    </row>
    <row r="2289" spans="1:11" ht="42" customHeight="1">
      <c r="A2289" s="2" t="s">
        <v>6486</v>
      </c>
      <c r="B2289" s="2" t="s">
        <v>6487</v>
      </c>
      <c r="C2289" s="2" t="s">
        <v>26</v>
      </c>
      <c r="D2289" s="2" t="s">
        <v>141</v>
      </c>
      <c r="E2289" s="4">
        <v>-32249</v>
      </c>
      <c r="F2289" s="3" t="s">
        <v>743</v>
      </c>
      <c r="G2289" s="3" t="s">
        <v>1021</v>
      </c>
      <c r="H2289" s="2" t="s">
        <v>148</v>
      </c>
      <c r="I2289" s="2" t="s">
        <v>6488</v>
      </c>
      <c r="J2289" s="3" t="str">
        <f>HYPERLINK("https://www.boe.es/gazeta/dias/1811/09/14/pdfs/GMD-C-1811-257.pdf#page=2","Abrir facsímil")</f>
        <v>Abrir facsímil</v>
      </c>
      <c r="K2289" s="3" t="s">
        <v>150</v>
      </c>
    </row>
    <row r="2290" spans="1:11" ht="42" customHeight="1">
      <c r="A2290" s="2" t="s">
        <v>6489</v>
      </c>
      <c r="B2290" s="2" t="s">
        <v>6490</v>
      </c>
      <c r="C2290" s="2" t="s">
        <v>17</v>
      </c>
      <c r="D2290" s="2" t="s">
        <v>18</v>
      </c>
      <c r="E2290" s="4">
        <v>-32340</v>
      </c>
      <c r="F2290" s="3" t="s">
        <v>565</v>
      </c>
      <c r="G2290" s="3" t="s">
        <v>91</v>
      </c>
      <c r="H2290" s="2" t="s">
        <v>148</v>
      </c>
      <c r="I2290" s="2" t="s">
        <v>6491</v>
      </c>
      <c r="J2290" s="3" t="str">
        <f>HYPERLINK("https://www.boe.es/gazeta/dias/1811/06/15/pdfs/GEI-1811-80.pdf#page=8","Abrir facsímil")</f>
        <v>Abrir facsímil</v>
      </c>
      <c r="K2290" s="3" t="s">
        <v>150</v>
      </c>
    </row>
    <row r="2291" spans="1:11" ht="42" customHeight="1">
      <c r="A2291" s="2" t="s">
        <v>6492</v>
      </c>
      <c r="B2291" s="2" t="s">
        <v>6493</v>
      </c>
      <c r="C2291" s="2" t="s">
        <v>17</v>
      </c>
      <c r="D2291" s="2" t="s">
        <v>18</v>
      </c>
      <c r="E2291" s="4">
        <v>-32370</v>
      </c>
      <c r="F2291" s="3" t="s">
        <v>146</v>
      </c>
      <c r="G2291" s="3" t="s">
        <v>162</v>
      </c>
      <c r="H2291" s="2" t="s">
        <v>148</v>
      </c>
      <c r="I2291" s="2" t="s">
        <v>6494</v>
      </c>
      <c r="J2291" s="3" t="str">
        <f>HYPERLINK("https://www.boe.es/gazeta/dias/1811/05/16/pdfs/GEI-1811-64.pdf#page=1","Abrir facsímil")</f>
        <v>Abrir facsímil</v>
      </c>
      <c r="K2291" s="3" t="s">
        <v>150</v>
      </c>
    </row>
    <row r="2292" spans="1:11" ht="42" customHeight="1">
      <c r="A2292" s="2" t="s">
        <v>6495</v>
      </c>
      <c r="B2292" s="2" t="s">
        <v>6496</v>
      </c>
      <c r="C2292" s="2" t="s">
        <v>26</v>
      </c>
      <c r="D2292" s="2" t="s">
        <v>18</v>
      </c>
      <c r="E2292" s="4">
        <v>-32193</v>
      </c>
      <c r="F2292" s="3" t="s">
        <v>6497</v>
      </c>
      <c r="G2292" s="3" t="s">
        <v>183</v>
      </c>
      <c r="H2292" s="2" t="s">
        <v>148</v>
      </c>
      <c r="I2292" s="2" t="s">
        <v>6498</v>
      </c>
      <c r="J2292" s="3" t="str">
        <f>HYPERLINK("https://www.boe.es/gazeta/dias/1811/11/09/pdfs/GMD-1811-313.pdf#page=4","Abrir facsímil")</f>
        <v>Abrir facsímil</v>
      </c>
      <c r="K2292" s="3" t="s">
        <v>150</v>
      </c>
    </row>
    <row r="2293" spans="1:11" ht="42" customHeight="1">
      <c r="A2293" s="2" t="s">
        <v>6499</v>
      </c>
      <c r="B2293" s="2" t="s">
        <v>6500</v>
      </c>
      <c r="C2293" s="2" t="s">
        <v>84</v>
      </c>
      <c r="D2293" s="2" t="s">
        <v>18</v>
      </c>
      <c r="E2293" s="4">
        <v>-32248</v>
      </c>
      <c r="F2293" s="3" t="s">
        <v>622</v>
      </c>
      <c r="G2293" s="3" t="s">
        <v>115</v>
      </c>
      <c r="H2293" s="2" t="s">
        <v>148</v>
      </c>
      <c r="I2293" s="2" t="s">
        <v>6501</v>
      </c>
      <c r="J2293" s="3" t="str">
        <f>HYPERLINK("https://www.boe.es/gazeta/dias/1811/09/15/pdfs/GMD-1811-258.pdf#page=3","Abrir facsímil")</f>
        <v>Abrir facsímil</v>
      </c>
      <c r="K2293" s="3" t="s">
        <v>150</v>
      </c>
    </row>
    <row r="2294" spans="1:11" ht="42" customHeight="1">
      <c r="A2294" s="2" t="s">
        <v>6502</v>
      </c>
      <c r="B2294" s="2" t="s">
        <v>6503</v>
      </c>
      <c r="C2294" s="2" t="s">
        <v>17</v>
      </c>
      <c r="D2294" s="2" t="s">
        <v>156</v>
      </c>
      <c r="E2294" s="4">
        <v>-32230</v>
      </c>
      <c r="F2294" s="3" t="s">
        <v>625</v>
      </c>
      <c r="G2294" s="3" t="s">
        <v>1258</v>
      </c>
      <c r="H2294" s="2" t="s">
        <v>148</v>
      </c>
      <c r="I2294" s="2" t="s">
        <v>6504</v>
      </c>
      <c r="J2294" s="3" t="str">
        <f>HYPERLINK("https://www.boe.es/gazeta/dias/1811/10/03/pdfs/GEI-1811-127.pdf#page=8","Abrir facsímil")</f>
        <v>Abrir facsímil</v>
      </c>
      <c r="K2294" s="3" t="s">
        <v>150</v>
      </c>
    </row>
    <row r="2295" spans="1:11" ht="42" customHeight="1">
      <c r="A2295" s="2" t="s">
        <v>6505</v>
      </c>
      <c r="B2295" s="2" t="s">
        <v>6506</v>
      </c>
      <c r="C2295" s="2" t="s">
        <v>17</v>
      </c>
      <c r="D2295" s="2" t="s">
        <v>156</v>
      </c>
      <c r="E2295" s="4">
        <v>-32165</v>
      </c>
      <c r="F2295" s="3" t="s">
        <v>4621</v>
      </c>
      <c r="G2295" s="3" t="s">
        <v>6507</v>
      </c>
      <c r="H2295" s="2" t="s">
        <v>148</v>
      </c>
      <c r="I2295" s="2" t="s">
        <v>6508</v>
      </c>
      <c r="J2295" s="3" t="str">
        <f>HYPERLINK("https://www.boe.es/gazeta/dias/1811/12/07/pdfs/GEI-1811-159.pdf#page=1","Abrir facsímil")</f>
        <v>Abrir facsímil</v>
      </c>
      <c r="K2295" s="3" t="s">
        <v>150</v>
      </c>
    </row>
    <row r="2296" spans="1:11" ht="42" customHeight="1">
      <c r="A2296" s="2" t="s">
        <v>6509</v>
      </c>
      <c r="B2296" s="2" t="s">
        <v>6510</v>
      </c>
      <c r="C2296" s="2" t="s">
        <v>26</v>
      </c>
      <c r="D2296" s="2" t="s">
        <v>18</v>
      </c>
      <c r="E2296" s="4">
        <v>-32487</v>
      </c>
      <c r="F2296" s="3" t="s">
        <v>842</v>
      </c>
      <c r="G2296" s="3" t="s">
        <v>440</v>
      </c>
      <c r="H2296" s="2" t="s">
        <v>148</v>
      </c>
      <c r="I2296" s="2" t="s">
        <v>6511</v>
      </c>
      <c r="J2296" s="3" t="str">
        <f>HYPERLINK("https://www.boe.es/gazeta/dias/1811/01/19/pdfs/GEI-1811-9.pdf#page=2","Abrir facsímil")</f>
        <v>Abrir facsímil</v>
      </c>
      <c r="K2296" s="3" t="s">
        <v>150</v>
      </c>
    </row>
    <row r="2297" spans="1:11" ht="42" customHeight="1">
      <c r="A2297" s="2" t="s">
        <v>6512</v>
      </c>
      <c r="B2297" s="2" t="s">
        <v>6513</v>
      </c>
      <c r="C2297" s="2" t="s">
        <v>66</v>
      </c>
      <c r="D2297" s="2" t="s">
        <v>18</v>
      </c>
      <c r="E2297" s="4">
        <v>-32173</v>
      </c>
      <c r="F2297" s="3" t="s">
        <v>2701</v>
      </c>
      <c r="G2297" s="3" t="s">
        <v>3092</v>
      </c>
      <c r="H2297" s="2" t="s">
        <v>21</v>
      </c>
      <c r="I2297" s="2" t="s">
        <v>6514</v>
      </c>
      <c r="J2297" s="3" t="str">
        <f>HYPERLINK("https://www.boe.es/gazeta/dias/1811/11/29/pdfs/GMD-1811-333.pdf#page=1","Abrir facsímil")</f>
        <v>Abrir facsímil</v>
      </c>
      <c r="K2297" s="3" t="s">
        <v>23</v>
      </c>
    </row>
    <row r="2298" spans="1:11" ht="42" customHeight="1">
      <c r="A2298" s="2" t="s">
        <v>6515</v>
      </c>
      <c r="B2298" s="2" t="s">
        <v>6516</v>
      </c>
      <c r="C2298" s="2" t="s">
        <v>17</v>
      </c>
      <c r="D2298" s="2" t="s">
        <v>18</v>
      </c>
      <c r="E2298" s="4">
        <v>-32368</v>
      </c>
      <c r="F2298" s="3" t="s">
        <v>2511</v>
      </c>
      <c r="G2298" s="3" t="s">
        <v>20</v>
      </c>
      <c r="H2298" s="2" t="s">
        <v>148</v>
      </c>
      <c r="I2298" s="2" t="s">
        <v>6517</v>
      </c>
      <c r="J2298" s="3" t="str">
        <f>HYPERLINK("https://www.boe.es/gazeta/dias/1811/05/18/pdfs/GEI-1811-65.pdf#page=8","Abrir facsímil")</f>
        <v>Abrir facsímil</v>
      </c>
      <c r="K2298" s="3" t="s">
        <v>150</v>
      </c>
    </row>
    <row r="2299" spans="1:11" ht="42" customHeight="1">
      <c r="A2299" s="2" t="s">
        <v>6518</v>
      </c>
      <c r="B2299" s="2" t="s">
        <v>6519</v>
      </c>
      <c r="C2299" s="2" t="s">
        <v>26</v>
      </c>
      <c r="D2299" s="2" t="s">
        <v>18</v>
      </c>
      <c r="E2299" s="4">
        <v>-32248</v>
      </c>
      <c r="F2299" s="3" t="s">
        <v>622</v>
      </c>
      <c r="G2299" s="3" t="s">
        <v>115</v>
      </c>
      <c r="H2299" s="2" t="s">
        <v>148</v>
      </c>
      <c r="I2299" s="2" t="s">
        <v>6520</v>
      </c>
      <c r="J2299" s="3" t="str">
        <f>HYPERLINK("https://www.boe.es/gazeta/dias/1811/09/15/pdfs/GMD-1811-258.pdf#page=3","Abrir facsímil")</f>
        <v>Abrir facsímil</v>
      </c>
      <c r="K2299" s="3" t="s">
        <v>150</v>
      </c>
    </row>
    <row r="2300" spans="1:11" ht="42" customHeight="1">
      <c r="A2300" s="2" t="s">
        <v>6521</v>
      </c>
      <c r="B2300" s="2" t="s">
        <v>6522</v>
      </c>
      <c r="C2300" s="2" t="s">
        <v>84</v>
      </c>
      <c r="D2300" s="2" t="s">
        <v>18</v>
      </c>
      <c r="E2300" s="4">
        <v>-32169</v>
      </c>
      <c r="F2300" s="3" t="s">
        <v>4012</v>
      </c>
      <c r="G2300" s="3" t="s">
        <v>183</v>
      </c>
      <c r="H2300" s="2" t="s">
        <v>148</v>
      </c>
      <c r="I2300" s="2" t="s">
        <v>6523</v>
      </c>
      <c r="J2300" s="3" t="str">
        <f>HYPERLINK("https://www.boe.es/gazeta/dias/1811/12/03/pdfs/GMD-1811-337.pdf#page=4","Abrir facsímil")</f>
        <v>Abrir facsímil</v>
      </c>
      <c r="K2300" s="3" t="s">
        <v>150</v>
      </c>
    </row>
    <row r="2301" spans="1:11" ht="42" customHeight="1">
      <c r="A2301" s="2" t="s">
        <v>6524</v>
      </c>
      <c r="B2301" s="2" t="s">
        <v>6525</v>
      </c>
      <c r="C2301" s="2" t="s">
        <v>17</v>
      </c>
      <c r="D2301" s="2" t="s">
        <v>105</v>
      </c>
      <c r="E2301" s="4">
        <v>-32344</v>
      </c>
      <c r="F2301" s="3" t="s">
        <v>761</v>
      </c>
      <c r="G2301" s="3" t="s">
        <v>28</v>
      </c>
      <c r="H2301" s="2" t="s">
        <v>148</v>
      </c>
      <c r="I2301" s="2" t="s">
        <v>6526</v>
      </c>
      <c r="J2301" s="3" t="str">
        <f>HYPERLINK("https://www.boe.es/gazeta/dias/1811/06/11/pdfs/GEI-1811-78.pdf#page=8","Abrir facsímil")</f>
        <v>Abrir facsímil</v>
      </c>
      <c r="K2301" s="3" t="s">
        <v>150</v>
      </c>
    </row>
    <row r="2302" spans="1:11" ht="42" customHeight="1">
      <c r="A2302" s="2" t="s">
        <v>6527</v>
      </c>
      <c r="B2302" s="2" t="s">
        <v>6528</v>
      </c>
      <c r="C2302" s="2" t="s">
        <v>26</v>
      </c>
      <c r="D2302" s="2" t="s">
        <v>141</v>
      </c>
      <c r="E2302" s="4">
        <v>-32238</v>
      </c>
      <c r="F2302" s="3" t="s">
        <v>166</v>
      </c>
      <c r="G2302" s="3" t="s">
        <v>129</v>
      </c>
      <c r="H2302" s="2" t="s">
        <v>148</v>
      </c>
      <c r="I2302" s="2" t="s">
        <v>6529</v>
      </c>
      <c r="J2302" s="3" t="str">
        <f>HYPERLINK("https://www.boe.es/gazeta/dias/1811/09/25/pdfs/GMD-C-1811-268.pdf#page=1","Abrir facsímil")</f>
        <v>Abrir facsímil</v>
      </c>
      <c r="K2302" s="3" t="s">
        <v>150</v>
      </c>
    </row>
    <row r="2303" spans="1:11" ht="42" customHeight="1">
      <c r="A2303" s="2" t="s">
        <v>6530</v>
      </c>
      <c r="B2303" s="2" t="s">
        <v>6531</v>
      </c>
      <c r="C2303" s="2" t="s">
        <v>26</v>
      </c>
      <c r="D2303" s="2" t="s">
        <v>18</v>
      </c>
      <c r="E2303" s="4">
        <v>-32218</v>
      </c>
      <c r="F2303" s="3" t="s">
        <v>938</v>
      </c>
      <c r="G2303" s="3" t="s">
        <v>939</v>
      </c>
      <c r="H2303" s="2" t="s">
        <v>148</v>
      </c>
      <c r="I2303" s="2" t="s">
        <v>6532</v>
      </c>
      <c r="J2303" s="3" t="str">
        <f>HYPERLINK("https://www.boe.es/gazeta/dias/1811/10/15/pdfs/GEI-1811-133.pdf#page=8","Abrir facsímil")</f>
        <v>Abrir facsímil</v>
      </c>
      <c r="K2303" s="3" t="s">
        <v>150</v>
      </c>
    </row>
    <row r="2304" spans="1:11" ht="42" customHeight="1">
      <c r="A2304" s="2" t="s">
        <v>6533</v>
      </c>
      <c r="B2304" s="2" t="s">
        <v>6534</v>
      </c>
      <c r="C2304" s="2" t="s">
        <v>26</v>
      </c>
      <c r="D2304" s="2" t="s">
        <v>18</v>
      </c>
      <c r="E2304" s="4">
        <v>-32153</v>
      </c>
      <c r="F2304" s="3" t="s">
        <v>123</v>
      </c>
      <c r="G2304" s="3" t="s">
        <v>124</v>
      </c>
      <c r="H2304" s="2" t="s">
        <v>148</v>
      </c>
      <c r="I2304" s="2" t="s">
        <v>6535</v>
      </c>
      <c r="J2304" s="3" t="str">
        <f>HYPERLINK("https://www.boe.es/gazeta/dias/1811/12/19/pdfs/GMD-1811-353.pdf#page=6","Abrir facsímil")</f>
        <v>Abrir facsímil</v>
      </c>
      <c r="K2304" s="3" t="s">
        <v>150</v>
      </c>
    </row>
    <row r="2305" spans="1:11" ht="42" customHeight="1">
      <c r="A2305" s="2" t="s">
        <v>6536</v>
      </c>
      <c r="B2305" s="2" t="s">
        <v>6537</v>
      </c>
      <c r="C2305" s="2" t="s">
        <v>26</v>
      </c>
      <c r="D2305" s="2" t="s">
        <v>141</v>
      </c>
      <c r="E2305" s="4">
        <v>-32249</v>
      </c>
      <c r="F2305" s="3" t="s">
        <v>743</v>
      </c>
      <c r="G2305" s="3" t="s">
        <v>1021</v>
      </c>
      <c r="H2305" s="2" t="s">
        <v>148</v>
      </c>
      <c r="I2305" s="2" t="s">
        <v>6538</v>
      </c>
      <c r="J2305" s="3" t="str">
        <f>HYPERLINK("https://www.boe.es/gazeta/dias/1811/09/14/pdfs/GMD-C-1811-257.pdf#page=2","Abrir facsímil")</f>
        <v>Abrir facsímil</v>
      </c>
      <c r="K2305" s="3" t="s">
        <v>150</v>
      </c>
    </row>
    <row r="2306" spans="1:11" ht="42" customHeight="1">
      <c r="A2306" s="2" t="s">
        <v>6539</v>
      </c>
      <c r="B2306" s="2" t="s">
        <v>6540</v>
      </c>
      <c r="C2306" s="2" t="s">
        <v>26</v>
      </c>
      <c r="D2306" s="2" t="s">
        <v>18</v>
      </c>
      <c r="E2306" s="4">
        <v>-32260</v>
      </c>
      <c r="F2306" s="3" t="s">
        <v>27</v>
      </c>
      <c r="G2306" s="3" t="s">
        <v>1048</v>
      </c>
      <c r="H2306" s="2" t="s">
        <v>148</v>
      </c>
      <c r="I2306" s="2" t="s">
        <v>6541</v>
      </c>
      <c r="J2306" s="3" t="str">
        <f>HYPERLINK("https://www.boe.es/gazeta/dias/1811/09/03/pdfs/GEI-1811-114.pdf#page=2","Abrir facsímil")</f>
        <v>Abrir facsímil</v>
      </c>
      <c r="K2306" s="3" t="s">
        <v>150</v>
      </c>
    </row>
    <row r="2307" spans="1:11" ht="42" customHeight="1">
      <c r="A2307" s="2" t="s">
        <v>6542</v>
      </c>
      <c r="B2307" s="2" t="s">
        <v>6543</v>
      </c>
      <c r="C2307" s="2" t="s">
        <v>26</v>
      </c>
      <c r="D2307" s="2" t="s">
        <v>18</v>
      </c>
      <c r="E2307" s="4">
        <v>-32389</v>
      </c>
      <c r="F2307" s="3" t="s">
        <v>5334</v>
      </c>
      <c r="G2307" s="3" t="s">
        <v>4049</v>
      </c>
      <c r="H2307" s="2" t="s">
        <v>148</v>
      </c>
      <c r="I2307" s="2" t="s">
        <v>6544</v>
      </c>
      <c r="J2307" s="3" t="str">
        <f>HYPERLINK("https://www.boe.es/gazeta/dias/1811/04/27/pdfs/GEI-1811-56.pdf#page=7","Abrir facsímil")</f>
        <v>Abrir facsímil</v>
      </c>
      <c r="K2307" s="3" t="s">
        <v>150</v>
      </c>
    </row>
    <row r="2308" spans="1:11" ht="42" customHeight="1">
      <c r="A2308" s="2" t="s">
        <v>6545</v>
      </c>
      <c r="B2308" s="2" t="s">
        <v>6546</v>
      </c>
      <c r="C2308" s="2" t="s">
        <v>26</v>
      </c>
      <c r="D2308" s="2" t="s">
        <v>105</v>
      </c>
      <c r="E2308" s="4">
        <v>-32195</v>
      </c>
      <c r="F2308" s="3" t="s">
        <v>439</v>
      </c>
      <c r="G2308" s="3" t="s">
        <v>440</v>
      </c>
      <c r="H2308" s="2" t="s">
        <v>148</v>
      </c>
      <c r="I2308" s="2" t="s">
        <v>6547</v>
      </c>
      <c r="J2308" s="3" t="str">
        <f>HYPERLINK("https://www.boe.es/gazeta/dias/1811/11/07/pdfs/GEI-1811-144.pdf#page=8","Abrir facsímil")</f>
        <v>Abrir facsímil</v>
      </c>
      <c r="K2308" s="3" t="s">
        <v>150</v>
      </c>
    </row>
    <row r="2309" spans="1:11" ht="42" customHeight="1">
      <c r="A2309" s="2" t="s">
        <v>6548</v>
      </c>
      <c r="B2309" s="2" t="s">
        <v>6549</v>
      </c>
      <c r="C2309" s="2" t="s">
        <v>26</v>
      </c>
      <c r="D2309" s="2" t="s">
        <v>18</v>
      </c>
      <c r="E2309" s="4">
        <v>-32172</v>
      </c>
      <c r="F2309" s="3" t="s">
        <v>300</v>
      </c>
      <c r="G2309" s="3" t="s">
        <v>301</v>
      </c>
      <c r="H2309" s="2" t="s">
        <v>148</v>
      </c>
      <c r="I2309" s="2" t="s">
        <v>6550</v>
      </c>
      <c r="J2309" s="3" t="str">
        <f>HYPERLINK("https://www.boe.es/gazeta/dias/1811/11/30/pdfs/GMD-1811-334.pdf#page=4","Abrir facsímil")</f>
        <v>Abrir facsímil</v>
      </c>
      <c r="K2309" s="3" t="s">
        <v>150</v>
      </c>
    </row>
    <row r="2310" spans="1:11" ht="42" customHeight="1">
      <c r="A2310" s="2" t="s">
        <v>6551</v>
      </c>
      <c r="B2310" s="2" t="s">
        <v>6552</v>
      </c>
      <c r="C2310" s="2" t="s">
        <v>26</v>
      </c>
      <c r="D2310" s="2" t="s">
        <v>18</v>
      </c>
      <c r="E2310" s="4">
        <v>-32188</v>
      </c>
      <c r="F2310" s="3" t="s">
        <v>356</v>
      </c>
      <c r="G2310" s="3" t="s">
        <v>248</v>
      </c>
      <c r="H2310" s="2" t="s">
        <v>148</v>
      </c>
      <c r="I2310" s="2" t="s">
        <v>6553</v>
      </c>
      <c r="J2310" s="3" t="str">
        <f>HYPERLINK("https://www.boe.es/gazeta/dias/1811/11/14/pdfs/GMD-1811-318.pdf#page=5","Abrir facsímil")</f>
        <v>Abrir facsímil</v>
      </c>
      <c r="K2310" s="3" t="s">
        <v>150</v>
      </c>
    </row>
    <row r="2311" spans="1:11" ht="42" customHeight="1">
      <c r="A2311" s="2" t="s">
        <v>6554</v>
      </c>
      <c r="B2311" s="2" t="s">
        <v>6555</v>
      </c>
      <c r="C2311" s="2" t="s">
        <v>17</v>
      </c>
      <c r="D2311" s="2" t="s">
        <v>156</v>
      </c>
      <c r="E2311" s="4">
        <v>-32150</v>
      </c>
      <c r="F2311" s="3" t="s">
        <v>1174</v>
      </c>
      <c r="G2311" s="3" t="s">
        <v>20</v>
      </c>
      <c r="H2311" s="2" t="s">
        <v>148</v>
      </c>
      <c r="I2311" s="2" t="s">
        <v>6556</v>
      </c>
      <c r="J2311" s="3" t="str">
        <f>HYPERLINK("https://www.boe.es/gazeta/dias/1811/12/22/pdfs/GMD-1811-356.pdf#page=4","Abrir facsímil")</f>
        <v>Abrir facsímil</v>
      </c>
      <c r="K2311" s="3" t="s">
        <v>150</v>
      </c>
    </row>
    <row r="2312" spans="1:11" ht="42" customHeight="1">
      <c r="A2312" s="2" t="s">
        <v>6557</v>
      </c>
      <c r="B2312" s="2" t="s">
        <v>6558</v>
      </c>
      <c r="C2312" s="2" t="s">
        <v>26</v>
      </c>
      <c r="D2312" s="2" t="s">
        <v>18</v>
      </c>
      <c r="E2312" s="4">
        <v>-32288</v>
      </c>
      <c r="F2312" s="3" t="s">
        <v>95</v>
      </c>
      <c r="G2312" s="3" t="s">
        <v>47</v>
      </c>
      <c r="H2312" s="2" t="s">
        <v>148</v>
      </c>
      <c r="I2312" s="2" t="s">
        <v>6559</v>
      </c>
      <c r="J2312" s="3" t="str">
        <f>HYPERLINK("https://www.boe.es/gazeta/dias/1811/08/06/pdfs/GEI-1811-102.pdf#page=8","Abrir facsímil")</f>
        <v>Abrir facsímil</v>
      </c>
      <c r="K2312" s="3" t="s">
        <v>150</v>
      </c>
    </row>
    <row r="2313" spans="1:11" ht="42" customHeight="1">
      <c r="A2313" s="2" t="s">
        <v>6560</v>
      </c>
      <c r="B2313" s="2" t="s">
        <v>6561</v>
      </c>
      <c r="C2313" s="2" t="s">
        <v>26</v>
      </c>
      <c r="D2313" s="2" t="s">
        <v>18</v>
      </c>
      <c r="E2313" s="4">
        <v>-32197</v>
      </c>
      <c r="F2313" s="3" t="s">
        <v>2390</v>
      </c>
      <c r="G2313" s="3" t="s">
        <v>1433</v>
      </c>
      <c r="H2313" s="2" t="s">
        <v>148</v>
      </c>
      <c r="I2313" s="2" t="s">
        <v>6562</v>
      </c>
      <c r="J2313" s="3" t="str">
        <f>HYPERLINK("https://www.boe.es/gazeta/dias/1811/11/05/pdfs/GMD-1811-309.pdf#page=4","Abrir facsímil")</f>
        <v>Abrir facsímil</v>
      </c>
      <c r="K2313" s="3" t="s">
        <v>150</v>
      </c>
    </row>
    <row r="2314" spans="1:11" ht="42" customHeight="1">
      <c r="A2314" s="2" t="s">
        <v>6563</v>
      </c>
      <c r="B2314" s="2" t="s">
        <v>6564</v>
      </c>
      <c r="C2314" s="2" t="s">
        <v>26</v>
      </c>
      <c r="D2314" s="2" t="s">
        <v>18</v>
      </c>
      <c r="E2314" s="4">
        <v>-32503</v>
      </c>
      <c r="F2314" s="3" t="s">
        <v>487</v>
      </c>
      <c r="G2314" s="3" t="s">
        <v>488</v>
      </c>
      <c r="H2314" s="2" t="s">
        <v>21</v>
      </c>
      <c r="I2314" s="2" t="s">
        <v>6565</v>
      </c>
      <c r="J2314" s="3" t="str">
        <f>HYPERLINK("https://www.boe.es/gazeta/dias/1811/01/03/pdfs/GEI-1811-2.pdf#page=2","Abrir facsímil")</f>
        <v>Abrir facsímil</v>
      </c>
      <c r="K2314" s="3" t="s">
        <v>23</v>
      </c>
    </row>
    <row r="2315" spans="1:11" ht="42" customHeight="1">
      <c r="A2315" s="2" t="s">
        <v>6566</v>
      </c>
      <c r="B2315" s="2" t="s">
        <v>6567</v>
      </c>
      <c r="C2315" s="2" t="s">
        <v>26</v>
      </c>
      <c r="D2315" s="2" t="s">
        <v>18</v>
      </c>
      <c r="E2315" s="4">
        <v>-32463</v>
      </c>
      <c r="F2315" s="3" t="s">
        <v>734</v>
      </c>
      <c r="G2315" s="3" t="s">
        <v>735</v>
      </c>
      <c r="H2315" s="2" t="s">
        <v>148</v>
      </c>
      <c r="I2315" s="2" t="s">
        <v>6568</v>
      </c>
      <c r="J2315" s="3" t="str">
        <f>HYPERLINK("https://www.boe.es/gazeta/dias/1811/02/12/pdfs/GEI-1811-19.pdf#page=8","Abrir facsímil")</f>
        <v>Abrir facsímil</v>
      </c>
      <c r="K2315" s="3" t="s">
        <v>150</v>
      </c>
    </row>
    <row r="2316" spans="1:11" ht="42" customHeight="1">
      <c r="A2316" s="2" t="s">
        <v>6569</v>
      </c>
      <c r="B2316" s="2" t="s">
        <v>6570</v>
      </c>
      <c r="C2316" s="2" t="s">
        <v>841</v>
      </c>
      <c r="D2316" s="2" t="s">
        <v>18</v>
      </c>
      <c r="E2316" s="4">
        <v>-32309</v>
      </c>
      <c r="F2316" s="3" t="s">
        <v>2496</v>
      </c>
      <c r="G2316" s="3" t="s">
        <v>47</v>
      </c>
      <c r="H2316" s="2" t="s">
        <v>148</v>
      </c>
      <c r="I2316" s="2" t="s">
        <v>6571</v>
      </c>
      <c r="J2316" s="3" t="str">
        <f>HYPERLINK("https://www.boe.es/gazeta/dias/1811/07/16/pdfs/GEI-1811-93.pdf#page=8","Abrir facsímil")</f>
        <v>Abrir facsímil</v>
      </c>
      <c r="K2316" s="3" t="s">
        <v>150</v>
      </c>
    </row>
    <row r="2317" spans="1:11" ht="42" customHeight="1">
      <c r="A2317" s="2" t="s">
        <v>6572</v>
      </c>
      <c r="B2317" s="2" t="s">
        <v>6573</v>
      </c>
      <c r="C2317" s="2" t="s">
        <v>367</v>
      </c>
      <c r="D2317" s="2" t="s">
        <v>18</v>
      </c>
      <c r="E2317" s="4">
        <v>-32307</v>
      </c>
      <c r="F2317" s="3" t="s">
        <v>2614</v>
      </c>
      <c r="G2317" s="3" t="s">
        <v>6574</v>
      </c>
      <c r="H2317" s="2" t="s">
        <v>148</v>
      </c>
      <c r="I2317" s="2" t="s">
        <v>6575</v>
      </c>
      <c r="J2317" s="3" t="str">
        <f>HYPERLINK("https://www.boe.es/gazeta/dias/1811/07/18/pdfs/GMD-1811-199.pdf#page=1","Abrir facsímil")</f>
        <v>Abrir facsímil</v>
      </c>
      <c r="K2317" s="3" t="s">
        <v>150</v>
      </c>
    </row>
    <row r="2318" spans="1:11" ht="42" customHeight="1">
      <c r="A2318" s="2" t="s">
        <v>6576</v>
      </c>
      <c r="B2318" s="2" t="s">
        <v>6577</v>
      </c>
      <c r="C2318" s="2" t="s">
        <v>26</v>
      </c>
      <c r="D2318" s="2" t="s">
        <v>105</v>
      </c>
      <c r="E2318" s="4">
        <v>-32456</v>
      </c>
      <c r="F2318" s="3" t="s">
        <v>1261</v>
      </c>
      <c r="G2318" s="3" t="s">
        <v>553</v>
      </c>
      <c r="H2318" s="2" t="s">
        <v>148</v>
      </c>
      <c r="I2318" s="2" t="s">
        <v>6578</v>
      </c>
      <c r="J2318" s="3" t="str">
        <f>HYPERLINK("https://www.boe.es/gazeta/dias/1811/02/19/pdfs/GEI-1811-22.pdf#page=8","Abrir facsímil")</f>
        <v>Abrir facsímil</v>
      </c>
      <c r="K2318" s="3" t="s">
        <v>150</v>
      </c>
    </row>
    <row r="2319" spans="1:11" ht="42" customHeight="1">
      <c r="A2319" s="2" t="s">
        <v>6579</v>
      </c>
      <c r="B2319" s="2" t="s">
        <v>6580</v>
      </c>
      <c r="C2319" s="2" t="s">
        <v>26</v>
      </c>
      <c r="D2319" s="2" t="s">
        <v>141</v>
      </c>
      <c r="E2319" s="4">
        <v>-32249</v>
      </c>
      <c r="F2319" s="3" t="s">
        <v>743</v>
      </c>
      <c r="G2319" s="3" t="s">
        <v>1021</v>
      </c>
      <c r="H2319" s="2" t="s">
        <v>148</v>
      </c>
      <c r="I2319" s="2" t="s">
        <v>6581</v>
      </c>
      <c r="J2319" s="3" t="str">
        <f>HYPERLINK("https://www.boe.es/gazeta/dias/1811/09/14/pdfs/GMD-C-1811-257.pdf#page=2","Abrir facsímil")</f>
        <v>Abrir facsímil</v>
      </c>
      <c r="K2319" s="3" t="s">
        <v>150</v>
      </c>
    </row>
    <row r="2320" spans="1:11" ht="42" customHeight="1">
      <c r="A2320" s="2" t="s">
        <v>6582</v>
      </c>
      <c r="B2320" s="2" t="s">
        <v>6583</v>
      </c>
      <c r="C2320" s="2" t="s">
        <v>26</v>
      </c>
      <c r="D2320" s="2" t="s">
        <v>18</v>
      </c>
      <c r="E2320" s="4">
        <v>-32188</v>
      </c>
      <c r="F2320" s="3" t="s">
        <v>356</v>
      </c>
      <c r="G2320" s="3" t="s">
        <v>468</v>
      </c>
      <c r="H2320" s="2" t="s">
        <v>148</v>
      </c>
      <c r="I2320" s="2" t="s">
        <v>6584</v>
      </c>
      <c r="J2320" s="3" t="str">
        <f>HYPERLINK("https://www.boe.es/gazeta/dias/1811/11/14/pdfs/GMD-1811-318.pdf#page=6","Abrir facsímil")</f>
        <v>Abrir facsímil</v>
      </c>
      <c r="K2320" s="3" t="s">
        <v>150</v>
      </c>
    </row>
    <row r="2321" spans="1:11" ht="42" customHeight="1">
      <c r="A2321" s="2" t="s">
        <v>6585</v>
      </c>
      <c r="B2321" s="2" t="s">
        <v>6586</v>
      </c>
      <c r="C2321" s="2" t="s">
        <v>367</v>
      </c>
      <c r="D2321" s="2" t="s">
        <v>141</v>
      </c>
      <c r="E2321" s="4">
        <v>-32272</v>
      </c>
      <c r="F2321" s="3" t="s">
        <v>1150</v>
      </c>
      <c r="G2321" s="3" t="s">
        <v>248</v>
      </c>
      <c r="H2321" s="2" t="s">
        <v>148</v>
      </c>
      <c r="I2321" s="2" t="s">
        <v>6587</v>
      </c>
      <c r="J2321" s="3" t="str">
        <f>HYPERLINK("https://www.boe.es/gazeta/dias/1811/08/22/pdfs/GMD-C-1811-234.pdf#page=1","Abrir facsímil")</f>
        <v>Abrir facsímil</v>
      </c>
      <c r="K2321" s="3" t="s">
        <v>150</v>
      </c>
    </row>
    <row r="2322" spans="1:11" ht="42" customHeight="1">
      <c r="A2322" s="2" t="s">
        <v>6588</v>
      </c>
      <c r="B2322" s="2" t="s">
        <v>6589</v>
      </c>
      <c r="C2322" s="2" t="s">
        <v>17</v>
      </c>
      <c r="D2322" s="2" t="s">
        <v>18</v>
      </c>
      <c r="E2322" s="4">
        <v>-32200</v>
      </c>
      <c r="F2322" s="3" t="s">
        <v>109</v>
      </c>
      <c r="G2322" s="3" t="s">
        <v>586</v>
      </c>
      <c r="H2322" s="2" t="s">
        <v>148</v>
      </c>
      <c r="I2322" s="2" t="s">
        <v>6590</v>
      </c>
      <c r="J2322" s="3" t="str">
        <f>HYPERLINK("https://www.boe.es/gazeta/dias/1811/11/02/pdfs/GEI-1811-141.pdf#page=8","Abrir facsímil")</f>
        <v>Abrir facsímil</v>
      </c>
      <c r="K2322" s="3" t="s">
        <v>150</v>
      </c>
    </row>
    <row r="2323" spans="1:11" ht="42" customHeight="1">
      <c r="A2323" s="2" t="s">
        <v>6591</v>
      </c>
      <c r="B2323" s="2" t="s">
        <v>6592</v>
      </c>
      <c r="C2323" s="2" t="s">
        <v>26</v>
      </c>
      <c r="D2323" s="2" t="s">
        <v>18</v>
      </c>
      <c r="E2323" s="4">
        <v>-32295</v>
      </c>
      <c r="F2323" s="3" t="s">
        <v>279</v>
      </c>
      <c r="G2323" s="3" t="s">
        <v>44</v>
      </c>
      <c r="H2323" s="2" t="s">
        <v>148</v>
      </c>
      <c r="I2323" s="2" t="s">
        <v>6593</v>
      </c>
      <c r="J2323" s="3" t="str">
        <f>HYPERLINK("https://www.boe.es/gazeta/dias/1811/07/30/pdfs/GEI-1811-99.pdf#page=8","Abrir facsímil")</f>
        <v>Abrir facsímil</v>
      </c>
      <c r="K2323" s="3" t="s">
        <v>150</v>
      </c>
    </row>
    <row r="2324" spans="1:11" ht="42" customHeight="1">
      <c r="A2324" s="2" t="s">
        <v>6594</v>
      </c>
      <c r="B2324" s="2" t="s">
        <v>6595</v>
      </c>
      <c r="C2324" s="2" t="s">
        <v>26</v>
      </c>
      <c r="D2324" s="2" t="s">
        <v>141</v>
      </c>
      <c r="E2324" s="4">
        <v>-32249</v>
      </c>
      <c r="F2324" s="3" t="s">
        <v>743</v>
      </c>
      <c r="G2324" s="3" t="s">
        <v>1021</v>
      </c>
      <c r="H2324" s="2" t="s">
        <v>148</v>
      </c>
      <c r="I2324" s="2" t="s">
        <v>6596</v>
      </c>
      <c r="J2324" s="3" t="str">
        <f>HYPERLINK("https://www.boe.es/gazeta/dias/1811/09/14/pdfs/GMD-C-1811-257.pdf#page=2","Abrir facsímil")</f>
        <v>Abrir facsímil</v>
      </c>
      <c r="K2324" s="3" t="s">
        <v>150</v>
      </c>
    </row>
    <row r="2325" spans="1:11" ht="42" customHeight="1">
      <c r="A2325" s="2" t="s">
        <v>6597</v>
      </c>
      <c r="B2325" s="2" t="s">
        <v>6598</v>
      </c>
      <c r="C2325" s="2" t="s">
        <v>26</v>
      </c>
      <c r="D2325" s="2" t="s">
        <v>141</v>
      </c>
      <c r="E2325" s="4">
        <v>-32238</v>
      </c>
      <c r="F2325" s="3" t="s">
        <v>166</v>
      </c>
      <c r="G2325" s="3" t="s">
        <v>178</v>
      </c>
      <c r="H2325" s="2" t="s">
        <v>148</v>
      </c>
      <c r="I2325" s="2" t="s">
        <v>6599</v>
      </c>
      <c r="J2325" s="3" t="str">
        <f>HYPERLINK("https://www.boe.es/gazeta/dias/1811/09/25/pdfs/GMD-C-1811-268.pdf#page=4","Abrir facsímil")</f>
        <v>Abrir facsímil</v>
      </c>
      <c r="K2325" s="3" t="s">
        <v>150</v>
      </c>
    </row>
    <row r="2326" spans="1:11" ht="42" customHeight="1">
      <c r="A2326" s="2" t="s">
        <v>6600</v>
      </c>
      <c r="B2326" s="2" t="s">
        <v>6601</v>
      </c>
      <c r="C2326" s="2" t="s">
        <v>26</v>
      </c>
      <c r="D2326" s="2" t="s">
        <v>18</v>
      </c>
      <c r="E2326" s="4">
        <v>-32188</v>
      </c>
      <c r="F2326" s="3" t="s">
        <v>356</v>
      </c>
      <c r="G2326" s="3" t="s">
        <v>468</v>
      </c>
      <c r="H2326" s="2" t="s">
        <v>148</v>
      </c>
      <c r="I2326" s="2" t="s">
        <v>6602</v>
      </c>
      <c r="J2326" s="3" t="str">
        <f>HYPERLINK("https://www.boe.es/gazeta/dias/1811/11/14/pdfs/GMD-1811-318.pdf#page=6","Abrir facsímil")</f>
        <v>Abrir facsímil</v>
      </c>
      <c r="K2326" s="3" t="s">
        <v>150</v>
      </c>
    </row>
    <row r="2327" spans="1:11" ht="42" customHeight="1">
      <c r="A2327" s="2" t="s">
        <v>6603</v>
      </c>
      <c r="B2327" s="2" t="s">
        <v>6604</v>
      </c>
      <c r="C2327" s="2" t="s">
        <v>26</v>
      </c>
      <c r="D2327" s="2" t="s">
        <v>141</v>
      </c>
      <c r="E2327" s="4">
        <v>-32249</v>
      </c>
      <c r="F2327" s="3" t="s">
        <v>743</v>
      </c>
      <c r="G2327" s="3" t="s">
        <v>1021</v>
      </c>
      <c r="H2327" s="2" t="s">
        <v>148</v>
      </c>
      <c r="I2327" s="2" t="s">
        <v>6605</v>
      </c>
      <c r="J2327" s="3" t="str">
        <f>HYPERLINK("https://www.boe.es/gazeta/dias/1811/09/14/pdfs/GMD-C-1811-257.pdf#page=2","Abrir facsímil")</f>
        <v>Abrir facsímil</v>
      </c>
      <c r="K2327" s="3" t="s">
        <v>150</v>
      </c>
    </row>
    <row r="2328" spans="1:11" ht="42" customHeight="1">
      <c r="A2328" s="2" t="s">
        <v>6606</v>
      </c>
      <c r="B2328" s="2" t="s">
        <v>6607</v>
      </c>
      <c r="C2328" s="2" t="s">
        <v>84</v>
      </c>
      <c r="D2328" s="2" t="s">
        <v>141</v>
      </c>
      <c r="E2328" s="4">
        <v>-32314</v>
      </c>
      <c r="F2328" s="3" t="s">
        <v>2051</v>
      </c>
      <c r="G2328" s="3" t="s">
        <v>468</v>
      </c>
      <c r="H2328" s="2" t="s">
        <v>148</v>
      </c>
      <c r="I2328" s="2" t="s">
        <v>6608</v>
      </c>
      <c r="J2328" s="3" t="str">
        <f>HYPERLINK("https://www.boe.es/gazeta/dias/1811/07/11/pdfs/GMD-C-1811-192.pdf#page=1","Abrir facsímil")</f>
        <v>Abrir facsímil</v>
      </c>
      <c r="K2328" s="3" t="s">
        <v>150</v>
      </c>
    </row>
    <row r="2329" spans="1:11" ht="42" customHeight="1">
      <c r="A2329" s="2" t="s">
        <v>6609</v>
      </c>
      <c r="B2329" s="2" t="s">
        <v>6610</v>
      </c>
      <c r="C2329" s="2" t="s">
        <v>17</v>
      </c>
      <c r="D2329" s="2" t="s">
        <v>18</v>
      </c>
      <c r="E2329" s="4">
        <v>-32158</v>
      </c>
      <c r="F2329" s="3" t="s">
        <v>46</v>
      </c>
      <c r="G2329" s="3" t="s">
        <v>47</v>
      </c>
      <c r="H2329" s="2" t="s">
        <v>148</v>
      </c>
      <c r="I2329" s="2" t="s">
        <v>6611</v>
      </c>
      <c r="J2329" s="3" t="str">
        <f>HYPERLINK("https://www.boe.es/gazeta/dias/1811/12/14/pdfs/GEI-1811-162.pdf#page=7","Abrir facsímil")</f>
        <v>Abrir facsímil</v>
      </c>
      <c r="K2329" s="3" t="s">
        <v>150</v>
      </c>
    </row>
    <row r="2330" spans="1:11" ht="42" customHeight="1">
      <c r="A2330" s="2" t="s">
        <v>6612</v>
      </c>
      <c r="B2330" s="2" t="s">
        <v>6613</v>
      </c>
      <c r="C2330" s="2" t="s">
        <v>367</v>
      </c>
      <c r="D2330" s="2" t="s">
        <v>18</v>
      </c>
      <c r="E2330" s="4">
        <v>-32141</v>
      </c>
      <c r="F2330" s="3" t="s">
        <v>327</v>
      </c>
      <c r="G2330" s="3" t="s">
        <v>115</v>
      </c>
      <c r="H2330" s="2" t="s">
        <v>148</v>
      </c>
      <c r="I2330" s="2" t="s">
        <v>6614</v>
      </c>
      <c r="J2330" s="3" t="str">
        <f>HYPERLINK("https://www.boe.es/gazeta/dias/1811/12/31/pdfs/GMD-1811-365.pdf#page=3","Abrir facsímil")</f>
        <v>Abrir facsímil</v>
      </c>
      <c r="K2330" s="3" t="s">
        <v>150</v>
      </c>
    </row>
    <row r="2331" spans="1:11" ht="42" customHeight="1">
      <c r="A2331" s="2" t="s">
        <v>6615</v>
      </c>
      <c r="B2331" s="2" t="s">
        <v>6616</v>
      </c>
      <c r="C2331" s="2" t="s">
        <v>122</v>
      </c>
      <c r="D2331" s="2" t="s">
        <v>141</v>
      </c>
      <c r="E2331" s="4">
        <v>-32238</v>
      </c>
      <c r="F2331" s="3" t="s">
        <v>166</v>
      </c>
      <c r="G2331" s="3" t="s">
        <v>129</v>
      </c>
      <c r="H2331" s="2" t="s">
        <v>148</v>
      </c>
      <c r="I2331" s="2" t="s">
        <v>6617</v>
      </c>
      <c r="J2331" s="3" t="str">
        <f>HYPERLINK("https://www.boe.es/gazeta/dias/1811/09/25/pdfs/GMD-C-1811-268.pdf#page=1","Abrir facsímil")</f>
        <v>Abrir facsímil</v>
      </c>
      <c r="K2331" s="3" t="s">
        <v>150</v>
      </c>
    </row>
    <row r="2332" spans="1:11" ht="42" customHeight="1">
      <c r="A2332" s="2" t="s">
        <v>6618</v>
      </c>
      <c r="B2332" s="2" t="s">
        <v>6619</v>
      </c>
      <c r="C2332" s="2" t="s">
        <v>37</v>
      </c>
      <c r="D2332" s="2" t="s">
        <v>141</v>
      </c>
      <c r="E2332" s="4">
        <v>-32389</v>
      </c>
      <c r="F2332" s="3" t="s">
        <v>524</v>
      </c>
      <c r="G2332" s="3" t="s">
        <v>525</v>
      </c>
      <c r="H2332" s="2" t="s">
        <v>148</v>
      </c>
      <c r="I2332" s="2" t="s">
        <v>6620</v>
      </c>
      <c r="J2332" s="3" t="str">
        <f>HYPERLINK("https://www.boe.es/gazeta/dias/1811/04/27/pdfs/GEI-D-1811-56.pdf#page=4","Abrir facsímil")</f>
        <v>Abrir facsímil</v>
      </c>
      <c r="K2332" s="3" t="s">
        <v>150</v>
      </c>
    </row>
    <row r="2333" spans="1:11" ht="42" customHeight="1">
      <c r="A2333" s="2" t="s">
        <v>6621</v>
      </c>
      <c r="B2333" s="2" t="s">
        <v>6622</v>
      </c>
      <c r="C2333" s="2" t="s">
        <v>37</v>
      </c>
      <c r="D2333" s="2" t="s">
        <v>18</v>
      </c>
      <c r="E2333" s="4">
        <v>-32301</v>
      </c>
      <c r="F2333" s="3" t="s">
        <v>4048</v>
      </c>
      <c r="G2333" s="3" t="s">
        <v>4049</v>
      </c>
      <c r="H2333" s="2" t="s">
        <v>148</v>
      </c>
      <c r="I2333" s="2" t="s">
        <v>6623</v>
      </c>
      <c r="J2333" s="3" t="str">
        <f>HYPERLINK("https://www.boe.es/gazeta/dias/1811/07/24/pdfs/GMD-1811-205.pdf#page=1","Abrir facsímil")</f>
        <v>Abrir facsímil</v>
      </c>
      <c r="K2333" s="3" t="s">
        <v>150</v>
      </c>
    </row>
    <row r="2334" spans="1:11" ht="42" customHeight="1">
      <c r="A2334" s="2" t="s">
        <v>6624</v>
      </c>
      <c r="B2334" s="2" t="s">
        <v>6625</v>
      </c>
      <c r="C2334" s="2" t="s">
        <v>26</v>
      </c>
      <c r="D2334" s="2" t="s">
        <v>18</v>
      </c>
      <c r="E2334" s="4">
        <v>-32246</v>
      </c>
      <c r="F2334" s="3" t="s">
        <v>19</v>
      </c>
      <c r="G2334" s="3" t="s">
        <v>6626</v>
      </c>
      <c r="H2334" s="2" t="s">
        <v>148</v>
      </c>
      <c r="I2334" s="2" t="s">
        <v>6627</v>
      </c>
      <c r="J2334" s="3" t="str">
        <f>HYPERLINK("https://www.boe.es/gazeta/dias/1811/09/17/pdfs/GEI-1811-120.pdf#page=13","Abrir facsímil")</f>
        <v>Abrir facsímil</v>
      </c>
      <c r="K2334" s="3" t="s">
        <v>150</v>
      </c>
    </row>
    <row r="2335" spans="1:11" ht="42" customHeight="1">
      <c r="A2335" s="2" t="s">
        <v>6628</v>
      </c>
      <c r="B2335" s="2" t="s">
        <v>6629</v>
      </c>
      <c r="C2335" s="2" t="s">
        <v>66</v>
      </c>
      <c r="D2335" s="2" t="s">
        <v>204</v>
      </c>
      <c r="E2335" s="4">
        <v>-32377</v>
      </c>
      <c r="F2335" s="3" t="s">
        <v>2461</v>
      </c>
      <c r="G2335" s="3" t="s">
        <v>846</v>
      </c>
      <c r="H2335" s="2" t="s">
        <v>148</v>
      </c>
      <c r="I2335" s="2" t="s">
        <v>6630</v>
      </c>
      <c r="J2335" s="3" t="str">
        <f>HYPERLINK("https://www.boe.es/gazeta/dias/1811/05/09/pdfs/GMD-1811-129.pdf#page=2","Abrir facsímil")</f>
        <v>Abrir facsímil</v>
      </c>
      <c r="K2335" s="3" t="s">
        <v>150</v>
      </c>
    </row>
    <row r="2336" spans="1:11" ht="42" customHeight="1">
      <c r="A2336" s="2" t="s">
        <v>6631</v>
      </c>
      <c r="B2336" s="2" t="s">
        <v>6632</v>
      </c>
      <c r="C2336" s="2" t="s">
        <v>17</v>
      </c>
      <c r="D2336" s="2" t="s">
        <v>156</v>
      </c>
      <c r="E2336" s="4">
        <v>-32225</v>
      </c>
      <c r="F2336" s="3" t="s">
        <v>390</v>
      </c>
      <c r="G2336" s="3" t="s">
        <v>391</v>
      </c>
      <c r="H2336" s="2" t="s">
        <v>148</v>
      </c>
      <c r="I2336" s="2" t="s">
        <v>6633</v>
      </c>
      <c r="J2336" s="3" t="str">
        <f>HYPERLINK("https://www.boe.es/gazeta/dias/1811/10/08/pdfs/GEI-1811-129.pdf#page=7","Abrir facsímil")</f>
        <v>Abrir facsímil</v>
      </c>
      <c r="K2336" s="3" t="s">
        <v>150</v>
      </c>
    </row>
    <row r="2337" spans="1:11" ht="42" customHeight="1">
      <c r="A2337" s="2" t="s">
        <v>6634</v>
      </c>
      <c r="B2337" s="2" t="s">
        <v>6635</v>
      </c>
      <c r="C2337" s="2" t="s">
        <v>26</v>
      </c>
      <c r="D2337" s="2" t="s">
        <v>18</v>
      </c>
      <c r="E2337" s="4">
        <v>-32461</v>
      </c>
      <c r="F2337" s="3" t="s">
        <v>2429</v>
      </c>
      <c r="G2337" s="3" t="s">
        <v>607</v>
      </c>
      <c r="H2337" s="2" t="s">
        <v>148</v>
      </c>
      <c r="I2337" s="2" t="s">
        <v>6636</v>
      </c>
      <c r="J2337" s="3" t="str">
        <f>HYPERLINK("https://www.boe.es/gazeta/dias/1811/02/14/pdfs/GEI-1811-20.pdf#page=8","Abrir facsímil")</f>
        <v>Abrir facsímil</v>
      </c>
      <c r="K2337" s="3" t="s">
        <v>150</v>
      </c>
    </row>
    <row r="2338" spans="1:11" ht="42" customHeight="1">
      <c r="A2338" s="2" t="s">
        <v>6637</v>
      </c>
      <c r="B2338" s="2" t="s">
        <v>6638</v>
      </c>
      <c r="C2338" s="2" t="s">
        <v>26</v>
      </c>
      <c r="D2338" s="2" t="s">
        <v>18</v>
      </c>
      <c r="E2338" s="4">
        <v>-32195</v>
      </c>
      <c r="F2338" s="3" t="s">
        <v>439</v>
      </c>
      <c r="G2338" s="3" t="s">
        <v>2092</v>
      </c>
      <c r="H2338" s="2" t="s">
        <v>148</v>
      </c>
      <c r="I2338" s="2" t="s">
        <v>6639</v>
      </c>
      <c r="J2338" s="3" t="str">
        <f>HYPERLINK("https://www.boe.es/gazeta/dias/1811/11/07/pdfs/GEI-1811-144.pdf#page=7","Abrir facsímil")</f>
        <v>Abrir facsímil</v>
      </c>
      <c r="K2338" s="3" t="s">
        <v>150</v>
      </c>
    </row>
    <row r="2339" spans="1:11" ht="42" customHeight="1">
      <c r="A2339" s="2" t="s">
        <v>6640</v>
      </c>
      <c r="B2339" s="2" t="s">
        <v>6641</v>
      </c>
      <c r="C2339" s="2" t="s">
        <v>84</v>
      </c>
      <c r="D2339" s="2" t="s">
        <v>18</v>
      </c>
      <c r="E2339" s="4">
        <v>-32396</v>
      </c>
      <c r="F2339" s="3" t="s">
        <v>1267</v>
      </c>
      <c r="G2339" s="3" t="s">
        <v>1143</v>
      </c>
      <c r="H2339" s="2" t="s">
        <v>148</v>
      </c>
      <c r="I2339" s="2" t="s">
        <v>6642</v>
      </c>
      <c r="J2339" s="3" t="str">
        <f>HYPERLINK("https://www.boe.es/gazeta/dias/1811/04/20/pdfs/GMD-1811-110.pdf#page=3","Abrir facsímil")</f>
        <v>Abrir facsímil</v>
      </c>
      <c r="K2339" s="3" t="s">
        <v>150</v>
      </c>
    </row>
    <row r="2340" spans="1:11" ht="42" customHeight="1">
      <c r="A2340" s="2" t="s">
        <v>6643</v>
      </c>
      <c r="B2340" s="2" t="s">
        <v>6644</v>
      </c>
      <c r="C2340" s="2" t="s">
        <v>26</v>
      </c>
      <c r="D2340" s="2" t="s">
        <v>18</v>
      </c>
      <c r="E2340" s="4">
        <v>-32286</v>
      </c>
      <c r="F2340" s="3" t="s">
        <v>754</v>
      </c>
      <c r="G2340" s="3" t="s">
        <v>1728</v>
      </c>
      <c r="H2340" s="2" t="s">
        <v>148</v>
      </c>
      <c r="I2340" s="2" t="s">
        <v>6645</v>
      </c>
      <c r="J2340" s="3" t="str">
        <f>HYPERLINK("https://www.boe.es/gazeta/dias/1811/08/08/pdfs/GEI-1811-103.pdf#page=8","Abrir facsímil")</f>
        <v>Abrir facsímil</v>
      </c>
      <c r="K2340" s="3" t="s">
        <v>150</v>
      </c>
    </row>
    <row r="2341" spans="1:11" ht="42" customHeight="1">
      <c r="A2341" s="2" t="s">
        <v>6646</v>
      </c>
      <c r="B2341" s="2" t="s">
        <v>6647</v>
      </c>
      <c r="C2341" s="2" t="s">
        <v>26</v>
      </c>
      <c r="D2341" s="2" t="s">
        <v>105</v>
      </c>
      <c r="E2341" s="4">
        <v>-32281</v>
      </c>
      <c r="F2341" s="3" t="s">
        <v>982</v>
      </c>
      <c r="G2341" s="3" t="s">
        <v>1505</v>
      </c>
      <c r="H2341" s="2" t="s">
        <v>148</v>
      </c>
      <c r="I2341" s="2" t="s">
        <v>6648</v>
      </c>
      <c r="J2341" s="3" t="str">
        <f>HYPERLINK("https://www.boe.es/gazeta/dias/1811/08/13/pdfs/GEI-1811-105.pdf#page=8","Abrir facsímil")</f>
        <v>Abrir facsímil</v>
      </c>
      <c r="K2341" s="3" t="s">
        <v>150</v>
      </c>
    </row>
    <row r="2342" spans="1:11" ht="42" customHeight="1">
      <c r="A2342" s="2" t="s">
        <v>6649</v>
      </c>
      <c r="B2342" s="2" t="s">
        <v>6650</v>
      </c>
      <c r="C2342" s="2" t="s">
        <v>26</v>
      </c>
      <c r="D2342" s="2" t="s">
        <v>18</v>
      </c>
      <c r="E2342" s="4">
        <v>-32263</v>
      </c>
      <c r="F2342" s="3" t="s">
        <v>128</v>
      </c>
      <c r="G2342" s="3" t="s">
        <v>925</v>
      </c>
      <c r="H2342" s="2" t="s">
        <v>148</v>
      </c>
      <c r="I2342" s="2" t="s">
        <v>6651</v>
      </c>
      <c r="J2342" s="3" t="str">
        <f>HYPERLINK("https://www.boe.es/gazeta/dias/1811/08/31/pdfs/GEI-1811-113.pdf#page=7","Abrir facsímil")</f>
        <v>Abrir facsímil</v>
      </c>
      <c r="K2342" s="3" t="s">
        <v>150</v>
      </c>
    </row>
    <row r="2343" spans="1:11" ht="42" customHeight="1">
      <c r="A2343" s="2" t="s">
        <v>6652</v>
      </c>
      <c r="B2343" s="2" t="s">
        <v>6653</v>
      </c>
      <c r="C2343" s="2" t="s">
        <v>26</v>
      </c>
      <c r="D2343" s="2" t="s">
        <v>18</v>
      </c>
      <c r="E2343" s="4">
        <v>-32270</v>
      </c>
      <c r="F2343" s="3" t="s">
        <v>431</v>
      </c>
      <c r="G2343" s="3" t="s">
        <v>2080</v>
      </c>
      <c r="H2343" s="2" t="s">
        <v>148</v>
      </c>
      <c r="I2343" s="2" t="s">
        <v>6654</v>
      </c>
      <c r="J2343" s="3" t="str">
        <f>HYPERLINK("https://www.boe.es/gazeta/dias/1811/08/24/pdfs/GEI-1811-110.pdf#page=5","Abrir facsímil")</f>
        <v>Abrir facsímil</v>
      </c>
      <c r="K2343" s="3" t="s">
        <v>150</v>
      </c>
    </row>
    <row r="2344" spans="1:11" ht="42" customHeight="1">
      <c r="A2344" s="2" t="s">
        <v>6655</v>
      </c>
      <c r="B2344" s="2" t="s">
        <v>6656</v>
      </c>
      <c r="C2344" s="2" t="s">
        <v>26</v>
      </c>
      <c r="D2344" s="2" t="s">
        <v>18</v>
      </c>
      <c r="E2344" s="4">
        <v>-32200</v>
      </c>
      <c r="F2344" s="3" t="s">
        <v>109</v>
      </c>
      <c r="G2344" s="3" t="s">
        <v>268</v>
      </c>
      <c r="H2344" s="2" t="s">
        <v>148</v>
      </c>
      <c r="I2344" s="2" t="s">
        <v>6657</v>
      </c>
      <c r="J2344" s="3" t="str">
        <f>HYPERLINK("https://www.boe.es/gazeta/dias/1811/11/02/pdfs/GEI-1811-141.pdf#page=7","Abrir facsímil")</f>
        <v>Abrir facsímil</v>
      </c>
      <c r="K2344" s="3" t="s">
        <v>150</v>
      </c>
    </row>
    <row r="2345" spans="1:11" ht="42" customHeight="1">
      <c r="A2345" s="2" t="s">
        <v>6658</v>
      </c>
      <c r="B2345" s="2" t="s">
        <v>6659</v>
      </c>
      <c r="C2345" s="2" t="s">
        <v>17</v>
      </c>
      <c r="D2345" s="2" t="s">
        <v>18</v>
      </c>
      <c r="E2345" s="4">
        <v>-32230</v>
      </c>
      <c r="F2345" s="3" t="s">
        <v>625</v>
      </c>
      <c r="G2345" s="3" t="s">
        <v>1258</v>
      </c>
      <c r="H2345" s="2" t="s">
        <v>148</v>
      </c>
      <c r="I2345" s="2" t="s">
        <v>6660</v>
      </c>
      <c r="J2345" s="3" t="str">
        <f>HYPERLINK("https://www.boe.es/gazeta/dias/1811/10/03/pdfs/GEI-1811-127.pdf#page=8","Abrir facsímil")</f>
        <v>Abrir facsímil</v>
      </c>
      <c r="K2345" s="3" t="s">
        <v>150</v>
      </c>
    </row>
    <row r="2346" spans="1:11" ht="42" customHeight="1">
      <c r="A2346" s="2" t="s">
        <v>6661</v>
      </c>
      <c r="B2346" s="2" t="s">
        <v>6662</v>
      </c>
      <c r="C2346" s="2" t="s">
        <v>17</v>
      </c>
      <c r="D2346" s="2" t="s">
        <v>156</v>
      </c>
      <c r="E2346" s="4">
        <v>-32470</v>
      </c>
      <c r="F2346" s="3" t="s">
        <v>1432</v>
      </c>
      <c r="G2346" s="3" t="s">
        <v>3543</v>
      </c>
      <c r="H2346" s="2" t="s">
        <v>148</v>
      </c>
      <c r="I2346" s="2" t="s">
        <v>6663</v>
      </c>
      <c r="J2346" s="3" t="str">
        <f>HYPERLINK("https://www.boe.es/gazeta/dias/1811/02/05/pdfs/GEI-1811-16.pdf#page=8","Abrir facsímil")</f>
        <v>Abrir facsímil</v>
      </c>
      <c r="K2346" s="3" t="s">
        <v>150</v>
      </c>
    </row>
    <row r="2347" spans="1:11" ht="42" customHeight="1">
      <c r="A2347" s="2" t="s">
        <v>6664</v>
      </c>
      <c r="B2347" s="2" t="s">
        <v>6665</v>
      </c>
      <c r="C2347" s="2" t="s">
        <v>26</v>
      </c>
      <c r="D2347" s="2" t="s">
        <v>141</v>
      </c>
      <c r="E2347" s="4">
        <v>-32249</v>
      </c>
      <c r="F2347" s="3" t="s">
        <v>743</v>
      </c>
      <c r="G2347" s="3" t="s">
        <v>1021</v>
      </c>
      <c r="H2347" s="2" t="s">
        <v>148</v>
      </c>
      <c r="I2347" s="2" t="s">
        <v>6666</v>
      </c>
      <c r="J2347" s="3" t="str">
        <f>HYPERLINK("https://www.boe.es/gazeta/dias/1811/09/14/pdfs/GMD-C-1811-257.pdf#page=2","Abrir facsímil")</f>
        <v>Abrir facsímil</v>
      </c>
      <c r="K2347" s="3" t="s">
        <v>150</v>
      </c>
    </row>
    <row r="2348" spans="1:11" ht="42" customHeight="1">
      <c r="A2348" s="2" t="s">
        <v>6667</v>
      </c>
      <c r="B2348" s="2" t="s">
        <v>6668</v>
      </c>
      <c r="C2348" s="2" t="s">
        <v>26</v>
      </c>
      <c r="D2348" s="2" t="s">
        <v>18</v>
      </c>
      <c r="E2348" s="4">
        <v>-32153</v>
      </c>
      <c r="F2348" s="3" t="s">
        <v>123</v>
      </c>
      <c r="G2348" s="3" t="s">
        <v>288</v>
      </c>
      <c r="H2348" s="2" t="s">
        <v>148</v>
      </c>
      <c r="I2348" s="2" t="s">
        <v>6669</v>
      </c>
      <c r="J2348" s="3" t="str">
        <f>HYPERLINK("https://www.boe.es/gazeta/dias/1811/12/19/pdfs/GMD-1811-353.pdf#page=4","Abrir facsímil")</f>
        <v>Abrir facsímil</v>
      </c>
      <c r="K2348" s="3" t="s">
        <v>150</v>
      </c>
    </row>
    <row r="2349" spans="1:11" ht="42" customHeight="1">
      <c r="A2349" s="2" t="s">
        <v>6670</v>
      </c>
      <c r="B2349" s="2" t="s">
        <v>6671</v>
      </c>
      <c r="C2349" s="2" t="s">
        <v>17</v>
      </c>
      <c r="D2349" s="2" t="s">
        <v>105</v>
      </c>
      <c r="E2349" s="4">
        <v>-32451</v>
      </c>
      <c r="F2349" s="3" t="s">
        <v>2651</v>
      </c>
      <c r="G2349" s="3" t="s">
        <v>2652</v>
      </c>
      <c r="H2349" s="2" t="s">
        <v>148</v>
      </c>
      <c r="I2349" s="2" t="s">
        <v>6672</v>
      </c>
      <c r="J2349" s="3" t="str">
        <f>HYPERLINK("https://www.boe.es/gazeta/dias/1811/02/24/pdfs/GMD-1811-55.pdf#page=4","Abrir facsímil")</f>
        <v>Abrir facsímil</v>
      </c>
      <c r="K2349" s="3" t="s">
        <v>150</v>
      </c>
    </row>
    <row r="2350" spans="1:11" ht="42" customHeight="1">
      <c r="A2350" s="2" t="s">
        <v>6673</v>
      </c>
      <c r="B2350" s="2" t="s">
        <v>6674</v>
      </c>
      <c r="C2350" s="2" t="s">
        <v>37</v>
      </c>
      <c r="D2350" s="2" t="s">
        <v>18</v>
      </c>
      <c r="E2350" s="4">
        <v>-32464</v>
      </c>
      <c r="F2350" s="3" t="s">
        <v>4044</v>
      </c>
      <c r="G2350" s="3" t="s">
        <v>284</v>
      </c>
      <c r="H2350" s="2" t="s">
        <v>148</v>
      </c>
      <c r="I2350" s="2" t="s">
        <v>6675</v>
      </c>
      <c r="J2350" s="3" t="str">
        <f>HYPERLINK("https://www.boe.es/gazeta/dias/1811/02/11/pdfs/GMD-1811-42.pdf#page=2","Abrir facsímil")</f>
        <v>Abrir facsímil</v>
      </c>
      <c r="K2350" s="3" t="s">
        <v>150</v>
      </c>
    </row>
    <row r="2351" spans="1:11" ht="42" customHeight="1">
      <c r="A2351" s="2" t="s">
        <v>6676</v>
      </c>
      <c r="B2351" s="2" t="s">
        <v>6677</v>
      </c>
      <c r="C2351" s="2" t="s">
        <v>17</v>
      </c>
      <c r="D2351" s="2" t="s">
        <v>156</v>
      </c>
      <c r="E2351" s="4">
        <v>-32290</v>
      </c>
      <c r="F2351" s="3" t="s">
        <v>6678</v>
      </c>
      <c r="G2351" s="3" t="s">
        <v>20</v>
      </c>
      <c r="H2351" s="2" t="s">
        <v>148</v>
      </c>
      <c r="I2351" s="2" t="s">
        <v>6679</v>
      </c>
      <c r="J2351" s="3" t="str">
        <f>HYPERLINK("https://www.boe.es/gazeta/dias/1811/08/04/pdfs/GMD-1811-216.pdf#page=1","Abrir facsímil")</f>
        <v>Abrir facsímil</v>
      </c>
      <c r="K2351" s="3" t="s">
        <v>150</v>
      </c>
    </row>
    <row r="2352" spans="1:11" ht="42" customHeight="1">
      <c r="A2352" s="2" t="s">
        <v>6680</v>
      </c>
      <c r="B2352" s="2" t="s">
        <v>6681</v>
      </c>
      <c r="C2352" s="2" t="s">
        <v>26</v>
      </c>
      <c r="D2352" s="2" t="s">
        <v>18</v>
      </c>
      <c r="E2352" s="4">
        <v>-32300</v>
      </c>
      <c r="F2352" s="3" t="s">
        <v>492</v>
      </c>
      <c r="G2352" s="3" t="s">
        <v>2710</v>
      </c>
      <c r="H2352" s="2" t="s">
        <v>148</v>
      </c>
      <c r="I2352" s="2" t="s">
        <v>6682</v>
      </c>
      <c r="J2352" s="3" t="str">
        <f>HYPERLINK("https://www.boe.es/gazeta/dias/1811/07/25/pdfs/GMD-1811-206.pdf#page=1","Abrir facsímil")</f>
        <v>Abrir facsímil</v>
      </c>
      <c r="K2352" s="3" t="s">
        <v>150</v>
      </c>
    </row>
    <row r="2353" spans="1:11" ht="42" customHeight="1">
      <c r="A2353" s="2" t="s">
        <v>6683</v>
      </c>
      <c r="B2353" s="2" t="s">
        <v>6684</v>
      </c>
      <c r="C2353" s="2" t="s">
        <v>26</v>
      </c>
      <c r="D2353" s="2" t="s">
        <v>204</v>
      </c>
      <c r="E2353" s="4">
        <v>-32423</v>
      </c>
      <c r="F2353" s="3" t="s">
        <v>6379</v>
      </c>
      <c r="G2353" s="3" t="s">
        <v>4024</v>
      </c>
      <c r="H2353" s="2" t="s">
        <v>148</v>
      </c>
      <c r="I2353" s="2" t="s">
        <v>6685</v>
      </c>
      <c r="J2353" s="3" t="str">
        <f>HYPERLINK("https://www.boe.es/gazeta/dias/1811/03/24/pdfs/GMD-1811-83.pdf#page=1","Abrir facsímil")</f>
        <v>Abrir facsímil</v>
      </c>
      <c r="K2353" s="3" t="s">
        <v>150</v>
      </c>
    </row>
    <row r="2354" spans="1:11" ht="42" customHeight="1">
      <c r="A2354" s="2" t="s">
        <v>6686</v>
      </c>
      <c r="B2354" s="2" t="s">
        <v>6687</v>
      </c>
      <c r="C2354" s="2" t="s">
        <v>26</v>
      </c>
      <c r="D2354" s="2" t="s">
        <v>18</v>
      </c>
      <c r="E2354" s="4">
        <v>-32388</v>
      </c>
      <c r="F2354" s="3" t="s">
        <v>2772</v>
      </c>
      <c r="G2354" s="3" t="s">
        <v>976</v>
      </c>
      <c r="H2354" s="2" t="s">
        <v>148</v>
      </c>
      <c r="I2354" s="2" t="s">
        <v>6688</v>
      </c>
      <c r="J2354" s="3" t="str">
        <f>HYPERLINK("https://www.boe.es/gazeta/dias/1811/04/28/pdfs/GMD-1811-118.pdf#page=3","Abrir facsímil")</f>
        <v>Abrir facsímil</v>
      </c>
      <c r="K2354" s="3" t="s">
        <v>150</v>
      </c>
    </row>
    <row r="2355" spans="1:11" ht="42" customHeight="1">
      <c r="A2355" s="2" t="s">
        <v>6689</v>
      </c>
      <c r="B2355" s="2" t="s">
        <v>6690</v>
      </c>
      <c r="C2355" s="2" t="s">
        <v>26</v>
      </c>
      <c r="D2355" s="2" t="s">
        <v>105</v>
      </c>
      <c r="E2355" s="4">
        <v>-32181</v>
      </c>
      <c r="F2355" s="3" t="s">
        <v>368</v>
      </c>
      <c r="G2355" s="3" t="s">
        <v>47</v>
      </c>
      <c r="H2355" s="2" t="s">
        <v>148</v>
      </c>
      <c r="I2355" s="2" t="s">
        <v>6691</v>
      </c>
      <c r="J2355" s="3" t="str">
        <f>HYPERLINK("https://www.boe.es/gazeta/dias/1811/11/21/pdfs/GEI-1811-152.pdf#page=6","Abrir facsímil")</f>
        <v>Abrir facsímil</v>
      </c>
      <c r="K2355" s="3" t="s">
        <v>150</v>
      </c>
    </row>
    <row r="2356" spans="1:11" ht="42" customHeight="1">
      <c r="A2356" s="2" t="s">
        <v>6692</v>
      </c>
      <c r="B2356" s="2" t="s">
        <v>6693</v>
      </c>
      <c r="C2356" s="2" t="s">
        <v>26</v>
      </c>
      <c r="D2356" s="2" t="s">
        <v>18</v>
      </c>
      <c r="E2356" s="4">
        <v>-32242</v>
      </c>
      <c r="F2356" s="3" t="s">
        <v>1295</v>
      </c>
      <c r="G2356" s="3" t="s">
        <v>1296</v>
      </c>
      <c r="H2356" s="2" t="s">
        <v>148</v>
      </c>
      <c r="I2356" s="2" t="s">
        <v>6694</v>
      </c>
      <c r="J2356" s="3" t="str">
        <f>HYPERLINK("https://www.boe.es/gazeta/dias/1811/09/21/pdfs/GEI-1811-122.pdf#page=8","Abrir facsímil")</f>
        <v>Abrir facsímil</v>
      </c>
      <c r="K2356" s="3" t="s">
        <v>150</v>
      </c>
    </row>
    <row r="2357" spans="1:11" ht="42" customHeight="1">
      <c r="A2357" s="2" t="s">
        <v>6695</v>
      </c>
      <c r="B2357" s="2" t="s">
        <v>6696</v>
      </c>
      <c r="C2357" s="2" t="s">
        <v>26</v>
      </c>
      <c r="D2357" s="2" t="s">
        <v>105</v>
      </c>
      <c r="E2357" s="4">
        <v>-32200</v>
      </c>
      <c r="F2357" s="3" t="s">
        <v>109</v>
      </c>
      <c r="G2357" s="3" t="s">
        <v>268</v>
      </c>
      <c r="H2357" s="2" t="s">
        <v>148</v>
      </c>
      <c r="I2357" s="2" t="s">
        <v>6697</v>
      </c>
      <c r="J2357" s="3" t="str">
        <f>HYPERLINK("https://www.boe.es/gazeta/dias/1811/11/02/pdfs/GEI-1811-141.pdf#page=7","Abrir facsímil")</f>
        <v>Abrir facsímil</v>
      </c>
      <c r="K2357" s="3" t="s">
        <v>150</v>
      </c>
    </row>
    <row r="2358" spans="1:11" ht="42" customHeight="1">
      <c r="A2358" s="2" t="s">
        <v>6698</v>
      </c>
      <c r="B2358" s="2" t="s">
        <v>6699</v>
      </c>
      <c r="C2358" s="2" t="s">
        <v>26</v>
      </c>
      <c r="D2358" s="2" t="s">
        <v>18</v>
      </c>
      <c r="E2358" s="4">
        <v>-32242</v>
      </c>
      <c r="F2358" s="3" t="s">
        <v>1295</v>
      </c>
      <c r="G2358" s="3" t="s">
        <v>1296</v>
      </c>
      <c r="H2358" s="2" t="s">
        <v>148</v>
      </c>
      <c r="I2358" s="2" t="s">
        <v>6700</v>
      </c>
      <c r="J2358" s="3" t="str">
        <f>HYPERLINK("https://www.boe.es/gazeta/dias/1811/09/21/pdfs/GEI-1811-122.pdf#page=8","Abrir facsímil")</f>
        <v>Abrir facsímil</v>
      </c>
      <c r="K2358" s="3" t="s">
        <v>150</v>
      </c>
    </row>
    <row r="2359" spans="1:11" ht="42" customHeight="1">
      <c r="A2359" s="2" t="s">
        <v>6701</v>
      </c>
      <c r="B2359" s="2" t="s">
        <v>6702</v>
      </c>
      <c r="C2359" s="2" t="s">
        <v>122</v>
      </c>
      <c r="D2359" s="2" t="s">
        <v>18</v>
      </c>
      <c r="E2359" s="4">
        <v>-32153</v>
      </c>
      <c r="F2359" s="3" t="s">
        <v>235</v>
      </c>
      <c r="G2359" s="3" t="s">
        <v>2181</v>
      </c>
      <c r="H2359" s="2" t="s">
        <v>148</v>
      </c>
      <c r="I2359" s="2" t="s">
        <v>6703</v>
      </c>
      <c r="J2359" s="3" t="str">
        <f>HYPERLINK("https://www.boe.es/gazeta/dias/1811/12/19/pdfs/GEI-1811-164.pdf#page=8","Abrir facsímil")</f>
        <v>Abrir facsímil</v>
      </c>
      <c r="K2359" s="3" t="s">
        <v>150</v>
      </c>
    </row>
    <row r="2360" spans="1:11" ht="42" customHeight="1">
      <c r="A2360" s="2" t="s">
        <v>6704</v>
      </c>
      <c r="B2360" s="2" t="s">
        <v>6705</v>
      </c>
      <c r="C2360" s="2" t="s">
        <v>26</v>
      </c>
      <c r="D2360" s="2" t="s">
        <v>18</v>
      </c>
      <c r="E2360" s="4">
        <v>-32188</v>
      </c>
      <c r="F2360" s="3" t="s">
        <v>356</v>
      </c>
      <c r="G2360" s="3" t="s">
        <v>468</v>
      </c>
      <c r="H2360" s="2" t="s">
        <v>148</v>
      </c>
      <c r="I2360" s="2" t="s">
        <v>6706</v>
      </c>
      <c r="J2360" s="3" t="str">
        <f>HYPERLINK("https://www.boe.es/gazeta/dias/1811/11/14/pdfs/GMD-1811-318.pdf#page=6","Abrir facsímil")</f>
        <v>Abrir facsímil</v>
      </c>
      <c r="K2360" s="3" t="s">
        <v>150</v>
      </c>
    </row>
    <row r="2361" spans="1:11" ht="42" customHeight="1">
      <c r="A2361" s="2" t="s">
        <v>6707</v>
      </c>
      <c r="B2361" s="2" t="s">
        <v>6708</v>
      </c>
      <c r="C2361" s="2" t="s">
        <v>26</v>
      </c>
      <c r="D2361" s="2" t="s">
        <v>141</v>
      </c>
      <c r="E2361" s="4">
        <v>-32249</v>
      </c>
      <c r="F2361" s="3" t="s">
        <v>743</v>
      </c>
      <c r="G2361" s="3" t="s">
        <v>468</v>
      </c>
      <c r="H2361" s="2" t="s">
        <v>148</v>
      </c>
      <c r="I2361" s="2" t="s">
        <v>6709</v>
      </c>
      <c r="J2361" s="3" t="str">
        <f>HYPERLINK("https://www.boe.es/gazeta/dias/1811/09/14/pdfs/GMD-C-1811-257.pdf#page=1","Abrir facsímil")</f>
        <v>Abrir facsímil</v>
      </c>
      <c r="K2361" s="3" t="s">
        <v>150</v>
      </c>
    </row>
    <row r="2362" spans="1:11" ht="42" customHeight="1">
      <c r="A2362" s="2" t="s">
        <v>6710</v>
      </c>
      <c r="B2362" s="2" t="s">
        <v>6711</v>
      </c>
      <c r="C2362" s="2" t="s">
        <v>26</v>
      </c>
      <c r="D2362" s="2" t="s">
        <v>141</v>
      </c>
      <c r="E2362" s="4">
        <v>-32238</v>
      </c>
      <c r="F2362" s="3" t="s">
        <v>166</v>
      </c>
      <c r="G2362" s="3" t="s">
        <v>178</v>
      </c>
      <c r="H2362" s="2" t="s">
        <v>148</v>
      </c>
      <c r="I2362" s="2" t="s">
        <v>6712</v>
      </c>
      <c r="J2362" s="3" t="str">
        <f>HYPERLINK("https://www.boe.es/gazeta/dias/1811/09/25/pdfs/GMD-C-1811-268.pdf#page=4","Abrir facsímil")</f>
        <v>Abrir facsímil</v>
      </c>
      <c r="K2362" s="3" t="s">
        <v>150</v>
      </c>
    </row>
    <row r="2363" spans="1:11" ht="42" customHeight="1">
      <c r="A2363" s="2" t="s">
        <v>6713</v>
      </c>
      <c r="B2363" s="2" t="s">
        <v>6714</v>
      </c>
      <c r="C2363" s="2" t="s">
        <v>17</v>
      </c>
      <c r="D2363" s="2" t="s">
        <v>18</v>
      </c>
      <c r="E2363" s="4">
        <v>-32209</v>
      </c>
      <c r="F2363" s="3" t="s">
        <v>1324</v>
      </c>
      <c r="G2363" s="3" t="s">
        <v>1325</v>
      </c>
      <c r="H2363" s="2" t="s">
        <v>21</v>
      </c>
      <c r="I2363" s="2" t="s">
        <v>6715</v>
      </c>
      <c r="J2363" s="3" t="str">
        <f>HYPERLINK("https://www.boe.es/gazeta/dias/1811/10/24/pdfs/GMD-1811-297.pdf#page=2","Abrir facsímil")</f>
        <v>Abrir facsímil</v>
      </c>
      <c r="K2363" s="3" t="s">
        <v>23</v>
      </c>
    </row>
    <row r="2364" spans="1:11" ht="42" customHeight="1">
      <c r="A2364" s="2" t="s">
        <v>6716</v>
      </c>
      <c r="B2364" s="2" t="s">
        <v>6717</v>
      </c>
      <c r="C2364" s="2" t="s">
        <v>26</v>
      </c>
      <c r="D2364" s="2" t="s">
        <v>141</v>
      </c>
      <c r="E2364" s="4">
        <v>-32396</v>
      </c>
      <c r="F2364" s="3" t="s">
        <v>804</v>
      </c>
      <c r="G2364" s="3" t="s">
        <v>805</v>
      </c>
      <c r="H2364" s="2" t="s">
        <v>148</v>
      </c>
      <c r="I2364" s="2" t="s">
        <v>6718</v>
      </c>
      <c r="J2364" s="3" t="str">
        <f>HYPERLINK("https://www.boe.es/gazeta/dias/1811/04/20/pdfs/GEI-D-1811-53.pdf#page=4","Abrir facsímil")</f>
        <v>Abrir facsímil</v>
      </c>
      <c r="K2364" s="3" t="s">
        <v>150</v>
      </c>
    </row>
    <row r="2365" spans="1:11" ht="42" customHeight="1">
      <c r="A2365" s="2" t="s">
        <v>6719</v>
      </c>
      <c r="B2365" s="2" t="s">
        <v>6720</v>
      </c>
      <c r="C2365" s="2" t="s">
        <v>17</v>
      </c>
      <c r="D2365" s="2" t="s">
        <v>156</v>
      </c>
      <c r="E2365" s="4">
        <v>-32494</v>
      </c>
      <c r="F2365" s="3" t="s">
        <v>3050</v>
      </c>
      <c r="G2365" s="3" t="s">
        <v>3619</v>
      </c>
      <c r="H2365" s="2" t="s">
        <v>148</v>
      </c>
      <c r="I2365" s="2" t="s">
        <v>6721</v>
      </c>
      <c r="J2365" s="3" t="str">
        <f>HYPERLINK("https://www.boe.es/gazeta/dias/1811/01/12/pdfs/GEI-1811-6.pdf#page=8","Abrir facsímil")</f>
        <v>Abrir facsímil</v>
      </c>
      <c r="K2365" s="3" t="s">
        <v>150</v>
      </c>
    </row>
    <row r="2366" spans="1:11" ht="42" customHeight="1">
      <c r="A2366" s="2" t="s">
        <v>6722</v>
      </c>
      <c r="B2366" s="2" t="s">
        <v>6723</v>
      </c>
      <c r="C2366" s="2" t="s">
        <v>26</v>
      </c>
      <c r="D2366" s="2" t="s">
        <v>18</v>
      </c>
      <c r="E2366" s="4">
        <v>-32188</v>
      </c>
      <c r="F2366" s="3" t="s">
        <v>356</v>
      </c>
      <c r="G2366" s="3" t="s">
        <v>468</v>
      </c>
      <c r="H2366" s="2" t="s">
        <v>148</v>
      </c>
      <c r="I2366" s="2" t="s">
        <v>6724</v>
      </c>
      <c r="J2366" s="3" t="str">
        <f>HYPERLINK("https://www.boe.es/gazeta/dias/1811/11/14/pdfs/GMD-1811-318.pdf#page=6","Abrir facsímil")</f>
        <v>Abrir facsímil</v>
      </c>
      <c r="K2366" s="3" t="s">
        <v>150</v>
      </c>
    </row>
    <row r="2367" spans="1:11" ht="42" customHeight="1">
      <c r="A2367" s="2" t="s">
        <v>6725</v>
      </c>
      <c r="B2367" s="2" t="s">
        <v>6726</v>
      </c>
      <c r="C2367" s="2" t="s">
        <v>37</v>
      </c>
      <c r="D2367" s="2" t="s">
        <v>18</v>
      </c>
      <c r="E2367" s="4">
        <v>-32172</v>
      </c>
      <c r="F2367" s="3" t="s">
        <v>300</v>
      </c>
      <c r="G2367" s="3" t="s">
        <v>301</v>
      </c>
      <c r="H2367" s="2" t="s">
        <v>148</v>
      </c>
      <c r="I2367" s="2" t="s">
        <v>6727</v>
      </c>
      <c r="J2367" s="3" t="str">
        <f>HYPERLINK("https://www.boe.es/gazeta/dias/1811/11/30/pdfs/GMD-1811-334.pdf#page=4","Abrir facsímil")</f>
        <v>Abrir facsímil</v>
      </c>
      <c r="K2367" s="3" t="s">
        <v>150</v>
      </c>
    </row>
    <row r="2368" spans="1:11" ht="42" customHeight="1">
      <c r="A2368" s="2" t="s">
        <v>6728</v>
      </c>
      <c r="B2368" s="2" t="s">
        <v>6729</v>
      </c>
      <c r="C2368" s="2" t="s">
        <v>26</v>
      </c>
      <c r="D2368" s="2" t="s">
        <v>141</v>
      </c>
      <c r="E2368" s="4">
        <v>-32249</v>
      </c>
      <c r="F2368" s="3" t="s">
        <v>743</v>
      </c>
      <c r="G2368" s="3" t="s">
        <v>1021</v>
      </c>
      <c r="H2368" s="2" t="s">
        <v>148</v>
      </c>
      <c r="I2368" s="2" t="s">
        <v>6730</v>
      </c>
      <c r="J2368" s="3" t="str">
        <f>HYPERLINK("https://www.boe.es/gazeta/dias/1811/09/14/pdfs/GMD-C-1811-257.pdf#page=2","Abrir facsímil")</f>
        <v>Abrir facsímil</v>
      </c>
      <c r="K2368" s="3" t="s">
        <v>150</v>
      </c>
    </row>
    <row r="2369" spans="1:11" ht="42" customHeight="1">
      <c r="A2369" s="2" t="s">
        <v>6731</v>
      </c>
      <c r="B2369" s="2" t="s">
        <v>6732</v>
      </c>
      <c r="C2369" s="2" t="s">
        <v>26</v>
      </c>
      <c r="D2369" s="2" t="s">
        <v>18</v>
      </c>
      <c r="E2369" s="4">
        <v>-32316</v>
      </c>
      <c r="F2369" s="3" t="s">
        <v>6733</v>
      </c>
      <c r="G2369" s="3" t="s">
        <v>1384</v>
      </c>
      <c r="H2369" s="2" t="s">
        <v>148</v>
      </c>
      <c r="I2369" s="2" t="s">
        <v>6734</v>
      </c>
      <c r="J2369" s="3" t="str">
        <f>HYPERLINK("https://www.boe.es/gazeta/dias/1811/07/09/pdfs/GMD-1811-190.pdf#page=1","Abrir facsímil")</f>
        <v>Abrir facsímil</v>
      </c>
      <c r="K2369" s="3" t="s">
        <v>150</v>
      </c>
    </row>
    <row r="2370" spans="1:11" ht="42" customHeight="1">
      <c r="A2370" s="2" t="s">
        <v>6735</v>
      </c>
      <c r="B2370" s="2" t="s">
        <v>6736</v>
      </c>
      <c r="C2370" s="2" t="s">
        <v>26</v>
      </c>
      <c r="D2370" s="2" t="s">
        <v>18</v>
      </c>
      <c r="E2370" s="4">
        <v>-32172</v>
      </c>
      <c r="F2370" s="3" t="s">
        <v>300</v>
      </c>
      <c r="G2370" s="3" t="s">
        <v>305</v>
      </c>
      <c r="H2370" s="2" t="s">
        <v>148</v>
      </c>
      <c r="I2370" s="2" t="s">
        <v>6737</v>
      </c>
      <c r="J2370" s="3" t="str">
        <f>HYPERLINK("https://www.boe.es/gazeta/dias/1811/11/30/pdfs/GMD-1811-334.pdf#page=3","Abrir facsímil")</f>
        <v>Abrir facsímil</v>
      </c>
      <c r="K2370" s="3" t="s">
        <v>150</v>
      </c>
    </row>
    <row r="2371" spans="1:11" ht="42" customHeight="1">
      <c r="A2371" s="2" t="s">
        <v>6738</v>
      </c>
      <c r="B2371" s="2" t="s">
        <v>6739</v>
      </c>
      <c r="C2371" s="2" t="s">
        <v>84</v>
      </c>
      <c r="D2371" s="2" t="s">
        <v>141</v>
      </c>
      <c r="E2371" s="4">
        <v>-32314</v>
      </c>
      <c r="F2371" s="3" t="s">
        <v>2051</v>
      </c>
      <c r="G2371" s="3" t="s">
        <v>44</v>
      </c>
      <c r="H2371" s="2" t="s">
        <v>148</v>
      </c>
      <c r="I2371" s="2" t="s">
        <v>6740</v>
      </c>
      <c r="J2371" s="3" t="str">
        <f>HYPERLINK("https://www.boe.es/gazeta/dias/1811/07/11/pdfs/GMD-C-1811-192.pdf#page=2","Abrir facsímil")</f>
        <v>Abrir facsímil</v>
      </c>
      <c r="K2371" s="3" t="s">
        <v>150</v>
      </c>
    </row>
    <row r="2372" spans="1:11" ht="42" customHeight="1">
      <c r="A2372" s="2" t="s">
        <v>6741</v>
      </c>
      <c r="B2372" s="2" t="s">
        <v>6742</v>
      </c>
      <c r="C2372" s="2" t="s">
        <v>37</v>
      </c>
      <c r="D2372" s="2" t="s">
        <v>18</v>
      </c>
      <c r="E2372" s="4">
        <v>-32241</v>
      </c>
      <c r="F2372" s="3" t="s">
        <v>514</v>
      </c>
      <c r="G2372" s="3" t="s">
        <v>515</v>
      </c>
      <c r="H2372" s="2" t="s">
        <v>148</v>
      </c>
      <c r="I2372" s="2" t="s">
        <v>6743</v>
      </c>
      <c r="J2372" s="3" t="str">
        <f>HYPERLINK("https://www.boe.es/gazeta/dias/1811/09/22/pdfs/GMD-1811-265.pdf#page=4","Abrir facsímil")</f>
        <v>Abrir facsímil</v>
      </c>
      <c r="K2372" s="3" t="s">
        <v>150</v>
      </c>
    </row>
    <row r="2373" spans="1:11" ht="42" customHeight="1">
      <c r="A2373" s="2" t="s">
        <v>6744</v>
      </c>
      <c r="B2373" s="2" t="s">
        <v>6745</v>
      </c>
      <c r="C2373" s="2" t="s">
        <v>26</v>
      </c>
      <c r="D2373" s="2" t="s">
        <v>18</v>
      </c>
      <c r="E2373" s="4">
        <v>-32424</v>
      </c>
      <c r="F2373" s="3" t="s">
        <v>772</v>
      </c>
      <c r="G2373" s="3" t="s">
        <v>488</v>
      </c>
      <c r="H2373" s="2" t="s">
        <v>148</v>
      </c>
      <c r="I2373" s="2" t="s">
        <v>6746</v>
      </c>
      <c r="J2373" s="3" t="str">
        <f>HYPERLINK("https://www.boe.es/gazeta/dias/1811/03/23/pdfs/GMD-1811-82.pdf#page=3","Abrir facsímil")</f>
        <v>Abrir facsímil</v>
      </c>
      <c r="K2373" s="3" t="s">
        <v>150</v>
      </c>
    </row>
    <row r="2374" spans="1:11" ht="42" customHeight="1">
      <c r="A2374" s="2" t="s">
        <v>6747</v>
      </c>
      <c r="B2374" s="2" t="s">
        <v>6748</v>
      </c>
      <c r="C2374" s="2" t="s">
        <v>26</v>
      </c>
      <c r="D2374" s="2" t="s">
        <v>18</v>
      </c>
      <c r="E2374" s="4">
        <v>-32424</v>
      </c>
      <c r="F2374" s="3" t="s">
        <v>772</v>
      </c>
      <c r="G2374" s="3" t="s">
        <v>91</v>
      </c>
      <c r="H2374" s="2" t="s">
        <v>148</v>
      </c>
      <c r="I2374" s="2" t="s">
        <v>6749</v>
      </c>
      <c r="J2374" s="3" t="str">
        <f>HYPERLINK("https://www.boe.es/gazeta/dias/1811/03/23/pdfs/GMD-1811-82.pdf#page=4","Abrir facsímil")</f>
        <v>Abrir facsímil</v>
      </c>
      <c r="K2374" s="3" t="s">
        <v>150</v>
      </c>
    </row>
    <row r="2375" spans="1:11" ht="42" customHeight="1">
      <c r="A2375" s="2" t="s">
        <v>6750</v>
      </c>
      <c r="B2375" s="2" t="s">
        <v>6751</v>
      </c>
      <c r="C2375" s="2" t="s">
        <v>26</v>
      </c>
      <c r="D2375" s="2" t="s">
        <v>18</v>
      </c>
      <c r="E2375" s="4">
        <v>-32437</v>
      </c>
      <c r="F2375" s="3" t="s">
        <v>4063</v>
      </c>
      <c r="G2375" s="3" t="s">
        <v>6752</v>
      </c>
      <c r="H2375" s="2" t="s">
        <v>148</v>
      </c>
      <c r="I2375" s="2" t="s">
        <v>6753</v>
      </c>
      <c r="J2375" s="3" t="str">
        <f>HYPERLINK("https://www.boe.es/gazeta/dias/1811/03/10/pdfs/GMD-1811-69.pdf#page=4","Abrir facsímil")</f>
        <v>Abrir facsímil</v>
      </c>
      <c r="K2375" s="3" t="s">
        <v>150</v>
      </c>
    </row>
    <row r="2376" spans="1:11" ht="42" customHeight="1">
      <c r="A2376" s="2" t="s">
        <v>6754</v>
      </c>
      <c r="B2376" s="2" t="s">
        <v>6755</v>
      </c>
      <c r="C2376" s="2" t="s">
        <v>367</v>
      </c>
      <c r="D2376" s="2" t="s">
        <v>18</v>
      </c>
      <c r="E2376" s="4">
        <v>-32153</v>
      </c>
      <c r="F2376" s="3" t="s">
        <v>123</v>
      </c>
      <c r="G2376" s="3" t="s">
        <v>288</v>
      </c>
      <c r="H2376" s="2" t="s">
        <v>148</v>
      </c>
      <c r="I2376" s="2" t="s">
        <v>6756</v>
      </c>
      <c r="J2376" s="3" t="str">
        <f>HYPERLINK("https://www.boe.es/gazeta/dias/1811/12/19/pdfs/GMD-1811-353.pdf#page=4","Abrir facsímil")</f>
        <v>Abrir facsímil</v>
      </c>
      <c r="K2376" s="3" t="s">
        <v>150</v>
      </c>
    </row>
    <row r="2377" spans="1:11" ht="42" customHeight="1">
      <c r="A2377" s="2" t="s">
        <v>6757</v>
      </c>
      <c r="B2377" s="2" t="s">
        <v>6758</v>
      </c>
      <c r="C2377" s="2" t="s">
        <v>26</v>
      </c>
      <c r="D2377" s="2" t="s">
        <v>18</v>
      </c>
      <c r="E2377" s="4">
        <v>-32377</v>
      </c>
      <c r="F2377" s="3" t="s">
        <v>2461</v>
      </c>
      <c r="G2377" s="3" t="s">
        <v>183</v>
      </c>
      <c r="H2377" s="2" t="s">
        <v>148</v>
      </c>
      <c r="I2377" s="2" t="s">
        <v>6759</v>
      </c>
      <c r="J2377" s="3" t="str">
        <f>HYPERLINK("https://www.boe.es/gazeta/dias/1811/05/09/pdfs/GMD-1811-129.pdf#page=4","Abrir facsímil")</f>
        <v>Abrir facsímil</v>
      </c>
      <c r="K2377" s="3" t="s">
        <v>150</v>
      </c>
    </row>
    <row r="2378" spans="1:11" ht="42" customHeight="1">
      <c r="A2378" s="2" t="s">
        <v>6760</v>
      </c>
      <c r="B2378" s="2" t="s">
        <v>6761</v>
      </c>
      <c r="C2378" s="2" t="s">
        <v>26</v>
      </c>
      <c r="D2378" s="2" t="s">
        <v>18</v>
      </c>
      <c r="E2378" s="4">
        <v>-32424</v>
      </c>
      <c r="F2378" s="3" t="s">
        <v>772</v>
      </c>
      <c r="G2378" s="3" t="s">
        <v>91</v>
      </c>
      <c r="H2378" s="2" t="s">
        <v>148</v>
      </c>
      <c r="I2378" s="2" t="s">
        <v>6762</v>
      </c>
      <c r="J2378" s="3" t="str">
        <f>HYPERLINK("https://www.boe.es/gazeta/dias/1811/03/23/pdfs/GMD-1811-82.pdf#page=4","Abrir facsímil")</f>
        <v>Abrir facsímil</v>
      </c>
      <c r="K2378" s="3" t="s">
        <v>150</v>
      </c>
    </row>
    <row r="2379" spans="1:11" ht="42" customHeight="1">
      <c r="A2379" s="2" t="s">
        <v>6763</v>
      </c>
      <c r="B2379" s="2" t="s">
        <v>6764</v>
      </c>
      <c r="C2379" s="2" t="s">
        <v>26</v>
      </c>
      <c r="D2379" s="2" t="s">
        <v>141</v>
      </c>
      <c r="E2379" s="4">
        <v>-32238</v>
      </c>
      <c r="F2379" s="3" t="s">
        <v>166</v>
      </c>
      <c r="G2379" s="3" t="s">
        <v>178</v>
      </c>
      <c r="H2379" s="2" t="s">
        <v>148</v>
      </c>
      <c r="I2379" s="2" t="s">
        <v>6765</v>
      </c>
      <c r="J2379" s="3" t="str">
        <f>HYPERLINK("https://www.boe.es/gazeta/dias/1811/09/25/pdfs/GMD-C-1811-268.pdf#page=4","Abrir facsímil")</f>
        <v>Abrir facsímil</v>
      </c>
      <c r="K2379" s="3" t="s">
        <v>150</v>
      </c>
    </row>
    <row r="2380" spans="1:11" ht="42" customHeight="1">
      <c r="A2380" s="2" t="s">
        <v>6766</v>
      </c>
      <c r="B2380" s="2" t="s">
        <v>6767</v>
      </c>
      <c r="C2380" s="2" t="s">
        <v>26</v>
      </c>
      <c r="D2380" s="2" t="s">
        <v>141</v>
      </c>
      <c r="E2380" s="4">
        <v>-32238</v>
      </c>
      <c r="F2380" s="3" t="s">
        <v>166</v>
      </c>
      <c r="G2380" s="3" t="s">
        <v>178</v>
      </c>
      <c r="H2380" s="2" t="s">
        <v>148</v>
      </c>
      <c r="I2380" s="2" t="s">
        <v>6768</v>
      </c>
      <c r="J2380" s="3" t="str">
        <f>HYPERLINK("https://www.boe.es/gazeta/dias/1811/09/25/pdfs/GMD-C-1811-268.pdf#page=4","Abrir facsímil")</f>
        <v>Abrir facsímil</v>
      </c>
      <c r="K2380" s="3" t="s">
        <v>150</v>
      </c>
    </row>
    <row r="2381" spans="1:11" ht="42" customHeight="1">
      <c r="A2381" s="2" t="s">
        <v>6769</v>
      </c>
      <c r="B2381" s="2" t="s">
        <v>6770</v>
      </c>
      <c r="C2381" s="2" t="s">
        <v>66</v>
      </c>
      <c r="D2381" s="2" t="s">
        <v>18</v>
      </c>
      <c r="E2381" s="4">
        <v>-32153</v>
      </c>
      <c r="F2381" s="3" t="s">
        <v>123</v>
      </c>
      <c r="G2381" s="3" t="s">
        <v>288</v>
      </c>
      <c r="H2381" s="2" t="s">
        <v>148</v>
      </c>
      <c r="I2381" s="2" t="s">
        <v>6771</v>
      </c>
      <c r="J2381" s="3" t="str">
        <f>HYPERLINK("https://www.boe.es/gazeta/dias/1811/12/19/pdfs/GMD-1811-353.pdf#page=4","Abrir facsímil")</f>
        <v>Abrir facsímil</v>
      </c>
      <c r="K2381" s="3" t="s">
        <v>150</v>
      </c>
    </row>
    <row r="2382" spans="1:11" ht="42" customHeight="1">
      <c r="A2382" s="2" t="s">
        <v>6772</v>
      </c>
      <c r="B2382" s="2" t="s">
        <v>6773</v>
      </c>
      <c r="C2382" s="2" t="s">
        <v>26</v>
      </c>
      <c r="D2382" s="2" t="s">
        <v>141</v>
      </c>
      <c r="E2382" s="4">
        <v>-32249</v>
      </c>
      <c r="F2382" s="3" t="s">
        <v>743</v>
      </c>
      <c r="G2382" s="3" t="s">
        <v>468</v>
      </c>
      <c r="H2382" s="2" t="s">
        <v>148</v>
      </c>
      <c r="I2382" s="2" t="s">
        <v>6774</v>
      </c>
      <c r="J2382" s="3" t="str">
        <f>HYPERLINK("https://www.boe.es/gazeta/dias/1811/09/14/pdfs/GMD-C-1811-257.pdf#page=1","Abrir facsímil")</f>
        <v>Abrir facsímil</v>
      </c>
      <c r="K2382" s="3" t="s">
        <v>150</v>
      </c>
    </row>
    <row r="2383" spans="1:11" ht="42" customHeight="1">
      <c r="A2383" s="2" t="s">
        <v>6775</v>
      </c>
      <c r="B2383" s="2" t="s">
        <v>6776</v>
      </c>
      <c r="C2383" s="2" t="s">
        <v>17</v>
      </c>
      <c r="D2383" s="2" t="s">
        <v>18</v>
      </c>
      <c r="E2383" s="4">
        <v>-32477</v>
      </c>
      <c r="F2383" s="3" t="s">
        <v>6777</v>
      </c>
      <c r="G2383" s="3" t="s">
        <v>28</v>
      </c>
      <c r="H2383" s="2" t="s">
        <v>148</v>
      </c>
      <c r="I2383" s="2" t="s">
        <v>6778</v>
      </c>
      <c r="J2383" s="3" t="str">
        <f>HYPERLINK("https://www.boe.es/gazeta/dias/1811/01/29/pdfs/GEI-1811-13.pdf#page=2","Abrir facsímil")</f>
        <v>Abrir facsímil</v>
      </c>
      <c r="K2383" s="3" t="s">
        <v>150</v>
      </c>
    </row>
    <row r="2384" spans="1:11" ht="42" customHeight="1">
      <c r="A2384" s="2" t="s">
        <v>6779</v>
      </c>
      <c r="B2384" s="2" t="s">
        <v>6780</v>
      </c>
      <c r="C2384" s="2" t="s">
        <v>26</v>
      </c>
      <c r="D2384" s="2" t="s">
        <v>18</v>
      </c>
      <c r="E2384" s="4">
        <v>-32172</v>
      </c>
      <c r="F2384" s="3" t="s">
        <v>300</v>
      </c>
      <c r="G2384" s="3" t="s">
        <v>305</v>
      </c>
      <c r="H2384" s="2" t="s">
        <v>148</v>
      </c>
      <c r="I2384" s="2" t="s">
        <v>6781</v>
      </c>
      <c r="J2384" s="3" t="str">
        <f>HYPERLINK("https://www.boe.es/gazeta/dias/1811/11/30/pdfs/GMD-1811-334.pdf#page=3","Abrir facsímil")</f>
        <v>Abrir facsímil</v>
      </c>
      <c r="K2384" s="3" t="s">
        <v>150</v>
      </c>
    </row>
    <row r="2385" spans="1:11" ht="42" customHeight="1">
      <c r="A2385" s="2" t="s">
        <v>6782</v>
      </c>
      <c r="B2385" s="2" t="s">
        <v>6783</v>
      </c>
      <c r="C2385" s="2" t="s">
        <v>17</v>
      </c>
      <c r="D2385" s="2" t="s">
        <v>156</v>
      </c>
      <c r="E2385" s="4">
        <v>-32426</v>
      </c>
      <c r="F2385" s="3" t="s">
        <v>244</v>
      </c>
      <c r="G2385" s="3" t="s">
        <v>245</v>
      </c>
      <c r="H2385" s="2" t="s">
        <v>21</v>
      </c>
      <c r="I2385" s="2" t="s">
        <v>6784</v>
      </c>
      <c r="J2385" s="3" t="str">
        <f>HYPERLINK("https://www.boe.es/gazeta/dias/1811/03/21/pdfs/GMD-1811-80.pdf#page=2","Abrir facsímil")</f>
        <v>Abrir facsímil</v>
      </c>
      <c r="K2385" s="3" t="s">
        <v>23</v>
      </c>
    </row>
    <row r="2386" spans="1:11" ht="42" customHeight="1">
      <c r="A2386" s="2" t="s">
        <v>6785</v>
      </c>
      <c r="B2386" s="2" t="s">
        <v>6786</v>
      </c>
      <c r="C2386" s="2" t="s">
        <v>26</v>
      </c>
      <c r="D2386" s="2" t="s">
        <v>18</v>
      </c>
      <c r="E2386" s="4">
        <v>-32141</v>
      </c>
      <c r="F2386" s="3" t="s">
        <v>327</v>
      </c>
      <c r="G2386" s="3" t="s">
        <v>20</v>
      </c>
      <c r="H2386" s="2" t="s">
        <v>148</v>
      </c>
      <c r="I2386" s="2" t="s">
        <v>6787</v>
      </c>
      <c r="J2386" s="3" t="str">
        <f>HYPERLINK("https://www.boe.es/gazeta/dias/1811/12/31/pdfs/GMD-1811-365.pdf#page=4","Abrir facsímil")</f>
        <v>Abrir facsímil</v>
      </c>
      <c r="K2386" s="3" t="s">
        <v>150</v>
      </c>
    </row>
    <row r="2387" spans="1:11" ht="42" customHeight="1">
      <c r="A2387" s="2" t="s">
        <v>6788</v>
      </c>
      <c r="B2387" s="2" t="s">
        <v>6789</v>
      </c>
      <c r="C2387" s="2" t="s">
        <v>17</v>
      </c>
      <c r="D2387" s="2" t="s">
        <v>156</v>
      </c>
      <c r="E2387" s="4">
        <v>-32491</v>
      </c>
      <c r="F2387" s="3" t="s">
        <v>533</v>
      </c>
      <c r="G2387" s="3" t="s">
        <v>256</v>
      </c>
      <c r="H2387" s="2" t="s">
        <v>148</v>
      </c>
      <c r="I2387" s="2" t="s">
        <v>6790</v>
      </c>
      <c r="J2387" s="3" t="str">
        <f>HYPERLINK("https://www.boe.es/gazeta/dias/1811/01/15/pdfs/GEI-1811-7.pdf#page=7","Abrir facsímil")</f>
        <v>Abrir facsímil</v>
      </c>
      <c r="K2387" s="3" t="s">
        <v>150</v>
      </c>
    </row>
    <row r="2388" spans="1:11" ht="42" customHeight="1">
      <c r="A2388" s="2" t="s">
        <v>6791</v>
      </c>
      <c r="B2388" s="2" t="s">
        <v>6792</v>
      </c>
      <c r="C2388" s="2" t="s">
        <v>17</v>
      </c>
      <c r="D2388" s="2" t="s">
        <v>156</v>
      </c>
      <c r="E2388" s="4">
        <v>-32197</v>
      </c>
      <c r="F2388" s="3" t="s">
        <v>687</v>
      </c>
      <c r="G2388" s="3" t="s">
        <v>1240</v>
      </c>
      <c r="H2388" s="2" t="s">
        <v>148</v>
      </c>
      <c r="I2388" s="2" t="s">
        <v>6793</v>
      </c>
      <c r="J2388" s="3" t="str">
        <f>HYPERLINK("https://www.boe.es/gazeta/dias/1811/11/05/pdfs/GEI-1811-143.pdf#page=8","Abrir facsímil")</f>
        <v>Abrir facsímil</v>
      </c>
      <c r="K2388" s="3" t="s">
        <v>150</v>
      </c>
    </row>
    <row r="2389" spans="1:11" ht="42" customHeight="1">
      <c r="A2389" s="2" t="s">
        <v>6794</v>
      </c>
      <c r="B2389" s="2" t="s">
        <v>6795</v>
      </c>
      <c r="C2389" s="2" t="s">
        <v>17</v>
      </c>
      <c r="D2389" s="2" t="s">
        <v>18</v>
      </c>
      <c r="E2389" s="4">
        <v>-32470</v>
      </c>
      <c r="F2389" s="3" t="s">
        <v>1432</v>
      </c>
      <c r="G2389" s="3" t="s">
        <v>3543</v>
      </c>
      <c r="H2389" s="2" t="s">
        <v>148</v>
      </c>
      <c r="I2389" s="2" t="s">
        <v>6796</v>
      </c>
      <c r="J2389" s="3" t="str">
        <f>HYPERLINK("https://www.boe.es/gazeta/dias/1811/02/05/pdfs/GEI-1811-16.pdf#page=8","Abrir facsímil")</f>
        <v>Abrir facsímil</v>
      </c>
      <c r="K2389" s="3" t="s">
        <v>150</v>
      </c>
    </row>
    <row r="2390" spans="1:11" ht="42" customHeight="1">
      <c r="A2390" s="2" t="s">
        <v>6797</v>
      </c>
      <c r="B2390" s="2" t="s">
        <v>6798</v>
      </c>
      <c r="C2390" s="2" t="s">
        <v>17</v>
      </c>
      <c r="D2390" s="2" t="s">
        <v>18</v>
      </c>
      <c r="E2390" s="4">
        <v>-32473</v>
      </c>
      <c r="F2390" s="3" t="s">
        <v>3399</v>
      </c>
      <c r="G2390" s="3" t="s">
        <v>6799</v>
      </c>
      <c r="H2390" s="2" t="s">
        <v>148</v>
      </c>
      <c r="I2390" s="2" t="s">
        <v>6800</v>
      </c>
      <c r="J2390" s="3" t="str">
        <f>HYPERLINK("https://www.boe.es/gazeta/dias/1811/02/02/pdfs/GEI-1811-15.pdf#page=7","Abrir facsímil")</f>
        <v>Abrir facsímil</v>
      </c>
      <c r="K2390" s="3" t="s">
        <v>150</v>
      </c>
    </row>
    <row r="2391" spans="1:11" ht="42" customHeight="1">
      <c r="A2391" s="2" t="s">
        <v>6801</v>
      </c>
      <c r="B2391" s="2" t="s">
        <v>6802</v>
      </c>
      <c r="C2391" s="2" t="s">
        <v>17</v>
      </c>
      <c r="D2391" s="2" t="s">
        <v>18</v>
      </c>
      <c r="E2391" s="4">
        <v>-32230</v>
      </c>
      <c r="F2391" s="3" t="s">
        <v>625</v>
      </c>
      <c r="G2391" s="3" t="s">
        <v>1258</v>
      </c>
      <c r="H2391" s="2" t="s">
        <v>148</v>
      </c>
      <c r="I2391" s="2" t="s">
        <v>6803</v>
      </c>
      <c r="J2391" s="3" t="str">
        <f>HYPERLINK("https://www.boe.es/gazeta/dias/1811/10/03/pdfs/GEI-1811-127.pdf#page=8","Abrir facsímil")</f>
        <v>Abrir facsímil</v>
      </c>
      <c r="K2391" s="3" t="s">
        <v>150</v>
      </c>
    </row>
    <row r="2392" spans="1:11" ht="42" customHeight="1">
      <c r="A2392" s="2" t="s">
        <v>6804</v>
      </c>
      <c r="B2392" s="2" t="s">
        <v>6805</v>
      </c>
      <c r="C2392" s="2" t="s">
        <v>367</v>
      </c>
      <c r="D2392" s="2" t="s">
        <v>18</v>
      </c>
      <c r="E2392" s="4">
        <v>-32200</v>
      </c>
      <c r="F2392" s="3" t="s">
        <v>109</v>
      </c>
      <c r="G2392" s="3" t="s">
        <v>586</v>
      </c>
      <c r="H2392" s="2" t="s">
        <v>148</v>
      </c>
      <c r="I2392" s="2" t="s">
        <v>6806</v>
      </c>
      <c r="J2392" s="3" t="str">
        <f>HYPERLINK("https://www.boe.es/gazeta/dias/1811/11/02/pdfs/GEI-1811-141.pdf#page=8","Abrir facsímil")</f>
        <v>Abrir facsímil</v>
      </c>
      <c r="K2392" s="3" t="s">
        <v>150</v>
      </c>
    </row>
    <row r="2393" spans="1:11" ht="42" customHeight="1">
      <c r="A2393" s="2" t="s">
        <v>6807</v>
      </c>
      <c r="B2393" s="2" t="s">
        <v>6808</v>
      </c>
      <c r="C2393" s="2" t="s">
        <v>104</v>
      </c>
      <c r="D2393" s="2" t="s">
        <v>18</v>
      </c>
      <c r="E2393" s="4">
        <v>-32323</v>
      </c>
      <c r="F2393" s="3" t="s">
        <v>322</v>
      </c>
      <c r="G2393" s="3" t="s">
        <v>2164</v>
      </c>
      <c r="H2393" s="2" t="s">
        <v>148</v>
      </c>
      <c r="I2393" s="2" t="s">
        <v>6809</v>
      </c>
      <c r="J2393" s="3" t="str">
        <f>HYPERLINK("https://www.boe.es/gazeta/dias/1811/07/02/pdfs/GEI-1811-87.pdf#page=7","Abrir facsímil")</f>
        <v>Abrir facsímil</v>
      </c>
      <c r="K2393" s="3" t="s">
        <v>150</v>
      </c>
    </row>
    <row r="2394" spans="1:11" ht="42" customHeight="1">
      <c r="A2394" s="2" t="s">
        <v>6810</v>
      </c>
      <c r="B2394" s="2" t="s">
        <v>6811</v>
      </c>
      <c r="C2394" s="2" t="s">
        <v>84</v>
      </c>
      <c r="D2394" s="2" t="s">
        <v>105</v>
      </c>
      <c r="E2394" s="4">
        <v>-32172</v>
      </c>
      <c r="F2394" s="3" t="s">
        <v>300</v>
      </c>
      <c r="G2394" s="3" t="s">
        <v>3613</v>
      </c>
      <c r="H2394" s="2" t="s">
        <v>148</v>
      </c>
      <c r="I2394" s="2" t="s">
        <v>6812</v>
      </c>
      <c r="J2394" s="3" t="str">
        <f>HYPERLINK("https://www.boe.es/gazeta/dias/1811/11/30/pdfs/GMD-1811-334.pdf#page=1","Abrir facsímil")</f>
        <v>Abrir facsímil</v>
      </c>
      <c r="K2394" s="3" t="s">
        <v>150</v>
      </c>
    </row>
    <row r="2395" spans="1:11" ht="42" customHeight="1">
      <c r="A2395" s="2" t="s">
        <v>6813</v>
      </c>
      <c r="B2395" s="2" t="s">
        <v>6814</v>
      </c>
      <c r="C2395" s="2" t="s">
        <v>26</v>
      </c>
      <c r="D2395" s="2" t="s">
        <v>18</v>
      </c>
      <c r="E2395" s="4">
        <v>-32228</v>
      </c>
      <c r="F2395" s="3" t="s">
        <v>372</v>
      </c>
      <c r="G2395" s="3" t="s">
        <v>20</v>
      </c>
      <c r="H2395" s="2" t="s">
        <v>148</v>
      </c>
      <c r="I2395" s="2" t="s">
        <v>6815</v>
      </c>
      <c r="J2395" s="3" t="str">
        <f>HYPERLINK("https://www.boe.es/gazeta/dias/1811/10/05/pdfs/GEI-1811-128.pdf#page=8","Abrir facsímil")</f>
        <v>Abrir facsímil</v>
      </c>
      <c r="K2395" s="3" t="s">
        <v>150</v>
      </c>
    </row>
    <row r="2396" spans="1:11" ht="42" customHeight="1">
      <c r="A2396" s="2" t="s">
        <v>6816</v>
      </c>
      <c r="B2396" s="2" t="s">
        <v>6817</v>
      </c>
      <c r="C2396" s="2" t="s">
        <v>26</v>
      </c>
      <c r="D2396" s="2" t="s">
        <v>18</v>
      </c>
      <c r="E2396" s="4">
        <v>-32259</v>
      </c>
      <c r="F2396" s="3" t="s">
        <v>3276</v>
      </c>
      <c r="G2396" s="3" t="s">
        <v>47</v>
      </c>
      <c r="H2396" s="2" t="s">
        <v>148</v>
      </c>
      <c r="I2396" s="2" t="s">
        <v>6818</v>
      </c>
      <c r="J2396" s="3" t="str">
        <f>HYPERLINK("https://www.boe.es/gazeta/dias/1811/09/04/pdfs/GMD-1811-247.pdf#page=4","Abrir facsímil")</f>
        <v>Abrir facsímil</v>
      </c>
      <c r="K2396" s="3" t="s">
        <v>150</v>
      </c>
    </row>
    <row r="2397" spans="1:11" ht="42" customHeight="1">
      <c r="A2397" s="2" t="s">
        <v>6819</v>
      </c>
      <c r="B2397" s="2" t="s">
        <v>6820</v>
      </c>
      <c r="C2397" s="2" t="s">
        <v>17</v>
      </c>
      <c r="D2397" s="2" t="s">
        <v>18</v>
      </c>
      <c r="E2397" s="4">
        <v>-32325</v>
      </c>
      <c r="F2397" s="3" t="s">
        <v>552</v>
      </c>
      <c r="G2397" s="3" t="s">
        <v>553</v>
      </c>
      <c r="H2397" s="2" t="s">
        <v>148</v>
      </c>
      <c r="I2397" s="2" t="s">
        <v>6821</v>
      </c>
      <c r="J2397" s="3" t="str">
        <f>HYPERLINK("https://www.boe.es/gazeta/dias/1811/06/30/pdfs/GMD-1811-181.pdf#page=3","Abrir facsímil")</f>
        <v>Abrir facsímil</v>
      </c>
      <c r="K2397" s="3" t="s">
        <v>150</v>
      </c>
    </row>
    <row r="2398" spans="1:11" ht="42" customHeight="1">
      <c r="A2398" s="2" t="s">
        <v>6822</v>
      </c>
      <c r="B2398" s="2" t="s">
        <v>6823</v>
      </c>
      <c r="C2398" s="2" t="s">
        <v>104</v>
      </c>
      <c r="D2398" s="2" t="s">
        <v>18</v>
      </c>
      <c r="E2398" s="4">
        <v>-32479</v>
      </c>
      <c r="F2398" s="3" t="s">
        <v>6824</v>
      </c>
      <c r="G2398" s="3" t="s">
        <v>248</v>
      </c>
      <c r="H2398" s="2" t="s">
        <v>148</v>
      </c>
      <c r="I2398" s="2" t="s">
        <v>6825</v>
      </c>
      <c r="J2398" s="3" t="str">
        <f>HYPERLINK("https://www.boe.es/gazeta/dias/1811/01/27/pdfs/GMD-1811-27.pdf#page=1","Abrir facsímil")</f>
        <v>Abrir facsímil</v>
      </c>
      <c r="K2398" s="3" t="s">
        <v>150</v>
      </c>
    </row>
    <row r="2399" spans="1:11" ht="42" customHeight="1">
      <c r="A2399" s="2" t="s">
        <v>6826</v>
      </c>
      <c r="B2399" s="2" t="s">
        <v>6827</v>
      </c>
      <c r="C2399" s="2" t="s">
        <v>37</v>
      </c>
      <c r="D2399" s="2" t="s">
        <v>18</v>
      </c>
      <c r="E2399" s="4">
        <v>-32427</v>
      </c>
      <c r="F2399" s="3" t="s">
        <v>2696</v>
      </c>
      <c r="G2399" s="3" t="s">
        <v>91</v>
      </c>
      <c r="H2399" s="2" t="s">
        <v>148</v>
      </c>
      <c r="I2399" s="2" t="s">
        <v>6828</v>
      </c>
      <c r="J2399" s="3" t="str">
        <f>HYPERLINK("https://www.boe.es/gazeta/dias/1811/03/20/pdfs/GMD-1811-79.pdf#page=2","Abrir facsímil")</f>
        <v>Abrir facsímil</v>
      </c>
      <c r="K2399" s="3" t="s">
        <v>150</v>
      </c>
    </row>
    <row r="2400" spans="1:11" ht="42" customHeight="1">
      <c r="A2400" s="2" t="s">
        <v>6829</v>
      </c>
      <c r="B2400" s="2" t="s">
        <v>6830</v>
      </c>
      <c r="C2400" s="2" t="s">
        <v>367</v>
      </c>
      <c r="D2400" s="2" t="s">
        <v>18</v>
      </c>
      <c r="E2400" s="4">
        <v>-32326</v>
      </c>
      <c r="F2400" s="3" t="s">
        <v>43</v>
      </c>
      <c r="G2400" s="3" t="s">
        <v>47</v>
      </c>
      <c r="H2400" s="2" t="s">
        <v>21</v>
      </c>
      <c r="I2400" s="2" t="s">
        <v>6831</v>
      </c>
      <c r="J2400" s="3" t="str">
        <f>HYPERLINK("https://www.boe.es/gazeta/dias/1811/06/29/pdfs/GEI-1811-86.pdf#page=3","Abrir facsímil")</f>
        <v>Abrir facsímil</v>
      </c>
      <c r="K2400" s="3" t="s">
        <v>23</v>
      </c>
    </row>
    <row r="2401" spans="1:11" ht="42" customHeight="1">
      <c r="A2401" s="2" t="s">
        <v>6832</v>
      </c>
      <c r="B2401" s="2" t="s">
        <v>6833</v>
      </c>
      <c r="C2401" s="2" t="s">
        <v>26</v>
      </c>
      <c r="D2401" s="2" t="s">
        <v>18</v>
      </c>
      <c r="E2401" s="4">
        <v>-32197</v>
      </c>
      <c r="F2401" s="3" t="s">
        <v>687</v>
      </c>
      <c r="G2401" s="3" t="s">
        <v>1240</v>
      </c>
      <c r="H2401" s="2" t="s">
        <v>21</v>
      </c>
      <c r="I2401" s="2" t="s">
        <v>6834</v>
      </c>
      <c r="J2401" s="3" t="str">
        <f>HYPERLINK("https://www.boe.es/gazeta/dias/1811/11/05/pdfs/GEI-1811-143.pdf#page=8","Abrir facsímil")</f>
        <v>Abrir facsímil</v>
      </c>
      <c r="K2401" s="3" t="s">
        <v>23</v>
      </c>
    </row>
    <row r="2402" spans="1:11" ht="42" customHeight="1">
      <c r="A2402" s="2" t="s">
        <v>6835</v>
      </c>
      <c r="B2402" s="2" t="s">
        <v>6836</v>
      </c>
      <c r="C2402" s="2" t="s">
        <v>122</v>
      </c>
      <c r="D2402" s="2" t="s">
        <v>18</v>
      </c>
      <c r="E2402" s="4">
        <v>-32333</v>
      </c>
      <c r="F2402" s="3" t="s">
        <v>292</v>
      </c>
      <c r="G2402" s="3" t="s">
        <v>293</v>
      </c>
      <c r="H2402" s="2" t="s">
        <v>21</v>
      </c>
      <c r="I2402" s="2" t="s">
        <v>6837</v>
      </c>
      <c r="J2402" s="3" t="str">
        <f>HYPERLINK("https://www.boe.es/gazeta/dias/1811/06/22/pdfs/GEI-1811-83.pdf#page=8","Abrir facsímil")</f>
        <v>Abrir facsímil</v>
      </c>
      <c r="K2402" s="3" t="s">
        <v>23</v>
      </c>
    </row>
    <row r="2403" spans="1:11" ht="42" customHeight="1">
      <c r="A2403" s="2" t="s">
        <v>6838</v>
      </c>
      <c r="B2403" s="2" t="s">
        <v>6839</v>
      </c>
      <c r="C2403" s="2" t="s">
        <v>104</v>
      </c>
      <c r="D2403" s="2" t="s">
        <v>141</v>
      </c>
      <c r="E2403" s="4">
        <v>-32238</v>
      </c>
      <c r="F2403" s="3" t="s">
        <v>166</v>
      </c>
      <c r="G2403" s="3" t="s">
        <v>178</v>
      </c>
      <c r="H2403" s="2" t="s">
        <v>21</v>
      </c>
      <c r="I2403" s="2" t="s">
        <v>6840</v>
      </c>
      <c r="J2403" s="3" t="str">
        <f>HYPERLINK("https://www.boe.es/gazeta/dias/1811/09/25/pdfs/GMD-C-1811-268.pdf#page=4","Abrir facsímil")</f>
        <v>Abrir facsímil</v>
      </c>
      <c r="K2403" s="3" t="s">
        <v>23</v>
      </c>
    </row>
    <row r="2404" spans="1:11" ht="42" customHeight="1">
      <c r="A2404" s="2" t="s">
        <v>6841</v>
      </c>
      <c r="B2404" s="2" t="s">
        <v>6842</v>
      </c>
      <c r="C2404" s="2" t="s">
        <v>17</v>
      </c>
      <c r="D2404" s="2" t="s">
        <v>156</v>
      </c>
      <c r="E2404" s="4">
        <v>-32237</v>
      </c>
      <c r="F2404" s="3" t="s">
        <v>717</v>
      </c>
      <c r="G2404" s="3" t="s">
        <v>1128</v>
      </c>
      <c r="H2404" s="2" t="s">
        <v>148</v>
      </c>
      <c r="I2404" s="2" t="s">
        <v>6843</v>
      </c>
      <c r="J2404" s="3" t="str">
        <f>HYPERLINK("https://www.boe.es/gazeta/dias/1811/09/26/pdfs/GEI-1811-124.pdf#page=8","Abrir facsímil")</f>
        <v>Abrir facsímil</v>
      </c>
      <c r="K2404" s="3" t="s">
        <v>150</v>
      </c>
    </row>
    <row r="2405" spans="1:11" ht="42" customHeight="1">
      <c r="A2405" s="2" t="s">
        <v>6844</v>
      </c>
      <c r="B2405" s="2" t="s">
        <v>6845</v>
      </c>
      <c r="C2405" s="2" t="s">
        <v>104</v>
      </c>
      <c r="D2405" s="2" t="s">
        <v>18</v>
      </c>
      <c r="E2405" s="4">
        <v>-32188</v>
      </c>
      <c r="F2405" s="3" t="s">
        <v>356</v>
      </c>
      <c r="G2405" s="3" t="s">
        <v>248</v>
      </c>
      <c r="H2405" s="2" t="s">
        <v>148</v>
      </c>
      <c r="I2405" s="2" t="s">
        <v>6846</v>
      </c>
      <c r="J2405" s="3" t="str">
        <f>HYPERLINK("https://www.boe.es/gazeta/dias/1811/11/14/pdfs/GMD-1811-318.pdf#page=5","Abrir facsímil")</f>
        <v>Abrir facsímil</v>
      </c>
      <c r="K2405" s="3" t="s">
        <v>150</v>
      </c>
    </row>
    <row r="2406" spans="1:11" ht="42" customHeight="1">
      <c r="A2406" s="2" t="s">
        <v>6847</v>
      </c>
      <c r="B2406" s="2" t="s">
        <v>6848</v>
      </c>
      <c r="C2406" s="2" t="s">
        <v>26</v>
      </c>
      <c r="D2406" s="2" t="s">
        <v>18</v>
      </c>
      <c r="E2406" s="4">
        <v>-32155</v>
      </c>
      <c r="F2406" s="3" t="s">
        <v>99</v>
      </c>
      <c r="G2406" s="3" t="s">
        <v>100</v>
      </c>
      <c r="H2406" s="2" t="s">
        <v>148</v>
      </c>
      <c r="I2406" s="2" t="s">
        <v>6849</v>
      </c>
      <c r="J2406" s="3" t="str">
        <f>HYPERLINK("https://www.boe.es/gazeta/dias/1811/12/17/pdfs/GMD-1811-351.pdf#page=4","Abrir facsímil")</f>
        <v>Abrir facsímil</v>
      </c>
      <c r="K2406" s="3" t="s">
        <v>150</v>
      </c>
    </row>
    <row r="2407" spans="1:11" ht="42" customHeight="1">
      <c r="A2407" s="2" t="s">
        <v>6850</v>
      </c>
      <c r="B2407" s="2" t="s">
        <v>6851</v>
      </c>
      <c r="C2407" s="2" t="s">
        <v>122</v>
      </c>
      <c r="D2407" s="2" t="s">
        <v>18</v>
      </c>
      <c r="E2407" s="4">
        <v>-32188</v>
      </c>
      <c r="F2407" s="3" t="s">
        <v>356</v>
      </c>
      <c r="G2407" s="3" t="s">
        <v>468</v>
      </c>
      <c r="H2407" s="2" t="s">
        <v>148</v>
      </c>
      <c r="I2407" s="2" t="s">
        <v>6852</v>
      </c>
      <c r="J2407" s="3" t="str">
        <f>HYPERLINK("https://www.boe.es/gazeta/dias/1811/11/14/pdfs/GMD-1811-318.pdf#page=6","Abrir facsímil")</f>
        <v>Abrir facsímil</v>
      </c>
      <c r="K2407" s="3" t="s">
        <v>150</v>
      </c>
    </row>
    <row r="2408" spans="1:11" ht="42" customHeight="1">
      <c r="A2408" s="2" t="s">
        <v>6853</v>
      </c>
      <c r="B2408" s="2" t="s">
        <v>6854</v>
      </c>
      <c r="C2408" s="2" t="s">
        <v>17</v>
      </c>
      <c r="D2408" s="2" t="s">
        <v>156</v>
      </c>
      <c r="E2408" s="4">
        <v>-32407</v>
      </c>
      <c r="F2408" s="3" t="s">
        <v>38</v>
      </c>
      <c r="G2408" s="3" t="s">
        <v>6855</v>
      </c>
      <c r="H2408" s="2" t="s">
        <v>148</v>
      </c>
      <c r="I2408" s="2" t="s">
        <v>6856</v>
      </c>
      <c r="J2408" s="3" t="str">
        <f>HYPERLINK("https://www.boe.es/gazeta/dias/1811/04/09/pdfs/GEI-1811-48.pdf#page=5","Abrir facsímil")</f>
        <v>Abrir facsímil</v>
      </c>
      <c r="K2408" s="3" t="s">
        <v>150</v>
      </c>
    </row>
    <row r="2409" spans="1:11" ht="42" customHeight="1">
      <c r="A2409" s="2" t="s">
        <v>6857</v>
      </c>
      <c r="B2409" s="2" t="s">
        <v>6858</v>
      </c>
      <c r="C2409" s="2" t="s">
        <v>122</v>
      </c>
      <c r="D2409" s="2" t="s">
        <v>18</v>
      </c>
      <c r="E2409" s="4">
        <v>-32277</v>
      </c>
      <c r="F2409" s="3" t="s">
        <v>1765</v>
      </c>
      <c r="G2409" s="3" t="s">
        <v>1766</v>
      </c>
      <c r="H2409" s="2" t="s">
        <v>148</v>
      </c>
      <c r="I2409" s="2" t="s">
        <v>6859</v>
      </c>
      <c r="J2409" s="3" t="str">
        <f>HYPERLINK("https://www.boe.es/gazeta/dias/1811/08/17/pdfs/GEI-1811-107.pdf#page=7","Abrir facsímil")</f>
        <v>Abrir facsímil</v>
      </c>
      <c r="K2409" s="3" t="s">
        <v>150</v>
      </c>
    </row>
    <row r="2410" spans="1:11" ht="42" customHeight="1">
      <c r="A2410" s="2" t="s">
        <v>6860</v>
      </c>
      <c r="B2410" s="2" t="s">
        <v>6861</v>
      </c>
      <c r="C2410" s="2" t="s">
        <v>26</v>
      </c>
      <c r="D2410" s="2" t="s">
        <v>18</v>
      </c>
      <c r="E2410" s="4">
        <v>-32300</v>
      </c>
      <c r="F2410" s="3" t="s">
        <v>492</v>
      </c>
      <c r="G2410" s="3" t="s">
        <v>493</v>
      </c>
      <c r="H2410" s="2" t="s">
        <v>148</v>
      </c>
      <c r="I2410" s="2" t="s">
        <v>6862</v>
      </c>
      <c r="J2410" s="3" t="str">
        <f>HYPERLINK("https://www.boe.es/gazeta/dias/1811/07/25/pdfs/GMD-1811-206.pdf#page=4","Abrir facsímil")</f>
        <v>Abrir facsímil</v>
      </c>
      <c r="K2410" s="3" t="s">
        <v>150</v>
      </c>
    </row>
    <row r="2411" spans="1:11" ht="42" customHeight="1">
      <c r="A2411" s="2" t="s">
        <v>6863</v>
      </c>
      <c r="B2411" s="2" t="s">
        <v>6864</v>
      </c>
      <c r="C2411" s="2" t="s">
        <v>26</v>
      </c>
      <c r="D2411" s="2" t="s">
        <v>18</v>
      </c>
      <c r="E2411" s="4">
        <v>-32157</v>
      </c>
      <c r="F2411" s="3" t="s">
        <v>200</v>
      </c>
      <c r="G2411" s="3" t="s">
        <v>6865</v>
      </c>
      <c r="H2411" s="2" t="s">
        <v>148</v>
      </c>
      <c r="I2411" s="2" t="s">
        <v>6866</v>
      </c>
      <c r="J2411" s="3" t="str">
        <f>HYPERLINK("https://www.boe.es/gazeta/dias/1811/12/15/pdfs/GMD-1811-349.pdf#page=3","Abrir facsímil")</f>
        <v>Abrir facsímil</v>
      </c>
      <c r="K2411" s="3" t="s">
        <v>150</v>
      </c>
    </row>
    <row r="2412" spans="1:11" ht="42" customHeight="1">
      <c r="A2412" s="2" t="s">
        <v>6867</v>
      </c>
      <c r="B2412" s="2" t="s">
        <v>6868</v>
      </c>
      <c r="C2412" s="2" t="s">
        <v>122</v>
      </c>
      <c r="D2412" s="2" t="s">
        <v>18</v>
      </c>
      <c r="E2412" s="4">
        <v>-32157</v>
      </c>
      <c r="F2412" s="3" t="s">
        <v>200</v>
      </c>
      <c r="G2412" s="3" t="s">
        <v>6869</v>
      </c>
      <c r="H2412" s="2" t="s">
        <v>148</v>
      </c>
      <c r="I2412" s="2" t="s">
        <v>6870</v>
      </c>
      <c r="J2412" s="3" t="str">
        <f>HYPERLINK("https://www.boe.es/gazeta/dias/1811/12/15/pdfs/GMD-1811-349.pdf#page=2","Abrir facsímil")</f>
        <v>Abrir facsímil</v>
      </c>
      <c r="K2412" s="3" t="s">
        <v>150</v>
      </c>
    </row>
    <row r="2413" spans="1:11" ht="42" customHeight="1">
      <c r="A2413" s="2" t="s">
        <v>6871</v>
      </c>
      <c r="B2413" s="2" t="s">
        <v>6872</v>
      </c>
      <c r="C2413" s="2" t="s">
        <v>367</v>
      </c>
      <c r="D2413" s="2" t="s">
        <v>18</v>
      </c>
      <c r="E2413" s="4">
        <v>-32330</v>
      </c>
      <c r="F2413" s="3" t="s">
        <v>1997</v>
      </c>
      <c r="G2413" s="3" t="s">
        <v>47</v>
      </c>
      <c r="H2413" s="2" t="s">
        <v>148</v>
      </c>
      <c r="I2413" s="2" t="s">
        <v>6873</v>
      </c>
      <c r="J2413" s="3" t="str">
        <f>HYPERLINK("https://www.boe.es/gazeta/dias/1811/06/25/pdfs/GMD-1811-176.pdf#page=1","Abrir facsímil")</f>
        <v>Abrir facsímil</v>
      </c>
      <c r="K2413" s="3" t="s">
        <v>150</v>
      </c>
    </row>
    <row r="2414" spans="1:11" ht="42" customHeight="1">
      <c r="A2414" s="2" t="s">
        <v>6874</v>
      </c>
      <c r="B2414" s="2" t="s">
        <v>6875</v>
      </c>
      <c r="C2414" s="2" t="s">
        <v>26</v>
      </c>
      <c r="D2414" s="2" t="s">
        <v>105</v>
      </c>
      <c r="E2414" s="4">
        <v>-32272</v>
      </c>
      <c r="F2414" s="3" t="s">
        <v>1150</v>
      </c>
      <c r="G2414" s="3" t="s">
        <v>248</v>
      </c>
      <c r="H2414" s="2" t="s">
        <v>148</v>
      </c>
      <c r="I2414" s="2" t="s">
        <v>6876</v>
      </c>
      <c r="J2414" s="3" t="str">
        <f>HYPERLINK("https://www.boe.es/gazeta/dias/1811/08/22/pdfs/GMD-C-1811-234.pdf#page=1","Abrir facsímil")</f>
        <v>Abrir facsímil</v>
      </c>
      <c r="K2414" s="3" t="s">
        <v>150</v>
      </c>
    </row>
    <row r="2415" spans="1:11" ht="42" customHeight="1">
      <c r="A2415" s="2" t="s">
        <v>6877</v>
      </c>
      <c r="B2415" s="2" t="s">
        <v>6878</v>
      </c>
      <c r="C2415" s="2" t="s">
        <v>26</v>
      </c>
      <c r="D2415" s="2" t="s">
        <v>105</v>
      </c>
      <c r="E2415" s="4">
        <v>-32396</v>
      </c>
      <c r="F2415" s="3" t="s">
        <v>2393</v>
      </c>
      <c r="G2415" s="3" t="s">
        <v>1098</v>
      </c>
      <c r="H2415" s="2" t="s">
        <v>148</v>
      </c>
      <c r="I2415" s="2" t="s">
        <v>6879</v>
      </c>
      <c r="J2415" s="3" t="str">
        <f>HYPERLINK("https://www.boe.es/gazeta/dias/1811/04/20/pdfs/GEI-1811-53.pdf#page=8","Abrir facsímil")</f>
        <v>Abrir facsímil</v>
      </c>
      <c r="K2415" s="3" t="s">
        <v>150</v>
      </c>
    </row>
    <row r="2416" spans="1:11" ht="42" customHeight="1">
      <c r="A2416" s="2" t="s">
        <v>6880</v>
      </c>
      <c r="B2416" s="2" t="s">
        <v>6881</v>
      </c>
      <c r="C2416" s="2" t="s">
        <v>26</v>
      </c>
      <c r="D2416" s="2" t="s">
        <v>18</v>
      </c>
      <c r="E2416" s="4">
        <v>-32475</v>
      </c>
      <c r="F2416" s="3" t="s">
        <v>6882</v>
      </c>
      <c r="G2416" s="3" t="s">
        <v>1565</v>
      </c>
      <c r="H2416" s="2" t="s">
        <v>148</v>
      </c>
      <c r="I2416" s="2" t="s">
        <v>6883</v>
      </c>
      <c r="J2416" s="3" t="str">
        <f>HYPERLINK("https://www.boe.es/gazeta/dias/1811/01/31/pdfs/GEI-1811-14.pdf#page=8","Abrir facsímil")</f>
        <v>Abrir facsímil</v>
      </c>
      <c r="K2416" s="3" t="s">
        <v>150</v>
      </c>
    </row>
    <row r="2417" spans="1:11" ht="42" customHeight="1">
      <c r="A2417" s="2" t="s">
        <v>6880</v>
      </c>
      <c r="B2417" s="2" t="s">
        <v>6881</v>
      </c>
      <c r="C2417" s="2" t="s">
        <v>26</v>
      </c>
      <c r="D2417" s="2" t="s">
        <v>105</v>
      </c>
      <c r="E2417" s="4">
        <v>-32270</v>
      </c>
      <c r="F2417" s="3" t="s">
        <v>431</v>
      </c>
      <c r="G2417" s="3" t="s">
        <v>432</v>
      </c>
      <c r="H2417" s="2" t="s">
        <v>148</v>
      </c>
      <c r="I2417" s="2" t="s">
        <v>6884</v>
      </c>
      <c r="J2417" s="3" t="str">
        <f>HYPERLINK("https://www.boe.es/gazeta/dias/1811/08/24/pdfs/GEI-1811-110.pdf#page=4","Abrir facsímil")</f>
        <v>Abrir facsímil</v>
      </c>
      <c r="K2417" s="3" t="s">
        <v>150</v>
      </c>
    </row>
    <row r="2418" spans="1:11" ht="42" customHeight="1">
      <c r="A2418" s="2" t="s">
        <v>6885</v>
      </c>
      <c r="B2418" s="2" t="s">
        <v>6886</v>
      </c>
      <c r="C2418" s="2" t="s">
        <v>26</v>
      </c>
      <c r="D2418" s="2" t="s">
        <v>18</v>
      </c>
      <c r="E2418" s="4">
        <v>-32146</v>
      </c>
      <c r="F2418" s="3" t="s">
        <v>777</v>
      </c>
      <c r="G2418" s="3" t="s">
        <v>846</v>
      </c>
      <c r="H2418" s="2" t="s">
        <v>148</v>
      </c>
      <c r="I2418" s="2" t="s">
        <v>6887</v>
      </c>
      <c r="J2418" s="3" t="str">
        <f>HYPERLINK("https://www.boe.es/gazeta/dias/1811/12/26/pdfs/GEI-1811-167.pdf#page=8","Abrir facsímil")</f>
        <v>Abrir facsímil</v>
      </c>
      <c r="K2418" s="3" t="s">
        <v>150</v>
      </c>
    </row>
    <row r="2419" spans="1:11" ht="42" customHeight="1">
      <c r="A2419" s="2" t="s">
        <v>6888</v>
      </c>
      <c r="B2419" s="2" t="s">
        <v>6889</v>
      </c>
      <c r="C2419" s="2" t="s">
        <v>26</v>
      </c>
      <c r="D2419" s="2" t="s">
        <v>141</v>
      </c>
      <c r="E2419" s="4">
        <v>-32249</v>
      </c>
      <c r="F2419" s="3" t="s">
        <v>743</v>
      </c>
      <c r="G2419" s="3" t="s">
        <v>1021</v>
      </c>
      <c r="H2419" s="2" t="s">
        <v>148</v>
      </c>
      <c r="I2419" s="2" t="s">
        <v>6890</v>
      </c>
      <c r="J2419" s="3" t="str">
        <f>HYPERLINK("https://www.boe.es/gazeta/dias/1811/09/14/pdfs/GMD-C-1811-257.pdf#page=2","Abrir facsímil")</f>
        <v>Abrir facsímil</v>
      </c>
      <c r="K2419" s="3" t="s">
        <v>150</v>
      </c>
    </row>
    <row r="2420" spans="1:11" ht="42" customHeight="1">
      <c r="A2420" s="2" t="s">
        <v>6891</v>
      </c>
      <c r="B2420" s="2" t="s">
        <v>6892</v>
      </c>
      <c r="C2420" s="2" t="s">
        <v>37</v>
      </c>
      <c r="D2420" s="2" t="s">
        <v>18</v>
      </c>
      <c r="E2420" s="4">
        <v>-32397</v>
      </c>
      <c r="F2420" s="3" t="s">
        <v>359</v>
      </c>
      <c r="G2420" s="3" t="s">
        <v>360</v>
      </c>
      <c r="H2420" s="2" t="s">
        <v>21</v>
      </c>
      <c r="I2420" s="2" t="s">
        <v>6893</v>
      </c>
      <c r="J2420" s="3" t="str">
        <f>HYPERLINK("https://www.boe.es/gazeta/dias/1811/04/19/pdfs/GMD-1811-109.pdf#page=1","Abrir facsímil")</f>
        <v>Abrir facsímil</v>
      </c>
      <c r="K2420" s="3" t="s">
        <v>23</v>
      </c>
    </row>
    <row r="2421" spans="1:11" ht="42" customHeight="1">
      <c r="A2421" s="2" t="s">
        <v>6894</v>
      </c>
      <c r="B2421" s="2" t="s">
        <v>6895</v>
      </c>
      <c r="C2421" s="2" t="s">
        <v>26</v>
      </c>
      <c r="D2421" s="2" t="s">
        <v>18</v>
      </c>
      <c r="E2421" s="4">
        <v>-32195</v>
      </c>
      <c r="F2421" s="3" t="s">
        <v>439</v>
      </c>
      <c r="G2421" s="3" t="s">
        <v>2092</v>
      </c>
      <c r="H2421" s="2" t="s">
        <v>148</v>
      </c>
      <c r="I2421" s="2" t="s">
        <v>6896</v>
      </c>
      <c r="J2421" s="3" t="str">
        <f>HYPERLINK("https://www.boe.es/gazeta/dias/1811/11/07/pdfs/GEI-1811-144.pdf#page=7","Abrir facsímil")</f>
        <v>Abrir facsímil</v>
      </c>
      <c r="K2421" s="3" t="s">
        <v>150</v>
      </c>
    </row>
    <row r="2422" spans="1:11" ht="42" customHeight="1">
      <c r="A2422" s="2" t="s">
        <v>6897</v>
      </c>
      <c r="B2422" s="2" t="s">
        <v>6898</v>
      </c>
      <c r="C2422" s="2" t="s">
        <v>17</v>
      </c>
      <c r="D2422" s="2" t="s">
        <v>156</v>
      </c>
      <c r="E2422" s="4">
        <v>-32428</v>
      </c>
      <c r="F2422" s="3" t="s">
        <v>1974</v>
      </c>
      <c r="G2422" s="3" t="s">
        <v>4738</v>
      </c>
      <c r="H2422" s="2" t="s">
        <v>148</v>
      </c>
      <c r="I2422" s="2" t="s">
        <v>6899</v>
      </c>
      <c r="J2422" s="3" t="str">
        <f>HYPERLINK("https://www.boe.es/gazeta/dias/1811/03/19/pdfs/GEI-1811-39.pdf#page=8","Abrir facsímil")</f>
        <v>Abrir facsímil</v>
      </c>
      <c r="K2422" s="3" t="s">
        <v>150</v>
      </c>
    </row>
    <row r="2423" spans="1:11" ht="42" customHeight="1">
      <c r="A2423" s="2" t="s">
        <v>6900</v>
      </c>
      <c r="B2423" s="2" t="s">
        <v>6901</v>
      </c>
      <c r="C2423" s="2" t="s">
        <v>26</v>
      </c>
      <c r="D2423" s="2" t="s">
        <v>105</v>
      </c>
      <c r="E2423" s="4">
        <v>-32277</v>
      </c>
      <c r="F2423" s="3" t="s">
        <v>1765</v>
      </c>
      <c r="G2423" s="3" t="s">
        <v>331</v>
      </c>
      <c r="H2423" s="2" t="s">
        <v>148</v>
      </c>
      <c r="I2423" s="2" t="s">
        <v>6902</v>
      </c>
      <c r="J2423" s="3" t="str">
        <f>HYPERLINK("https://www.boe.es/gazeta/dias/1811/08/17/pdfs/GEI-1811-107.pdf#page=8","Abrir facsímil")</f>
        <v>Abrir facsímil</v>
      </c>
      <c r="K2423" s="3" t="s">
        <v>150</v>
      </c>
    </row>
    <row r="2424" spans="1:11" ht="42" customHeight="1">
      <c r="A2424" s="2" t="s">
        <v>6903</v>
      </c>
      <c r="B2424" s="2" t="s">
        <v>6904</v>
      </c>
      <c r="C2424" s="2" t="s">
        <v>26</v>
      </c>
      <c r="D2424" s="2" t="s">
        <v>105</v>
      </c>
      <c r="E2424" s="4">
        <v>-32238</v>
      </c>
      <c r="F2424" s="3" t="s">
        <v>166</v>
      </c>
      <c r="G2424" s="3" t="s">
        <v>657</v>
      </c>
      <c r="H2424" s="2" t="s">
        <v>148</v>
      </c>
      <c r="I2424" s="2" t="s">
        <v>6905</v>
      </c>
      <c r="J2424" s="3" t="str">
        <f>HYPERLINK("https://www.boe.es/gazeta/dias/1811/09/25/pdfs/GMD-C-1811-268.pdf#page=3","Abrir facsímil")</f>
        <v>Abrir facsímil</v>
      </c>
      <c r="K2424" s="3" t="s">
        <v>150</v>
      </c>
    </row>
    <row r="2425" spans="1:11" ht="42" customHeight="1">
      <c r="A2425" s="2" t="s">
        <v>6906</v>
      </c>
      <c r="B2425" s="2" t="s">
        <v>6907</v>
      </c>
      <c r="C2425" s="2" t="s">
        <v>26</v>
      </c>
      <c r="D2425" s="2" t="s">
        <v>141</v>
      </c>
      <c r="E2425" s="4">
        <v>-32238</v>
      </c>
      <c r="F2425" s="3" t="s">
        <v>166</v>
      </c>
      <c r="G2425" s="3" t="s">
        <v>39</v>
      </c>
      <c r="H2425" s="2" t="s">
        <v>148</v>
      </c>
      <c r="I2425" s="2" t="s">
        <v>6908</v>
      </c>
      <c r="J2425" s="3" t="str">
        <f>HYPERLINK("https://www.boe.es/gazeta/dias/1811/09/25/pdfs/GMD-C-1811-268.pdf#page=2","Abrir facsímil")</f>
        <v>Abrir facsímil</v>
      </c>
      <c r="K2425" s="3" t="s">
        <v>150</v>
      </c>
    </row>
    <row r="2426" spans="1:11" ht="42" customHeight="1">
      <c r="A2426" s="2" t="s">
        <v>6909</v>
      </c>
      <c r="B2426" s="2" t="s">
        <v>6910</v>
      </c>
      <c r="C2426" s="2" t="s">
        <v>84</v>
      </c>
      <c r="D2426" s="2" t="s">
        <v>105</v>
      </c>
      <c r="E2426" s="4">
        <v>-32162</v>
      </c>
      <c r="F2426" s="3" t="s">
        <v>317</v>
      </c>
      <c r="G2426" s="3" t="s">
        <v>318</v>
      </c>
      <c r="H2426" s="2" t="s">
        <v>148</v>
      </c>
      <c r="I2426" s="2" t="s">
        <v>6911</v>
      </c>
      <c r="J2426" s="3" t="str">
        <f>HYPERLINK("https://www.boe.es/gazeta/dias/1811/12/10/pdfs/GEI-1811-160.pdf#page=8","Abrir facsímil")</f>
        <v>Abrir facsímil</v>
      </c>
      <c r="K2426" s="3" t="s">
        <v>150</v>
      </c>
    </row>
    <row r="2427" spans="1:11" ht="42" customHeight="1">
      <c r="A2427" s="2" t="s">
        <v>6912</v>
      </c>
      <c r="B2427" s="2" t="s">
        <v>6913</v>
      </c>
      <c r="C2427" s="2" t="s">
        <v>367</v>
      </c>
      <c r="D2427" s="2" t="s">
        <v>18</v>
      </c>
      <c r="E2427" s="4">
        <v>-32314</v>
      </c>
      <c r="F2427" s="3" t="s">
        <v>6914</v>
      </c>
      <c r="G2427" s="3" t="s">
        <v>248</v>
      </c>
      <c r="H2427" s="2" t="s">
        <v>148</v>
      </c>
      <c r="I2427" s="2" t="s">
        <v>6915</v>
      </c>
      <c r="J2427" s="3" t="str">
        <f>HYPERLINK("https://www.boe.es/gazeta/dias/1811/07/11/pdfs/GMD-1811-192.pdf#page=4","Abrir facsímil")</f>
        <v>Abrir facsímil</v>
      </c>
      <c r="K2427" s="3" t="s">
        <v>150</v>
      </c>
    </row>
    <row r="2428" spans="1:11" ht="42" customHeight="1">
      <c r="A2428" s="2" t="s">
        <v>6916</v>
      </c>
      <c r="B2428" s="2" t="s">
        <v>6917</v>
      </c>
      <c r="C2428" s="2" t="s">
        <v>367</v>
      </c>
      <c r="D2428" s="2" t="s">
        <v>18</v>
      </c>
      <c r="E2428" s="4">
        <v>-32314</v>
      </c>
      <c r="F2428" s="3" t="s">
        <v>6914</v>
      </c>
      <c r="G2428" s="3" t="s">
        <v>248</v>
      </c>
      <c r="H2428" s="2" t="s">
        <v>21</v>
      </c>
      <c r="I2428" s="2" t="s">
        <v>6918</v>
      </c>
      <c r="J2428" s="3" t="str">
        <f>HYPERLINK("https://www.boe.es/gazeta/dias/1811/07/11/pdfs/GMD-1811-192.pdf#page=4","Abrir facsímil")</f>
        <v>Abrir facsímil</v>
      </c>
      <c r="K2428" s="3" t="s">
        <v>23</v>
      </c>
    </row>
    <row r="2429" spans="1:11" ht="42" customHeight="1">
      <c r="A2429" s="2" t="s">
        <v>6919</v>
      </c>
      <c r="B2429" s="2" t="s">
        <v>6920</v>
      </c>
      <c r="C2429" s="2" t="s">
        <v>17</v>
      </c>
      <c r="D2429" s="2" t="s">
        <v>156</v>
      </c>
      <c r="E2429" s="4">
        <v>-32416</v>
      </c>
      <c r="F2429" s="3" t="s">
        <v>954</v>
      </c>
      <c r="G2429" s="3" t="s">
        <v>47</v>
      </c>
      <c r="H2429" s="2" t="s">
        <v>148</v>
      </c>
      <c r="I2429" s="2" t="s">
        <v>6921</v>
      </c>
      <c r="J2429" s="3" t="str">
        <f>HYPERLINK("https://www.boe.es/gazeta/dias/1811/03/31/pdfs/GMD-1811-90.pdf#page=3","Abrir facsímil")</f>
        <v>Abrir facsímil</v>
      </c>
      <c r="K2429" s="3" t="s">
        <v>150</v>
      </c>
    </row>
    <row r="2430" spans="1:11" ht="42" customHeight="1">
      <c r="A2430" s="2" t="s">
        <v>6922</v>
      </c>
      <c r="B2430" s="2" t="s">
        <v>6923</v>
      </c>
      <c r="C2430" s="2" t="s">
        <v>26</v>
      </c>
      <c r="D2430" s="2" t="s">
        <v>18</v>
      </c>
      <c r="E2430" s="4">
        <v>-32384</v>
      </c>
      <c r="F2430" s="3" t="s">
        <v>338</v>
      </c>
      <c r="G2430" s="3" t="s">
        <v>5215</v>
      </c>
      <c r="H2430" s="2" t="s">
        <v>148</v>
      </c>
      <c r="I2430" s="2" t="s">
        <v>6924</v>
      </c>
      <c r="J2430" s="3" t="str">
        <f>HYPERLINK("https://www.boe.es/gazeta/dias/1811/05/02/pdfs/GEI-1811-58.pdf#page=3","Abrir facsímil")</f>
        <v>Abrir facsímil</v>
      </c>
      <c r="K2430" s="3" t="s">
        <v>150</v>
      </c>
    </row>
    <row r="2431" spans="1:11" ht="42" customHeight="1">
      <c r="A2431" s="2" t="s">
        <v>6925</v>
      </c>
      <c r="B2431" s="2" t="s">
        <v>6926</v>
      </c>
      <c r="C2431" s="2" t="s">
        <v>104</v>
      </c>
      <c r="D2431" s="2" t="s">
        <v>18</v>
      </c>
      <c r="E2431" s="4">
        <v>-32169</v>
      </c>
      <c r="F2431" s="3" t="s">
        <v>4012</v>
      </c>
      <c r="G2431" s="3" t="s">
        <v>183</v>
      </c>
      <c r="H2431" s="2" t="s">
        <v>148</v>
      </c>
      <c r="I2431" s="2" t="s">
        <v>6927</v>
      </c>
      <c r="J2431" s="3" t="str">
        <f>HYPERLINK("https://www.boe.es/gazeta/dias/1811/12/03/pdfs/GMD-1811-337.pdf#page=4","Abrir facsímil")</f>
        <v>Abrir facsímil</v>
      </c>
      <c r="K2431" s="3" t="s">
        <v>150</v>
      </c>
    </row>
    <row r="2432" spans="1:11" ht="42" customHeight="1">
      <c r="A2432" s="2" t="s">
        <v>6928</v>
      </c>
      <c r="B2432" s="2" t="s">
        <v>6929</v>
      </c>
      <c r="C2432" s="2" t="s">
        <v>26</v>
      </c>
      <c r="D2432" s="2" t="s">
        <v>18</v>
      </c>
      <c r="E2432" s="4">
        <v>-32141</v>
      </c>
      <c r="F2432" s="3" t="s">
        <v>327</v>
      </c>
      <c r="G2432" s="3" t="s">
        <v>6930</v>
      </c>
      <c r="H2432" s="2" t="s">
        <v>148</v>
      </c>
      <c r="I2432" s="2" t="s">
        <v>6931</v>
      </c>
      <c r="J2432" s="3" t="str">
        <f>HYPERLINK("https://www.boe.es/gazeta/dias/1811/12/31/pdfs/GMD-1811-365.pdf#page=2","Abrir facsímil")</f>
        <v>Abrir facsímil</v>
      </c>
      <c r="K2432" s="3" t="s">
        <v>150</v>
      </c>
    </row>
    <row r="2433" spans="1:11" ht="42" customHeight="1">
      <c r="A2433" s="2" t="s">
        <v>6932</v>
      </c>
      <c r="B2433" s="2" t="s">
        <v>6933</v>
      </c>
      <c r="C2433" s="2" t="s">
        <v>26</v>
      </c>
      <c r="D2433" s="2" t="s">
        <v>18</v>
      </c>
      <c r="E2433" s="4">
        <v>-32258</v>
      </c>
      <c r="F2433" s="3" t="s">
        <v>449</v>
      </c>
      <c r="G2433" s="3" t="s">
        <v>903</v>
      </c>
      <c r="H2433" s="2" t="s">
        <v>148</v>
      </c>
      <c r="I2433" s="2" t="s">
        <v>6934</v>
      </c>
      <c r="J2433" s="3" t="str">
        <f>HYPERLINK("https://www.boe.es/gazeta/dias/1811/09/05/pdfs/GEI-1811-115.pdf#page=4","Abrir facsímil")</f>
        <v>Abrir facsímil</v>
      </c>
      <c r="K2433" s="3" t="s">
        <v>150</v>
      </c>
    </row>
    <row r="2434" spans="1:11" ht="42" customHeight="1">
      <c r="A2434" s="2" t="s">
        <v>6935</v>
      </c>
      <c r="B2434" s="2" t="s">
        <v>6936</v>
      </c>
      <c r="C2434" s="2" t="s">
        <v>26</v>
      </c>
      <c r="D2434" s="2" t="s">
        <v>18</v>
      </c>
      <c r="E2434" s="4">
        <v>-32286</v>
      </c>
      <c r="F2434" s="3" t="s">
        <v>754</v>
      </c>
      <c r="G2434" s="3" t="s">
        <v>1728</v>
      </c>
      <c r="H2434" s="2" t="s">
        <v>148</v>
      </c>
      <c r="I2434" s="2" t="s">
        <v>6937</v>
      </c>
      <c r="J2434" s="3" t="str">
        <f>HYPERLINK("https://www.boe.es/gazeta/dias/1811/08/08/pdfs/GEI-1811-103.pdf#page=8","Abrir facsímil")</f>
        <v>Abrir facsímil</v>
      </c>
      <c r="K2434" s="3" t="s">
        <v>150</v>
      </c>
    </row>
    <row r="2435" spans="1:11" ht="42" customHeight="1">
      <c r="A2435" s="2" t="s">
        <v>6938</v>
      </c>
      <c r="B2435" s="2" t="s">
        <v>6939</v>
      </c>
      <c r="C2435" s="2" t="s">
        <v>26</v>
      </c>
      <c r="D2435" s="2" t="s">
        <v>18</v>
      </c>
      <c r="E2435" s="4">
        <v>-32394</v>
      </c>
      <c r="F2435" s="3" t="s">
        <v>1709</v>
      </c>
      <c r="G2435" s="3" t="s">
        <v>115</v>
      </c>
      <c r="H2435" s="2" t="s">
        <v>148</v>
      </c>
      <c r="I2435" s="2" t="s">
        <v>6940</v>
      </c>
      <c r="J2435" s="3" t="str">
        <f>HYPERLINK("https://www.boe.es/gazeta/dias/1811/04/22/pdfs/GMD-1811-112.pdf#page=3","Abrir facsímil")</f>
        <v>Abrir facsímil</v>
      </c>
      <c r="K2435" s="3" t="s">
        <v>150</v>
      </c>
    </row>
    <row r="2436" spans="1:11" ht="42" customHeight="1">
      <c r="A2436" s="2" t="s">
        <v>6941</v>
      </c>
      <c r="B2436" s="2" t="s">
        <v>6942</v>
      </c>
      <c r="C2436" s="2" t="s">
        <v>367</v>
      </c>
      <c r="D2436" s="2" t="s">
        <v>18</v>
      </c>
      <c r="E2436" s="4">
        <v>-32153</v>
      </c>
      <c r="F2436" s="3" t="s">
        <v>123</v>
      </c>
      <c r="G2436" s="3" t="s">
        <v>288</v>
      </c>
      <c r="H2436" s="2" t="s">
        <v>148</v>
      </c>
      <c r="I2436" s="2" t="s">
        <v>6943</v>
      </c>
      <c r="J2436" s="3" t="str">
        <f>HYPERLINK("https://www.boe.es/gazeta/dias/1811/12/19/pdfs/GMD-1811-353.pdf#page=4","Abrir facsímil")</f>
        <v>Abrir facsímil</v>
      </c>
      <c r="K2436" s="3" t="s">
        <v>150</v>
      </c>
    </row>
    <row r="2437" spans="1:11" ht="42" customHeight="1">
      <c r="A2437" s="2" t="s">
        <v>6944</v>
      </c>
      <c r="B2437" s="2" t="s">
        <v>6945</v>
      </c>
      <c r="C2437" s="2" t="s">
        <v>17</v>
      </c>
      <c r="D2437" s="2" t="s">
        <v>18</v>
      </c>
      <c r="E2437" s="4">
        <v>-32501</v>
      </c>
      <c r="F2437" s="3" t="s">
        <v>509</v>
      </c>
      <c r="G2437" s="3" t="s">
        <v>2213</v>
      </c>
      <c r="H2437" s="2" t="s">
        <v>148</v>
      </c>
      <c r="I2437" s="2" t="s">
        <v>6946</v>
      </c>
      <c r="J2437" s="3" t="str">
        <f>HYPERLINK("https://www.boe.es/gazeta/dias/1811/01/05/pdfs/GEI-1811-3.pdf#page=5","Abrir facsímil")</f>
        <v>Abrir facsímil</v>
      </c>
      <c r="K2437" s="3" t="s">
        <v>150</v>
      </c>
    </row>
    <row r="2438" spans="1:11" ht="42" customHeight="1">
      <c r="A2438" s="2" t="s">
        <v>6947</v>
      </c>
      <c r="B2438" s="2" t="s">
        <v>6948</v>
      </c>
      <c r="C2438" s="2" t="s">
        <v>17</v>
      </c>
      <c r="D2438" s="2" t="s">
        <v>18</v>
      </c>
      <c r="E2438" s="4">
        <v>-32470</v>
      </c>
      <c r="F2438" s="3" t="s">
        <v>1432</v>
      </c>
      <c r="G2438" s="3" t="s">
        <v>1433</v>
      </c>
      <c r="H2438" s="2" t="s">
        <v>148</v>
      </c>
      <c r="I2438" s="2" t="s">
        <v>6949</v>
      </c>
      <c r="J2438" s="3" t="str">
        <f>HYPERLINK("https://www.boe.es/gazeta/dias/1811/02/05/pdfs/GEI-1811-16.pdf#page=4","Abrir facsímil")</f>
        <v>Abrir facsímil</v>
      </c>
      <c r="K2438" s="3" t="s">
        <v>150</v>
      </c>
    </row>
    <row r="2439" spans="1:11" ht="42" customHeight="1">
      <c r="A2439" s="2" t="s">
        <v>6950</v>
      </c>
      <c r="B2439" s="2" t="s">
        <v>6951</v>
      </c>
      <c r="C2439" s="2" t="s">
        <v>26</v>
      </c>
      <c r="D2439" s="2" t="s">
        <v>105</v>
      </c>
      <c r="E2439" s="4">
        <v>-32231</v>
      </c>
      <c r="F2439" s="3" t="s">
        <v>2755</v>
      </c>
      <c r="G2439" s="3" t="s">
        <v>530</v>
      </c>
      <c r="H2439" s="2" t="s">
        <v>148</v>
      </c>
      <c r="I2439" s="2" t="s">
        <v>6952</v>
      </c>
      <c r="J2439" s="3" t="str">
        <f>HYPERLINK("https://www.boe.es/gazeta/dias/1811/10/02/pdfs/GMD-1811-275.pdf#page=4","Abrir facsímil")</f>
        <v>Abrir facsímil</v>
      </c>
      <c r="K2439" s="3" t="s">
        <v>150</v>
      </c>
    </row>
    <row r="2440" spans="1:11" ht="42" customHeight="1">
      <c r="A2440" s="2" t="s">
        <v>6953</v>
      </c>
      <c r="B2440" s="2" t="s">
        <v>6954</v>
      </c>
      <c r="C2440" s="2" t="s">
        <v>37</v>
      </c>
      <c r="D2440" s="2" t="s">
        <v>156</v>
      </c>
      <c r="E2440" s="4">
        <v>-32482</v>
      </c>
      <c r="F2440" s="3" t="s">
        <v>924</v>
      </c>
      <c r="G2440" s="3" t="s">
        <v>846</v>
      </c>
      <c r="H2440" s="2" t="s">
        <v>148</v>
      </c>
      <c r="I2440" s="2" t="s">
        <v>6955</v>
      </c>
      <c r="J2440" s="3" t="str">
        <f>HYPERLINK("https://www.boe.es/gazeta/dias/1811/01/24/pdfs/GEI-1811-11.pdf#page=8","Abrir facsímil")</f>
        <v>Abrir facsímil</v>
      </c>
      <c r="K2440" s="3" t="s">
        <v>150</v>
      </c>
    </row>
    <row r="2441" spans="1:11" ht="42" customHeight="1">
      <c r="A2441" s="2" t="s">
        <v>6956</v>
      </c>
      <c r="B2441" s="2" t="s">
        <v>6957</v>
      </c>
      <c r="C2441" s="2" t="s">
        <v>17</v>
      </c>
      <c r="D2441" s="2" t="s">
        <v>18</v>
      </c>
      <c r="E2441" s="4">
        <v>-32470</v>
      </c>
      <c r="F2441" s="3" t="s">
        <v>1432</v>
      </c>
      <c r="G2441" s="3" t="s">
        <v>2098</v>
      </c>
      <c r="H2441" s="2" t="s">
        <v>148</v>
      </c>
      <c r="I2441" s="2" t="s">
        <v>6958</v>
      </c>
      <c r="J2441" s="3" t="str">
        <f>HYPERLINK("https://www.boe.es/gazeta/dias/1811/02/05/pdfs/GEI-1811-16.pdf#page=2","Abrir facsímil")</f>
        <v>Abrir facsímil</v>
      </c>
      <c r="K2441" s="3" t="s">
        <v>150</v>
      </c>
    </row>
    <row r="2442" spans="1:11" ht="42" customHeight="1">
      <c r="A2442" s="2" t="s">
        <v>6959</v>
      </c>
      <c r="B2442" s="2" t="s">
        <v>6960</v>
      </c>
      <c r="C2442" s="2" t="s">
        <v>26</v>
      </c>
      <c r="D2442" s="2" t="s">
        <v>18</v>
      </c>
      <c r="E2442" s="4">
        <v>-32155</v>
      </c>
      <c r="F2442" s="3" t="s">
        <v>263</v>
      </c>
      <c r="G2442" s="3" t="s">
        <v>1800</v>
      </c>
      <c r="H2442" s="2" t="s">
        <v>148</v>
      </c>
      <c r="I2442" s="2" t="s">
        <v>6961</v>
      </c>
      <c r="J2442" s="3" t="str">
        <f>HYPERLINK("https://www.boe.es/gazeta/dias/1811/12/17/pdfs/GEI-1811-163.pdf#page=7","Abrir facsímil")</f>
        <v>Abrir facsímil</v>
      </c>
      <c r="K2442" s="3" t="s">
        <v>150</v>
      </c>
    </row>
    <row r="2443" spans="1:11" ht="42" customHeight="1">
      <c r="A2443" s="2" t="s">
        <v>6962</v>
      </c>
      <c r="B2443" s="2" t="s">
        <v>6963</v>
      </c>
      <c r="C2443" s="2" t="s">
        <v>17</v>
      </c>
      <c r="D2443" s="2" t="s">
        <v>156</v>
      </c>
      <c r="E2443" s="4">
        <v>-32167</v>
      </c>
      <c r="F2443" s="3" t="s">
        <v>195</v>
      </c>
      <c r="G2443" s="3" t="s">
        <v>3543</v>
      </c>
      <c r="H2443" s="2" t="s">
        <v>148</v>
      </c>
      <c r="I2443" s="2" t="s">
        <v>6964</v>
      </c>
      <c r="J2443" s="3" t="str">
        <f>HYPERLINK("https://www.boe.es/gazeta/dias/1811/12/05/pdfs/GEI-1811-158.pdf#page=8","Abrir facsímil")</f>
        <v>Abrir facsímil</v>
      </c>
      <c r="K2443" s="3" t="s">
        <v>150</v>
      </c>
    </row>
    <row r="2444" spans="1:11" ht="42" customHeight="1">
      <c r="A2444" s="2" t="s">
        <v>6965</v>
      </c>
      <c r="B2444" s="2" t="s">
        <v>6966</v>
      </c>
      <c r="C2444" s="2" t="s">
        <v>26</v>
      </c>
      <c r="D2444" s="2" t="s">
        <v>105</v>
      </c>
      <c r="E2444" s="4">
        <v>-32276</v>
      </c>
      <c r="F2444" s="3" t="s">
        <v>1361</v>
      </c>
      <c r="G2444" s="3" t="s">
        <v>183</v>
      </c>
      <c r="H2444" s="2" t="s">
        <v>148</v>
      </c>
      <c r="I2444" s="2" t="s">
        <v>6967</v>
      </c>
      <c r="J2444" s="3" t="str">
        <f>HYPERLINK("https://www.boe.es/gazeta/dias/1811/08/18/pdfs/GMD-1811-230.pdf#page=4","Abrir facsímil")</f>
        <v>Abrir facsímil</v>
      </c>
      <c r="K2444" s="3" t="s">
        <v>150</v>
      </c>
    </row>
    <row r="2445" spans="1:11" ht="42" customHeight="1">
      <c r="A2445" s="2" t="s">
        <v>6968</v>
      </c>
      <c r="B2445" s="2" t="s">
        <v>6969</v>
      </c>
      <c r="C2445" s="2" t="s">
        <v>84</v>
      </c>
      <c r="D2445" s="2" t="s">
        <v>18</v>
      </c>
      <c r="E2445" s="4">
        <v>-32416</v>
      </c>
      <c r="F2445" s="3" t="s">
        <v>954</v>
      </c>
      <c r="G2445" s="3" t="s">
        <v>47</v>
      </c>
      <c r="H2445" s="2" t="s">
        <v>148</v>
      </c>
      <c r="I2445" s="2" t="s">
        <v>6970</v>
      </c>
      <c r="J2445" s="3" t="str">
        <f>HYPERLINK("https://www.boe.es/gazeta/dias/1811/03/31/pdfs/GMD-1811-90.pdf#page=3","Abrir facsímil")</f>
        <v>Abrir facsímil</v>
      </c>
      <c r="K2445" s="3" t="s">
        <v>150</v>
      </c>
    </row>
    <row r="2446" spans="1:11" ht="42" customHeight="1">
      <c r="A2446" s="2" t="s">
        <v>6971</v>
      </c>
      <c r="B2446" s="2" t="s">
        <v>6972</v>
      </c>
      <c r="C2446" s="2" t="s">
        <v>26</v>
      </c>
      <c r="D2446" s="2" t="s">
        <v>18</v>
      </c>
      <c r="E2446" s="4">
        <v>-32231</v>
      </c>
      <c r="F2446" s="3" t="s">
        <v>2755</v>
      </c>
      <c r="G2446" s="3" t="s">
        <v>530</v>
      </c>
      <c r="H2446" s="2" t="s">
        <v>148</v>
      </c>
      <c r="I2446" s="2" t="s">
        <v>6973</v>
      </c>
      <c r="J2446" s="3" t="str">
        <f>HYPERLINK("https://www.boe.es/gazeta/dias/1811/10/02/pdfs/GMD-1811-275.pdf#page=4","Abrir facsímil")</f>
        <v>Abrir facsímil</v>
      </c>
      <c r="K2446" s="3" t="s">
        <v>150</v>
      </c>
    </row>
    <row r="2447" spans="1:11" ht="42" customHeight="1">
      <c r="A2447" s="2" t="s">
        <v>6974</v>
      </c>
      <c r="B2447" s="2" t="s">
        <v>6975</v>
      </c>
      <c r="C2447" s="2" t="s">
        <v>26</v>
      </c>
      <c r="D2447" s="2" t="s">
        <v>18</v>
      </c>
      <c r="E2447" s="4">
        <v>-32188</v>
      </c>
      <c r="F2447" s="3" t="s">
        <v>356</v>
      </c>
      <c r="G2447" s="3" t="s">
        <v>468</v>
      </c>
      <c r="H2447" s="2" t="s">
        <v>148</v>
      </c>
      <c r="I2447" s="2" t="s">
        <v>6976</v>
      </c>
      <c r="J2447" s="3" t="str">
        <f>HYPERLINK("https://www.boe.es/gazeta/dias/1811/11/14/pdfs/GMD-1811-318.pdf#page=6","Abrir facsímil")</f>
        <v>Abrir facsímil</v>
      </c>
      <c r="K2447" s="3" t="s">
        <v>150</v>
      </c>
    </row>
    <row r="2448" spans="1:11" ht="42" customHeight="1">
      <c r="A2448" s="2" t="s">
        <v>6977</v>
      </c>
      <c r="B2448" s="2" t="s">
        <v>6978</v>
      </c>
      <c r="C2448" s="2" t="s">
        <v>37</v>
      </c>
      <c r="D2448" s="2" t="s">
        <v>18</v>
      </c>
      <c r="E2448" s="4">
        <v>-32416</v>
      </c>
      <c r="F2448" s="3" t="s">
        <v>954</v>
      </c>
      <c r="G2448" s="3" t="s">
        <v>183</v>
      </c>
      <c r="H2448" s="2" t="s">
        <v>148</v>
      </c>
      <c r="I2448" s="2" t="s">
        <v>6979</v>
      </c>
      <c r="J2448" s="3" t="str">
        <f>HYPERLINK("https://www.boe.es/gazeta/dias/1811/03/31/pdfs/GMD-1811-90.pdf#page=4","Abrir facsímil")</f>
        <v>Abrir facsímil</v>
      </c>
      <c r="K2448" s="3" t="s">
        <v>150</v>
      </c>
    </row>
    <row r="2449" spans="1:11" ht="42" customHeight="1">
      <c r="A2449" s="2" t="s">
        <v>6980</v>
      </c>
      <c r="B2449" s="2" t="s">
        <v>6981</v>
      </c>
      <c r="C2449" s="2" t="s">
        <v>26</v>
      </c>
      <c r="D2449" s="2" t="s">
        <v>18</v>
      </c>
      <c r="E2449" s="4">
        <v>-32471</v>
      </c>
      <c r="F2449" s="3" t="s">
        <v>1571</v>
      </c>
      <c r="G2449" s="3" t="s">
        <v>530</v>
      </c>
      <c r="H2449" s="2" t="s">
        <v>148</v>
      </c>
      <c r="I2449" s="2" t="s">
        <v>6982</v>
      </c>
      <c r="J2449" s="3" t="str">
        <f>HYPERLINK("https://www.boe.es/gazeta/dias/1811/02/04/pdfs/GMD-1811-35.pdf#page=3","Abrir facsímil")</f>
        <v>Abrir facsímil</v>
      </c>
      <c r="K2449" s="3" t="s">
        <v>150</v>
      </c>
    </row>
    <row r="2450" spans="1:11" ht="42" customHeight="1">
      <c r="A2450" s="2" t="s">
        <v>6983</v>
      </c>
      <c r="B2450" s="2" t="s">
        <v>6984</v>
      </c>
      <c r="C2450" s="2" t="s">
        <v>26</v>
      </c>
      <c r="D2450" s="2" t="s">
        <v>18</v>
      </c>
      <c r="E2450" s="4">
        <v>-32141</v>
      </c>
      <c r="F2450" s="3" t="s">
        <v>327</v>
      </c>
      <c r="G2450" s="3" t="s">
        <v>115</v>
      </c>
      <c r="H2450" s="2" t="s">
        <v>148</v>
      </c>
      <c r="I2450" s="2" t="s">
        <v>6985</v>
      </c>
      <c r="J2450" s="3" t="str">
        <f>HYPERLINK("https://www.boe.es/gazeta/dias/1811/12/31/pdfs/GMD-1811-365.pdf#page=3","Abrir facsímil")</f>
        <v>Abrir facsímil</v>
      </c>
      <c r="K2450" s="3" t="s">
        <v>150</v>
      </c>
    </row>
    <row r="2451" spans="1:11" ht="42" customHeight="1">
      <c r="A2451" s="2" t="s">
        <v>6986</v>
      </c>
      <c r="B2451" s="2" t="s">
        <v>6987</v>
      </c>
      <c r="C2451" s="2" t="s">
        <v>26</v>
      </c>
      <c r="D2451" s="2" t="s">
        <v>141</v>
      </c>
      <c r="E2451" s="4">
        <v>-32272</v>
      </c>
      <c r="F2451" s="3" t="s">
        <v>1150</v>
      </c>
      <c r="G2451" s="3" t="s">
        <v>248</v>
      </c>
      <c r="H2451" s="2" t="s">
        <v>148</v>
      </c>
      <c r="I2451" s="2" t="s">
        <v>6988</v>
      </c>
      <c r="J2451" s="3" t="str">
        <f>HYPERLINK("https://www.boe.es/gazeta/dias/1811/08/22/pdfs/GMD-C-1811-234.pdf#page=1","Abrir facsímil")</f>
        <v>Abrir facsímil</v>
      </c>
      <c r="K2451" s="3" t="s">
        <v>150</v>
      </c>
    </row>
    <row r="2452" spans="1:11" ht="42" customHeight="1">
      <c r="A2452" s="2" t="s">
        <v>6989</v>
      </c>
      <c r="B2452" s="2" t="s">
        <v>6990</v>
      </c>
      <c r="C2452" s="2" t="s">
        <v>17</v>
      </c>
      <c r="D2452" s="2" t="s">
        <v>156</v>
      </c>
      <c r="E2452" s="4">
        <v>-32174</v>
      </c>
      <c r="F2452" s="3" t="s">
        <v>172</v>
      </c>
      <c r="G2452" s="3" t="s">
        <v>6991</v>
      </c>
      <c r="H2452" s="2" t="s">
        <v>21</v>
      </c>
      <c r="I2452" s="2" t="s">
        <v>6992</v>
      </c>
      <c r="J2452" s="3" t="str">
        <f>HYPERLINK("https://www.boe.es/gazeta/dias/1811/11/28/pdfs/GEI-1811-155.pdf#page=6","Abrir facsímil")</f>
        <v>Abrir facsímil</v>
      </c>
      <c r="K2452" s="3" t="s">
        <v>23</v>
      </c>
    </row>
    <row r="2453" spans="1:11" ht="42" customHeight="1">
      <c r="A2453" s="2" t="s">
        <v>6993</v>
      </c>
      <c r="B2453" s="2" t="s">
        <v>6994</v>
      </c>
      <c r="C2453" s="2" t="s">
        <v>26</v>
      </c>
      <c r="D2453" s="2" t="s">
        <v>18</v>
      </c>
      <c r="E2453" s="4">
        <v>-32200</v>
      </c>
      <c r="F2453" s="3" t="s">
        <v>109</v>
      </c>
      <c r="G2453" s="3" t="s">
        <v>268</v>
      </c>
      <c r="H2453" s="2" t="s">
        <v>21</v>
      </c>
      <c r="I2453" s="2" t="s">
        <v>6995</v>
      </c>
      <c r="J2453" s="3" t="str">
        <f>HYPERLINK("https://www.boe.es/gazeta/dias/1811/11/02/pdfs/GEI-1811-141.pdf#page=7","Abrir facsímil")</f>
        <v>Abrir facsímil</v>
      </c>
      <c r="K2453" s="3" t="s">
        <v>23</v>
      </c>
    </row>
    <row r="2454" spans="1:11" ht="42" customHeight="1">
      <c r="A2454" s="2" t="s">
        <v>6996</v>
      </c>
      <c r="B2454" s="2" t="s">
        <v>6997</v>
      </c>
      <c r="C2454" s="2" t="s">
        <v>104</v>
      </c>
      <c r="D2454" s="2" t="s">
        <v>18</v>
      </c>
      <c r="E2454" s="4">
        <v>-32400</v>
      </c>
      <c r="F2454" s="3" t="s">
        <v>3343</v>
      </c>
      <c r="G2454" s="3" t="s">
        <v>6998</v>
      </c>
      <c r="H2454" s="2" t="s">
        <v>148</v>
      </c>
      <c r="I2454" s="2" t="s">
        <v>6999</v>
      </c>
      <c r="J2454" s="3" t="str">
        <f>HYPERLINK("https://www.boe.es/gazeta/dias/1811/04/16/pdfs/GMD-1811-106.pdf#page=2","Abrir facsímil")</f>
        <v>Abrir facsímil</v>
      </c>
      <c r="K2454" s="3" t="s">
        <v>150</v>
      </c>
    </row>
    <row r="2455" spans="1:11" ht="42" customHeight="1">
      <c r="A2455" s="2" t="s">
        <v>7000</v>
      </c>
      <c r="B2455" s="2" t="s">
        <v>7001</v>
      </c>
      <c r="C2455" s="2" t="s">
        <v>37</v>
      </c>
      <c r="D2455" s="2" t="s">
        <v>105</v>
      </c>
      <c r="E2455" s="4">
        <v>-32416</v>
      </c>
      <c r="F2455" s="3" t="s">
        <v>954</v>
      </c>
      <c r="G2455" s="3" t="s">
        <v>183</v>
      </c>
      <c r="H2455" s="2" t="s">
        <v>21</v>
      </c>
      <c r="I2455" s="2" t="s">
        <v>7002</v>
      </c>
      <c r="J2455" s="3" t="str">
        <f>HYPERLINK("https://www.boe.es/gazeta/dias/1811/03/31/pdfs/GMD-1811-90.pdf#page=4","Abrir facsímil")</f>
        <v>Abrir facsímil</v>
      </c>
      <c r="K2455" s="3" t="s">
        <v>23</v>
      </c>
    </row>
    <row r="2456" spans="1:11" ht="42" customHeight="1">
      <c r="A2456" s="2" t="s">
        <v>7003</v>
      </c>
      <c r="B2456" s="2" t="s">
        <v>7004</v>
      </c>
      <c r="C2456" s="2" t="s">
        <v>17</v>
      </c>
      <c r="D2456" s="2" t="s">
        <v>156</v>
      </c>
      <c r="E2456" s="4">
        <v>-32201</v>
      </c>
      <c r="F2456" s="3" t="s">
        <v>2643</v>
      </c>
      <c r="G2456" s="3" t="s">
        <v>1087</v>
      </c>
      <c r="H2456" s="2" t="s">
        <v>21</v>
      </c>
      <c r="I2456" s="2" t="s">
        <v>7005</v>
      </c>
      <c r="J2456" s="3" t="str">
        <f>HYPERLINK("https://www.boe.es/gazeta/dias/1811/11/01/pdfs/GMD-1811-305.pdf#page=4","Abrir facsímil")</f>
        <v>Abrir facsímil</v>
      </c>
      <c r="K2456" s="3" t="s">
        <v>23</v>
      </c>
    </row>
    <row r="2457" spans="1:11" ht="42" customHeight="1">
      <c r="A2457" s="2" t="s">
        <v>7006</v>
      </c>
      <c r="B2457" s="2" t="s">
        <v>7007</v>
      </c>
      <c r="C2457" s="2" t="s">
        <v>26</v>
      </c>
      <c r="D2457" s="2" t="s">
        <v>141</v>
      </c>
      <c r="E2457" s="4">
        <v>-32188</v>
      </c>
      <c r="F2457" s="3" t="s">
        <v>505</v>
      </c>
      <c r="G2457" s="3" t="s">
        <v>162</v>
      </c>
      <c r="H2457" s="2" t="s">
        <v>148</v>
      </c>
      <c r="I2457" s="2" t="s">
        <v>7008</v>
      </c>
      <c r="J2457" s="3" t="str">
        <f>HYPERLINK("https://www.boe.es/gazeta/dias/1811/11/14/pdfs/GEI-D-1811-149.pdf#page=4","Abrir facsímil")</f>
        <v>Abrir facsímil</v>
      </c>
      <c r="K2457" s="3" t="s">
        <v>150</v>
      </c>
    </row>
    <row r="2458" spans="1:11" ht="42" customHeight="1">
      <c r="A2458" s="2" t="s">
        <v>7009</v>
      </c>
      <c r="B2458" s="2" t="s">
        <v>7010</v>
      </c>
      <c r="C2458" s="2" t="s">
        <v>37</v>
      </c>
      <c r="D2458" s="2" t="s">
        <v>18</v>
      </c>
      <c r="E2458" s="4">
        <v>-32237</v>
      </c>
      <c r="F2458" s="3" t="s">
        <v>717</v>
      </c>
      <c r="G2458" s="3" t="s">
        <v>1128</v>
      </c>
      <c r="H2458" s="2" t="s">
        <v>148</v>
      </c>
      <c r="I2458" s="2" t="s">
        <v>7011</v>
      </c>
      <c r="J2458" s="3" t="str">
        <f>HYPERLINK("https://www.boe.es/gazeta/dias/1811/09/26/pdfs/GEI-1811-124.pdf#page=8","Abrir facsímil")</f>
        <v>Abrir facsímil</v>
      </c>
      <c r="K2458" s="3" t="s">
        <v>150</v>
      </c>
    </row>
    <row r="2459" spans="1:11" ht="42" customHeight="1">
      <c r="A2459" s="2" t="s">
        <v>7012</v>
      </c>
      <c r="B2459" s="2" t="s">
        <v>7013</v>
      </c>
      <c r="C2459" s="2" t="s">
        <v>37</v>
      </c>
      <c r="D2459" s="2" t="s">
        <v>18</v>
      </c>
      <c r="E2459" s="4">
        <v>-32237</v>
      </c>
      <c r="F2459" s="3" t="s">
        <v>717</v>
      </c>
      <c r="G2459" s="3" t="s">
        <v>1128</v>
      </c>
      <c r="H2459" s="2" t="s">
        <v>148</v>
      </c>
      <c r="I2459" s="2" t="s">
        <v>7014</v>
      </c>
      <c r="J2459" s="3" t="str">
        <f>HYPERLINK("https://www.boe.es/gazeta/dias/1811/09/26/pdfs/GEI-1811-124.pdf#page=8","Abrir facsímil")</f>
        <v>Abrir facsímil</v>
      </c>
      <c r="K2459" s="3" t="s">
        <v>150</v>
      </c>
    </row>
    <row r="2460" spans="1:11" ht="42" customHeight="1">
      <c r="A2460" s="2" t="s">
        <v>7015</v>
      </c>
      <c r="B2460" s="2" t="s">
        <v>7016</v>
      </c>
      <c r="C2460" s="2" t="s">
        <v>17</v>
      </c>
      <c r="D2460" s="2" t="s">
        <v>18</v>
      </c>
      <c r="E2460" s="4">
        <v>-32225</v>
      </c>
      <c r="F2460" s="3" t="s">
        <v>390</v>
      </c>
      <c r="G2460" s="3" t="s">
        <v>7017</v>
      </c>
      <c r="H2460" s="2" t="s">
        <v>21</v>
      </c>
      <c r="I2460" s="2" t="s">
        <v>7018</v>
      </c>
      <c r="J2460" s="3" t="str">
        <f>HYPERLINK("https://www.boe.es/gazeta/dias/1811/10/08/pdfs/GEI-1811-129.pdf#page=5","Abrir facsímil")</f>
        <v>Abrir facsímil</v>
      </c>
      <c r="K2460" s="3" t="s">
        <v>23</v>
      </c>
    </row>
    <row r="2461" spans="1:11" ht="42" customHeight="1">
      <c r="A2461" s="2" t="s">
        <v>7019</v>
      </c>
      <c r="B2461" s="2" t="s">
        <v>7020</v>
      </c>
      <c r="C2461" s="2" t="s">
        <v>37</v>
      </c>
      <c r="D2461" s="2" t="s">
        <v>18</v>
      </c>
      <c r="E2461" s="4">
        <v>-32351</v>
      </c>
      <c r="F2461" s="3" t="s">
        <v>2163</v>
      </c>
      <c r="G2461" s="3" t="s">
        <v>47</v>
      </c>
      <c r="H2461" s="2" t="s">
        <v>21</v>
      </c>
      <c r="I2461" s="2" t="s">
        <v>7021</v>
      </c>
      <c r="J2461" s="3" t="str">
        <f>HYPERLINK("https://www.boe.es/gazeta/dias/1811/06/04/pdfs/GEI-1811-75.pdf#page=5","Abrir facsímil")</f>
        <v>Abrir facsímil</v>
      </c>
      <c r="K2461" s="3" t="s">
        <v>23</v>
      </c>
    </row>
    <row r="2462" spans="1:11" ht="42" customHeight="1">
      <c r="A2462" s="2" t="s">
        <v>7022</v>
      </c>
      <c r="B2462" s="2" t="s">
        <v>7023</v>
      </c>
      <c r="C2462" s="2" t="s">
        <v>26</v>
      </c>
      <c r="D2462" s="2" t="s">
        <v>18</v>
      </c>
      <c r="E2462" s="4">
        <v>-32489</v>
      </c>
      <c r="F2462" s="3" t="s">
        <v>2073</v>
      </c>
      <c r="G2462" s="3" t="s">
        <v>44</v>
      </c>
      <c r="H2462" s="2" t="s">
        <v>148</v>
      </c>
      <c r="I2462" s="2" t="s">
        <v>7024</v>
      </c>
      <c r="J2462" s="3" t="str">
        <f>HYPERLINK("https://www.boe.es/gazeta/dias/1811/01/17/pdfs/GEI-1811-8.pdf#page=8","Abrir facsímil")</f>
        <v>Abrir facsímil</v>
      </c>
      <c r="K2462" s="3" t="s">
        <v>150</v>
      </c>
    </row>
    <row r="2463" spans="1:11" ht="42" customHeight="1">
      <c r="A2463" s="2" t="s">
        <v>7025</v>
      </c>
      <c r="B2463" s="2" t="s">
        <v>7026</v>
      </c>
      <c r="C2463" s="2" t="s">
        <v>37</v>
      </c>
      <c r="D2463" s="2" t="s">
        <v>105</v>
      </c>
      <c r="E2463" s="4">
        <v>-32416</v>
      </c>
      <c r="F2463" s="3" t="s">
        <v>954</v>
      </c>
      <c r="G2463" s="3" t="s">
        <v>183</v>
      </c>
      <c r="H2463" s="2" t="s">
        <v>21</v>
      </c>
      <c r="I2463" s="2" t="s">
        <v>7027</v>
      </c>
      <c r="J2463" s="3" t="str">
        <f>HYPERLINK("https://www.boe.es/gazeta/dias/1811/03/31/pdfs/GMD-1811-90.pdf#page=4","Abrir facsímil")</f>
        <v>Abrir facsímil</v>
      </c>
      <c r="K2463" s="3" t="s">
        <v>23</v>
      </c>
    </row>
    <row r="2464" spans="1:11" ht="42" customHeight="1">
      <c r="A2464" s="2" t="s">
        <v>7028</v>
      </c>
      <c r="B2464" s="2" t="s">
        <v>7029</v>
      </c>
      <c r="C2464" s="2" t="s">
        <v>367</v>
      </c>
      <c r="D2464" s="2" t="s">
        <v>141</v>
      </c>
      <c r="E2464" s="4">
        <v>-32238</v>
      </c>
      <c r="F2464" s="3" t="s">
        <v>166</v>
      </c>
      <c r="G2464" s="3" t="s">
        <v>178</v>
      </c>
      <c r="H2464" s="2" t="s">
        <v>148</v>
      </c>
      <c r="I2464" s="2" t="s">
        <v>7030</v>
      </c>
      <c r="J2464" s="3" t="str">
        <f>HYPERLINK("https://www.boe.es/gazeta/dias/1811/09/25/pdfs/GMD-C-1811-268.pdf#page=4","Abrir facsímil")</f>
        <v>Abrir facsímil</v>
      </c>
      <c r="K2464" s="3" t="s">
        <v>150</v>
      </c>
    </row>
    <row r="2465" spans="1:11" ht="42" customHeight="1">
      <c r="A2465" s="2" t="s">
        <v>7031</v>
      </c>
      <c r="B2465" s="2" t="s">
        <v>7032</v>
      </c>
      <c r="C2465" s="2" t="s">
        <v>26</v>
      </c>
      <c r="D2465" s="2" t="s">
        <v>18</v>
      </c>
      <c r="E2465" s="4">
        <v>-32181</v>
      </c>
      <c r="F2465" s="3" t="s">
        <v>1169</v>
      </c>
      <c r="G2465" s="3" t="s">
        <v>1170</v>
      </c>
      <c r="H2465" s="2" t="s">
        <v>148</v>
      </c>
      <c r="I2465" s="2" t="s">
        <v>7033</v>
      </c>
      <c r="J2465" s="3" t="str">
        <f>HYPERLINK("https://www.boe.es/gazeta/dias/1811/11/21/pdfs/GMD-1811-325.pdf#page=4","Abrir facsímil")</f>
        <v>Abrir facsímil</v>
      </c>
      <c r="K2465" s="3" t="s">
        <v>150</v>
      </c>
    </row>
    <row r="2466" spans="1:11" ht="42" customHeight="1">
      <c r="A2466" s="2" t="s">
        <v>7034</v>
      </c>
      <c r="B2466" s="2" t="s">
        <v>7035</v>
      </c>
      <c r="C2466" s="2" t="s">
        <v>26</v>
      </c>
      <c r="D2466" s="2" t="s">
        <v>18</v>
      </c>
      <c r="E2466" s="4">
        <v>-32153</v>
      </c>
      <c r="F2466" s="3" t="s">
        <v>123</v>
      </c>
      <c r="G2466" s="3" t="s">
        <v>1067</v>
      </c>
      <c r="H2466" s="2" t="s">
        <v>148</v>
      </c>
      <c r="I2466" s="2" t="s">
        <v>7036</v>
      </c>
      <c r="J2466" s="3" t="str">
        <f>HYPERLINK("https://www.boe.es/gazeta/dias/1811/12/19/pdfs/GMD-1811-353.pdf#page=5","Abrir facsímil")</f>
        <v>Abrir facsímil</v>
      </c>
      <c r="K2466" s="3" t="s">
        <v>150</v>
      </c>
    </row>
    <row r="2467" spans="1:11" ht="42" customHeight="1">
      <c r="A2467" s="2" t="s">
        <v>7037</v>
      </c>
      <c r="B2467" s="2" t="s">
        <v>7038</v>
      </c>
      <c r="C2467" s="2" t="s">
        <v>122</v>
      </c>
      <c r="D2467" s="2" t="s">
        <v>18</v>
      </c>
      <c r="E2467" s="4">
        <v>-32188</v>
      </c>
      <c r="F2467" s="3" t="s">
        <v>356</v>
      </c>
      <c r="G2467" s="3" t="s">
        <v>468</v>
      </c>
      <c r="H2467" s="2" t="s">
        <v>148</v>
      </c>
      <c r="I2467" s="2" t="s">
        <v>7039</v>
      </c>
      <c r="J2467" s="3" t="str">
        <f>HYPERLINK("https://www.boe.es/gazeta/dias/1811/11/14/pdfs/GMD-1811-318.pdf#page=6","Abrir facsímil")</f>
        <v>Abrir facsímil</v>
      </c>
      <c r="K2467" s="3" t="s">
        <v>150</v>
      </c>
    </row>
    <row r="2468" spans="1:11" ht="42" customHeight="1">
      <c r="A2468" s="2" t="s">
        <v>7040</v>
      </c>
      <c r="B2468" s="2" t="s">
        <v>7041</v>
      </c>
      <c r="C2468" s="2" t="s">
        <v>17</v>
      </c>
      <c r="D2468" s="2" t="s">
        <v>156</v>
      </c>
      <c r="E2468" s="4">
        <v>-32428</v>
      </c>
      <c r="F2468" s="3" t="s">
        <v>1974</v>
      </c>
      <c r="G2468" s="3" t="s">
        <v>4738</v>
      </c>
      <c r="H2468" s="2" t="s">
        <v>148</v>
      </c>
      <c r="I2468" s="2" t="s">
        <v>7042</v>
      </c>
      <c r="J2468" s="3" t="str">
        <f>HYPERLINK("https://www.boe.es/gazeta/dias/1811/03/19/pdfs/GEI-1811-39.pdf#page=8","Abrir facsímil")</f>
        <v>Abrir facsímil</v>
      </c>
      <c r="K2468" s="3" t="s">
        <v>150</v>
      </c>
    </row>
    <row r="2469" spans="1:11" ht="42" customHeight="1">
      <c r="A2469" s="2" t="s">
        <v>7043</v>
      </c>
      <c r="B2469" s="2" t="s">
        <v>7044</v>
      </c>
      <c r="C2469" s="2" t="s">
        <v>84</v>
      </c>
      <c r="D2469" s="2" t="s">
        <v>18</v>
      </c>
      <c r="E2469" s="4">
        <v>-32145</v>
      </c>
      <c r="F2469" s="3" t="s">
        <v>417</v>
      </c>
      <c r="G2469" s="3" t="s">
        <v>418</v>
      </c>
      <c r="H2469" s="2" t="s">
        <v>148</v>
      </c>
      <c r="I2469" s="2" t="s">
        <v>7045</v>
      </c>
      <c r="J2469" s="3" t="str">
        <f>HYPERLINK("https://www.boe.es/gazeta/dias/1811/12/27/pdfs/GMD-1811-361.pdf#page=4","Abrir facsímil")</f>
        <v>Abrir facsímil</v>
      </c>
      <c r="K2469" s="3" t="s">
        <v>150</v>
      </c>
    </row>
    <row r="2470" spans="1:11" ht="42" customHeight="1">
      <c r="A2470" s="2" t="s">
        <v>7046</v>
      </c>
      <c r="B2470" s="2" t="s">
        <v>7047</v>
      </c>
      <c r="C2470" s="2" t="s">
        <v>17</v>
      </c>
      <c r="D2470" s="2" t="s">
        <v>18</v>
      </c>
      <c r="E2470" s="4">
        <v>-32323</v>
      </c>
      <c r="F2470" s="3" t="s">
        <v>322</v>
      </c>
      <c r="G2470" s="3" t="s">
        <v>2164</v>
      </c>
      <c r="H2470" s="2" t="s">
        <v>148</v>
      </c>
      <c r="I2470" s="2" t="s">
        <v>7048</v>
      </c>
      <c r="J2470" s="3" t="str">
        <f>HYPERLINK("https://www.boe.es/gazeta/dias/1811/07/02/pdfs/GEI-1811-87.pdf#page=7","Abrir facsímil")</f>
        <v>Abrir facsímil</v>
      </c>
      <c r="K2470" s="3" t="s">
        <v>150</v>
      </c>
    </row>
    <row r="2471" spans="1:11" ht="42" customHeight="1">
      <c r="A2471" s="2" t="s">
        <v>7049</v>
      </c>
      <c r="B2471" s="2" t="s">
        <v>7050</v>
      </c>
      <c r="C2471" s="2" t="s">
        <v>17</v>
      </c>
      <c r="D2471" s="2" t="s">
        <v>141</v>
      </c>
      <c r="E2471" s="4">
        <v>-32319</v>
      </c>
      <c r="F2471" s="3" t="s">
        <v>907</v>
      </c>
      <c r="G2471" s="3" t="s">
        <v>134</v>
      </c>
      <c r="H2471" s="2" t="s">
        <v>148</v>
      </c>
      <c r="I2471" s="2" t="s">
        <v>7051</v>
      </c>
      <c r="J2471" s="3" t="str">
        <f>HYPERLINK("https://www.boe.es/gazeta/dias/1811/07/06/pdfs/GEI-D-1811-89.pdf#page=4","Abrir facsímil")</f>
        <v>Abrir facsímil</v>
      </c>
      <c r="K2471" s="3" t="s">
        <v>150</v>
      </c>
    </row>
    <row r="2472" spans="1:11" ht="42" customHeight="1">
      <c r="A2472" s="2" t="s">
        <v>7052</v>
      </c>
      <c r="B2472" s="2" t="s">
        <v>7053</v>
      </c>
      <c r="C2472" s="2" t="s">
        <v>37</v>
      </c>
      <c r="D2472" s="2" t="s">
        <v>18</v>
      </c>
      <c r="E2472" s="4">
        <v>-32361</v>
      </c>
      <c r="F2472" s="3" t="s">
        <v>1104</v>
      </c>
      <c r="G2472" s="3" t="s">
        <v>2213</v>
      </c>
      <c r="H2472" s="2" t="s">
        <v>148</v>
      </c>
      <c r="I2472" s="2" t="s">
        <v>7054</v>
      </c>
      <c r="J2472" s="3" t="str">
        <f>HYPERLINK("https://www.boe.es/gazeta/dias/1811/05/25/pdfs/GEI-1811-71.pdf#page=8","Abrir facsímil")</f>
        <v>Abrir facsímil</v>
      </c>
      <c r="K2472" s="3" t="s">
        <v>150</v>
      </c>
    </row>
    <row r="2473" spans="1:11" ht="42" customHeight="1">
      <c r="A2473" s="2" t="s">
        <v>7055</v>
      </c>
      <c r="B2473" s="2" t="s">
        <v>7056</v>
      </c>
      <c r="C2473" s="2" t="s">
        <v>26</v>
      </c>
      <c r="D2473" s="2" t="s">
        <v>18</v>
      </c>
      <c r="E2473" s="4">
        <v>-32153</v>
      </c>
      <c r="F2473" s="3" t="s">
        <v>123</v>
      </c>
      <c r="G2473" s="3" t="s">
        <v>288</v>
      </c>
      <c r="H2473" s="2" t="s">
        <v>148</v>
      </c>
      <c r="I2473" s="2" t="s">
        <v>7057</v>
      </c>
      <c r="J2473" s="3" t="str">
        <f>HYPERLINK("https://www.boe.es/gazeta/dias/1811/12/19/pdfs/GMD-1811-353.pdf#page=4","Abrir facsímil")</f>
        <v>Abrir facsímil</v>
      </c>
      <c r="K2473" s="3" t="s">
        <v>150</v>
      </c>
    </row>
    <row r="2474" spans="1:11" ht="42" customHeight="1">
      <c r="A2474" s="2" t="s">
        <v>7058</v>
      </c>
      <c r="B2474" s="2" t="s">
        <v>7059</v>
      </c>
      <c r="C2474" s="2" t="s">
        <v>17</v>
      </c>
      <c r="D2474" s="2" t="s">
        <v>18</v>
      </c>
      <c r="E2474" s="4">
        <v>-32459</v>
      </c>
      <c r="F2474" s="3" t="s">
        <v>1034</v>
      </c>
      <c r="G2474" s="3" t="s">
        <v>2256</v>
      </c>
      <c r="H2474" s="2" t="s">
        <v>148</v>
      </c>
      <c r="I2474" s="2" t="s">
        <v>7060</v>
      </c>
      <c r="J2474" s="3" t="str">
        <f>HYPERLINK("https://www.boe.es/gazeta/dias/1811/02/16/pdfs/GEI-1811-21.pdf#page=6","Abrir facsímil")</f>
        <v>Abrir facsímil</v>
      </c>
      <c r="K2474" s="3" t="s">
        <v>150</v>
      </c>
    </row>
    <row r="2475" spans="1:11" ht="42" customHeight="1">
      <c r="A2475" s="2" t="s">
        <v>7058</v>
      </c>
      <c r="B2475" s="2" t="s">
        <v>7059</v>
      </c>
      <c r="C2475" s="2" t="s">
        <v>26</v>
      </c>
      <c r="D2475" s="2" t="s">
        <v>18</v>
      </c>
      <c r="E2475" s="4">
        <v>-32454</v>
      </c>
      <c r="F2475" s="3" t="s">
        <v>2268</v>
      </c>
      <c r="G2475" s="3" t="s">
        <v>5554</v>
      </c>
      <c r="H2475" s="2" t="s">
        <v>148</v>
      </c>
      <c r="I2475" s="2" t="s">
        <v>7061</v>
      </c>
      <c r="J2475" s="3" t="str">
        <f>HYPERLINK("https://www.boe.es/gazeta/dias/1811/02/21/pdfs/GEI-1811-23.pdf#page=3","Abrir facsímil")</f>
        <v>Abrir facsímil</v>
      </c>
      <c r="K2475" s="3" t="s">
        <v>150</v>
      </c>
    </row>
    <row r="2476" spans="1:11" ht="42" customHeight="1">
      <c r="A2476" s="2" t="s">
        <v>7062</v>
      </c>
      <c r="B2476" s="2" t="s">
        <v>7063</v>
      </c>
      <c r="C2476" s="2" t="s">
        <v>26</v>
      </c>
      <c r="D2476" s="2" t="s">
        <v>18</v>
      </c>
      <c r="E2476" s="4">
        <v>-32452</v>
      </c>
      <c r="F2476" s="3" t="s">
        <v>106</v>
      </c>
      <c r="G2476" s="3" t="s">
        <v>7064</v>
      </c>
      <c r="H2476" s="2" t="s">
        <v>148</v>
      </c>
      <c r="I2476" s="2" t="s">
        <v>7065</v>
      </c>
      <c r="J2476" s="3" t="str">
        <f>HYPERLINK("https://www.boe.es/gazeta/dias/1811/02/23/pdfs/GEI-1811-24.pdf#page=7","Abrir facsímil")</f>
        <v>Abrir facsímil</v>
      </c>
      <c r="K2476" s="3" t="s">
        <v>150</v>
      </c>
    </row>
    <row r="2477" spans="1:11" ht="42" customHeight="1">
      <c r="A2477" s="2" t="s">
        <v>7058</v>
      </c>
      <c r="B2477" s="2" t="s">
        <v>7059</v>
      </c>
      <c r="C2477" s="2" t="s">
        <v>17</v>
      </c>
      <c r="D2477" s="2" t="s">
        <v>156</v>
      </c>
      <c r="E2477" s="4">
        <v>-32417</v>
      </c>
      <c r="F2477" s="3" t="s">
        <v>7066</v>
      </c>
      <c r="G2477" s="3" t="s">
        <v>510</v>
      </c>
      <c r="H2477" s="2" t="s">
        <v>148</v>
      </c>
      <c r="I2477" s="2" t="s">
        <v>7067</v>
      </c>
      <c r="J2477" s="3" t="str">
        <f>HYPERLINK("https://www.boe.es/gazeta/dias/1811/03/30/pdfs/GEI-1811-44.pdf#page=8","Abrir facsímil")</f>
        <v>Abrir facsímil</v>
      </c>
      <c r="K2477" s="3" t="s">
        <v>150</v>
      </c>
    </row>
    <row r="2478" spans="1:11" ht="42" customHeight="1">
      <c r="A2478" s="2" t="s">
        <v>7058</v>
      </c>
      <c r="B2478" s="2" t="s">
        <v>7059</v>
      </c>
      <c r="C2478" s="2" t="s">
        <v>17</v>
      </c>
      <c r="D2478" s="2" t="s">
        <v>156</v>
      </c>
      <c r="E2478" s="4">
        <v>-32244</v>
      </c>
      <c r="F2478" s="3" t="s">
        <v>4301</v>
      </c>
      <c r="G2478" s="3" t="s">
        <v>755</v>
      </c>
      <c r="H2478" s="2" t="s">
        <v>148</v>
      </c>
      <c r="I2478" s="2" t="s">
        <v>7068</v>
      </c>
      <c r="J2478" s="3" t="str">
        <f>HYPERLINK("https://www.boe.es/gazeta/dias/1811/09/19/pdfs/GEI-1811-121.pdf#page=6","Abrir facsímil")</f>
        <v>Abrir facsímil</v>
      </c>
      <c r="K2478" s="3" t="s">
        <v>150</v>
      </c>
    </row>
    <row r="2479" spans="1:11" ht="42" customHeight="1">
      <c r="A2479" s="2" t="s">
        <v>7058</v>
      </c>
      <c r="B2479" s="2" t="s">
        <v>7059</v>
      </c>
      <c r="C2479" s="2" t="s">
        <v>17</v>
      </c>
      <c r="D2479" s="2" t="s">
        <v>18</v>
      </c>
      <c r="E2479" s="4">
        <v>-32153</v>
      </c>
      <c r="F2479" s="3" t="s">
        <v>235</v>
      </c>
      <c r="G2479" s="3" t="s">
        <v>44</v>
      </c>
      <c r="H2479" s="2" t="s">
        <v>148</v>
      </c>
      <c r="I2479" s="2" t="s">
        <v>7069</v>
      </c>
      <c r="J2479" s="3" t="str">
        <f>HYPERLINK("https://www.boe.es/gazeta/dias/1811/12/19/pdfs/GEI-1811-164.pdf#page=4","Abrir facsímil")</f>
        <v>Abrir facsímil</v>
      </c>
      <c r="K2479" s="3" t="s">
        <v>150</v>
      </c>
    </row>
    <row r="2480" spans="1:11" ht="42" customHeight="1">
      <c r="A2480" s="2" t="s">
        <v>7070</v>
      </c>
      <c r="B2480" s="2" t="s">
        <v>7071</v>
      </c>
      <c r="C2480" s="2" t="s">
        <v>17</v>
      </c>
      <c r="D2480" s="2" t="s">
        <v>18</v>
      </c>
      <c r="E2480" s="4">
        <v>-32451</v>
      </c>
      <c r="F2480" s="3" t="s">
        <v>2651</v>
      </c>
      <c r="G2480" s="3" t="s">
        <v>2652</v>
      </c>
      <c r="H2480" s="2" t="s">
        <v>148</v>
      </c>
      <c r="I2480" s="2" t="s">
        <v>7072</v>
      </c>
      <c r="J2480" s="3" t="str">
        <f>HYPERLINK("https://www.boe.es/gazeta/dias/1811/02/24/pdfs/GMD-1811-55.pdf#page=4","Abrir facsímil")</f>
        <v>Abrir facsímil</v>
      </c>
      <c r="K2480" s="3" t="s">
        <v>150</v>
      </c>
    </row>
    <row r="2481" spans="1:11" ht="42" customHeight="1">
      <c r="A2481" s="2" t="s">
        <v>7073</v>
      </c>
      <c r="B2481" s="2" t="s">
        <v>7074</v>
      </c>
      <c r="C2481" s="2" t="s">
        <v>17</v>
      </c>
      <c r="D2481" s="2" t="s">
        <v>18</v>
      </c>
      <c r="E2481" s="4">
        <v>-32433</v>
      </c>
      <c r="F2481" s="3" t="s">
        <v>676</v>
      </c>
      <c r="G2481" s="3" t="s">
        <v>1054</v>
      </c>
      <c r="H2481" s="2" t="s">
        <v>148</v>
      </c>
      <c r="I2481" s="2" t="s">
        <v>7075</v>
      </c>
      <c r="J2481" s="3" t="str">
        <f>HYPERLINK("https://www.boe.es/gazeta/dias/1811/03/14/pdfs/GEI-1811-37.pdf#page=3","Abrir facsímil")</f>
        <v>Abrir facsímil</v>
      </c>
      <c r="K2481" s="3" t="s">
        <v>150</v>
      </c>
    </row>
    <row r="2482" spans="1:11" ht="42" customHeight="1">
      <c r="A2482" s="2" t="s">
        <v>7076</v>
      </c>
      <c r="B2482" s="2" t="s">
        <v>7077</v>
      </c>
      <c r="C2482" s="2" t="s">
        <v>17</v>
      </c>
      <c r="D2482" s="2" t="s">
        <v>156</v>
      </c>
      <c r="E2482" s="4">
        <v>-32370</v>
      </c>
      <c r="F2482" s="3" t="s">
        <v>146</v>
      </c>
      <c r="G2482" s="3" t="s">
        <v>515</v>
      </c>
      <c r="H2482" s="2" t="s">
        <v>21</v>
      </c>
      <c r="I2482" s="2" t="s">
        <v>7078</v>
      </c>
      <c r="J2482" s="3" t="str">
        <f>HYPERLINK("https://www.boe.es/gazeta/dias/1811/05/16/pdfs/GEI-1811-64.pdf#page=7","Abrir facsímil")</f>
        <v>Abrir facsímil</v>
      </c>
      <c r="K2482" s="3" t="s">
        <v>23</v>
      </c>
    </row>
    <row r="2483" spans="1:11" ht="42" customHeight="1">
      <c r="A2483" s="2" t="s">
        <v>7079</v>
      </c>
      <c r="B2483" s="2" t="s">
        <v>7080</v>
      </c>
      <c r="C2483" s="2" t="s">
        <v>17</v>
      </c>
      <c r="D2483" s="2" t="s">
        <v>18</v>
      </c>
      <c r="E2483" s="4">
        <v>-32416</v>
      </c>
      <c r="F2483" s="3" t="s">
        <v>954</v>
      </c>
      <c r="G2483" s="3" t="s">
        <v>47</v>
      </c>
      <c r="H2483" s="2" t="s">
        <v>148</v>
      </c>
      <c r="I2483" s="2" t="s">
        <v>7081</v>
      </c>
      <c r="J2483" s="3" t="str">
        <f>HYPERLINK("https://www.boe.es/gazeta/dias/1811/03/31/pdfs/GMD-1811-90.pdf#page=3","Abrir facsímil")</f>
        <v>Abrir facsímil</v>
      </c>
      <c r="K2483" s="3" t="s">
        <v>150</v>
      </c>
    </row>
    <row r="2484" spans="1:11" ht="42" customHeight="1">
      <c r="A2484" s="2" t="s">
        <v>7082</v>
      </c>
      <c r="B2484" s="2" t="s">
        <v>7083</v>
      </c>
      <c r="C2484" s="2" t="s">
        <v>26</v>
      </c>
      <c r="D2484" s="2" t="s">
        <v>18</v>
      </c>
      <c r="E2484" s="4">
        <v>-32197</v>
      </c>
      <c r="F2484" s="3" t="s">
        <v>687</v>
      </c>
      <c r="G2484" s="3" t="s">
        <v>1240</v>
      </c>
      <c r="H2484" s="2" t="s">
        <v>148</v>
      </c>
      <c r="I2484" s="2" t="s">
        <v>7084</v>
      </c>
      <c r="J2484" s="3" t="str">
        <f>HYPERLINK("https://www.boe.es/gazeta/dias/1811/11/05/pdfs/GEI-1811-143.pdf#page=8","Abrir facsímil")</f>
        <v>Abrir facsímil</v>
      </c>
      <c r="K2484" s="3" t="s">
        <v>150</v>
      </c>
    </row>
    <row r="2485" spans="1:11" ht="42" customHeight="1">
      <c r="A2485" s="2" t="s">
        <v>7085</v>
      </c>
      <c r="B2485" s="2" t="s">
        <v>7086</v>
      </c>
      <c r="C2485" s="2" t="s">
        <v>26</v>
      </c>
      <c r="D2485" s="2" t="s">
        <v>141</v>
      </c>
      <c r="E2485" s="4">
        <v>-32238</v>
      </c>
      <c r="F2485" s="3" t="s">
        <v>166</v>
      </c>
      <c r="G2485" s="3" t="s">
        <v>657</v>
      </c>
      <c r="H2485" s="2" t="s">
        <v>148</v>
      </c>
      <c r="I2485" s="2" t="s">
        <v>7087</v>
      </c>
      <c r="J2485" s="3" t="str">
        <f>HYPERLINK("https://www.boe.es/gazeta/dias/1811/09/25/pdfs/GMD-C-1811-268.pdf#page=3","Abrir facsímil")</f>
        <v>Abrir facsímil</v>
      </c>
      <c r="K2485" s="3" t="s">
        <v>150</v>
      </c>
    </row>
    <row r="2486" spans="1:11" ht="42" customHeight="1">
      <c r="A2486" s="2" t="s">
        <v>7088</v>
      </c>
      <c r="B2486" s="2" t="s">
        <v>7089</v>
      </c>
      <c r="C2486" s="2" t="s">
        <v>17</v>
      </c>
      <c r="D2486" s="2" t="s">
        <v>18</v>
      </c>
      <c r="E2486" s="4">
        <v>-32162</v>
      </c>
      <c r="F2486" s="3" t="s">
        <v>317</v>
      </c>
      <c r="G2486" s="3" t="s">
        <v>5003</v>
      </c>
      <c r="H2486" s="2" t="s">
        <v>148</v>
      </c>
      <c r="I2486" s="2" t="s">
        <v>7090</v>
      </c>
      <c r="J2486" s="3" t="str">
        <f>HYPERLINK("https://www.boe.es/gazeta/dias/1811/12/10/pdfs/GEI-1811-160.pdf#page=7","Abrir facsímil")</f>
        <v>Abrir facsímil</v>
      </c>
      <c r="K2486" s="3" t="s">
        <v>150</v>
      </c>
    </row>
    <row r="2487" spans="1:11" ht="42" customHeight="1">
      <c r="A2487" s="2" t="s">
        <v>7091</v>
      </c>
      <c r="B2487" s="2" t="s">
        <v>7092</v>
      </c>
      <c r="C2487" s="2" t="s">
        <v>17</v>
      </c>
      <c r="D2487" s="2" t="s">
        <v>18</v>
      </c>
      <c r="E2487" s="4">
        <v>-32187</v>
      </c>
      <c r="F2487" s="3" t="s">
        <v>1775</v>
      </c>
      <c r="G2487" s="3" t="s">
        <v>657</v>
      </c>
      <c r="H2487" s="2" t="s">
        <v>148</v>
      </c>
      <c r="I2487" s="2" t="s">
        <v>7093</v>
      </c>
      <c r="J2487" s="3" t="str">
        <f>HYPERLINK("https://www.boe.es/gazeta/dias/1811/11/15/pdfs/GMD-1811-319.pdf#page=4","Abrir facsímil")</f>
        <v>Abrir facsímil</v>
      </c>
      <c r="K2487" s="3" t="s">
        <v>150</v>
      </c>
    </row>
    <row r="2488" spans="1:11" ht="42" customHeight="1">
      <c r="A2488" s="2" t="s">
        <v>7094</v>
      </c>
      <c r="B2488" s="2" t="s">
        <v>7095</v>
      </c>
      <c r="C2488" s="2" t="s">
        <v>17</v>
      </c>
      <c r="D2488" s="2" t="s">
        <v>18</v>
      </c>
      <c r="E2488" s="4">
        <v>-32451</v>
      </c>
      <c r="F2488" s="3" t="s">
        <v>2651</v>
      </c>
      <c r="G2488" s="3" t="s">
        <v>2652</v>
      </c>
      <c r="H2488" s="2" t="s">
        <v>148</v>
      </c>
      <c r="I2488" s="2" t="s">
        <v>7096</v>
      </c>
      <c r="J2488" s="3" t="str">
        <f>HYPERLINK("https://www.boe.es/gazeta/dias/1811/02/24/pdfs/GMD-1811-55.pdf#page=4","Abrir facsímil")</f>
        <v>Abrir facsímil</v>
      </c>
      <c r="K2488" s="3" t="s">
        <v>150</v>
      </c>
    </row>
    <row r="2489" spans="1:11" ht="42" customHeight="1">
      <c r="A2489" s="2" t="s">
        <v>7097</v>
      </c>
      <c r="B2489" s="2" t="s">
        <v>7098</v>
      </c>
      <c r="C2489" s="2" t="s">
        <v>17</v>
      </c>
      <c r="D2489" s="2" t="s">
        <v>18</v>
      </c>
      <c r="E2489" s="4">
        <v>-32298</v>
      </c>
      <c r="F2489" s="3" t="s">
        <v>133</v>
      </c>
      <c r="G2489" s="3" t="s">
        <v>134</v>
      </c>
      <c r="H2489" s="2" t="s">
        <v>148</v>
      </c>
      <c r="I2489" s="2" t="s">
        <v>7099</v>
      </c>
      <c r="J2489" s="3" t="str">
        <f>HYPERLINK("https://www.boe.es/gazeta/dias/1811/07/27/pdfs/GEI-1811-98.pdf#page=7","Abrir facsímil")</f>
        <v>Abrir facsímil</v>
      </c>
      <c r="K2489" s="3" t="s">
        <v>150</v>
      </c>
    </row>
    <row r="2490" spans="1:11" ht="42" customHeight="1">
      <c r="A2490" s="2" t="s">
        <v>7100</v>
      </c>
      <c r="B2490" s="2" t="s">
        <v>7101</v>
      </c>
      <c r="C2490" s="2" t="s">
        <v>84</v>
      </c>
      <c r="D2490" s="2" t="s">
        <v>18</v>
      </c>
      <c r="E2490" s="4">
        <v>-32230</v>
      </c>
      <c r="F2490" s="3" t="s">
        <v>856</v>
      </c>
      <c r="G2490" s="3" t="s">
        <v>178</v>
      </c>
      <c r="H2490" s="2" t="s">
        <v>148</v>
      </c>
      <c r="I2490" s="2" t="s">
        <v>7102</v>
      </c>
      <c r="J2490" s="3" t="str">
        <f>HYPERLINK("https://www.boe.es/gazeta/dias/1811/10/03/pdfs/GMD-1811-276.pdf#page=4","Abrir facsímil")</f>
        <v>Abrir facsímil</v>
      </c>
      <c r="K2490" s="3" t="s">
        <v>150</v>
      </c>
    </row>
    <row r="2491" spans="1:11" ht="42" customHeight="1">
      <c r="A2491" s="2" t="s">
        <v>7103</v>
      </c>
      <c r="B2491" s="2" t="s">
        <v>7104</v>
      </c>
      <c r="C2491" s="2" t="s">
        <v>26</v>
      </c>
      <c r="D2491" s="2" t="s">
        <v>18</v>
      </c>
      <c r="E2491" s="4">
        <v>-32188</v>
      </c>
      <c r="F2491" s="3" t="s">
        <v>356</v>
      </c>
      <c r="G2491" s="3" t="s">
        <v>248</v>
      </c>
      <c r="H2491" s="2" t="s">
        <v>148</v>
      </c>
      <c r="I2491" s="2" t="s">
        <v>7105</v>
      </c>
      <c r="J2491" s="3" t="str">
        <f>HYPERLINK("https://www.boe.es/gazeta/dias/1811/11/14/pdfs/GMD-1811-318.pdf#page=5","Abrir facsímil")</f>
        <v>Abrir facsímil</v>
      </c>
      <c r="K2491" s="3" t="s">
        <v>150</v>
      </c>
    </row>
    <row r="2492" spans="1:11" ht="42" customHeight="1">
      <c r="A2492" s="2" t="s">
        <v>7106</v>
      </c>
      <c r="B2492" s="2" t="s">
        <v>7107</v>
      </c>
      <c r="C2492" s="2" t="s">
        <v>26</v>
      </c>
      <c r="D2492" s="2" t="s">
        <v>18</v>
      </c>
      <c r="E2492" s="4">
        <v>-32188</v>
      </c>
      <c r="F2492" s="3" t="s">
        <v>356</v>
      </c>
      <c r="G2492" s="3" t="s">
        <v>248</v>
      </c>
      <c r="H2492" s="2" t="s">
        <v>148</v>
      </c>
      <c r="I2492" s="2" t="s">
        <v>7108</v>
      </c>
      <c r="J2492" s="3" t="str">
        <f>HYPERLINK("https://www.boe.es/gazeta/dias/1811/11/14/pdfs/GMD-1811-318.pdf#page=5","Abrir facsímil")</f>
        <v>Abrir facsímil</v>
      </c>
      <c r="K2492" s="3" t="s">
        <v>150</v>
      </c>
    </row>
    <row r="2493" spans="1:11" ht="42" customHeight="1">
      <c r="A2493" s="2" t="s">
        <v>7109</v>
      </c>
      <c r="B2493" s="2" t="s">
        <v>7110</v>
      </c>
      <c r="C2493" s="2" t="s">
        <v>26</v>
      </c>
      <c r="D2493" s="2" t="s">
        <v>18</v>
      </c>
      <c r="E2493" s="4">
        <v>-32188</v>
      </c>
      <c r="F2493" s="3" t="s">
        <v>356</v>
      </c>
      <c r="G2493" s="3" t="s">
        <v>248</v>
      </c>
      <c r="H2493" s="2" t="s">
        <v>148</v>
      </c>
      <c r="I2493" s="2" t="s">
        <v>7111</v>
      </c>
      <c r="J2493" s="3" t="str">
        <f>HYPERLINK("https://www.boe.es/gazeta/dias/1811/11/14/pdfs/GMD-1811-318.pdf#page=5","Abrir facsímil")</f>
        <v>Abrir facsímil</v>
      </c>
      <c r="K2493" s="3" t="s">
        <v>150</v>
      </c>
    </row>
    <row r="2494" spans="1:11" ht="42" customHeight="1">
      <c r="A2494" s="2" t="s">
        <v>7112</v>
      </c>
      <c r="B2494" s="2" t="s">
        <v>7113</v>
      </c>
      <c r="C2494" s="2" t="s">
        <v>26</v>
      </c>
      <c r="D2494" s="2" t="s">
        <v>141</v>
      </c>
      <c r="E2494" s="4">
        <v>-32238</v>
      </c>
      <c r="F2494" s="3" t="s">
        <v>166</v>
      </c>
      <c r="G2494" s="3" t="s">
        <v>657</v>
      </c>
      <c r="H2494" s="2" t="s">
        <v>148</v>
      </c>
      <c r="I2494" s="2" t="s">
        <v>7114</v>
      </c>
      <c r="J2494" s="3" t="str">
        <f>HYPERLINK("https://www.boe.es/gazeta/dias/1811/09/25/pdfs/GMD-C-1811-268.pdf#page=3","Abrir facsímil")</f>
        <v>Abrir facsímil</v>
      </c>
      <c r="K2494" s="3" t="s">
        <v>150</v>
      </c>
    </row>
    <row r="2495" spans="1:11" ht="42" customHeight="1">
      <c r="A2495" s="2" t="s">
        <v>7115</v>
      </c>
      <c r="B2495" s="2" t="s">
        <v>7116</v>
      </c>
      <c r="C2495" s="2" t="s">
        <v>26</v>
      </c>
      <c r="D2495" s="2" t="s">
        <v>141</v>
      </c>
      <c r="E2495" s="4">
        <v>-32355</v>
      </c>
      <c r="F2495" s="3" t="s">
        <v>537</v>
      </c>
      <c r="G2495" s="3" t="s">
        <v>2225</v>
      </c>
      <c r="H2495" s="2" t="s">
        <v>148</v>
      </c>
      <c r="I2495" s="2" t="s">
        <v>7117</v>
      </c>
      <c r="J2495" s="3" t="str">
        <f>HYPERLINK("https://www.boe.es/gazeta/dias/1811/05/31/pdfs/GMD-C-1811-151.pdf#page=5","Abrir facsímil")</f>
        <v>Abrir facsímil</v>
      </c>
      <c r="K2495" s="3" t="s">
        <v>150</v>
      </c>
    </row>
    <row r="2496" spans="1:11" ht="42" customHeight="1">
      <c r="A2496" s="2" t="s">
        <v>7118</v>
      </c>
      <c r="B2496" s="2" t="s">
        <v>7119</v>
      </c>
      <c r="C2496" s="2" t="s">
        <v>84</v>
      </c>
      <c r="D2496" s="2" t="s">
        <v>18</v>
      </c>
      <c r="E2496" s="4">
        <v>-32356</v>
      </c>
      <c r="F2496" s="3" t="s">
        <v>648</v>
      </c>
      <c r="G2496" s="3" t="s">
        <v>115</v>
      </c>
      <c r="H2496" s="2" t="s">
        <v>21</v>
      </c>
      <c r="I2496" s="2" t="s">
        <v>7120</v>
      </c>
      <c r="J2496" s="3" t="str">
        <f>HYPERLINK("https://www.boe.es/gazeta/dias/1811/05/30/pdfs/GMD-1811-150.pdf#page=3","Abrir facsímil")</f>
        <v>Abrir facsímil</v>
      </c>
      <c r="K2496" s="3" t="s">
        <v>23</v>
      </c>
    </row>
    <row r="2497" spans="1:11" ht="42" customHeight="1">
      <c r="A2497" s="2" t="s">
        <v>7121</v>
      </c>
      <c r="B2497" s="2" t="s">
        <v>7122</v>
      </c>
      <c r="C2497" s="2" t="s">
        <v>26</v>
      </c>
      <c r="D2497" s="2" t="s">
        <v>18</v>
      </c>
      <c r="E2497" s="4">
        <v>-32188</v>
      </c>
      <c r="F2497" s="3" t="s">
        <v>356</v>
      </c>
      <c r="G2497" s="3" t="s">
        <v>248</v>
      </c>
      <c r="H2497" s="2" t="s">
        <v>148</v>
      </c>
      <c r="I2497" s="2" t="s">
        <v>7123</v>
      </c>
      <c r="J2497" s="3" t="str">
        <f>HYPERLINK("https://www.boe.es/gazeta/dias/1811/11/14/pdfs/GMD-1811-318.pdf#page=5","Abrir facsímil")</f>
        <v>Abrir facsímil</v>
      </c>
      <c r="K2497" s="3" t="s">
        <v>150</v>
      </c>
    </row>
    <row r="2498" spans="1:11" ht="42" customHeight="1">
      <c r="A2498" s="2" t="s">
        <v>7124</v>
      </c>
      <c r="B2498" s="2" t="s">
        <v>7125</v>
      </c>
      <c r="C2498" s="2" t="s">
        <v>26</v>
      </c>
      <c r="D2498" s="2" t="s">
        <v>18</v>
      </c>
      <c r="E2498" s="4">
        <v>-32195</v>
      </c>
      <c r="F2498" s="3" t="s">
        <v>439</v>
      </c>
      <c r="G2498" s="3" t="s">
        <v>2092</v>
      </c>
      <c r="H2498" s="2" t="s">
        <v>148</v>
      </c>
      <c r="I2498" s="2" t="s">
        <v>7126</v>
      </c>
      <c r="J2498" s="3" t="str">
        <f>HYPERLINK("https://www.boe.es/gazeta/dias/1811/11/07/pdfs/GEI-1811-144.pdf#page=7","Abrir facsímil")</f>
        <v>Abrir facsímil</v>
      </c>
      <c r="K2498" s="3" t="s">
        <v>150</v>
      </c>
    </row>
    <row r="2499" spans="1:11" ht="42" customHeight="1">
      <c r="A2499" s="2" t="s">
        <v>7127</v>
      </c>
      <c r="B2499" s="2" t="s">
        <v>7128</v>
      </c>
      <c r="C2499" s="2" t="s">
        <v>26</v>
      </c>
      <c r="D2499" s="2" t="s">
        <v>18</v>
      </c>
      <c r="E2499" s="4">
        <v>-32188</v>
      </c>
      <c r="F2499" s="3" t="s">
        <v>356</v>
      </c>
      <c r="G2499" s="3" t="s">
        <v>468</v>
      </c>
      <c r="H2499" s="2" t="s">
        <v>148</v>
      </c>
      <c r="I2499" s="2" t="s">
        <v>7129</v>
      </c>
      <c r="J2499" s="3" t="str">
        <f>HYPERLINK("https://www.boe.es/gazeta/dias/1811/11/14/pdfs/GMD-1811-318.pdf#page=6","Abrir facsímil")</f>
        <v>Abrir facsímil</v>
      </c>
      <c r="K2499" s="3" t="s">
        <v>150</v>
      </c>
    </row>
    <row r="2500" spans="1:11" ht="42" customHeight="1">
      <c r="A2500" s="2" t="s">
        <v>7130</v>
      </c>
      <c r="B2500" s="2" t="s">
        <v>7131</v>
      </c>
      <c r="C2500" s="2" t="s">
        <v>17</v>
      </c>
      <c r="D2500" s="2" t="s">
        <v>156</v>
      </c>
      <c r="E2500" s="4">
        <v>-32309</v>
      </c>
      <c r="F2500" s="3" t="s">
        <v>2496</v>
      </c>
      <c r="G2500" s="3" t="s">
        <v>47</v>
      </c>
      <c r="H2500" s="2" t="s">
        <v>148</v>
      </c>
      <c r="I2500" s="2" t="s">
        <v>7132</v>
      </c>
      <c r="J2500" s="3" t="str">
        <f>HYPERLINK("https://www.boe.es/gazeta/dias/1811/07/16/pdfs/GEI-1811-93.pdf#page=8","Abrir facsímil")</f>
        <v>Abrir facsímil</v>
      </c>
      <c r="K2500" s="3" t="s">
        <v>150</v>
      </c>
    </row>
    <row r="2501" spans="1:11" ht="42" customHeight="1">
      <c r="A2501" s="2" t="s">
        <v>7133</v>
      </c>
      <c r="B2501" s="2" t="s">
        <v>7134</v>
      </c>
      <c r="C2501" s="2" t="s">
        <v>17</v>
      </c>
      <c r="D2501" s="2" t="s">
        <v>18</v>
      </c>
      <c r="E2501" s="4">
        <v>-32185</v>
      </c>
      <c r="F2501" s="3" t="s">
        <v>1329</v>
      </c>
      <c r="G2501" s="3" t="s">
        <v>120</v>
      </c>
      <c r="H2501" s="2" t="s">
        <v>148</v>
      </c>
      <c r="I2501" s="2" t="s">
        <v>7135</v>
      </c>
      <c r="J2501" s="3" t="str">
        <f>HYPERLINK("https://www.boe.es/gazeta/dias/1811/11/17/pdfs/GMD-1811-321.pdf#page=4","Abrir facsímil")</f>
        <v>Abrir facsímil</v>
      </c>
      <c r="K2501" s="3" t="s">
        <v>150</v>
      </c>
    </row>
    <row r="2502" spans="1:11" ht="42" customHeight="1">
      <c r="A2502" s="2" t="s">
        <v>7136</v>
      </c>
      <c r="B2502" s="2" t="s">
        <v>7137</v>
      </c>
      <c r="C2502" s="2" t="s">
        <v>104</v>
      </c>
      <c r="D2502" s="2" t="s">
        <v>141</v>
      </c>
      <c r="E2502" s="4">
        <v>-32389</v>
      </c>
      <c r="F2502" s="3" t="s">
        <v>524</v>
      </c>
      <c r="G2502" s="3" t="s">
        <v>525</v>
      </c>
      <c r="H2502" s="2" t="s">
        <v>148</v>
      </c>
      <c r="I2502" s="2" t="s">
        <v>7138</v>
      </c>
      <c r="J2502" s="3" t="str">
        <f>HYPERLINK("https://www.boe.es/gazeta/dias/1811/04/27/pdfs/GEI-D-1811-56.pdf#page=4","Abrir facsímil")</f>
        <v>Abrir facsímil</v>
      </c>
      <c r="K2502" s="3" t="s">
        <v>150</v>
      </c>
    </row>
    <row r="2503" spans="1:11" ht="42" customHeight="1">
      <c r="A2503" s="2" t="s">
        <v>7139</v>
      </c>
      <c r="B2503" s="2" t="s">
        <v>7140</v>
      </c>
      <c r="C2503" s="2" t="s">
        <v>26</v>
      </c>
      <c r="D2503" s="2" t="s">
        <v>18</v>
      </c>
      <c r="E2503" s="4">
        <v>-32153</v>
      </c>
      <c r="F2503" s="3" t="s">
        <v>123</v>
      </c>
      <c r="G2503" s="3" t="s">
        <v>288</v>
      </c>
      <c r="H2503" s="2" t="s">
        <v>148</v>
      </c>
      <c r="I2503" s="2" t="s">
        <v>7141</v>
      </c>
      <c r="J2503" s="3" t="str">
        <f>HYPERLINK("https://www.boe.es/gazeta/dias/1811/12/19/pdfs/GMD-1811-353.pdf#page=4","Abrir facsímil")</f>
        <v>Abrir facsímil</v>
      </c>
      <c r="K2503" s="3" t="s">
        <v>150</v>
      </c>
    </row>
    <row r="2504" spans="1:11" ht="42" customHeight="1">
      <c r="A2504" s="2" t="s">
        <v>7142</v>
      </c>
      <c r="B2504" s="2" t="s">
        <v>7143</v>
      </c>
      <c r="C2504" s="2" t="s">
        <v>17</v>
      </c>
      <c r="D2504" s="2" t="s">
        <v>156</v>
      </c>
      <c r="E2504" s="4">
        <v>-32165</v>
      </c>
      <c r="F2504" s="3" t="s">
        <v>1462</v>
      </c>
      <c r="G2504" s="3" t="s">
        <v>1463</v>
      </c>
      <c r="H2504" s="2" t="s">
        <v>148</v>
      </c>
      <c r="I2504" s="2" t="s">
        <v>7144</v>
      </c>
      <c r="J2504" s="3" t="str">
        <f>HYPERLINK("https://www.boe.es/gazeta/dias/1811/12/07/pdfs/GMD-1811-341.pdf#page=3","Abrir facsímil")</f>
        <v>Abrir facsímil</v>
      </c>
      <c r="K2504" s="3" t="s">
        <v>150</v>
      </c>
    </row>
    <row r="2505" spans="1:11" ht="42" customHeight="1">
      <c r="A2505" s="2" t="s">
        <v>7145</v>
      </c>
      <c r="B2505" s="2" t="s">
        <v>7146</v>
      </c>
      <c r="C2505" s="2" t="s">
        <v>17</v>
      </c>
      <c r="D2505" s="2" t="s">
        <v>156</v>
      </c>
      <c r="E2505" s="4">
        <v>-32337</v>
      </c>
      <c r="F2505" s="3" t="s">
        <v>5266</v>
      </c>
      <c r="G2505" s="3" t="s">
        <v>4049</v>
      </c>
      <c r="H2505" s="2" t="s">
        <v>21</v>
      </c>
      <c r="I2505" s="2" t="s">
        <v>7147</v>
      </c>
      <c r="J2505" s="3" t="str">
        <f>HYPERLINK("https://www.boe.es/gazeta/dias/1811/06/18/pdfs/GEI-1811-81.pdf#page=5","Abrir facsímil")</f>
        <v>Abrir facsímil</v>
      </c>
      <c r="K2505" s="3" t="s">
        <v>23</v>
      </c>
    </row>
    <row r="2506" spans="1:11" ht="42" customHeight="1">
      <c r="A2506" s="2" t="s">
        <v>7148</v>
      </c>
      <c r="B2506" s="2" t="s">
        <v>7149</v>
      </c>
      <c r="C2506" s="2" t="s">
        <v>26</v>
      </c>
      <c r="D2506" s="2" t="s">
        <v>18</v>
      </c>
      <c r="E2506" s="4">
        <v>-32456</v>
      </c>
      <c r="F2506" s="3" t="s">
        <v>1261</v>
      </c>
      <c r="G2506" s="3" t="s">
        <v>7150</v>
      </c>
      <c r="H2506" s="2" t="s">
        <v>21</v>
      </c>
      <c r="I2506" s="2" t="s">
        <v>7151</v>
      </c>
      <c r="J2506" s="3" t="str">
        <f>HYPERLINK("https://www.boe.es/gazeta/dias/1811/02/19/pdfs/GEI-1811-22.pdf#page=7","Abrir facsímil")</f>
        <v>Abrir facsímil</v>
      </c>
      <c r="K2506" s="3" t="s">
        <v>23</v>
      </c>
    </row>
    <row r="2507" spans="1:11" ht="42" customHeight="1">
      <c r="A2507" s="2" t="s">
        <v>7152</v>
      </c>
      <c r="B2507" s="2" t="s">
        <v>7153</v>
      </c>
      <c r="C2507" s="2" t="s">
        <v>26</v>
      </c>
      <c r="D2507" s="2" t="s">
        <v>18</v>
      </c>
      <c r="E2507" s="4">
        <v>-32379</v>
      </c>
      <c r="F2507" s="3" t="s">
        <v>462</v>
      </c>
      <c r="G2507" s="3" t="s">
        <v>463</v>
      </c>
      <c r="H2507" s="2" t="s">
        <v>148</v>
      </c>
      <c r="I2507" s="2" t="s">
        <v>7154</v>
      </c>
      <c r="J2507" s="3" t="str">
        <f>HYPERLINK("https://www.boe.es/gazeta/dias/1811/05/07/pdfs/GEI-1811-60.pdf#page=8","Abrir facsímil")</f>
        <v>Abrir facsímil</v>
      </c>
      <c r="K2507" s="3" t="s">
        <v>150</v>
      </c>
    </row>
    <row r="2508" spans="1:11" ht="42" customHeight="1">
      <c r="A2508" s="2" t="s">
        <v>7155</v>
      </c>
      <c r="B2508" s="2" t="s">
        <v>7156</v>
      </c>
      <c r="C2508" s="2" t="s">
        <v>26</v>
      </c>
      <c r="D2508" s="2" t="s">
        <v>18</v>
      </c>
      <c r="E2508" s="4">
        <v>-32452</v>
      </c>
      <c r="F2508" s="3" t="s">
        <v>106</v>
      </c>
      <c r="G2508" s="3" t="s">
        <v>20</v>
      </c>
      <c r="H2508" s="2" t="s">
        <v>148</v>
      </c>
      <c r="I2508" s="2" t="s">
        <v>7157</v>
      </c>
      <c r="J2508" s="3" t="str">
        <f>HYPERLINK("https://www.boe.es/gazeta/dias/1811/02/23/pdfs/GEI-1811-24.pdf#page=8","Abrir facsímil")</f>
        <v>Abrir facsímil</v>
      </c>
      <c r="K2508" s="3" t="s">
        <v>150</v>
      </c>
    </row>
    <row r="2509" spans="1:11" ht="42" customHeight="1">
      <c r="A2509" s="2" t="s">
        <v>7158</v>
      </c>
      <c r="B2509" s="2" t="s">
        <v>7159</v>
      </c>
      <c r="C2509" s="2" t="s">
        <v>26</v>
      </c>
      <c r="D2509" s="2" t="s">
        <v>18</v>
      </c>
      <c r="E2509" s="4">
        <v>-32392</v>
      </c>
      <c r="F2509" s="3" t="s">
        <v>3140</v>
      </c>
      <c r="G2509" s="3" t="s">
        <v>7160</v>
      </c>
      <c r="H2509" s="2" t="s">
        <v>148</v>
      </c>
      <c r="I2509" s="2" t="s">
        <v>7161</v>
      </c>
      <c r="J2509" s="3" t="str">
        <f>HYPERLINK("https://www.boe.es/gazeta/dias/1811/04/24/pdfs/GMD-1811-114.pdf#page=1","Abrir facsímil")</f>
        <v>Abrir facsímil</v>
      </c>
      <c r="K2509" s="3" t="s">
        <v>150</v>
      </c>
    </row>
    <row r="2510" spans="1:11" ht="42" customHeight="1">
      <c r="A2510" s="2" t="s">
        <v>7162</v>
      </c>
      <c r="B2510" s="2" t="s">
        <v>7163</v>
      </c>
      <c r="C2510" s="2" t="s">
        <v>26</v>
      </c>
      <c r="D2510" s="2" t="s">
        <v>141</v>
      </c>
      <c r="E2510" s="4">
        <v>-32249</v>
      </c>
      <c r="F2510" s="3" t="s">
        <v>743</v>
      </c>
      <c r="G2510" s="3" t="s">
        <v>1021</v>
      </c>
      <c r="H2510" s="2" t="s">
        <v>148</v>
      </c>
      <c r="I2510" s="2" t="s">
        <v>7164</v>
      </c>
      <c r="J2510" s="3" t="str">
        <f>HYPERLINK("https://www.boe.es/gazeta/dias/1811/09/14/pdfs/GMD-C-1811-257.pdf#page=2","Abrir facsímil")</f>
        <v>Abrir facsímil</v>
      </c>
      <c r="K2510" s="3" t="s">
        <v>150</v>
      </c>
    </row>
    <row r="2511" spans="1:11" ht="42" customHeight="1">
      <c r="A2511" s="2" t="s">
        <v>7165</v>
      </c>
      <c r="B2511" s="2" t="s">
        <v>7166</v>
      </c>
      <c r="C2511" s="2" t="s">
        <v>26</v>
      </c>
      <c r="D2511" s="2" t="s">
        <v>18</v>
      </c>
      <c r="E2511" s="4">
        <v>-32242</v>
      </c>
      <c r="F2511" s="3" t="s">
        <v>1295</v>
      </c>
      <c r="G2511" s="3" t="s">
        <v>1296</v>
      </c>
      <c r="H2511" s="2" t="s">
        <v>148</v>
      </c>
      <c r="I2511" s="2" t="s">
        <v>7167</v>
      </c>
      <c r="J2511" s="3" t="str">
        <f>HYPERLINK("https://www.boe.es/gazeta/dias/1811/09/21/pdfs/GEI-1811-122.pdf#page=8","Abrir facsímil")</f>
        <v>Abrir facsímil</v>
      </c>
      <c r="K2511" s="3" t="s">
        <v>150</v>
      </c>
    </row>
    <row r="2512" spans="1:11" ht="42" customHeight="1">
      <c r="A2512" s="2" t="s">
        <v>7168</v>
      </c>
      <c r="B2512" s="2" t="s">
        <v>7169</v>
      </c>
      <c r="C2512" s="2" t="s">
        <v>17</v>
      </c>
      <c r="D2512" s="2" t="s">
        <v>18</v>
      </c>
      <c r="E2512" s="4">
        <v>-32414</v>
      </c>
      <c r="F2512" s="3" t="s">
        <v>213</v>
      </c>
      <c r="G2512" s="3" t="s">
        <v>91</v>
      </c>
      <c r="H2512" s="2" t="s">
        <v>148</v>
      </c>
      <c r="I2512" s="2" t="s">
        <v>7170</v>
      </c>
      <c r="J2512" s="3" t="str">
        <f>HYPERLINK("https://www.boe.es/gazeta/dias/1811/04/02/pdfs/GEI-1811-45.pdf#page=2","Abrir facsímil")</f>
        <v>Abrir facsímil</v>
      </c>
      <c r="K2512" s="3" t="s">
        <v>150</v>
      </c>
    </row>
    <row r="2513" spans="1:11" ht="42" customHeight="1">
      <c r="A2513" s="2" t="s">
        <v>7171</v>
      </c>
      <c r="B2513" s="2" t="s">
        <v>7172</v>
      </c>
      <c r="C2513" s="2" t="s">
        <v>26</v>
      </c>
      <c r="D2513" s="2" t="s">
        <v>18</v>
      </c>
      <c r="E2513" s="4">
        <v>-32452</v>
      </c>
      <c r="F2513" s="3" t="s">
        <v>106</v>
      </c>
      <c r="G2513" s="3" t="s">
        <v>20</v>
      </c>
      <c r="H2513" s="2" t="s">
        <v>148</v>
      </c>
      <c r="I2513" s="2" t="s">
        <v>7173</v>
      </c>
      <c r="J2513" s="3" t="str">
        <f>HYPERLINK("https://www.boe.es/gazeta/dias/1811/02/23/pdfs/GEI-1811-24.pdf#page=8","Abrir facsímil")</f>
        <v>Abrir facsímil</v>
      </c>
      <c r="K2513" s="3" t="s">
        <v>150</v>
      </c>
    </row>
    <row r="2514" spans="1:11" ht="42" customHeight="1">
      <c r="A2514" s="2" t="s">
        <v>7174</v>
      </c>
      <c r="B2514" s="2" t="s">
        <v>7175</v>
      </c>
      <c r="C2514" s="2" t="s">
        <v>26</v>
      </c>
      <c r="D2514" s="2" t="s">
        <v>141</v>
      </c>
      <c r="E2514" s="4">
        <v>-32238</v>
      </c>
      <c r="F2514" s="3" t="s">
        <v>166</v>
      </c>
      <c r="G2514" s="3" t="s">
        <v>129</v>
      </c>
      <c r="H2514" s="2" t="s">
        <v>148</v>
      </c>
      <c r="I2514" s="2" t="s">
        <v>7176</v>
      </c>
      <c r="J2514" s="3" t="str">
        <f>HYPERLINK("https://www.boe.es/gazeta/dias/1811/09/25/pdfs/GMD-C-1811-268.pdf#page=1","Abrir facsímil")</f>
        <v>Abrir facsímil</v>
      </c>
      <c r="K2514" s="3" t="s">
        <v>150</v>
      </c>
    </row>
    <row r="2515" spans="1:11" ht="42" customHeight="1">
      <c r="A2515" s="2" t="s">
        <v>7177</v>
      </c>
      <c r="B2515" s="2" t="s">
        <v>7178</v>
      </c>
      <c r="C2515" s="2" t="s">
        <v>26</v>
      </c>
      <c r="D2515" s="2" t="s">
        <v>18</v>
      </c>
      <c r="E2515" s="4">
        <v>-32205</v>
      </c>
      <c r="F2515" s="3" t="s">
        <v>7179</v>
      </c>
      <c r="G2515" s="3" t="s">
        <v>2196</v>
      </c>
      <c r="H2515" s="2" t="s">
        <v>148</v>
      </c>
      <c r="I2515" s="2" t="s">
        <v>7180</v>
      </c>
      <c r="J2515" s="3" t="str">
        <f>HYPERLINK("https://www.boe.es/gazeta/dias/1811/10/28/pdfs/GMD-1811-301.pdf#page=4","Abrir facsímil")</f>
        <v>Abrir facsímil</v>
      </c>
      <c r="K2515" s="3" t="s">
        <v>150</v>
      </c>
    </row>
    <row r="2516" spans="1:11" ht="42" customHeight="1">
      <c r="A2516" s="2" t="s">
        <v>7181</v>
      </c>
      <c r="B2516" s="2" t="s">
        <v>7182</v>
      </c>
      <c r="C2516" s="2" t="s">
        <v>26</v>
      </c>
      <c r="D2516" s="2" t="s">
        <v>18</v>
      </c>
      <c r="E2516" s="4">
        <v>-32188</v>
      </c>
      <c r="F2516" s="3" t="s">
        <v>356</v>
      </c>
      <c r="G2516" s="3" t="s">
        <v>248</v>
      </c>
      <c r="H2516" s="2" t="s">
        <v>148</v>
      </c>
      <c r="I2516" s="2" t="s">
        <v>7183</v>
      </c>
      <c r="J2516" s="3" t="str">
        <f>HYPERLINK("https://www.boe.es/gazeta/dias/1811/11/14/pdfs/GMD-1811-318.pdf#page=5","Abrir facsímil")</f>
        <v>Abrir facsímil</v>
      </c>
      <c r="K2516" s="3" t="s">
        <v>150</v>
      </c>
    </row>
    <row r="2517" spans="1:11" ht="42" customHeight="1">
      <c r="A2517" s="2" t="s">
        <v>7184</v>
      </c>
      <c r="B2517" s="2" t="s">
        <v>7185</v>
      </c>
      <c r="C2517" s="2" t="s">
        <v>26</v>
      </c>
      <c r="D2517" s="2" t="s">
        <v>141</v>
      </c>
      <c r="E2517" s="4">
        <v>-32238</v>
      </c>
      <c r="F2517" s="3" t="s">
        <v>166</v>
      </c>
      <c r="G2517" s="3" t="s">
        <v>129</v>
      </c>
      <c r="H2517" s="2" t="s">
        <v>148</v>
      </c>
      <c r="I2517" s="2" t="s">
        <v>7186</v>
      </c>
      <c r="J2517" s="3" t="str">
        <f>HYPERLINK("https://www.boe.es/gazeta/dias/1811/09/25/pdfs/GMD-C-1811-268.pdf#page=1","Abrir facsímil")</f>
        <v>Abrir facsímil</v>
      </c>
      <c r="K2517" s="3" t="s">
        <v>150</v>
      </c>
    </row>
    <row r="2518" spans="1:11" ht="42" customHeight="1">
      <c r="A2518" s="2" t="s">
        <v>7187</v>
      </c>
      <c r="B2518" s="2" t="s">
        <v>7188</v>
      </c>
      <c r="C2518" s="2" t="s">
        <v>26</v>
      </c>
      <c r="D2518" s="2" t="s">
        <v>105</v>
      </c>
      <c r="E2518" s="4">
        <v>-32249</v>
      </c>
      <c r="F2518" s="3" t="s">
        <v>743</v>
      </c>
      <c r="G2518" s="3" t="s">
        <v>468</v>
      </c>
      <c r="H2518" s="2" t="s">
        <v>148</v>
      </c>
      <c r="I2518" s="2" t="s">
        <v>7189</v>
      </c>
      <c r="J2518" s="3" t="str">
        <f>HYPERLINK("https://www.boe.es/gazeta/dias/1811/09/14/pdfs/GMD-C-1811-257.pdf#page=1","Abrir facsímil")</f>
        <v>Abrir facsímil</v>
      </c>
      <c r="K2518" s="3" t="s">
        <v>150</v>
      </c>
    </row>
    <row r="2519" spans="1:11" ht="42" customHeight="1">
      <c r="A2519" s="2" t="s">
        <v>7190</v>
      </c>
      <c r="B2519" s="2" t="s">
        <v>7191</v>
      </c>
      <c r="C2519" s="2" t="s">
        <v>26</v>
      </c>
      <c r="D2519" s="2" t="s">
        <v>18</v>
      </c>
      <c r="E2519" s="4">
        <v>-32447</v>
      </c>
      <c r="F2519" s="3" t="s">
        <v>665</v>
      </c>
      <c r="G2519" s="3" t="s">
        <v>57</v>
      </c>
      <c r="H2519" s="2" t="s">
        <v>148</v>
      </c>
      <c r="I2519" s="2" t="s">
        <v>7192</v>
      </c>
      <c r="J2519" s="3" t="str">
        <f>HYPERLINK("https://www.boe.es/gazeta/dias/1811/02/28/pdfs/GMD-1811-59.pdf#page=2","Abrir facsímil")</f>
        <v>Abrir facsímil</v>
      </c>
      <c r="K2519" s="3" t="s">
        <v>150</v>
      </c>
    </row>
    <row r="2520" spans="1:11" ht="42" customHeight="1">
      <c r="A2520" s="2" t="s">
        <v>7193</v>
      </c>
      <c r="B2520" s="2" t="s">
        <v>7194</v>
      </c>
      <c r="C2520" s="2" t="s">
        <v>17</v>
      </c>
      <c r="D2520" s="2" t="s">
        <v>156</v>
      </c>
      <c r="E2520" s="4">
        <v>-32319</v>
      </c>
      <c r="F2520" s="3" t="s">
        <v>907</v>
      </c>
      <c r="G2520" s="3" t="s">
        <v>134</v>
      </c>
      <c r="H2520" s="2" t="s">
        <v>148</v>
      </c>
      <c r="I2520" s="2" t="s">
        <v>7195</v>
      </c>
      <c r="J2520" s="3" t="str">
        <f>HYPERLINK("https://www.boe.es/gazeta/dias/1811/07/06/pdfs/GEI-D-1811-89.pdf#page=4","Abrir facsímil")</f>
        <v>Abrir facsímil</v>
      </c>
      <c r="K2520" s="3" t="s">
        <v>150</v>
      </c>
    </row>
    <row r="2521" spans="1:11" ht="42" customHeight="1">
      <c r="A2521" s="2" t="s">
        <v>7196</v>
      </c>
      <c r="B2521" s="2" t="s">
        <v>7197</v>
      </c>
      <c r="C2521" s="2" t="s">
        <v>26</v>
      </c>
      <c r="D2521" s="2" t="s">
        <v>141</v>
      </c>
      <c r="E2521" s="4">
        <v>-32188</v>
      </c>
      <c r="F2521" s="3" t="s">
        <v>505</v>
      </c>
      <c r="G2521" s="3" t="s">
        <v>162</v>
      </c>
      <c r="H2521" s="2" t="s">
        <v>148</v>
      </c>
      <c r="I2521" s="2" t="s">
        <v>7198</v>
      </c>
      <c r="J2521" s="3" t="str">
        <f>HYPERLINK("https://www.boe.es/gazeta/dias/1811/11/14/pdfs/GEI-D-1811-149.pdf#page=4","Abrir facsímil")</f>
        <v>Abrir facsímil</v>
      </c>
      <c r="K2521" s="3" t="s">
        <v>150</v>
      </c>
    </row>
    <row r="2522" spans="1:11" ht="42" customHeight="1">
      <c r="A2522" s="2" t="s">
        <v>7199</v>
      </c>
      <c r="B2522" s="2" t="s">
        <v>7200</v>
      </c>
      <c r="C2522" s="2" t="s">
        <v>26</v>
      </c>
      <c r="D2522" s="2" t="s">
        <v>141</v>
      </c>
      <c r="E2522" s="4">
        <v>-32188</v>
      </c>
      <c r="F2522" s="3" t="s">
        <v>505</v>
      </c>
      <c r="G2522" s="3" t="s">
        <v>162</v>
      </c>
      <c r="H2522" s="2" t="s">
        <v>148</v>
      </c>
      <c r="I2522" s="2" t="s">
        <v>7201</v>
      </c>
      <c r="J2522" s="3" t="str">
        <f>HYPERLINK("https://www.boe.es/gazeta/dias/1811/11/14/pdfs/GEI-D-1811-149.pdf#page=4","Abrir facsímil")</f>
        <v>Abrir facsímil</v>
      </c>
      <c r="K2522" s="3" t="s">
        <v>150</v>
      </c>
    </row>
    <row r="2523" spans="1:11" ht="42" customHeight="1">
      <c r="A2523" s="2" t="s">
        <v>7202</v>
      </c>
      <c r="B2523" s="2" t="s">
        <v>7203</v>
      </c>
      <c r="C2523" s="2" t="s">
        <v>367</v>
      </c>
      <c r="D2523" s="2" t="s">
        <v>141</v>
      </c>
      <c r="E2523" s="4">
        <v>-32249</v>
      </c>
      <c r="F2523" s="3" t="s">
        <v>743</v>
      </c>
      <c r="G2523" s="3" t="s">
        <v>468</v>
      </c>
      <c r="H2523" s="2" t="s">
        <v>148</v>
      </c>
      <c r="I2523" s="2" t="s">
        <v>7204</v>
      </c>
      <c r="J2523" s="3" t="str">
        <f>HYPERLINK("https://www.boe.es/gazeta/dias/1811/09/14/pdfs/GMD-C-1811-257.pdf#page=1","Abrir facsímil")</f>
        <v>Abrir facsímil</v>
      </c>
      <c r="K2523" s="3" t="s">
        <v>150</v>
      </c>
    </row>
    <row r="2524" spans="1:11" ht="42" customHeight="1">
      <c r="A2524" s="2" t="s">
        <v>7202</v>
      </c>
      <c r="B2524" s="2" t="s">
        <v>7203</v>
      </c>
      <c r="C2524" s="2" t="s">
        <v>26</v>
      </c>
      <c r="D2524" s="2" t="s">
        <v>141</v>
      </c>
      <c r="E2524" s="4">
        <v>-32249</v>
      </c>
      <c r="F2524" s="3" t="s">
        <v>743</v>
      </c>
      <c r="G2524" s="3" t="s">
        <v>1021</v>
      </c>
      <c r="H2524" s="2" t="s">
        <v>148</v>
      </c>
      <c r="I2524" s="2" t="s">
        <v>7205</v>
      </c>
      <c r="J2524" s="3" t="str">
        <f>HYPERLINK("https://www.boe.es/gazeta/dias/1811/09/14/pdfs/GMD-C-1811-257.pdf#page=2","Abrir facsímil")</f>
        <v>Abrir facsímil</v>
      </c>
      <c r="K2524" s="3" t="s">
        <v>150</v>
      </c>
    </row>
    <row r="2525" spans="1:11" ht="42" customHeight="1">
      <c r="A2525" s="2" t="s">
        <v>7206</v>
      </c>
      <c r="B2525" s="2" t="s">
        <v>7207</v>
      </c>
      <c r="C2525" s="2" t="s">
        <v>26</v>
      </c>
      <c r="D2525" s="2" t="s">
        <v>18</v>
      </c>
      <c r="E2525" s="4">
        <v>-32153</v>
      </c>
      <c r="F2525" s="3" t="s">
        <v>123</v>
      </c>
      <c r="G2525" s="3" t="s">
        <v>124</v>
      </c>
      <c r="H2525" s="2" t="s">
        <v>148</v>
      </c>
      <c r="I2525" s="2" t="s">
        <v>7208</v>
      </c>
      <c r="J2525" s="3" t="str">
        <f>HYPERLINK("https://www.boe.es/gazeta/dias/1811/12/19/pdfs/GMD-1811-353.pdf#page=6","Abrir facsímil")</f>
        <v>Abrir facsímil</v>
      </c>
      <c r="K2525" s="3" t="s">
        <v>150</v>
      </c>
    </row>
    <row r="2526" spans="1:11" ht="42" customHeight="1">
      <c r="A2526" s="2" t="s">
        <v>7209</v>
      </c>
      <c r="B2526" s="2" t="s">
        <v>7210</v>
      </c>
      <c r="C2526" s="2" t="s">
        <v>26</v>
      </c>
      <c r="D2526" s="2" t="s">
        <v>18</v>
      </c>
      <c r="E2526" s="4">
        <v>-32154</v>
      </c>
      <c r="F2526" s="3" t="s">
        <v>7211</v>
      </c>
      <c r="G2526" s="3" t="s">
        <v>976</v>
      </c>
      <c r="H2526" s="2" t="s">
        <v>148</v>
      </c>
      <c r="I2526" s="2" t="s">
        <v>7212</v>
      </c>
      <c r="J2526" s="3" t="str">
        <f>HYPERLINK("https://www.boe.es/gazeta/dias/1811/12/18/pdfs/GMD-1811-352.pdf#page=4","Abrir facsímil")</f>
        <v>Abrir facsímil</v>
      </c>
      <c r="K2526" s="3" t="s">
        <v>150</v>
      </c>
    </row>
    <row r="2527" spans="1:11" ht="42" customHeight="1">
      <c r="A2527" s="2" t="s">
        <v>7213</v>
      </c>
      <c r="B2527" s="2" t="s">
        <v>7214</v>
      </c>
      <c r="C2527" s="2" t="s">
        <v>26</v>
      </c>
      <c r="D2527" s="2" t="s">
        <v>18</v>
      </c>
      <c r="E2527" s="4">
        <v>-32468</v>
      </c>
      <c r="F2527" s="3" t="s">
        <v>683</v>
      </c>
      <c r="G2527" s="3" t="s">
        <v>468</v>
      </c>
      <c r="H2527" s="2" t="s">
        <v>148</v>
      </c>
      <c r="I2527" s="2" t="s">
        <v>7215</v>
      </c>
      <c r="J2527" s="3" t="str">
        <f>HYPERLINK("https://www.boe.es/gazeta/dias/1811/02/07/pdfs/GEI-1811-17.pdf#page=3","Abrir facsímil")</f>
        <v>Abrir facsímil</v>
      </c>
      <c r="K2527" s="3" t="s">
        <v>150</v>
      </c>
    </row>
    <row r="2528" spans="1:11" ht="42" customHeight="1">
      <c r="A2528" s="2" t="s">
        <v>7216</v>
      </c>
      <c r="B2528" s="2" t="s">
        <v>7217</v>
      </c>
      <c r="C2528" s="2" t="s">
        <v>26</v>
      </c>
      <c r="D2528" s="2" t="s">
        <v>18</v>
      </c>
      <c r="E2528" s="4">
        <v>-32463</v>
      </c>
      <c r="F2528" s="3" t="s">
        <v>734</v>
      </c>
      <c r="G2528" s="3" t="s">
        <v>735</v>
      </c>
      <c r="H2528" s="2" t="s">
        <v>148</v>
      </c>
      <c r="I2528" s="2" t="s">
        <v>7218</v>
      </c>
      <c r="J2528" s="3" t="str">
        <f>HYPERLINK("https://www.boe.es/gazeta/dias/1811/02/12/pdfs/GEI-1811-19.pdf#page=8","Abrir facsímil")</f>
        <v>Abrir facsímil</v>
      </c>
      <c r="K2528" s="3" t="s">
        <v>150</v>
      </c>
    </row>
    <row r="2529" spans="1:11" ht="42" customHeight="1">
      <c r="A2529" s="2" t="s">
        <v>7219</v>
      </c>
      <c r="B2529" s="2" t="s">
        <v>7220</v>
      </c>
      <c r="C2529" s="2" t="s">
        <v>26</v>
      </c>
      <c r="D2529" s="2" t="s">
        <v>141</v>
      </c>
      <c r="E2529" s="4">
        <v>-32249</v>
      </c>
      <c r="F2529" s="3" t="s">
        <v>743</v>
      </c>
      <c r="G2529" s="3" t="s">
        <v>1021</v>
      </c>
      <c r="H2529" s="2" t="s">
        <v>148</v>
      </c>
      <c r="I2529" s="2" t="s">
        <v>7221</v>
      </c>
      <c r="J2529" s="3" t="str">
        <f>HYPERLINK("https://www.boe.es/gazeta/dias/1811/09/14/pdfs/GMD-C-1811-257.pdf#page=2","Abrir facsímil")</f>
        <v>Abrir facsímil</v>
      </c>
      <c r="K2529" s="3" t="s">
        <v>150</v>
      </c>
    </row>
    <row r="2530" spans="1:11" ht="42" customHeight="1">
      <c r="A2530" s="2" t="s">
        <v>7222</v>
      </c>
      <c r="B2530" s="2" t="s">
        <v>7223</v>
      </c>
      <c r="C2530" s="2" t="s">
        <v>26</v>
      </c>
      <c r="D2530" s="2" t="s">
        <v>18</v>
      </c>
      <c r="E2530" s="4">
        <v>-32153</v>
      </c>
      <c r="F2530" s="3" t="s">
        <v>123</v>
      </c>
      <c r="G2530" s="3" t="s">
        <v>124</v>
      </c>
      <c r="H2530" s="2" t="s">
        <v>148</v>
      </c>
      <c r="I2530" s="2" t="s">
        <v>7224</v>
      </c>
      <c r="J2530" s="3" t="str">
        <f>HYPERLINK("https://www.boe.es/gazeta/dias/1811/12/19/pdfs/GMD-1811-353.pdf#page=6","Abrir facsímil")</f>
        <v>Abrir facsímil</v>
      </c>
      <c r="K2530" s="3" t="s">
        <v>150</v>
      </c>
    </row>
    <row r="2531" spans="1:11" ht="42" customHeight="1">
      <c r="A2531" s="2" t="s">
        <v>7225</v>
      </c>
      <c r="B2531" s="2" t="s">
        <v>7226</v>
      </c>
      <c r="C2531" s="2" t="s">
        <v>26</v>
      </c>
      <c r="D2531" s="2" t="s">
        <v>18</v>
      </c>
      <c r="E2531" s="4">
        <v>-32456</v>
      </c>
      <c r="F2531" s="3" t="s">
        <v>1261</v>
      </c>
      <c r="G2531" s="3" t="s">
        <v>553</v>
      </c>
      <c r="H2531" s="2" t="s">
        <v>148</v>
      </c>
      <c r="I2531" s="2" t="s">
        <v>7227</v>
      </c>
      <c r="J2531" s="3" t="str">
        <f>HYPERLINK("https://www.boe.es/gazeta/dias/1811/02/19/pdfs/GEI-1811-22.pdf#page=8","Abrir facsímil")</f>
        <v>Abrir facsímil</v>
      </c>
      <c r="K2531" s="3" t="s">
        <v>150</v>
      </c>
    </row>
    <row r="2532" spans="1:11" ht="42" customHeight="1">
      <c r="A2532" s="2" t="s">
        <v>7228</v>
      </c>
      <c r="B2532" s="2" t="s">
        <v>7229</v>
      </c>
      <c r="C2532" s="2" t="s">
        <v>26</v>
      </c>
      <c r="D2532" s="2" t="s">
        <v>18</v>
      </c>
      <c r="E2532" s="4">
        <v>-32153</v>
      </c>
      <c r="F2532" s="3" t="s">
        <v>123</v>
      </c>
      <c r="G2532" s="3" t="s">
        <v>1067</v>
      </c>
      <c r="H2532" s="2" t="s">
        <v>148</v>
      </c>
      <c r="I2532" s="2" t="s">
        <v>7230</v>
      </c>
      <c r="J2532" s="3" t="str">
        <f>HYPERLINK("https://www.boe.es/gazeta/dias/1811/12/19/pdfs/GMD-1811-353.pdf#page=5","Abrir facsímil")</f>
        <v>Abrir facsímil</v>
      </c>
      <c r="K2532" s="3" t="s">
        <v>150</v>
      </c>
    </row>
    <row r="2533" spans="1:11" ht="42" customHeight="1">
      <c r="A2533" s="2" t="s">
        <v>7231</v>
      </c>
      <c r="B2533" s="2" t="s">
        <v>7232</v>
      </c>
      <c r="C2533" s="2" t="s">
        <v>26</v>
      </c>
      <c r="D2533" s="2" t="s">
        <v>18</v>
      </c>
      <c r="E2533" s="4">
        <v>-32505</v>
      </c>
      <c r="F2533" s="3" t="s">
        <v>475</v>
      </c>
      <c r="G2533" s="3" t="s">
        <v>755</v>
      </c>
      <c r="H2533" s="2" t="s">
        <v>148</v>
      </c>
      <c r="I2533" s="2" t="s">
        <v>7233</v>
      </c>
      <c r="J2533" s="3" t="str">
        <f>HYPERLINK("https://www.boe.es/gazeta/dias/1811/01/01/pdfs/GEI-1811-1.pdf#page=8","Abrir facsímil")</f>
        <v>Abrir facsímil</v>
      </c>
      <c r="K2533" s="3" t="s">
        <v>150</v>
      </c>
    </row>
    <row r="2534" spans="1:11" ht="42" customHeight="1">
      <c r="A2534" s="2" t="s">
        <v>7234</v>
      </c>
      <c r="B2534" s="2" t="s">
        <v>7235</v>
      </c>
      <c r="C2534" s="2" t="s">
        <v>26</v>
      </c>
      <c r="D2534" s="2" t="s">
        <v>18</v>
      </c>
      <c r="E2534" s="4">
        <v>-32188</v>
      </c>
      <c r="F2534" s="3" t="s">
        <v>356</v>
      </c>
      <c r="G2534" s="3" t="s">
        <v>248</v>
      </c>
      <c r="H2534" s="2" t="s">
        <v>148</v>
      </c>
      <c r="I2534" s="2" t="s">
        <v>7236</v>
      </c>
      <c r="J2534" s="3" t="str">
        <f>HYPERLINK("https://www.boe.es/gazeta/dias/1811/11/14/pdfs/GMD-1811-318.pdf#page=5","Abrir facsímil")</f>
        <v>Abrir facsímil</v>
      </c>
      <c r="K2534" s="3" t="s">
        <v>150</v>
      </c>
    </row>
    <row r="2535" spans="1:11" ht="42" customHeight="1">
      <c r="A2535" s="2" t="s">
        <v>7237</v>
      </c>
      <c r="B2535" s="2" t="s">
        <v>7238</v>
      </c>
      <c r="C2535" s="2" t="s">
        <v>66</v>
      </c>
      <c r="D2535" s="2" t="s">
        <v>141</v>
      </c>
      <c r="E2535" s="4">
        <v>-32238</v>
      </c>
      <c r="F2535" s="3" t="s">
        <v>166</v>
      </c>
      <c r="G2535" s="3" t="s">
        <v>129</v>
      </c>
      <c r="H2535" s="2" t="s">
        <v>148</v>
      </c>
      <c r="I2535" s="2" t="s">
        <v>7239</v>
      </c>
      <c r="J2535" s="3" t="str">
        <f>HYPERLINK("https://www.boe.es/gazeta/dias/1811/09/25/pdfs/GMD-C-1811-268.pdf#page=1","Abrir facsímil")</f>
        <v>Abrir facsímil</v>
      </c>
      <c r="K2535" s="3" t="s">
        <v>150</v>
      </c>
    </row>
    <row r="2536" spans="1:11" ht="42" customHeight="1">
      <c r="A2536" s="2" t="s">
        <v>7240</v>
      </c>
      <c r="B2536" s="2" t="s">
        <v>7241</v>
      </c>
      <c r="C2536" s="2" t="s">
        <v>26</v>
      </c>
      <c r="D2536" s="2" t="s">
        <v>105</v>
      </c>
      <c r="E2536" s="4">
        <v>-32238</v>
      </c>
      <c r="F2536" s="3" t="s">
        <v>166</v>
      </c>
      <c r="G2536" s="3" t="s">
        <v>129</v>
      </c>
      <c r="H2536" s="2" t="s">
        <v>148</v>
      </c>
      <c r="I2536" s="2" t="s">
        <v>7242</v>
      </c>
      <c r="J2536" s="3" t="str">
        <f>HYPERLINK("https://www.boe.es/gazeta/dias/1811/09/25/pdfs/GMD-C-1811-268.pdf#page=1","Abrir facsímil")</f>
        <v>Abrir facsímil</v>
      </c>
      <c r="K2536" s="3" t="s">
        <v>150</v>
      </c>
    </row>
    <row r="2537" spans="1:11" ht="42" customHeight="1">
      <c r="A2537" s="2" t="s">
        <v>7243</v>
      </c>
      <c r="B2537" s="2" t="s">
        <v>7244</v>
      </c>
      <c r="C2537" s="2" t="s">
        <v>17</v>
      </c>
      <c r="D2537" s="2" t="s">
        <v>156</v>
      </c>
      <c r="E2537" s="4">
        <v>-32438</v>
      </c>
      <c r="F2537" s="3" t="s">
        <v>114</v>
      </c>
      <c r="G2537" s="3" t="s">
        <v>183</v>
      </c>
      <c r="H2537" s="2" t="s">
        <v>148</v>
      </c>
      <c r="I2537" s="2" t="s">
        <v>7245</v>
      </c>
      <c r="J2537" s="3" t="str">
        <f>HYPERLINK("https://www.boe.es/gazeta/dias/1811/03/09/pdfs/GEI-1811-33.pdf#page=4","Abrir facsímil")</f>
        <v>Abrir facsímil</v>
      </c>
      <c r="K2537" s="3" t="s">
        <v>150</v>
      </c>
    </row>
    <row r="2538" spans="1:11" ht="42" customHeight="1">
      <c r="A2538" s="2" t="s">
        <v>7246</v>
      </c>
      <c r="B2538" s="2" t="s">
        <v>7247</v>
      </c>
      <c r="C2538" s="2" t="s">
        <v>26</v>
      </c>
      <c r="D2538" s="2" t="s">
        <v>18</v>
      </c>
      <c r="E2538" s="4">
        <v>-32416</v>
      </c>
      <c r="F2538" s="3" t="s">
        <v>954</v>
      </c>
      <c r="G2538" s="3" t="s">
        <v>183</v>
      </c>
      <c r="H2538" s="2" t="s">
        <v>21</v>
      </c>
      <c r="I2538" s="2" t="s">
        <v>7248</v>
      </c>
      <c r="J2538" s="3" t="str">
        <f>HYPERLINK("https://www.boe.es/gazeta/dias/1811/03/31/pdfs/GMD-1811-90.pdf#page=4","Abrir facsímil")</f>
        <v>Abrir facsímil</v>
      </c>
      <c r="K2538" s="3" t="s">
        <v>23</v>
      </c>
    </row>
    <row r="2539" spans="1:11" ht="42" customHeight="1">
      <c r="A2539" s="2" t="s">
        <v>7249</v>
      </c>
      <c r="B2539" s="2" t="s">
        <v>7250</v>
      </c>
      <c r="C2539" s="2" t="s">
        <v>17</v>
      </c>
      <c r="D2539" s="2" t="s">
        <v>156</v>
      </c>
      <c r="E2539" s="4">
        <v>-32328</v>
      </c>
      <c r="F2539" s="3" t="s">
        <v>1653</v>
      </c>
      <c r="G2539" s="3" t="s">
        <v>1654</v>
      </c>
      <c r="H2539" s="2" t="s">
        <v>21</v>
      </c>
      <c r="I2539" s="2" t="s">
        <v>7251</v>
      </c>
      <c r="J2539" s="3" t="str">
        <f>HYPERLINK("https://www.boe.es/gazeta/dias/1811/06/27/pdfs/GEI-1811-85.pdf#page=8","Abrir facsímil")</f>
        <v>Abrir facsímil</v>
      </c>
      <c r="K2539" s="3" t="s">
        <v>23</v>
      </c>
    </row>
    <row r="2540" spans="1:11" ht="42" customHeight="1">
      <c r="A2540" s="2" t="s">
        <v>7252</v>
      </c>
      <c r="B2540" s="2" t="s">
        <v>7253</v>
      </c>
      <c r="C2540" s="2" t="s">
        <v>26</v>
      </c>
      <c r="D2540" s="2" t="s">
        <v>18</v>
      </c>
      <c r="E2540" s="4">
        <v>-32372</v>
      </c>
      <c r="F2540" s="3" t="s">
        <v>2690</v>
      </c>
      <c r="G2540" s="3" t="s">
        <v>47</v>
      </c>
      <c r="H2540" s="2" t="s">
        <v>21</v>
      </c>
      <c r="I2540" s="2" t="s">
        <v>7254</v>
      </c>
      <c r="J2540" s="3" t="str">
        <f>HYPERLINK("https://www.boe.es/gazeta/dias/1811/05/14/pdfs/GEI-1811-63.pdf#page=3","Abrir facsímil")</f>
        <v>Abrir facsímil</v>
      </c>
      <c r="K2540" s="3" t="s">
        <v>23</v>
      </c>
    </row>
    <row r="2541" spans="1:11" ht="42" customHeight="1">
      <c r="A2541" s="2" t="s">
        <v>7255</v>
      </c>
      <c r="B2541" s="2" t="s">
        <v>7256</v>
      </c>
      <c r="C2541" s="2" t="s">
        <v>17</v>
      </c>
      <c r="D2541" s="2" t="s">
        <v>18</v>
      </c>
      <c r="E2541" s="4">
        <v>-32187</v>
      </c>
      <c r="F2541" s="3" t="s">
        <v>1775</v>
      </c>
      <c r="G2541" s="3" t="s">
        <v>657</v>
      </c>
      <c r="H2541" s="2" t="s">
        <v>148</v>
      </c>
      <c r="I2541" s="2" t="s">
        <v>7257</v>
      </c>
      <c r="J2541" s="3" t="str">
        <f>HYPERLINK("https://www.boe.es/gazeta/dias/1811/11/15/pdfs/GMD-1811-319.pdf#page=4","Abrir facsímil")</f>
        <v>Abrir facsímil</v>
      </c>
      <c r="K2541" s="3" t="s">
        <v>150</v>
      </c>
    </row>
    <row r="2542" spans="1:11" ht="42" customHeight="1">
      <c r="A2542" s="2" t="s">
        <v>7258</v>
      </c>
      <c r="B2542" s="2" t="s">
        <v>7259</v>
      </c>
      <c r="C2542" s="2" t="s">
        <v>17</v>
      </c>
      <c r="D2542" s="2" t="s">
        <v>18</v>
      </c>
      <c r="E2542" s="4">
        <v>-32159</v>
      </c>
      <c r="F2542" s="3" t="s">
        <v>7260</v>
      </c>
      <c r="G2542" s="3" t="s">
        <v>20</v>
      </c>
      <c r="H2542" s="2" t="s">
        <v>148</v>
      </c>
      <c r="I2542" s="2" t="s">
        <v>7261</v>
      </c>
      <c r="J2542" s="3" t="str">
        <f>HYPERLINK("https://www.boe.es/gazeta/dias/1811/12/13/pdfs/GMD-1811-347.pdf#page=4","Abrir facsímil")</f>
        <v>Abrir facsímil</v>
      </c>
      <c r="K2542" s="3" t="s">
        <v>150</v>
      </c>
    </row>
    <row r="2543" spans="1:11" ht="42" customHeight="1">
      <c r="A2543" s="2" t="s">
        <v>7262</v>
      </c>
      <c r="B2543" s="2" t="s">
        <v>7263</v>
      </c>
      <c r="C2543" s="2" t="s">
        <v>17</v>
      </c>
      <c r="D2543" s="2" t="s">
        <v>156</v>
      </c>
      <c r="E2543" s="4">
        <v>-32319</v>
      </c>
      <c r="F2543" s="3" t="s">
        <v>907</v>
      </c>
      <c r="G2543" s="3" t="s">
        <v>134</v>
      </c>
      <c r="H2543" s="2" t="s">
        <v>21</v>
      </c>
      <c r="I2543" s="2" t="s">
        <v>7264</v>
      </c>
      <c r="J2543" s="3" t="str">
        <f>HYPERLINK("https://www.boe.es/gazeta/dias/1811/07/06/pdfs/GEI-D-1811-89.pdf#page=4","Abrir facsímil")</f>
        <v>Abrir facsímil</v>
      </c>
      <c r="K2543" s="3" t="s">
        <v>23</v>
      </c>
    </row>
    <row r="2544" spans="1:11" ht="42" customHeight="1">
      <c r="A2544" s="2" t="s">
        <v>7265</v>
      </c>
      <c r="B2544" s="2" t="s">
        <v>7266</v>
      </c>
      <c r="C2544" s="2" t="s">
        <v>17</v>
      </c>
      <c r="D2544" s="2" t="s">
        <v>18</v>
      </c>
      <c r="E2544" s="4">
        <v>-32480</v>
      </c>
      <c r="F2544" s="3" t="s">
        <v>3061</v>
      </c>
      <c r="G2544" s="3" t="s">
        <v>510</v>
      </c>
      <c r="H2544" s="2" t="s">
        <v>148</v>
      </c>
      <c r="I2544" s="2" t="s">
        <v>7267</v>
      </c>
      <c r="J2544" s="3" t="str">
        <f>HYPERLINK("https://www.boe.es/gazeta/dias/1811/01/26/pdfs/GEI-1811-12.pdf#page=8","Abrir facsímil")</f>
        <v>Abrir facsímil</v>
      </c>
      <c r="K2544" s="3" t="s">
        <v>150</v>
      </c>
    </row>
    <row r="2545" spans="1:11" ht="42" customHeight="1">
      <c r="A2545" s="2" t="s">
        <v>7268</v>
      </c>
      <c r="B2545" s="2" t="s">
        <v>7269</v>
      </c>
      <c r="C2545" s="2" t="s">
        <v>367</v>
      </c>
      <c r="D2545" s="2" t="s">
        <v>18</v>
      </c>
      <c r="E2545" s="4">
        <v>-32297</v>
      </c>
      <c r="F2545" s="3" t="s">
        <v>2174</v>
      </c>
      <c r="G2545" s="3" t="s">
        <v>183</v>
      </c>
      <c r="H2545" s="2" t="s">
        <v>148</v>
      </c>
      <c r="I2545" s="2" t="s">
        <v>7270</v>
      </c>
      <c r="J2545" s="3" t="str">
        <f>HYPERLINK("https://www.boe.es/gazeta/dias/1811/07/28/pdfs/GMD-1811-209.pdf#page=4","Abrir facsímil")</f>
        <v>Abrir facsímil</v>
      </c>
      <c r="K2545" s="3" t="s">
        <v>150</v>
      </c>
    </row>
    <row r="2546" spans="1:11" ht="42" customHeight="1">
      <c r="A2546" s="2" t="s">
        <v>7271</v>
      </c>
      <c r="B2546" s="2" t="s">
        <v>7272</v>
      </c>
      <c r="C2546" s="2" t="s">
        <v>17</v>
      </c>
      <c r="D2546" s="2" t="s">
        <v>156</v>
      </c>
      <c r="E2546" s="4">
        <v>-32405</v>
      </c>
      <c r="F2546" s="3" t="s">
        <v>1413</v>
      </c>
      <c r="G2546" s="3" t="s">
        <v>44</v>
      </c>
      <c r="H2546" s="2" t="s">
        <v>148</v>
      </c>
      <c r="I2546" s="2" t="s">
        <v>7273</v>
      </c>
      <c r="J2546" s="3" t="str">
        <f>HYPERLINK("https://www.boe.es/gazeta/dias/1811/04/11/pdfs/GEI-1811-49.pdf#page=8","Abrir facsímil")</f>
        <v>Abrir facsímil</v>
      </c>
      <c r="K2546" s="3" t="s">
        <v>150</v>
      </c>
    </row>
    <row r="2547" spans="1:11" ht="42" customHeight="1">
      <c r="A2547" s="2" t="s">
        <v>7274</v>
      </c>
      <c r="B2547" s="2" t="s">
        <v>7275</v>
      </c>
      <c r="C2547" s="2" t="s">
        <v>17</v>
      </c>
      <c r="D2547" s="2" t="s">
        <v>18</v>
      </c>
      <c r="E2547" s="4">
        <v>-32463</v>
      </c>
      <c r="F2547" s="3" t="s">
        <v>734</v>
      </c>
      <c r="G2547" s="3" t="s">
        <v>515</v>
      </c>
      <c r="H2547" s="2" t="s">
        <v>148</v>
      </c>
      <c r="I2547" s="2" t="s">
        <v>7276</v>
      </c>
      <c r="J2547" s="3" t="str">
        <f>HYPERLINK("https://www.boe.es/gazeta/dias/1811/02/12/pdfs/GEI-1811-19.pdf#page=7","Abrir facsímil")</f>
        <v>Abrir facsímil</v>
      </c>
      <c r="K2547" s="3" t="s">
        <v>150</v>
      </c>
    </row>
    <row r="2548" spans="1:11" ht="42" customHeight="1">
      <c r="A2548" s="2" t="s">
        <v>7277</v>
      </c>
      <c r="B2548" s="2" t="s">
        <v>7278</v>
      </c>
      <c r="C2548" s="2" t="s">
        <v>17</v>
      </c>
      <c r="D2548" s="2" t="s">
        <v>18</v>
      </c>
      <c r="E2548" s="4">
        <v>-32417</v>
      </c>
      <c r="F2548" s="3" t="s">
        <v>604</v>
      </c>
      <c r="G2548" s="3" t="s">
        <v>178</v>
      </c>
      <c r="H2548" s="2" t="s">
        <v>148</v>
      </c>
      <c r="I2548" s="2" t="s">
        <v>7279</v>
      </c>
      <c r="J2548" s="3" t="str">
        <f>HYPERLINK("https://www.boe.es/gazeta/dias/1811/03/30/pdfs/GMD-1811-89.pdf#page=3","Abrir facsímil")</f>
        <v>Abrir facsímil</v>
      </c>
      <c r="K2548" s="3" t="s">
        <v>150</v>
      </c>
    </row>
    <row r="2549" spans="1:11" ht="42" customHeight="1">
      <c r="A2549" s="2" t="s">
        <v>7277</v>
      </c>
      <c r="B2549" s="2" t="s">
        <v>7278</v>
      </c>
      <c r="C2549" s="2" t="s">
        <v>37</v>
      </c>
      <c r="D2549" s="2" t="s">
        <v>18</v>
      </c>
      <c r="E2549" s="4">
        <v>-32403</v>
      </c>
      <c r="F2549" s="3" t="s">
        <v>4861</v>
      </c>
      <c r="G2549" s="3" t="s">
        <v>91</v>
      </c>
      <c r="H2549" s="2" t="s">
        <v>148</v>
      </c>
      <c r="I2549" s="2" t="s">
        <v>7280</v>
      </c>
      <c r="J2549" s="3" t="str">
        <f>HYPERLINK("https://www.boe.es/gazeta/dias/1811/04/13/pdfs/GMD-1811-103.pdf#page=4","Abrir facsímil")</f>
        <v>Abrir facsímil</v>
      </c>
      <c r="K2549" s="3" t="s">
        <v>150</v>
      </c>
    </row>
    <row r="2550" spans="1:11" ht="42" customHeight="1">
      <c r="A2550" s="2" t="s">
        <v>7281</v>
      </c>
      <c r="B2550" s="2" t="s">
        <v>7282</v>
      </c>
      <c r="C2550" s="2" t="s">
        <v>26</v>
      </c>
      <c r="D2550" s="2" t="s">
        <v>105</v>
      </c>
      <c r="E2550" s="4">
        <v>-32213</v>
      </c>
      <c r="F2550" s="3" t="s">
        <v>4653</v>
      </c>
      <c r="G2550" s="3" t="s">
        <v>1930</v>
      </c>
      <c r="H2550" s="2" t="s">
        <v>148</v>
      </c>
      <c r="I2550" s="2" t="s">
        <v>7283</v>
      </c>
      <c r="J2550" s="3" t="str">
        <f>HYPERLINK("https://www.boe.es/gazeta/dias/1811/10/20/pdfs/GMD-1811-293.pdf#page=4","Abrir facsímil")</f>
        <v>Abrir facsímil</v>
      </c>
      <c r="K2550" s="3" t="s">
        <v>150</v>
      </c>
    </row>
    <row r="2551" spans="1:11" ht="42" customHeight="1">
      <c r="A2551" s="2" t="s">
        <v>7284</v>
      </c>
      <c r="B2551" s="2" t="s">
        <v>7285</v>
      </c>
      <c r="C2551" s="2" t="s">
        <v>26</v>
      </c>
      <c r="D2551" s="2" t="s">
        <v>105</v>
      </c>
      <c r="E2551" s="4">
        <v>-32280</v>
      </c>
      <c r="F2551" s="3" t="s">
        <v>142</v>
      </c>
      <c r="G2551" s="3" t="s">
        <v>47</v>
      </c>
      <c r="H2551" s="2" t="s">
        <v>148</v>
      </c>
      <c r="I2551" s="2" t="s">
        <v>7286</v>
      </c>
      <c r="J2551" s="3" t="str">
        <f>HYPERLINK("https://www.boe.es/gazeta/dias/1811/08/14/pdfs/GMD-C-1811-226.pdf#page=1","Abrir facsímil")</f>
        <v>Abrir facsímil</v>
      </c>
      <c r="K2551" s="3" t="s">
        <v>150</v>
      </c>
    </row>
    <row r="2552" spans="1:11" ht="42" customHeight="1">
      <c r="A2552" s="2" t="s">
        <v>7287</v>
      </c>
      <c r="B2552" s="2" t="s">
        <v>7288</v>
      </c>
      <c r="C2552" s="2" t="s">
        <v>26</v>
      </c>
      <c r="D2552" s="2" t="s">
        <v>18</v>
      </c>
      <c r="E2552" s="4">
        <v>-32286</v>
      </c>
      <c r="F2552" s="3" t="s">
        <v>754</v>
      </c>
      <c r="G2552" s="3" t="s">
        <v>1728</v>
      </c>
      <c r="H2552" s="2" t="s">
        <v>148</v>
      </c>
      <c r="I2552" s="2" t="s">
        <v>7289</v>
      </c>
      <c r="J2552" s="3" t="str">
        <f>HYPERLINK("https://www.boe.es/gazeta/dias/1811/08/08/pdfs/GEI-1811-103.pdf#page=8","Abrir facsímil")</f>
        <v>Abrir facsímil</v>
      </c>
      <c r="K2552" s="3" t="s">
        <v>150</v>
      </c>
    </row>
    <row r="2553" spans="1:11" ht="42" customHeight="1">
      <c r="A2553" s="2" t="s">
        <v>7290</v>
      </c>
      <c r="B2553" s="2" t="s">
        <v>7291</v>
      </c>
      <c r="C2553" s="2" t="s">
        <v>122</v>
      </c>
      <c r="D2553" s="2" t="s">
        <v>18</v>
      </c>
      <c r="E2553" s="4">
        <v>-32473</v>
      </c>
      <c r="F2553" s="3" t="s">
        <v>1109</v>
      </c>
      <c r="G2553" s="3" t="s">
        <v>162</v>
      </c>
      <c r="H2553" s="2" t="s">
        <v>148</v>
      </c>
      <c r="I2553" s="2" t="s">
        <v>7292</v>
      </c>
      <c r="J2553" s="3" t="str">
        <f>HYPERLINK("https://www.boe.es/gazeta/dias/1811/02/02/pdfs/GMD-1811-33.pdf#page=3","Abrir facsímil")</f>
        <v>Abrir facsímil</v>
      </c>
      <c r="K2553" s="3" t="s">
        <v>150</v>
      </c>
    </row>
    <row r="2554" spans="1:11" ht="42" customHeight="1">
      <c r="A2554" s="2" t="s">
        <v>7293</v>
      </c>
      <c r="B2554" s="2" t="s">
        <v>7294</v>
      </c>
      <c r="C2554" s="2" t="s">
        <v>26</v>
      </c>
      <c r="D2554" s="2" t="s">
        <v>18</v>
      </c>
      <c r="E2554" s="4">
        <v>-32153</v>
      </c>
      <c r="F2554" s="3" t="s">
        <v>123</v>
      </c>
      <c r="G2554" s="3" t="s">
        <v>288</v>
      </c>
      <c r="H2554" s="2" t="s">
        <v>148</v>
      </c>
      <c r="I2554" s="2" t="s">
        <v>7295</v>
      </c>
      <c r="J2554" s="3" t="str">
        <f>HYPERLINK("https://www.boe.es/gazeta/dias/1811/12/19/pdfs/GMD-1811-353.pdf#page=4","Abrir facsímil")</f>
        <v>Abrir facsímil</v>
      </c>
      <c r="K2554" s="3" t="s">
        <v>150</v>
      </c>
    </row>
    <row r="2555" spans="1:11" ht="42" customHeight="1">
      <c r="A2555" s="2" t="s">
        <v>7296</v>
      </c>
      <c r="B2555" s="2" t="s">
        <v>7297</v>
      </c>
      <c r="C2555" s="2" t="s">
        <v>26</v>
      </c>
      <c r="D2555" s="2" t="s">
        <v>141</v>
      </c>
      <c r="E2555" s="4">
        <v>-32272</v>
      </c>
      <c r="F2555" s="3" t="s">
        <v>1150</v>
      </c>
      <c r="G2555" s="3" t="s">
        <v>468</v>
      </c>
      <c r="H2555" s="2" t="s">
        <v>148</v>
      </c>
      <c r="I2555" s="2" t="s">
        <v>7298</v>
      </c>
      <c r="J2555" s="3" t="str">
        <f>HYPERLINK("https://www.boe.es/gazeta/dias/1811/08/22/pdfs/GMD-C-1811-234.pdf#page=2","Abrir facsímil")</f>
        <v>Abrir facsímil</v>
      </c>
      <c r="K2555" s="3" t="s">
        <v>150</v>
      </c>
    </row>
    <row r="2556" spans="1:11" ht="42" customHeight="1">
      <c r="A2556" s="2" t="s">
        <v>7299</v>
      </c>
      <c r="B2556" s="2" t="s">
        <v>7300</v>
      </c>
      <c r="C2556" s="2" t="s">
        <v>26</v>
      </c>
      <c r="D2556" s="2" t="s">
        <v>18</v>
      </c>
      <c r="E2556" s="4">
        <v>-32188</v>
      </c>
      <c r="F2556" s="3" t="s">
        <v>356</v>
      </c>
      <c r="G2556" s="3" t="s">
        <v>248</v>
      </c>
      <c r="H2556" s="2" t="s">
        <v>148</v>
      </c>
      <c r="I2556" s="2" t="s">
        <v>7301</v>
      </c>
      <c r="J2556" s="3" t="str">
        <f>HYPERLINK("https://www.boe.es/gazeta/dias/1811/11/14/pdfs/GMD-1811-318.pdf#page=5","Abrir facsímil")</f>
        <v>Abrir facsímil</v>
      </c>
      <c r="K2556" s="3" t="s">
        <v>150</v>
      </c>
    </row>
    <row r="2557" spans="1:11" ht="42" customHeight="1">
      <c r="A2557" s="2" t="s">
        <v>7302</v>
      </c>
      <c r="B2557" s="2" t="s">
        <v>7303</v>
      </c>
      <c r="C2557" s="2" t="s">
        <v>26</v>
      </c>
      <c r="D2557" s="2" t="s">
        <v>18</v>
      </c>
      <c r="E2557" s="4">
        <v>-32463</v>
      </c>
      <c r="F2557" s="3" t="s">
        <v>734</v>
      </c>
      <c r="G2557" s="3" t="s">
        <v>846</v>
      </c>
      <c r="H2557" s="2" t="s">
        <v>148</v>
      </c>
      <c r="I2557" s="2" t="s">
        <v>7304</v>
      </c>
      <c r="J2557" s="3" t="str">
        <f>HYPERLINK("https://www.boe.es/gazeta/dias/1811/02/12/pdfs/GEI-1811-19.pdf#page=1","Abrir facsímil")</f>
        <v>Abrir facsímil</v>
      </c>
      <c r="K2557" s="3" t="s">
        <v>150</v>
      </c>
    </row>
    <row r="2558" spans="1:11" ht="42" customHeight="1">
      <c r="A2558" s="2" t="s">
        <v>7305</v>
      </c>
      <c r="B2558" s="2" t="s">
        <v>7306</v>
      </c>
      <c r="C2558" s="2" t="s">
        <v>17</v>
      </c>
      <c r="D2558" s="2" t="s">
        <v>105</v>
      </c>
      <c r="E2558" s="4">
        <v>-32326</v>
      </c>
      <c r="F2558" s="3" t="s">
        <v>43</v>
      </c>
      <c r="G2558" s="3" t="s">
        <v>4791</v>
      </c>
      <c r="H2558" s="2" t="s">
        <v>148</v>
      </c>
      <c r="I2558" s="2" t="s">
        <v>7307</v>
      </c>
      <c r="J2558" s="3" t="str">
        <f>HYPERLINK("https://www.boe.es/gazeta/dias/1811/06/29/pdfs/GEI-1811-86.pdf#page=8","Abrir facsímil")</f>
        <v>Abrir facsímil</v>
      </c>
      <c r="K2558" s="3" t="s">
        <v>150</v>
      </c>
    </row>
    <row r="2559" spans="1:11" ht="42" customHeight="1">
      <c r="A2559" s="2" t="s">
        <v>7308</v>
      </c>
      <c r="B2559" s="2" t="s">
        <v>7309</v>
      </c>
      <c r="C2559" s="2" t="s">
        <v>17</v>
      </c>
      <c r="D2559" s="2" t="s">
        <v>18</v>
      </c>
      <c r="E2559" s="4">
        <v>-32200</v>
      </c>
      <c r="F2559" s="3" t="s">
        <v>109</v>
      </c>
      <c r="G2559" s="3" t="s">
        <v>586</v>
      </c>
      <c r="H2559" s="2" t="s">
        <v>148</v>
      </c>
      <c r="I2559" s="2" t="s">
        <v>7310</v>
      </c>
      <c r="J2559" s="3" t="str">
        <f>HYPERLINK("https://www.boe.es/gazeta/dias/1811/11/02/pdfs/GEI-1811-141.pdf#page=8","Abrir facsímil")</f>
        <v>Abrir facsímil</v>
      </c>
      <c r="K2559" s="3" t="s">
        <v>150</v>
      </c>
    </row>
    <row r="2560" spans="1:11" ht="42" customHeight="1">
      <c r="A2560" s="2" t="s">
        <v>7311</v>
      </c>
      <c r="B2560" s="2" t="s">
        <v>7312</v>
      </c>
      <c r="C2560" s="2" t="s">
        <v>37</v>
      </c>
      <c r="D2560" s="2" t="s">
        <v>156</v>
      </c>
      <c r="E2560" s="4">
        <v>-32491</v>
      </c>
      <c r="F2560" s="3" t="s">
        <v>533</v>
      </c>
      <c r="G2560" s="3" t="s">
        <v>510</v>
      </c>
      <c r="H2560" s="2" t="s">
        <v>148</v>
      </c>
      <c r="I2560" s="2" t="s">
        <v>7313</v>
      </c>
      <c r="J2560" s="3" t="str">
        <f>HYPERLINK("https://www.boe.es/gazeta/dias/1811/01/15/pdfs/GEI-1811-7.pdf#page=8","Abrir facsímil")</f>
        <v>Abrir facsímil</v>
      </c>
      <c r="K2560" s="3" t="s">
        <v>150</v>
      </c>
    </row>
    <row r="2561" spans="1:11" ht="42" customHeight="1">
      <c r="A2561" s="2" t="s">
        <v>7314</v>
      </c>
      <c r="B2561" s="2" t="s">
        <v>7315</v>
      </c>
      <c r="C2561" s="2" t="s">
        <v>26</v>
      </c>
      <c r="D2561" s="2" t="s">
        <v>18</v>
      </c>
      <c r="E2561" s="4">
        <v>-32271</v>
      </c>
      <c r="F2561" s="3" t="s">
        <v>2902</v>
      </c>
      <c r="G2561" s="3" t="s">
        <v>162</v>
      </c>
      <c r="H2561" s="2" t="s">
        <v>148</v>
      </c>
      <c r="I2561" s="2" t="s">
        <v>7316</v>
      </c>
      <c r="J2561" s="3" t="str">
        <f>HYPERLINK("https://www.boe.es/gazeta/dias/1811/08/23/pdfs/GMD-1811-235.pdf#page=1","Abrir facsímil")</f>
        <v>Abrir facsímil</v>
      </c>
      <c r="K2561" s="3" t="s">
        <v>150</v>
      </c>
    </row>
    <row r="2562" spans="1:11" ht="42" customHeight="1">
      <c r="A2562" s="2" t="s">
        <v>7317</v>
      </c>
      <c r="B2562" s="2" t="s">
        <v>7318</v>
      </c>
      <c r="C2562" s="2" t="s">
        <v>26</v>
      </c>
      <c r="D2562" s="2" t="s">
        <v>18</v>
      </c>
      <c r="E2562" s="4">
        <v>-32172</v>
      </c>
      <c r="F2562" s="3" t="s">
        <v>300</v>
      </c>
      <c r="G2562" s="3" t="s">
        <v>305</v>
      </c>
      <c r="H2562" s="2" t="s">
        <v>148</v>
      </c>
      <c r="I2562" s="2" t="s">
        <v>7319</v>
      </c>
      <c r="J2562" s="3" t="str">
        <f>HYPERLINK("https://www.boe.es/gazeta/dias/1811/11/30/pdfs/GMD-1811-334.pdf#page=3","Abrir facsímil")</f>
        <v>Abrir facsímil</v>
      </c>
      <c r="K2562" s="3" t="s">
        <v>150</v>
      </c>
    </row>
    <row r="2563" spans="1:11" ht="42" customHeight="1">
      <c r="A2563" s="2" t="s">
        <v>7320</v>
      </c>
      <c r="B2563" s="2" t="s">
        <v>7321</v>
      </c>
      <c r="C2563" s="2" t="s">
        <v>26</v>
      </c>
      <c r="D2563" s="2" t="s">
        <v>18</v>
      </c>
      <c r="E2563" s="4">
        <v>-32288</v>
      </c>
      <c r="F2563" s="3" t="s">
        <v>95</v>
      </c>
      <c r="G2563" s="3" t="s">
        <v>47</v>
      </c>
      <c r="H2563" s="2" t="s">
        <v>148</v>
      </c>
      <c r="I2563" s="2" t="s">
        <v>7322</v>
      </c>
      <c r="J2563" s="3" t="str">
        <f>HYPERLINK("https://www.boe.es/gazeta/dias/1811/08/06/pdfs/GEI-1811-102.pdf#page=8","Abrir facsímil")</f>
        <v>Abrir facsímil</v>
      </c>
      <c r="K2563" s="3" t="s">
        <v>150</v>
      </c>
    </row>
    <row r="2564" spans="1:11" ht="42" customHeight="1">
      <c r="A2564" s="2" t="s">
        <v>7323</v>
      </c>
      <c r="B2564" s="2" t="s">
        <v>7324</v>
      </c>
      <c r="C2564" s="2" t="s">
        <v>17</v>
      </c>
      <c r="D2564" s="2" t="s">
        <v>18</v>
      </c>
      <c r="E2564" s="4">
        <v>-32416</v>
      </c>
      <c r="F2564" s="3" t="s">
        <v>954</v>
      </c>
      <c r="G2564" s="3" t="s">
        <v>183</v>
      </c>
      <c r="H2564" s="2" t="s">
        <v>148</v>
      </c>
      <c r="I2564" s="2" t="s">
        <v>7325</v>
      </c>
      <c r="J2564" s="3" t="str">
        <f>HYPERLINK("https://www.boe.es/gazeta/dias/1811/03/31/pdfs/GMD-1811-90.pdf#page=4","Abrir facsímil")</f>
        <v>Abrir facsímil</v>
      </c>
      <c r="K2564" s="3" t="s">
        <v>150</v>
      </c>
    </row>
    <row r="2565" spans="1:11" ht="42" customHeight="1">
      <c r="A2565" s="2" t="s">
        <v>7326</v>
      </c>
      <c r="B2565" s="2" t="s">
        <v>7327</v>
      </c>
      <c r="C2565" s="2" t="s">
        <v>84</v>
      </c>
      <c r="D2565" s="2" t="s">
        <v>105</v>
      </c>
      <c r="E2565" s="4">
        <v>-32466</v>
      </c>
      <c r="F2565" s="3" t="s">
        <v>1514</v>
      </c>
      <c r="G2565" s="3" t="s">
        <v>515</v>
      </c>
      <c r="H2565" s="2" t="s">
        <v>148</v>
      </c>
      <c r="I2565" s="2" t="s">
        <v>7328</v>
      </c>
      <c r="J2565" s="3" t="str">
        <f>HYPERLINK("https://www.boe.es/gazeta/dias/1811/02/09/pdfs/GEI-1811-18.pdf#page=8","Abrir facsímil")</f>
        <v>Abrir facsímil</v>
      </c>
      <c r="K2565" s="3" t="s">
        <v>150</v>
      </c>
    </row>
    <row r="2566" spans="1:11" ht="42" customHeight="1">
      <c r="A2566" s="2" t="s">
        <v>7329</v>
      </c>
      <c r="B2566" s="2" t="s">
        <v>7330</v>
      </c>
      <c r="C2566" s="2" t="s">
        <v>104</v>
      </c>
      <c r="D2566" s="2" t="s">
        <v>18</v>
      </c>
      <c r="E2566" s="4">
        <v>-32463</v>
      </c>
      <c r="F2566" s="3" t="s">
        <v>734</v>
      </c>
      <c r="G2566" s="3" t="s">
        <v>515</v>
      </c>
      <c r="H2566" s="2" t="s">
        <v>148</v>
      </c>
      <c r="I2566" s="2" t="s">
        <v>7331</v>
      </c>
      <c r="J2566" s="3" t="str">
        <f>HYPERLINK("https://www.boe.es/gazeta/dias/1811/02/12/pdfs/GEI-1811-19.pdf#page=7","Abrir facsímil")</f>
        <v>Abrir facsímil</v>
      </c>
      <c r="K2566" s="3" t="s">
        <v>150</v>
      </c>
    </row>
    <row r="2567" spans="1:11" ht="42" customHeight="1">
      <c r="A2567" s="2" t="s">
        <v>7332</v>
      </c>
      <c r="B2567" s="2" t="s">
        <v>7333</v>
      </c>
      <c r="C2567" s="2" t="s">
        <v>84</v>
      </c>
      <c r="D2567" s="2" t="s">
        <v>141</v>
      </c>
      <c r="E2567" s="4">
        <v>-32344</v>
      </c>
      <c r="F2567" s="3" t="s">
        <v>1548</v>
      </c>
      <c r="G2567" s="3" t="s">
        <v>2371</v>
      </c>
      <c r="H2567" s="2" t="s">
        <v>148</v>
      </c>
      <c r="I2567" s="2" t="s">
        <v>7334</v>
      </c>
      <c r="J2567" s="3" t="str">
        <f>HYPERLINK("https://www.boe.es/gazeta/dias/1811/06/11/pdfs/GEI-D-1811-78.pdf#page=2","Abrir facsímil")</f>
        <v>Abrir facsímil</v>
      </c>
      <c r="K2567" s="3" t="s">
        <v>150</v>
      </c>
    </row>
    <row r="2568" spans="1:11" ht="42" customHeight="1">
      <c r="A2568" s="2" t="s">
        <v>7335</v>
      </c>
      <c r="B2568" s="2" t="s">
        <v>7336</v>
      </c>
      <c r="C2568" s="2" t="s">
        <v>26</v>
      </c>
      <c r="D2568" s="2" t="s">
        <v>18</v>
      </c>
      <c r="E2568" s="4">
        <v>-32153</v>
      </c>
      <c r="F2568" s="3" t="s">
        <v>123</v>
      </c>
      <c r="G2568" s="3" t="s">
        <v>124</v>
      </c>
      <c r="H2568" s="2" t="s">
        <v>148</v>
      </c>
      <c r="I2568" s="2" t="s">
        <v>7337</v>
      </c>
      <c r="J2568" s="3" t="str">
        <f>HYPERLINK("https://www.boe.es/gazeta/dias/1811/12/19/pdfs/GMD-1811-353.pdf#page=6","Abrir facsímil")</f>
        <v>Abrir facsímil</v>
      </c>
      <c r="K2568" s="3" t="s">
        <v>150</v>
      </c>
    </row>
    <row r="2569" spans="1:11" ht="42" customHeight="1">
      <c r="A2569" s="2" t="s">
        <v>7338</v>
      </c>
      <c r="B2569" s="2" t="s">
        <v>7339</v>
      </c>
      <c r="C2569" s="2" t="s">
        <v>26</v>
      </c>
      <c r="D2569" s="2" t="s">
        <v>105</v>
      </c>
      <c r="E2569" s="4">
        <v>-32270</v>
      </c>
      <c r="F2569" s="3" t="s">
        <v>431</v>
      </c>
      <c r="G2569" s="3" t="s">
        <v>2080</v>
      </c>
      <c r="H2569" s="2" t="s">
        <v>148</v>
      </c>
      <c r="I2569" s="2" t="s">
        <v>7340</v>
      </c>
      <c r="J2569" s="3" t="str">
        <f>HYPERLINK("https://www.boe.es/gazeta/dias/1811/08/24/pdfs/GEI-1811-110.pdf#page=5","Abrir facsímil")</f>
        <v>Abrir facsímil</v>
      </c>
      <c r="K2569" s="3" t="s">
        <v>150</v>
      </c>
    </row>
    <row r="2570" spans="1:11" ht="42" customHeight="1">
      <c r="A2570" s="2" t="s">
        <v>7341</v>
      </c>
      <c r="B2570" s="2" t="s">
        <v>7342</v>
      </c>
      <c r="C2570" s="2" t="s">
        <v>26</v>
      </c>
      <c r="D2570" s="2" t="s">
        <v>18</v>
      </c>
      <c r="E2570" s="4">
        <v>-32188</v>
      </c>
      <c r="F2570" s="3" t="s">
        <v>356</v>
      </c>
      <c r="G2570" s="3" t="s">
        <v>468</v>
      </c>
      <c r="H2570" s="2" t="s">
        <v>148</v>
      </c>
      <c r="I2570" s="2" t="s">
        <v>7343</v>
      </c>
      <c r="J2570" s="3" t="str">
        <f>HYPERLINK("https://www.boe.es/gazeta/dias/1811/11/14/pdfs/GMD-1811-318.pdf#page=6","Abrir facsímil")</f>
        <v>Abrir facsímil</v>
      </c>
      <c r="K2570" s="3" t="s">
        <v>150</v>
      </c>
    </row>
    <row r="2571" spans="1:11" ht="42" customHeight="1">
      <c r="A2571" s="2" t="s">
        <v>7344</v>
      </c>
      <c r="B2571" s="2" t="s">
        <v>7345</v>
      </c>
      <c r="C2571" s="2" t="s">
        <v>122</v>
      </c>
      <c r="D2571" s="2" t="s">
        <v>18</v>
      </c>
      <c r="E2571" s="4">
        <v>-32391</v>
      </c>
      <c r="F2571" s="3" t="s">
        <v>252</v>
      </c>
      <c r="G2571" s="3" t="s">
        <v>2442</v>
      </c>
      <c r="H2571" s="2" t="s">
        <v>148</v>
      </c>
      <c r="I2571" s="2" t="s">
        <v>7346</v>
      </c>
      <c r="J2571" s="3" t="str">
        <f>HYPERLINK("https://www.boe.es/gazeta/dias/1811/04/25/pdfs/GEI-1811-55.pdf#page=8","Abrir facsímil")</f>
        <v>Abrir facsímil</v>
      </c>
      <c r="K2571" s="3" t="s">
        <v>150</v>
      </c>
    </row>
    <row r="2572" spans="1:11" ht="42" customHeight="1">
      <c r="A2572" s="2" t="s">
        <v>7347</v>
      </c>
      <c r="B2572" s="2" t="s">
        <v>7348</v>
      </c>
      <c r="C2572" s="2" t="s">
        <v>26</v>
      </c>
      <c r="D2572" s="2" t="s">
        <v>18</v>
      </c>
      <c r="E2572" s="4">
        <v>-32188</v>
      </c>
      <c r="F2572" s="3" t="s">
        <v>356</v>
      </c>
      <c r="G2572" s="3" t="s">
        <v>248</v>
      </c>
      <c r="H2572" s="2" t="s">
        <v>148</v>
      </c>
      <c r="I2572" s="2" t="s">
        <v>7349</v>
      </c>
      <c r="J2572" s="3" t="str">
        <f>HYPERLINK("https://www.boe.es/gazeta/dias/1811/11/14/pdfs/GMD-1811-318.pdf#page=5","Abrir facsímil")</f>
        <v>Abrir facsímil</v>
      </c>
      <c r="K2572" s="3" t="s">
        <v>150</v>
      </c>
    </row>
    <row r="2573" spans="1:11" ht="42" customHeight="1">
      <c r="A2573" s="2" t="s">
        <v>7350</v>
      </c>
      <c r="B2573" s="2" t="s">
        <v>7351</v>
      </c>
      <c r="C2573" s="2" t="s">
        <v>84</v>
      </c>
      <c r="D2573" s="2" t="s">
        <v>105</v>
      </c>
      <c r="E2573" s="4">
        <v>-32197</v>
      </c>
      <c r="F2573" s="3" t="s">
        <v>687</v>
      </c>
      <c r="G2573" s="3" t="s">
        <v>1240</v>
      </c>
      <c r="H2573" s="2" t="s">
        <v>21</v>
      </c>
      <c r="I2573" s="2" t="s">
        <v>7352</v>
      </c>
      <c r="J2573" s="3" t="str">
        <f>HYPERLINK("https://www.boe.es/gazeta/dias/1811/11/05/pdfs/GEI-1811-143.pdf#page=8","Abrir facsímil")</f>
        <v>Abrir facsímil</v>
      </c>
      <c r="K2573" s="3" t="s">
        <v>23</v>
      </c>
    </row>
    <row r="2574" spans="1:11" ht="42" customHeight="1">
      <c r="A2574" s="2" t="s">
        <v>7353</v>
      </c>
      <c r="B2574" s="2" t="s">
        <v>7354</v>
      </c>
      <c r="C2574" s="2" t="s">
        <v>104</v>
      </c>
      <c r="D2574" s="2" t="s">
        <v>18</v>
      </c>
      <c r="E2574" s="4">
        <v>-32188</v>
      </c>
      <c r="F2574" s="3" t="s">
        <v>356</v>
      </c>
      <c r="G2574" s="3" t="s">
        <v>248</v>
      </c>
      <c r="H2574" s="2" t="s">
        <v>148</v>
      </c>
      <c r="I2574" s="2" t="s">
        <v>7355</v>
      </c>
      <c r="J2574" s="3" t="str">
        <f>HYPERLINK("https://www.boe.es/gazeta/dias/1811/11/14/pdfs/GMD-1811-318.pdf#page=5","Abrir facsímil")</f>
        <v>Abrir facsímil</v>
      </c>
      <c r="K2574" s="3" t="s">
        <v>150</v>
      </c>
    </row>
    <row r="2575" spans="1:11" ht="42" customHeight="1">
      <c r="A2575" s="2" t="s">
        <v>7356</v>
      </c>
      <c r="B2575" s="2" t="s">
        <v>7357</v>
      </c>
      <c r="C2575" s="2" t="s">
        <v>26</v>
      </c>
      <c r="D2575" s="2" t="s">
        <v>141</v>
      </c>
      <c r="E2575" s="4">
        <v>-32249</v>
      </c>
      <c r="F2575" s="3" t="s">
        <v>743</v>
      </c>
      <c r="G2575" s="3" t="s">
        <v>1021</v>
      </c>
      <c r="H2575" s="2" t="s">
        <v>148</v>
      </c>
      <c r="I2575" s="2" t="s">
        <v>7358</v>
      </c>
      <c r="J2575" s="3" t="str">
        <f>HYPERLINK("https://www.boe.es/gazeta/dias/1811/09/14/pdfs/GMD-C-1811-257.pdf#page=2","Abrir facsímil")</f>
        <v>Abrir facsímil</v>
      </c>
      <c r="K2575" s="3" t="s">
        <v>150</v>
      </c>
    </row>
    <row r="2576" spans="1:11" ht="42" customHeight="1">
      <c r="A2576" s="2" t="s">
        <v>7359</v>
      </c>
      <c r="B2576" s="2" t="s">
        <v>7360</v>
      </c>
      <c r="C2576" s="2" t="s">
        <v>26</v>
      </c>
      <c r="D2576" s="2" t="s">
        <v>18</v>
      </c>
      <c r="E2576" s="4">
        <v>-32505</v>
      </c>
      <c r="F2576" s="3" t="s">
        <v>475</v>
      </c>
      <c r="G2576" s="3" t="s">
        <v>553</v>
      </c>
      <c r="H2576" s="2" t="s">
        <v>148</v>
      </c>
      <c r="I2576" s="2" t="s">
        <v>7361</v>
      </c>
      <c r="J2576" s="3" t="str">
        <f>HYPERLINK("https://www.boe.es/gazeta/dias/1811/01/01/pdfs/GEI-1811-1.pdf#page=2","Abrir facsímil")</f>
        <v>Abrir facsímil</v>
      </c>
      <c r="K2576" s="3" t="s">
        <v>150</v>
      </c>
    </row>
    <row r="2577" spans="1:11" ht="42" customHeight="1">
      <c r="A2577" s="2" t="s">
        <v>7362</v>
      </c>
      <c r="B2577" s="2" t="s">
        <v>7363</v>
      </c>
      <c r="C2577" s="2" t="s">
        <v>841</v>
      </c>
      <c r="D2577" s="2" t="s">
        <v>141</v>
      </c>
      <c r="E2577" s="4">
        <v>-32396</v>
      </c>
      <c r="F2577" s="3" t="s">
        <v>804</v>
      </c>
      <c r="G2577" s="3" t="s">
        <v>805</v>
      </c>
      <c r="H2577" s="2" t="s">
        <v>148</v>
      </c>
      <c r="I2577" s="2" t="s">
        <v>7364</v>
      </c>
      <c r="J2577" s="3" t="str">
        <f>HYPERLINK("https://www.boe.es/gazeta/dias/1811/04/20/pdfs/GEI-D-1811-53.pdf#page=4","Abrir facsímil")</f>
        <v>Abrir facsímil</v>
      </c>
      <c r="K2577" s="3" t="s">
        <v>150</v>
      </c>
    </row>
    <row r="2578" spans="1:11" ht="42" customHeight="1">
      <c r="A2578" s="2" t="s">
        <v>7365</v>
      </c>
      <c r="B2578" s="2" t="s">
        <v>7366</v>
      </c>
      <c r="C2578" s="2" t="s">
        <v>17</v>
      </c>
      <c r="D2578" s="2" t="s">
        <v>18</v>
      </c>
      <c r="E2578" s="4">
        <v>-32480</v>
      </c>
      <c r="F2578" s="3" t="s">
        <v>3061</v>
      </c>
      <c r="G2578" s="3" t="s">
        <v>510</v>
      </c>
      <c r="H2578" s="2" t="s">
        <v>148</v>
      </c>
      <c r="I2578" s="2" t="s">
        <v>7367</v>
      </c>
      <c r="J2578" s="3" t="str">
        <f>HYPERLINK("https://www.boe.es/gazeta/dias/1811/01/26/pdfs/GEI-1811-12.pdf#page=8","Abrir facsímil")</f>
        <v>Abrir facsímil</v>
      </c>
      <c r="K2578" s="3" t="s">
        <v>150</v>
      </c>
    </row>
    <row r="2579" spans="1:11" ht="42" customHeight="1">
      <c r="A2579" s="2" t="s">
        <v>7368</v>
      </c>
      <c r="B2579" s="2" t="s">
        <v>7369</v>
      </c>
      <c r="C2579" s="2" t="s">
        <v>26</v>
      </c>
      <c r="D2579" s="2" t="s">
        <v>18</v>
      </c>
      <c r="E2579" s="4">
        <v>-32188</v>
      </c>
      <c r="F2579" s="3" t="s">
        <v>356</v>
      </c>
      <c r="G2579" s="3" t="s">
        <v>468</v>
      </c>
      <c r="H2579" s="2" t="s">
        <v>148</v>
      </c>
      <c r="I2579" s="2" t="s">
        <v>7370</v>
      </c>
      <c r="J2579" s="3" t="str">
        <f>HYPERLINK("https://www.boe.es/gazeta/dias/1811/11/14/pdfs/GMD-1811-318.pdf#page=6","Abrir facsímil")</f>
        <v>Abrir facsímil</v>
      </c>
      <c r="K2579" s="3" t="s">
        <v>150</v>
      </c>
    </row>
    <row r="2580" spans="1:11" ht="42" customHeight="1">
      <c r="A2580" s="2" t="s">
        <v>7371</v>
      </c>
      <c r="B2580" s="2" t="s">
        <v>7372</v>
      </c>
      <c r="C2580" s="2" t="s">
        <v>84</v>
      </c>
      <c r="D2580" s="2" t="s">
        <v>18</v>
      </c>
      <c r="E2580" s="4">
        <v>-32335</v>
      </c>
      <c r="F2580" s="3" t="s">
        <v>7373</v>
      </c>
      <c r="G2580" s="3" t="s">
        <v>248</v>
      </c>
      <c r="H2580" s="2" t="s">
        <v>148</v>
      </c>
      <c r="I2580" s="2" t="s">
        <v>7374</v>
      </c>
      <c r="J2580" s="3" t="str">
        <f>HYPERLINK("https://www.boe.es/gazeta/dias/1811/06/20/pdfs/GMD-1811-171.pdf#page=4","Abrir facsímil")</f>
        <v>Abrir facsímil</v>
      </c>
      <c r="K2580" s="3" t="s">
        <v>150</v>
      </c>
    </row>
    <row r="2581" spans="1:11" ht="42" customHeight="1">
      <c r="A2581" s="2" t="s">
        <v>7371</v>
      </c>
      <c r="B2581" s="2" t="s">
        <v>7372</v>
      </c>
      <c r="C2581" s="2" t="s">
        <v>26</v>
      </c>
      <c r="D2581" s="2" t="s">
        <v>18</v>
      </c>
      <c r="E2581" s="4">
        <v>-32216</v>
      </c>
      <c r="F2581" s="3" t="s">
        <v>5136</v>
      </c>
      <c r="G2581" s="3" t="s">
        <v>178</v>
      </c>
      <c r="H2581" s="2" t="s">
        <v>148</v>
      </c>
      <c r="I2581" s="2" t="s">
        <v>7375</v>
      </c>
      <c r="J2581" s="3" t="str">
        <f>HYPERLINK("https://www.boe.es/gazeta/dias/1811/10/17/pdfs/GMD-1811-290.pdf#page=4","Abrir facsímil")</f>
        <v>Abrir facsímil</v>
      </c>
      <c r="K2581" s="3" t="s">
        <v>150</v>
      </c>
    </row>
    <row r="2582" spans="1:11" ht="42" customHeight="1">
      <c r="A2582" s="2" t="s">
        <v>7376</v>
      </c>
      <c r="B2582" s="2" t="s">
        <v>7377</v>
      </c>
      <c r="C2582" s="2" t="s">
        <v>37</v>
      </c>
      <c r="D2582" s="2" t="s">
        <v>156</v>
      </c>
      <c r="E2582" s="4">
        <v>-32249</v>
      </c>
      <c r="F2582" s="3" t="s">
        <v>824</v>
      </c>
      <c r="G2582" s="3" t="s">
        <v>900</v>
      </c>
      <c r="H2582" s="2" t="s">
        <v>148</v>
      </c>
      <c r="I2582" s="2" t="s">
        <v>7378</v>
      </c>
      <c r="J2582" s="3" t="str">
        <f>HYPERLINK("https://www.boe.es/gazeta/dias/1811/09/14/pdfs/GEI-1811-119.pdf#page=8","Abrir facsímil")</f>
        <v>Abrir facsímil</v>
      </c>
      <c r="K2582" s="3" t="s">
        <v>150</v>
      </c>
    </row>
    <row r="2583" spans="1:11" ht="42" customHeight="1">
      <c r="A2583" s="2" t="s">
        <v>7379</v>
      </c>
      <c r="B2583" s="2" t="s">
        <v>7380</v>
      </c>
      <c r="C2583" s="2" t="s">
        <v>367</v>
      </c>
      <c r="D2583" s="2" t="s">
        <v>18</v>
      </c>
      <c r="E2583" s="4">
        <v>-32166</v>
      </c>
      <c r="F2583" s="3" t="s">
        <v>2263</v>
      </c>
      <c r="G2583" s="3" t="s">
        <v>2264</v>
      </c>
      <c r="H2583" s="2" t="s">
        <v>148</v>
      </c>
      <c r="I2583" s="2" t="s">
        <v>7381</v>
      </c>
      <c r="J2583" s="3" t="str">
        <f>HYPERLINK("https://www.boe.es/gazeta/dias/1811/12/06/pdfs/GMD-1811-340.pdf#page=4","Abrir facsímil")</f>
        <v>Abrir facsímil</v>
      </c>
      <c r="K2583" s="3" t="s">
        <v>150</v>
      </c>
    </row>
    <row r="2584" spans="1:11" ht="42" customHeight="1">
      <c r="A2584" s="2" t="s">
        <v>7382</v>
      </c>
      <c r="B2584" s="2" t="s">
        <v>7383</v>
      </c>
      <c r="C2584" s="2" t="s">
        <v>26</v>
      </c>
      <c r="D2584" s="2" t="s">
        <v>18</v>
      </c>
      <c r="E2584" s="4">
        <v>-32440</v>
      </c>
      <c r="F2584" s="3" t="s">
        <v>1254</v>
      </c>
      <c r="G2584" s="3" t="s">
        <v>7384</v>
      </c>
      <c r="H2584" s="2" t="s">
        <v>148</v>
      </c>
      <c r="I2584" s="2" t="s">
        <v>7385</v>
      </c>
      <c r="J2584" s="3" t="str">
        <f>HYPERLINK("https://www.boe.es/gazeta/dias/1811/03/07/pdfs/GEI-1811-32.pdf#page=8","Abrir facsímil")</f>
        <v>Abrir facsímil</v>
      </c>
      <c r="K2584" s="3" t="s">
        <v>150</v>
      </c>
    </row>
    <row r="2585" spans="1:11" ht="42" customHeight="1">
      <c r="A2585" s="2" t="s">
        <v>7386</v>
      </c>
      <c r="B2585" s="2" t="s">
        <v>7387</v>
      </c>
      <c r="C2585" s="2" t="s">
        <v>104</v>
      </c>
      <c r="D2585" s="2" t="s">
        <v>141</v>
      </c>
      <c r="E2585" s="4">
        <v>-32238</v>
      </c>
      <c r="F2585" s="3" t="s">
        <v>166</v>
      </c>
      <c r="G2585" s="3" t="s">
        <v>129</v>
      </c>
      <c r="H2585" s="2" t="s">
        <v>148</v>
      </c>
      <c r="I2585" s="2" t="s">
        <v>7388</v>
      </c>
      <c r="J2585" s="3" t="str">
        <f>HYPERLINK("https://www.boe.es/gazeta/dias/1811/09/25/pdfs/GMD-C-1811-268.pdf#page=1","Abrir facsímil")</f>
        <v>Abrir facsímil</v>
      </c>
      <c r="K2585" s="3" t="s">
        <v>150</v>
      </c>
    </row>
    <row r="2586" spans="1:11" ht="42" customHeight="1">
      <c r="A2586" s="2" t="s">
        <v>7389</v>
      </c>
      <c r="B2586" s="2" t="s">
        <v>7390</v>
      </c>
      <c r="C2586" s="2" t="s">
        <v>26</v>
      </c>
      <c r="D2586" s="2" t="s">
        <v>105</v>
      </c>
      <c r="E2586" s="4">
        <v>-32272</v>
      </c>
      <c r="F2586" s="3" t="s">
        <v>1150</v>
      </c>
      <c r="G2586" s="3" t="s">
        <v>468</v>
      </c>
      <c r="H2586" s="2" t="s">
        <v>148</v>
      </c>
      <c r="I2586" s="2" t="s">
        <v>7391</v>
      </c>
      <c r="J2586" s="3" t="str">
        <f>HYPERLINK("https://www.boe.es/gazeta/dias/1811/08/22/pdfs/GMD-C-1811-234.pdf#page=2","Abrir facsímil")</f>
        <v>Abrir facsímil</v>
      </c>
      <c r="K2586" s="3" t="s">
        <v>150</v>
      </c>
    </row>
    <row r="2587" spans="1:11" ht="42" customHeight="1">
      <c r="A2587" s="2" t="s">
        <v>7392</v>
      </c>
      <c r="B2587" s="2" t="s">
        <v>7393</v>
      </c>
      <c r="C2587" s="2" t="s">
        <v>367</v>
      </c>
      <c r="D2587" s="2" t="s">
        <v>18</v>
      </c>
      <c r="E2587" s="4">
        <v>-32141</v>
      </c>
      <c r="F2587" s="3" t="s">
        <v>327</v>
      </c>
      <c r="G2587" s="3" t="s">
        <v>20</v>
      </c>
      <c r="H2587" s="2" t="s">
        <v>148</v>
      </c>
      <c r="I2587" s="2" t="s">
        <v>7394</v>
      </c>
      <c r="J2587" s="3" t="str">
        <f>HYPERLINK("https://www.boe.es/gazeta/dias/1811/12/31/pdfs/GMD-1811-365.pdf#page=4","Abrir facsímil")</f>
        <v>Abrir facsímil</v>
      </c>
      <c r="K2587" s="3" t="s">
        <v>150</v>
      </c>
    </row>
    <row r="2588" spans="1:11" ht="42" customHeight="1">
      <c r="A2588" s="2" t="s">
        <v>7395</v>
      </c>
      <c r="B2588" s="2" t="s">
        <v>7396</v>
      </c>
      <c r="C2588" s="2" t="s">
        <v>26</v>
      </c>
      <c r="D2588" s="2" t="s">
        <v>18</v>
      </c>
      <c r="E2588" s="4">
        <v>-32403</v>
      </c>
      <c r="F2588" s="3" t="s">
        <v>4861</v>
      </c>
      <c r="G2588" s="3" t="s">
        <v>57</v>
      </c>
      <c r="H2588" s="2" t="s">
        <v>21</v>
      </c>
      <c r="I2588" s="2" t="s">
        <v>7397</v>
      </c>
      <c r="J2588" s="3" t="str">
        <f>HYPERLINK("https://www.boe.es/gazeta/dias/1811/04/13/pdfs/GMD-1811-103.pdf#page=2","Abrir facsímil")</f>
        <v>Abrir facsímil</v>
      </c>
      <c r="K2588" s="3" t="s">
        <v>23</v>
      </c>
    </row>
    <row r="2589" spans="1:11" ht="42" customHeight="1">
      <c r="A2589" s="2" t="s">
        <v>7398</v>
      </c>
      <c r="B2589" s="2" t="s">
        <v>7399</v>
      </c>
      <c r="C2589" s="2" t="s">
        <v>66</v>
      </c>
      <c r="D2589" s="2" t="s">
        <v>18</v>
      </c>
      <c r="E2589" s="4">
        <v>-32387</v>
      </c>
      <c r="F2589" s="3" t="s">
        <v>7400</v>
      </c>
      <c r="G2589" s="3" t="s">
        <v>4609</v>
      </c>
      <c r="H2589" s="2" t="s">
        <v>148</v>
      </c>
      <c r="I2589" s="2" t="s">
        <v>7401</v>
      </c>
      <c r="J2589" s="3" t="str">
        <f>HYPERLINK("https://www.boe.es/gazeta/dias/1811/04/29/pdfs/GMD-1811-119.pdf#page=2","Abrir facsímil")</f>
        <v>Abrir facsímil</v>
      </c>
      <c r="K2589" s="3" t="s">
        <v>150</v>
      </c>
    </row>
    <row r="2590" spans="1:11" ht="42" customHeight="1">
      <c r="A2590" s="2" t="s">
        <v>7402</v>
      </c>
      <c r="B2590" s="2" t="s">
        <v>7403</v>
      </c>
      <c r="C2590" s="2" t="s">
        <v>26</v>
      </c>
      <c r="D2590" s="2" t="s">
        <v>18</v>
      </c>
      <c r="E2590" s="4">
        <v>-32188</v>
      </c>
      <c r="F2590" s="3" t="s">
        <v>356</v>
      </c>
      <c r="G2590" s="3" t="s">
        <v>248</v>
      </c>
      <c r="H2590" s="2" t="s">
        <v>148</v>
      </c>
      <c r="I2590" s="2" t="s">
        <v>7404</v>
      </c>
      <c r="J2590" s="3" t="str">
        <f>HYPERLINK("https://www.boe.es/gazeta/dias/1811/11/14/pdfs/GMD-1811-318.pdf#page=5","Abrir facsímil")</f>
        <v>Abrir facsímil</v>
      </c>
      <c r="K2590" s="3" t="s">
        <v>150</v>
      </c>
    </row>
    <row r="2591" spans="1:11" ht="42" customHeight="1">
      <c r="A2591" s="2" t="s">
        <v>7405</v>
      </c>
      <c r="B2591" s="2" t="s">
        <v>7406</v>
      </c>
      <c r="C2591" s="2" t="s">
        <v>26</v>
      </c>
      <c r="D2591" s="2" t="s">
        <v>141</v>
      </c>
      <c r="E2591" s="4">
        <v>-32280</v>
      </c>
      <c r="F2591" s="3" t="s">
        <v>142</v>
      </c>
      <c r="G2591" s="3" t="s">
        <v>597</v>
      </c>
      <c r="H2591" s="2" t="s">
        <v>148</v>
      </c>
      <c r="I2591" s="2" t="s">
        <v>7407</v>
      </c>
      <c r="J2591" s="3" t="str">
        <f>HYPERLINK("https://www.boe.es/gazeta/dias/1811/08/14/pdfs/GMD-C-1811-226.pdf#page=2","Abrir facsímil")</f>
        <v>Abrir facsímil</v>
      </c>
      <c r="K2591" s="3" t="s">
        <v>150</v>
      </c>
    </row>
    <row r="2592" spans="1:11" ht="42" customHeight="1">
      <c r="A2592" s="2" t="s">
        <v>7408</v>
      </c>
      <c r="B2592" s="2" t="s">
        <v>7409</v>
      </c>
      <c r="C2592" s="2" t="s">
        <v>17</v>
      </c>
      <c r="D2592" s="2" t="s">
        <v>18</v>
      </c>
      <c r="E2592" s="4">
        <v>-32195</v>
      </c>
      <c r="F2592" s="3" t="s">
        <v>439</v>
      </c>
      <c r="G2592" s="3" t="s">
        <v>440</v>
      </c>
      <c r="H2592" s="2" t="s">
        <v>148</v>
      </c>
      <c r="I2592" s="2" t="s">
        <v>7410</v>
      </c>
      <c r="J2592" s="3" t="str">
        <f>HYPERLINK("https://www.boe.es/gazeta/dias/1811/11/07/pdfs/GEI-1811-144.pdf#page=8","Abrir facsímil")</f>
        <v>Abrir facsímil</v>
      </c>
      <c r="K2592" s="3" t="s">
        <v>150</v>
      </c>
    </row>
    <row r="2593" spans="1:11" ht="42" customHeight="1">
      <c r="A2593" s="2" t="s">
        <v>7411</v>
      </c>
      <c r="B2593" s="2" t="s">
        <v>7412</v>
      </c>
      <c r="C2593" s="2" t="s">
        <v>37</v>
      </c>
      <c r="D2593" s="2" t="s">
        <v>141</v>
      </c>
      <c r="E2593" s="4">
        <v>-32188</v>
      </c>
      <c r="F2593" s="3" t="s">
        <v>505</v>
      </c>
      <c r="G2593" s="3" t="s">
        <v>47</v>
      </c>
      <c r="H2593" s="2" t="s">
        <v>148</v>
      </c>
      <c r="I2593" s="2" t="s">
        <v>7413</v>
      </c>
      <c r="J2593" s="3" t="str">
        <f>HYPERLINK("https://www.boe.es/gazeta/dias/1811/11/14/pdfs/GEI-D-1811-149.pdf#page=3","Abrir facsímil")</f>
        <v>Abrir facsímil</v>
      </c>
      <c r="K2593" s="3" t="s">
        <v>150</v>
      </c>
    </row>
    <row r="2594" spans="1:11" ht="42" customHeight="1">
      <c r="A2594" s="2" t="s">
        <v>7414</v>
      </c>
      <c r="B2594" s="2" t="s">
        <v>7415</v>
      </c>
      <c r="C2594" s="2" t="s">
        <v>84</v>
      </c>
      <c r="D2594" s="2" t="s">
        <v>18</v>
      </c>
      <c r="E2594" s="4">
        <v>-32335</v>
      </c>
      <c r="F2594" s="3" t="s">
        <v>3776</v>
      </c>
      <c r="G2594" s="3" t="s">
        <v>488</v>
      </c>
      <c r="H2594" s="2" t="s">
        <v>148</v>
      </c>
      <c r="I2594" s="2" t="s">
        <v>7416</v>
      </c>
      <c r="J2594" s="3" t="str">
        <f>HYPERLINK("https://www.boe.es/gazeta/dias/1811/06/20/pdfs/GEI-1811-82.pdf#page=8","Abrir facsímil")</f>
        <v>Abrir facsímil</v>
      </c>
      <c r="K2594" s="3" t="s">
        <v>150</v>
      </c>
    </row>
    <row r="2595" spans="1:11" ht="42" customHeight="1">
      <c r="A2595" s="2" t="s">
        <v>7417</v>
      </c>
      <c r="B2595" s="2" t="s">
        <v>7418</v>
      </c>
      <c r="C2595" s="2" t="s">
        <v>367</v>
      </c>
      <c r="D2595" s="2" t="s">
        <v>18</v>
      </c>
      <c r="E2595" s="4">
        <v>-32308</v>
      </c>
      <c r="F2595" s="3" t="s">
        <v>4572</v>
      </c>
      <c r="G2595" s="3" t="s">
        <v>468</v>
      </c>
      <c r="H2595" s="2" t="s">
        <v>148</v>
      </c>
      <c r="I2595" s="2" t="s">
        <v>7419</v>
      </c>
      <c r="J2595" s="3" t="str">
        <f>HYPERLINK("https://www.boe.es/gazeta/dias/1811/07/17/pdfs/GMD-1811-198.pdf#page=2","Abrir facsímil")</f>
        <v>Abrir facsímil</v>
      </c>
      <c r="K2595" s="3" t="s">
        <v>150</v>
      </c>
    </row>
    <row r="2596" spans="1:11" ht="42" customHeight="1">
      <c r="A2596" s="2" t="s">
        <v>7420</v>
      </c>
      <c r="B2596" s="2" t="s">
        <v>7421</v>
      </c>
      <c r="C2596" s="2" t="s">
        <v>84</v>
      </c>
      <c r="D2596" s="2" t="s">
        <v>105</v>
      </c>
      <c r="E2596" s="4">
        <v>-32242</v>
      </c>
      <c r="F2596" s="3" t="s">
        <v>1295</v>
      </c>
      <c r="G2596" s="3" t="s">
        <v>1296</v>
      </c>
      <c r="H2596" s="2" t="s">
        <v>148</v>
      </c>
      <c r="I2596" s="2" t="s">
        <v>7422</v>
      </c>
      <c r="J2596" s="3" t="str">
        <f>HYPERLINK("https://www.boe.es/gazeta/dias/1811/09/21/pdfs/GEI-1811-122.pdf#page=8","Abrir facsímil")</f>
        <v>Abrir facsímil</v>
      </c>
      <c r="K2596" s="3" t="s">
        <v>150</v>
      </c>
    </row>
    <row r="2597" spans="1:11" ht="42" customHeight="1">
      <c r="A2597" s="2" t="s">
        <v>7423</v>
      </c>
      <c r="B2597" s="2" t="s">
        <v>7424</v>
      </c>
      <c r="C2597" s="2" t="s">
        <v>26</v>
      </c>
      <c r="D2597" s="2" t="s">
        <v>18</v>
      </c>
      <c r="E2597" s="4">
        <v>-32242</v>
      </c>
      <c r="F2597" s="3" t="s">
        <v>1295</v>
      </c>
      <c r="G2597" s="3" t="s">
        <v>1296</v>
      </c>
      <c r="H2597" s="2" t="s">
        <v>148</v>
      </c>
      <c r="I2597" s="2" t="s">
        <v>7425</v>
      </c>
      <c r="J2597" s="3" t="str">
        <f>HYPERLINK("https://www.boe.es/gazeta/dias/1811/09/21/pdfs/GEI-1811-122.pdf#page=8","Abrir facsímil")</f>
        <v>Abrir facsímil</v>
      </c>
      <c r="K2597" s="3" t="s">
        <v>150</v>
      </c>
    </row>
    <row r="2598" spans="1:11" ht="42" customHeight="1">
      <c r="A2598" s="2" t="s">
        <v>7426</v>
      </c>
      <c r="B2598" s="2" t="s">
        <v>7427</v>
      </c>
      <c r="C2598" s="2" t="s">
        <v>26</v>
      </c>
      <c r="D2598" s="2" t="s">
        <v>18</v>
      </c>
      <c r="E2598" s="4">
        <v>-32340</v>
      </c>
      <c r="F2598" s="3" t="s">
        <v>565</v>
      </c>
      <c r="G2598" s="3" t="s">
        <v>91</v>
      </c>
      <c r="H2598" s="2" t="s">
        <v>148</v>
      </c>
      <c r="I2598" s="2" t="s">
        <v>7428</v>
      </c>
      <c r="J2598" s="3" t="str">
        <f>HYPERLINK("https://www.boe.es/gazeta/dias/1811/06/15/pdfs/GEI-1811-80.pdf#page=8","Abrir facsímil")</f>
        <v>Abrir facsímil</v>
      </c>
      <c r="K2598" s="3" t="s">
        <v>150</v>
      </c>
    </row>
    <row r="2599" spans="1:11" ht="42" customHeight="1">
      <c r="A2599" s="2" t="s">
        <v>7429</v>
      </c>
      <c r="B2599" s="2" t="s">
        <v>7430</v>
      </c>
      <c r="C2599" s="2" t="s">
        <v>17</v>
      </c>
      <c r="D2599" s="2" t="s">
        <v>18</v>
      </c>
      <c r="E2599" s="4">
        <v>-32396</v>
      </c>
      <c r="F2599" s="3" t="s">
        <v>1267</v>
      </c>
      <c r="G2599" s="3" t="s">
        <v>1143</v>
      </c>
      <c r="H2599" s="2" t="s">
        <v>148</v>
      </c>
      <c r="I2599" s="2" t="s">
        <v>7431</v>
      </c>
      <c r="J2599" s="3" t="str">
        <f>HYPERLINK("https://www.boe.es/gazeta/dias/1811/04/20/pdfs/GMD-1811-110.pdf#page=3","Abrir facsímil")</f>
        <v>Abrir facsímil</v>
      </c>
      <c r="K2599" s="3" t="s">
        <v>150</v>
      </c>
    </row>
    <row r="2600" spans="1:11" ht="42" customHeight="1">
      <c r="A2600" s="2" t="s">
        <v>7432</v>
      </c>
      <c r="B2600" s="2" t="s">
        <v>7433</v>
      </c>
      <c r="C2600" s="2" t="s">
        <v>26</v>
      </c>
      <c r="D2600" s="2" t="s">
        <v>18</v>
      </c>
      <c r="E2600" s="4">
        <v>-32501</v>
      </c>
      <c r="F2600" s="3" t="s">
        <v>509</v>
      </c>
      <c r="G2600" s="3" t="s">
        <v>510</v>
      </c>
      <c r="H2600" s="2" t="s">
        <v>148</v>
      </c>
      <c r="I2600" s="2" t="s">
        <v>7434</v>
      </c>
      <c r="J2600" s="3" t="str">
        <f>HYPERLINK("https://www.boe.es/gazeta/dias/1811/01/05/pdfs/GEI-1811-3.pdf#page=8","Abrir facsímil")</f>
        <v>Abrir facsímil</v>
      </c>
      <c r="K2600" s="3" t="s">
        <v>150</v>
      </c>
    </row>
    <row r="2601" spans="1:11" ht="42" customHeight="1">
      <c r="A2601" s="2" t="s">
        <v>7435</v>
      </c>
      <c r="B2601" s="2" t="s">
        <v>7436</v>
      </c>
      <c r="C2601" s="2" t="s">
        <v>26</v>
      </c>
      <c r="D2601" s="2" t="s">
        <v>141</v>
      </c>
      <c r="E2601" s="4">
        <v>-32188</v>
      </c>
      <c r="F2601" s="3" t="s">
        <v>505</v>
      </c>
      <c r="G2601" s="3" t="s">
        <v>162</v>
      </c>
      <c r="H2601" s="2" t="s">
        <v>21</v>
      </c>
      <c r="I2601" s="2" t="s">
        <v>7437</v>
      </c>
      <c r="J2601" s="3" t="str">
        <f>HYPERLINK("https://www.boe.es/gazeta/dias/1811/11/14/pdfs/GEI-D-1811-149.pdf#page=4","Abrir facsímil")</f>
        <v>Abrir facsímil</v>
      </c>
      <c r="K2601" s="3" t="s">
        <v>23</v>
      </c>
    </row>
    <row r="2602" spans="1:11" ht="42" customHeight="1">
      <c r="A2602" s="2" t="s">
        <v>7438</v>
      </c>
      <c r="B2602" s="2" t="s">
        <v>7439</v>
      </c>
      <c r="C2602" s="2" t="s">
        <v>26</v>
      </c>
      <c r="D2602" s="2" t="s">
        <v>18</v>
      </c>
      <c r="E2602" s="4">
        <v>-32340</v>
      </c>
      <c r="F2602" s="3" t="s">
        <v>565</v>
      </c>
      <c r="G2602" s="3" t="s">
        <v>566</v>
      </c>
      <c r="H2602" s="2" t="s">
        <v>21</v>
      </c>
      <c r="I2602" s="2" t="s">
        <v>7440</v>
      </c>
      <c r="J2602" s="3" t="str">
        <f>HYPERLINK("https://www.boe.es/gazeta/dias/1811/06/15/pdfs/GEI-1811-80.pdf#page=5","Abrir facsímil")</f>
        <v>Abrir facsímil</v>
      </c>
      <c r="K2602" s="3" t="s">
        <v>23</v>
      </c>
    </row>
    <row r="2603" spans="1:11" ht="42" customHeight="1">
      <c r="A2603" s="2" t="s">
        <v>7441</v>
      </c>
      <c r="B2603" s="2" t="s">
        <v>7442</v>
      </c>
      <c r="C2603" s="2" t="s">
        <v>37</v>
      </c>
      <c r="D2603" s="2" t="s">
        <v>18</v>
      </c>
      <c r="E2603" s="4">
        <v>-32265</v>
      </c>
      <c r="F2603" s="3" t="s">
        <v>2375</v>
      </c>
      <c r="G2603" s="3" t="s">
        <v>778</v>
      </c>
      <c r="H2603" s="2" t="s">
        <v>21</v>
      </c>
      <c r="I2603" s="2" t="s">
        <v>7443</v>
      </c>
      <c r="J2603" s="3" t="str">
        <f>HYPERLINK("https://www.boe.es/gazeta/dias/1811/08/29/pdfs/GEI-1811-112.pdf#page=6","Abrir facsímil")</f>
        <v>Abrir facsímil</v>
      </c>
      <c r="K2603" s="3" t="s">
        <v>23</v>
      </c>
    </row>
    <row r="2604" spans="1:11" ht="42" customHeight="1">
      <c r="A2604" s="2" t="s">
        <v>7444</v>
      </c>
      <c r="B2604" s="2" t="s">
        <v>7445</v>
      </c>
      <c r="C2604" s="2" t="s">
        <v>17</v>
      </c>
      <c r="D2604" s="2" t="s">
        <v>156</v>
      </c>
      <c r="E2604" s="4">
        <v>-32326</v>
      </c>
      <c r="F2604" s="3" t="s">
        <v>43</v>
      </c>
      <c r="G2604" s="3" t="s">
        <v>44</v>
      </c>
      <c r="H2604" s="2" t="s">
        <v>148</v>
      </c>
      <c r="I2604" s="2" t="s">
        <v>7446</v>
      </c>
      <c r="J2604" s="3" t="str">
        <f>HYPERLINK("https://www.boe.es/gazeta/dias/1811/06/29/pdfs/GEI-1811-86.pdf#page=6","Abrir facsímil")</f>
        <v>Abrir facsímil</v>
      </c>
      <c r="K2604" s="3" t="s">
        <v>150</v>
      </c>
    </row>
    <row r="2605" spans="1:11" ht="42" customHeight="1">
      <c r="A2605" s="2" t="s">
        <v>7447</v>
      </c>
      <c r="B2605" s="2" t="s">
        <v>7448</v>
      </c>
      <c r="C2605" s="2" t="s">
        <v>26</v>
      </c>
      <c r="D2605" s="2" t="s">
        <v>18</v>
      </c>
      <c r="E2605" s="4">
        <v>-32346</v>
      </c>
      <c r="F2605" s="3" t="s">
        <v>3180</v>
      </c>
      <c r="G2605" s="3" t="s">
        <v>44</v>
      </c>
      <c r="H2605" s="2" t="s">
        <v>148</v>
      </c>
      <c r="I2605" s="2" t="s">
        <v>7449</v>
      </c>
      <c r="J2605" s="3" t="str">
        <f>HYPERLINK("https://www.boe.es/gazeta/dias/1811/06/09/pdfs/GMD-1811-160.pdf#page=4","Abrir facsímil")</f>
        <v>Abrir facsímil</v>
      </c>
      <c r="K2605" s="3" t="s">
        <v>150</v>
      </c>
    </row>
    <row r="2606" spans="1:11" ht="42" customHeight="1">
      <c r="A2606" s="2" t="s">
        <v>7450</v>
      </c>
      <c r="B2606" s="2" t="s">
        <v>7451</v>
      </c>
      <c r="C2606" s="2" t="s">
        <v>26</v>
      </c>
      <c r="D2606" s="2" t="s">
        <v>18</v>
      </c>
      <c r="E2606" s="4">
        <v>-32144</v>
      </c>
      <c r="F2606" s="3" t="s">
        <v>1097</v>
      </c>
      <c r="G2606" s="3" t="s">
        <v>1098</v>
      </c>
      <c r="H2606" s="2" t="s">
        <v>148</v>
      </c>
      <c r="I2606" s="2" t="s">
        <v>7452</v>
      </c>
      <c r="J2606" s="3" t="str">
        <f>HYPERLINK("https://www.boe.es/gazeta/dias/1811/12/28/pdfs/GEI-1811-168.pdf#page=8","Abrir facsímil")</f>
        <v>Abrir facsímil</v>
      </c>
      <c r="K2606" s="3" t="s">
        <v>150</v>
      </c>
    </row>
    <row r="2607" spans="1:11" ht="42" customHeight="1">
      <c r="A2607" s="2" t="s">
        <v>7453</v>
      </c>
      <c r="B2607" s="2" t="s">
        <v>7454</v>
      </c>
      <c r="C2607" s="2" t="s">
        <v>17</v>
      </c>
      <c r="D2607" s="2" t="s">
        <v>18</v>
      </c>
      <c r="E2607" s="4">
        <v>-32368</v>
      </c>
      <c r="F2607" s="3" t="s">
        <v>2511</v>
      </c>
      <c r="G2607" s="3" t="s">
        <v>134</v>
      </c>
      <c r="H2607" s="2" t="s">
        <v>148</v>
      </c>
      <c r="I2607" s="2" t="s">
        <v>7455</v>
      </c>
      <c r="J2607" s="3" t="str">
        <f>HYPERLINK("https://www.boe.es/gazeta/dias/1811/05/18/pdfs/GEI-1811-65.pdf#page=4","Abrir facsímil")</f>
        <v>Abrir facsímil</v>
      </c>
      <c r="K2607" s="3" t="s">
        <v>150</v>
      </c>
    </row>
    <row r="2608" spans="1:11" ht="42" customHeight="1">
      <c r="A2608" s="2" t="s">
        <v>7456</v>
      </c>
      <c r="B2608" s="2" t="s">
        <v>7457</v>
      </c>
      <c r="C2608" s="2" t="s">
        <v>17</v>
      </c>
      <c r="D2608" s="2" t="s">
        <v>18</v>
      </c>
      <c r="E2608" s="4">
        <v>-32243</v>
      </c>
      <c r="F2608" s="3" t="s">
        <v>51</v>
      </c>
      <c r="G2608" s="3" t="s">
        <v>52</v>
      </c>
      <c r="H2608" s="2" t="s">
        <v>148</v>
      </c>
      <c r="I2608" s="2" t="s">
        <v>7458</v>
      </c>
      <c r="J2608" s="3" t="str">
        <f>HYPERLINK("https://www.boe.es/gazeta/dias/1811/09/20/pdfs/GMD-1811-263.pdf#page=4","Abrir facsímil")</f>
        <v>Abrir facsímil</v>
      </c>
      <c r="K2608" s="3" t="s">
        <v>150</v>
      </c>
    </row>
    <row r="2609" spans="1:11" ht="42" customHeight="1">
      <c r="A2609" s="2" t="s">
        <v>7459</v>
      </c>
      <c r="B2609" s="2" t="s">
        <v>7460</v>
      </c>
      <c r="C2609" s="2" t="s">
        <v>367</v>
      </c>
      <c r="D2609" s="2" t="s">
        <v>18</v>
      </c>
      <c r="E2609" s="4">
        <v>-32166</v>
      </c>
      <c r="F2609" s="3" t="s">
        <v>2263</v>
      </c>
      <c r="G2609" s="3" t="s">
        <v>2264</v>
      </c>
      <c r="H2609" s="2" t="s">
        <v>148</v>
      </c>
      <c r="I2609" s="2" t="s">
        <v>7461</v>
      </c>
      <c r="J2609" s="3" t="str">
        <f>HYPERLINK("https://www.boe.es/gazeta/dias/1811/12/06/pdfs/GMD-1811-340.pdf#page=4","Abrir facsímil")</f>
        <v>Abrir facsímil</v>
      </c>
      <c r="K2609" s="3" t="s">
        <v>150</v>
      </c>
    </row>
    <row r="2610" spans="1:11" ht="42" customHeight="1">
      <c r="A2610" s="2" t="s">
        <v>7462</v>
      </c>
      <c r="B2610" s="2" t="s">
        <v>7463</v>
      </c>
      <c r="C2610" s="2" t="s">
        <v>26</v>
      </c>
      <c r="D2610" s="2" t="s">
        <v>18</v>
      </c>
      <c r="E2610" s="4">
        <v>-32483</v>
      </c>
      <c r="F2610" s="3" t="s">
        <v>1081</v>
      </c>
      <c r="G2610" s="3" t="s">
        <v>162</v>
      </c>
      <c r="H2610" s="2" t="s">
        <v>148</v>
      </c>
      <c r="I2610" s="2" t="s">
        <v>7464</v>
      </c>
      <c r="J2610" s="3" t="str">
        <f>HYPERLINK("https://www.boe.es/gazeta/dias/1811/01/23/pdfs/GMD-1811-23.pdf#page=4","Abrir facsímil")</f>
        <v>Abrir facsímil</v>
      </c>
      <c r="K2610" s="3" t="s">
        <v>150</v>
      </c>
    </row>
    <row r="2611" spans="1:11" ht="42" customHeight="1">
      <c r="A2611" s="2" t="s">
        <v>7462</v>
      </c>
      <c r="B2611" s="2" t="s">
        <v>7463</v>
      </c>
      <c r="C2611" s="2" t="s">
        <v>26</v>
      </c>
      <c r="D2611" s="2" t="s">
        <v>18</v>
      </c>
      <c r="E2611" s="4">
        <v>-32386</v>
      </c>
      <c r="F2611" s="3" t="s">
        <v>6053</v>
      </c>
      <c r="G2611" s="3" t="s">
        <v>20</v>
      </c>
      <c r="H2611" s="2" t="s">
        <v>148</v>
      </c>
      <c r="I2611" s="2" t="s">
        <v>7465</v>
      </c>
      <c r="J2611" s="3" t="str">
        <f>HYPERLINK("https://www.boe.es/gazeta/dias/1811/04/30/pdfs/GMD-1811-120.pdf#page=4","Abrir facsímil")</f>
        <v>Abrir facsímil</v>
      </c>
      <c r="K2611" s="3" t="s">
        <v>150</v>
      </c>
    </row>
    <row r="2612" spans="1:11" ht="42" customHeight="1">
      <c r="A2612" s="2" t="s">
        <v>7462</v>
      </c>
      <c r="B2612" s="2" t="s">
        <v>7463</v>
      </c>
      <c r="C2612" s="2" t="s">
        <v>122</v>
      </c>
      <c r="D2612" s="2" t="s">
        <v>18</v>
      </c>
      <c r="E2612" s="4">
        <v>-32367</v>
      </c>
      <c r="F2612" s="3" t="s">
        <v>4693</v>
      </c>
      <c r="G2612" s="3" t="s">
        <v>183</v>
      </c>
      <c r="H2612" s="2" t="s">
        <v>148</v>
      </c>
      <c r="I2612" s="2" t="s">
        <v>7466</v>
      </c>
      <c r="J2612" s="3" t="str">
        <f>HYPERLINK("https://www.boe.es/gazeta/dias/1811/05/19/pdfs/GMD-1811-139.pdf#page=4","Abrir facsímil")</f>
        <v>Abrir facsímil</v>
      </c>
      <c r="K2612" s="3" t="s">
        <v>150</v>
      </c>
    </row>
    <row r="2613" spans="1:11" ht="42" customHeight="1">
      <c r="A2613" s="2" t="s">
        <v>7462</v>
      </c>
      <c r="B2613" s="2" t="s">
        <v>7463</v>
      </c>
      <c r="C2613" s="2" t="s">
        <v>122</v>
      </c>
      <c r="D2613" s="2" t="s">
        <v>18</v>
      </c>
      <c r="E2613" s="4">
        <v>-32258</v>
      </c>
      <c r="F2613" s="3" t="s">
        <v>7467</v>
      </c>
      <c r="G2613" s="3" t="s">
        <v>20</v>
      </c>
      <c r="H2613" s="2" t="s">
        <v>148</v>
      </c>
      <c r="I2613" s="2" t="s">
        <v>7468</v>
      </c>
      <c r="J2613" s="3" t="str">
        <f>HYPERLINK("https://www.boe.es/gazeta/dias/1811/09/05/pdfs/GMD-1811-248.pdf#page=4","Abrir facsímil")</f>
        <v>Abrir facsímil</v>
      </c>
      <c r="K2613" s="3" t="s">
        <v>150</v>
      </c>
    </row>
    <row r="2614" spans="1:11" ht="42" customHeight="1">
      <c r="A2614" s="2" t="s">
        <v>7462</v>
      </c>
      <c r="B2614" s="2" t="s">
        <v>7463</v>
      </c>
      <c r="C2614" s="2" t="s">
        <v>17</v>
      </c>
      <c r="D2614" s="2" t="s">
        <v>156</v>
      </c>
      <c r="E2614" s="4">
        <v>-32216</v>
      </c>
      <c r="F2614" s="3" t="s">
        <v>5136</v>
      </c>
      <c r="G2614" s="3" t="s">
        <v>178</v>
      </c>
      <c r="H2614" s="2" t="s">
        <v>148</v>
      </c>
      <c r="I2614" s="2" t="s">
        <v>7469</v>
      </c>
      <c r="J2614" s="3" t="str">
        <f>HYPERLINK("https://www.boe.es/gazeta/dias/1811/10/17/pdfs/GMD-1811-290.pdf#page=4","Abrir facsímil")</f>
        <v>Abrir facsímil</v>
      </c>
      <c r="K2614" s="3" t="s">
        <v>150</v>
      </c>
    </row>
    <row r="2615" spans="1:11" ht="42" customHeight="1">
      <c r="A2615" s="2" t="s">
        <v>7470</v>
      </c>
      <c r="B2615" s="2" t="s">
        <v>7471</v>
      </c>
      <c r="C2615" s="2" t="s">
        <v>104</v>
      </c>
      <c r="D2615" s="2" t="s">
        <v>18</v>
      </c>
      <c r="E2615" s="4">
        <v>-32486</v>
      </c>
      <c r="F2615" s="3" t="s">
        <v>556</v>
      </c>
      <c r="G2615" s="3" t="s">
        <v>3678</v>
      </c>
      <c r="H2615" s="2" t="s">
        <v>148</v>
      </c>
      <c r="I2615" s="2" t="s">
        <v>7472</v>
      </c>
      <c r="J2615" s="3" t="str">
        <f>HYPERLINK("https://www.boe.es/gazeta/dias/1811/01/20/pdfs/GMD-1811-20.pdf#page=3","Abrir facsímil")</f>
        <v>Abrir facsímil</v>
      </c>
      <c r="K2615" s="3" t="s">
        <v>150</v>
      </c>
    </row>
    <row r="2616" spans="1:11" ht="42" customHeight="1">
      <c r="A2616" s="2" t="s">
        <v>7473</v>
      </c>
      <c r="B2616" s="2" t="s">
        <v>7474</v>
      </c>
      <c r="C2616" s="2" t="s">
        <v>26</v>
      </c>
      <c r="D2616" s="2" t="s">
        <v>18</v>
      </c>
      <c r="E2616" s="4">
        <v>-32391</v>
      </c>
      <c r="F2616" s="3" t="s">
        <v>252</v>
      </c>
      <c r="G2616" s="3" t="s">
        <v>5332</v>
      </c>
      <c r="H2616" s="2" t="s">
        <v>148</v>
      </c>
      <c r="I2616" s="2" t="s">
        <v>7475</v>
      </c>
      <c r="J2616" s="3" t="str">
        <f>HYPERLINK("https://www.boe.es/gazeta/dias/1811/04/25/pdfs/GEI-1811-55.pdf#page=7","Abrir facsímil")</f>
        <v>Abrir facsímil</v>
      </c>
      <c r="K2616" s="3" t="s">
        <v>150</v>
      </c>
    </row>
    <row r="2617" spans="1:11" ht="42" customHeight="1">
      <c r="A2617" s="2" t="s">
        <v>7473</v>
      </c>
      <c r="B2617" s="2" t="s">
        <v>7474</v>
      </c>
      <c r="C2617" s="2" t="s">
        <v>26</v>
      </c>
      <c r="D2617" s="2" t="s">
        <v>18</v>
      </c>
      <c r="E2617" s="4">
        <v>-32389</v>
      </c>
      <c r="F2617" s="3" t="s">
        <v>5334</v>
      </c>
      <c r="G2617" s="3" t="s">
        <v>440</v>
      </c>
      <c r="H2617" s="2" t="s">
        <v>148</v>
      </c>
      <c r="I2617" s="2" t="s">
        <v>7476</v>
      </c>
      <c r="J2617" s="3" t="str">
        <f>HYPERLINK("https://www.boe.es/gazeta/dias/1811/04/27/pdfs/GEI-1811-56.pdf#page=2","Abrir facsímil")</f>
        <v>Abrir facsímil</v>
      </c>
      <c r="K2617" s="3" t="s">
        <v>150</v>
      </c>
    </row>
    <row r="2618" spans="1:11" ht="42" customHeight="1">
      <c r="A2618" s="2" t="s">
        <v>7473</v>
      </c>
      <c r="B2618" s="2" t="s">
        <v>7474</v>
      </c>
      <c r="C2618" s="2" t="s">
        <v>26</v>
      </c>
      <c r="D2618" s="2" t="s">
        <v>18</v>
      </c>
      <c r="E2618" s="4">
        <v>-32389</v>
      </c>
      <c r="F2618" s="3" t="s">
        <v>5334</v>
      </c>
      <c r="G2618" s="3" t="s">
        <v>47</v>
      </c>
      <c r="H2618" s="2" t="s">
        <v>148</v>
      </c>
      <c r="I2618" s="2" t="s">
        <v>7477</v>
      </c>
      <c r="J2618" s="3" t="str">
        <f>HYPERLINK("https://www.boe.es/gazeta/dias/1811/04/27/pdfs/GEI-1811-56.pdf#page=3","Abrir facsímil")</f>
        <v>Abrir facsímil</v>
      </c>
      <c r="K2618" s="3" t="s">
        <v>150</v>
      </c>
    </row>
    <row r="2619" spans="1:11" ht="42" customHeight="1">
      <c r="A2619" s="2" t="s">
        <v>7478</v>
      </c>
      <c r="B2619" s="2" t="s">
        <v>7479</v>
      </c>
      <c r="C2619" s="2" t="s">
        <v>26</v>
      </c>
      <c r="D2619" s="2" t="s">
        <v>141</v>
      </c>
      <c r="E2619" s="4">
        <v>-32250</v>
      </c>
      <c r="F2619" s="3" t="s">
        <v>1178</v>
      </c>
      <c r="G2619" s="3" t="s">
        <v>20</v>
      </c>
      <c r="H2619" s="2" t="s">
        <v>148</v>
      </c>
      <c r="I2619" s="2" t="s">
        <v>7480</v>
      </c>
      <c r="J2619" s="3" t="str">
        <f>HYPERLINK("https://www.boe.es/gazeta/dias/1811/09/13/pdfs/GMD-C-1811-256.pdf#page=8","Abrir facsímil")</f>
        <v>Abrir facsímil</v>
      </c>
      <c r="K2619" s="3" t="s">
        <v>150</v>
      </c>
    </row>
    <row r="2620" spans="1:11" ht="42" customHeight="1">
      <c r="A2620" s="2" t="s">
        <v>7481</v>
      </c>
      <c r="B2620" s="2" t="s">
        <v>7482</v>
      </c>
      <c r="C2620" s="2" t="s">
        <v>26</v>
      </c>
      <c r="D2620" s="2" t="s">
        <v>141</v>
      </c>
      <c r="E2620" s="4">
        <v>-32250</v>
      </c>
      <c r="F2620" s="3" t="s">
        <v>1178</v>
      </c>
      <c r="G2620" s="3" t="s">
        <v>134</v>
      </c>
      <c r="H2620" s="2" t="s">
        <v>148</v>
      </c>
      <c r="I2620" s="2" t="s">
        <v>7483</v>
      </c>
      <c r="J2620" s="3" t="str">
        <f>HYPERLINK("https://www.boe.es/gazeta/dias/1811/09/13/pdfs/GMD-C-1811-256.pdf#page=11","Abrir facsímil")</f>
        <v>Abrir facsímil</v>
      </c>
      <c r="K2620" s="3" t="s">
        <v>150</v>
      </c>
    </row>
    <row r="2621" spans="1:11" ht="42" customHeight="1">
      <c r="A2621" s="2" t="s">
        <v>7484</v>
      </c>
      <c r="B2621" s="2" t="s">
        <v>7485</v>
      </c>
      <c r="C2621" s="2" t="s">
        <v>26</v>
      </c>
      <c r="D2621" s="2" t="s">
        <v>18</v>
      </c>
      <c r="E2621" s="4">
        <v>-32475</v>
      </c>
      <c r="F2621" s="3" t="s">
        <v>259</v>
      </c>
      <c r="G2621" s="3" t="s">
        <v>115</v>
      </c>
      <c r="H2621" s="2" t="s">
        <v>148</v>
      </c>
      <c r="I2621" s="2" t="s">
        <v>7486</v>
      </c>
      <c r="J2621" s="3" t="str">
        <f>HYPERLINK("https://www.boe.es/gazeta/dias/1811/01/31/pdfs/GMD-1811-31.pdf#page=3","Abrir facsímil")</f>
        <v>Abrir facsímil</v>
      </c>
      <c r="K2621" s="3" t="s">
        <v>150</v>
      </c>
    </row>
    <row r="2622" spans="1:11" ht="42" customHeight="1">
      <c r="A2622" s="2" t="s">
        <v>7487</v>
      </c>
      <c r="B2622" s="2" t="s">
        <v>7488</v>
      </c>
      <c r="C2622" s="2" t="s">
        <v>367</v>
      </c>
      <c r="D2622" s="2" t="s">
        <v>18</v>
      </c>
      <c r="E2622" s="4">
        <v>-32141</v>
      </c>
      <c r="F2622" s="3" t="s">
        <v>327</v>
      </c>
      <c r="G2622" s="3" t="s">
        <v>20</v>
      </c>
      <c r="H2622" s="2" t="s">
        <v>148</v>
      </c>
      <c r="I2622" s="2" t="s">
        <v>7489</v>
      </c>
      <c r="J2622" s="3" t="str">
        <f>HYPERLINK("https://www.boe.es/gazeta/dias/1811/12/31/pdfs/GMD-1811-365.pdf#page=4","Abrir facsímil")</f>
        <v>Abrir facsímil</v>
      </c>
      <c r="K2622" s="3" t="s">
        <v>150</v>
      </c>
    </row>
    <row r="2623" spans="1:11" ht="42" customHeight="1">
      <c r="A2623" s="2" t="s">
        <v>7490</v>
      </c>
      <c r="B2623" s="2" t="s">
        <v>7491</v>
      </c>
      <c r="C2623" s="2" t="s">
        <v>26</v>
      </c>
      <c r="D2623" s="2" t="s">
        <v>105</v>
      </c>
      <c r="E2623" s="4">
        <v>-32280</v>
      </c>
      <c r="F2623" s="3" t="s">
        <v>142</v>
      </c>
      <c r="G2623" s="3" t="s">
        <v>597</v>
      </c>
      <c r="H2623" s="2" t="s">
        <v>148</v>
      </c>
      <c r="I2623" s="2" t="s">
        <v>7492</v>
      </c>
      <c r="J2623" s="3" t="str">
        <f>HYPERLINK("https://www.boe.es/gazeta/dias/1811/08/14/pdfs/GMD-C-1811-226.pdf#page=2","Abrir facsímil")</f>
        <v>Abrir facsímil</v>
      </c>
      <c r="K2623" s="3" t="s">
        <v>150</v>
      </c>
    </row>
    <row r="2624" spans="1:11" ht="42" customHeight="1">
      <c r="A2624" s="2" t="s">
        <v>7493</v>
      </c>
      <c r="B2624" s="2" t="s">
        <v>7494</v>
      </c>
      <c r="C2624" s="2" t="s">
        <v>122</v>
      </c>
      <c r="D2624" s="2" t="s">
        <v>105</v>
      </c>
      <c r="E2624" s="4">
        <v>-32257</v>
      </c>
      <c r="F2624" s="3" t="s">
        <v>1093</v>
      </c>
      <c r="G2624" s="3" t="s">
        <v>183</v>
      </c>
      <c r="H2624" s="2" t="s">
        <v>148</v>
      </c>
      <c r="I2624" s="2" t="s">
        <v>7495</v>
      </c>
      <c r="J2624" s="3" t="str">
        <f>HYPERLINK("https://www.boe.es/gazeta/dias/1811/09/06/pdfs/GMD-1811-249.pdf#page=4","Abrir facsímil")</f>
        <v>Abrir facsímil</v>
      </c>
      <c r="K2624" s="3" t="s">
        <v>150</v>
      </c>
    </row>
    <row r="2625" spans="1:11" ht="42" customHeight="1">
      <c r="A2625" s="2" t="s">
        <v>7496</v>
      </c>
      <c r="B2625" s="2" t="s">
        <v>7497</v>
      </c>
      <c r="C2625" s="2" t="s">
        <v>26</v>
      </c>
      <c r="D2625" s="2" t="s">
        <v>18</v>
      </c>
      <c r="E2625" s="4">
        <v>-32270</v>
      </c>
      <c r="F2625" s="3" t="s">
        <v>431</v>
      </c>
      <c r="G2625" s="3" t="s">
        <v>2080</v>
      </c>
      <c r="H2625" s="2" t="s">
        <v>148</v>
      </c>
      <c r="I2625" s="2" t="s">
        <v>7498</v>
      </c>
      <c r="J2625" s="3" t="str">
        <f>HYPERLINK("https://www.boe.es/gazeta/dias/1811/08/24/pdfs/GEI-1811-110.pdf#page=5","Abrir facsímil")</f>
        <v>Abrir facsímil</v>
      </c>
      <c r="K2625" s="3" t="s">
        <v>150</v>
      </c>
    </row>
    <row r="2626" spans="1:11" ht="42" customHeight="1">
      <c r="A2626" s="2" t="s">
        <v>7499</v>
      </c>
      <c r="B2626" s="2" t="s">
        <v>7500</v>
      </c>
      <c r="C2626" s="2" t="s">
        <v>26</v>
      </c>
      <c r="D2626" s="2" t="s">
        <v>105</v>
      </c>
      <c r="E2626" s="4">
        <v>-32280</v>
      </c>
      <c r="F2626" s="3" t="s">
        <v>142</v>
      </c>
      <c r="G2626" s="3" t="s">
        <v>47</v>
      </c>
      <c r="H2626" s="2" t="s">
        <v>148</v>
      </c>
      <c r="I2626" s="2" t="s">
        <v>7501</v>
      </c>
      <c r="J2626" s="3" t="str">
        <f>HYPERLINK("https://www.boe.es/gazeta/dias/1811/08/14/pdfs/GMD-C-1811-226.pdf#page=1","Abrir facsímil")</f>
        <v>Abrir facsímil</v>
      </c>
      <c r="K2626" s="3" t="s">
        <v>150</v>
      </c>
    </row>
    <row r="2627" spans="1:11" ht="42" customHeight="1">
      <c r="A2627" s="2" t="s">
        <v>7502</v>
      </c>
      <c r="B2627" s="2" t="s">
        <v>7503</v>
      </c>
      <c r="C2627" s="2" t="s">
        <v>26</v>
      </c>
      <c r="D2627" s="2" t="s">
        <v>141</v>
      </c>
      <c r="E2627" s="4">
        <v>-32238</v>
      </c>
      <c r="F2627" s="3" t="s">
        <v>166</v>
      </c>
      <c r="G2627" s="3" t="s">
        <v>178</v>
      </c>
      <c r="H2627" s="2" t="s">
        <v>148</v>
      </c>
      <c r="I2627" s="2" t="s">
        <v>7504</v>
      </c>
      <c r="J2627" s="3" t="str">
        <f>HYPERLINK("https://www.boe.es/gazeta/dias/1811/09/25/pdfs/GMD-C-1811-268.pdf#page=4","Abrir facsímil")</f>
        <v>Abrir facsímil</v>
      </c>
      <c r="K2627" s="3" t="s">
        <v>150</v>
      </c>
    </row>
    <row r="2628" spans="1:11" ht="42" customHeight="1">
      <c r="A2628" s="2" t="s">
        <v>7502</v>
      </c>
      <c r="B2628" s="2" t="s">
        <v>7503</v>
      </c>
      <c r="C2628" s="2" t="s">
        <v>26</v>
      </c>
      <c r="D2628" s="2" t="s">
        <v>18</v>
      </c>
      <c r="E2628" s="4">
        <v>-32188</v>
      </c>
      <c r="F2628" s="3" t="s">
        <v>356</v>
      </c>
      <c r="G2628" s="3" t="s">
        <v>468</v>
      </c>
      <c r="H2628" s="2" t="s">
        <v>148</v>
      </c>
      <c r="I2628" s="2" t="s">
        <v>7505</v>
      </c>
      <c r="J2628" s="3" t="str">
        <f>HYPERLINK("https://www.boe.es/gazeta/dias/1811/11/14/pdfs/GMD-1811-318.pdf#page=6","Abrir facsímil")</f>
        <v>Abrir facsímil</v>
      </c>
      <c r="K2628" s="3" t="s">
        <v>150</v>
      </c>
    </row>
    <row r="2629" spans="1:11" ht="42" customHeight="1">
      <c r="A2629" s="2" t="s">
        <v>7506</v>
      </c>
      <c r="B2629" s="2" t="s">
        <v>7507</v>
      </c>
      <c r="C2629" s="2" t="s">
        <v>26</v>
      </c>
      <c r="D2629" s="2" t="s">
        <v>18</v>
      </c>
      <c r="E2629" s="4">
        <v>-32153</v>
      </c>
      <c r="F2629" s="3" t="s">
        <v>123</v>
      </c>
      <c r="G2629" s="3" t="s">
        <v>1067</v>
      </c>
      <c r="H2629" s="2" t="s">
        <v>148</v>
      </c>
      <c r="I2629" s="2" t="s">
        <v>7508</v>
      </c>
      <c r="J2629" s="3" t="str">
        <f>HYPERLINK("https://www.boe.es/gazeta/dias/1811/12/19/pdfs/GMD-1811-353.pdf#page=5","Abrir facsímil")</f>
        <v>Abrir facsímil</v>
      </c>
      <c r="K2629" s="3" t="s">
        <v>150</v>
      </c>
    </row>
    <row r="2630" spans="1:11" ht="42" customHeight="1">
      <c r="A2630" s="2" t="s">
        <v>7509</v>
      </c>
      <c r="B2630" s="2" t="s">
        <v>7510</v>
      </c>
      <c r="C2630" s="2" t="s">
        <v>26</v>
      </c>
      <c r="D2630" s="2" t="s">
        <v>18</v>
      </c>
      <c r="E2630" s="4">
        <v>-32241</v>
      </c>
      <c r="F2630" s="3" t="s">
        <v>514</v>
      </c>
      <c r="G2630" s="3" t="s">
        <v>515</v>
      </c>
      <c r="H2630" s="2" t="s">
        <v>148</v>
      </c>
      <c r="I2630" s="2" t="s">
        <v>7511</v>
      </c>
      <c r="J2630" s="3" t="str">
        <f>HYPERLINK("https://www.boe.es/gazeta/dias/1811/09/22/pdfs/GMD-1811-265.pdf#page=4","Abrir facsímil")</f>
        <v>Abrir facsímil</v>
      </c>
      <c r="K2630" s="3" t="s">
        <v>150</v>
      </c>
    </row>
    <row r="2631" spans="1:11" ht="42" customHeight="1">
      <c r="A2631" s="2" t="s">
        <v>7512</v>
      </c>
      <c r="B2631" s="2" t="s">
        <v>7513</v>
      </c>
      <c r="C2631" s="2" t="s">
        <v>26</v>
      </c>
      <c r="D2631" s="2" t="s">
        <v>18</v>
      </c>
      <c r="E2631" s="4">
        <v>-32318</v>
      </c>
      <c r="F2631" s="3" t="s">
        <v>1193</v>
      </c>
      <c r="G2631" s="3" t="s">
        <v>2612</v>
      </c>
      <c r="H2631" s="2" t="s">
        <v>148</v>
      </c>
      <c r="I2631" s="2" t="s">
        <v>7514</v>
      </c>
      <c r="J2631" s="3" t="str">
        <f>HYPERLINK("https://www.boe.es/gazeta/dias/1811/07/07/pdfs/GMD-1811-188.pdf#page=1","Abrir facsímil")</f>
        <v>Abrir facsímil</v>
      </c>
      <c r="K2631" s="3" t="s">
        <v>150</v>
      </c>
    </row>
    <row r="2632" spans="1:11" ht="42" customHeight="1">
      <c r="A2632" s="2" t="s">
        <v>7515</v>
      </c>
      <c r="B2632" s="2" t="s">
        <v>7516</v>
      </c>
      <c r="C2632" s="2" t="s">
        <v>841</v>
      </c>
      <c r="D2632" s="2" t="s">
        <v>18</v>
      </c>
      <c r="E2632" s="4">
        <v>-32175</v>
      </c>
      <c r="F2632" s="3" t="s">
        <v>1671</v>
      </c>
      <c r="G2632" s="3" t="s">
        <v>1184</v>
      </c>
      <c r="H2632" s="2" t="s">
        <v>148</v>
      </c>
      <c r="I2632" s="2" t="s">
        <v>7517</v>
      </c>
      <c r="J2632" s="3" t="str">
        <f>HYPERLINK("https://www.boe.es/gazeta/dias/1811/11/27/pdfs/GMD-1811-331.pdf#page=4","Abrir facsímil")</f>
        <v>Abrir facsímil</v>
      </c>
      <c r="K2632" s="3" t="s">
        <v>150</v>
      </c>
    </row>
    <row r="2633" spans="1:11" ht="42" customHeight="1">
      <c r="A2633" s="2" t="s">
        <v>7518</v>
      </c>
      <c r="B2633" s="2" t="s">
        <v>7519</v>
      </c>
      <c r="C2633" s="2" t="s">
        <v>26</v>
      </c>
      <c r="D2633" s="2" t="s">
        <v>18</v>
      </c>
      <c r="E2633" s="4">
        <v>-32385</v>
      </c>
      <c r="F2633" s="3" t="s">
        <v>2952</v>
      </c>
      <c r="G2633" s="3" t="s">
        <v>7520</v>
      </c>
      <c r="H2633" s="2" t="s">
        <v>148</v>
      </c>
      <c r="I2633" s="2" t="s">
        <v>7521</v>
      </c>
      <c r="J2633" s="3" t="str">
        <f>HYPERLINK("https://www.boe.es/gazeta/dias/1811/05/01/pdfs/GMD-1811-121.pdf#page=4","Abrir facsímil")</f>
        <v>Abrir facsímil</v>
      </c>
      <c r="K2633" s="3" t="s">
        <v>150</v>
      </c>
    </row>
    <row r="2634" spans="1:11" ht="42" customHeight="1">
      <c r="A2634" s="2" t="s">
        <v>7522</v>
      </c>
      <c r="B2634" s="2" t="s">
        <v>7523</v>
      </c>
      <c r="C2634" s="2" t="s">
        <v>26</v>
      </c>
      <c r="D2634" s="2" t="s">
        <v>18</v>
      </c>
      <c r="E2634" s="4">
        <v>-32329</v>
      </c>
      <c r="F2634" s="3" t="s">
        <v>3214</v>
      </c>
      <c r="G2634" s="3" t="s">
        <v>5474</v>
      </c>
      <c r="H2634" s="2" t="s">
        <v>148</v>
      </c>
      <c r="I2634" s="2" t="s">
        <v>7524</v>
      </c>
      <c r="J2634" s="3" t="str">
        <f>HYPERLINK("https://www.boe.es/gazeta/dias/1811/06/26/pdfs/GMD-1811-177.pdf#page=1","Abrir facsímil")</f>
        <v>Abrir facsímil</v>
      </c>
      <c r="K2634" s="3" t="s">
        <v>150</v>
      </c>
    </row>
    <row r="2635" spans="1:11" ht="42" customHeight="1">
      <c r="A2635" s="2" t="s">
        <v>7525</v>
      </c>
      <c r="B2635" s="2" t="s">
        <v>7526</v>
      </c>
      <c r="C2635" s="2" t="s">
        <v>104</v>
      </c>
      <c r="D2635" s="2" t="s">
        <v>18</v>
      </c>
      <c r="E2635" s="4">
        <v>-32273</v>
      </c>
      <c r="F2635" s="3" t="s">
        <v>2820</v>
      </c>
      <c r="G2635" s="3" t="s">
        <v>4053</v>
      </c>
      <c r="H2635" s="2" t="s">
        <v>148</v>
      </c>
      <c r="I2635" s="2" t="s">
        <v>7527</v>
      </c>
      <c r="J2635" s="3" t="str">
        <f>HYPERLINK("https://www.boe.es/gazeta/dias/1811/08/21/pdfs/GMD-1811-233.pdf#page=1","Abrir facsímil")</f>
        <v>Abrir facsímil</v>
      </c>
      <c r="K2635" s="3" t="s">
        <v>150</v>
      </c>
    </row>
    <row r="2636" spans="1:11" ht="42" customHeight="1">
      <c r="A2636" s="2" t="s">
        <v>7528</v>
      </c>
      <c r="B2636" s="2" t="s">
        <v>7529</v>
      </c>
      <c r="C2636" s="2" t="s">
        <v>122</v>
      </c>
      <c r="D2636" s="2" t="s">
        <v>204</v>
      </c>
      <c r="E2636" s="4">
        <v>-32262</v>
      </c>
      <c r="F2636" s="3" t="s">
        <v>7530</v>
      </c>
      <c r="G2636" s="3" t="s">
        <v>331</v>
      </c>
      <c r="H2636" s="2" t="s">
        <v>148</v>
      </c>
      <c r="I2636" s="2" t="s">
        <v>7531</v>
      </c>
      <c r="J2636" s="3" t="str">
        <f>HYPERLINK("https://www.boe.es/gazeta/dias/1811/09/01/pdfs/GMD-1811-244.pdf#page=2","Abrir facsímil")</f>
        <v>Abrir facsímil</v>
      </c>
      <c r="K2636" s="3" t="s">
        <v>150</v>
      </c>
    </row>
    <row r="2637" spans="1:11" ht="42" customHeight="1">
      <c r="A2637" s="2" t="s">
        <v>7532</v>
      </c>
      <c r="B2637" s="2" t="s">
        <v>7533</v>
      </c>
      <c r="C2637" s="2" t="s">
        <v>26</v>
      </c>
      <c r="D2637" s="2" t="s">
        <v>18</v>
      </c>
      <c r="E2637" s="4">
        <v>-32172</v>
      </c>
      <c r="F2637" s="3" t="s">
        <v>300</v>
      </c>
      <c r="G2637" s="3" t="s">
        <v>301</v>
      </c>
      <c r="H2637" s="2" t="s">
        <v>148</v>
      </c>
      <c r="I2637" s="2" t="s">
        <v>7534</v>
      </c>
      <c r="J2637" s="3" t="str">
        <f>HYPERLINK("https://www.boe.es/gazeta/dias/1811/11/30/pdfs/GMD-1811-334.pdf#page=4","Abrir facsímil")</f>
        <v>Abrir facsímil</v>
      </c>
      <c r="K2637" s="3" t="s">
        <v>150</v>
      </c>
    </row>
    <row r="2638" spans="1:11" ht="42" customHeight="1">
      <c r="A2638" s="2" t="s">
        <v>7535</v>
      </c>
      <c r="B2638" s="2" t="s">
        <v>7536</v>
      </c>
      <c r="C2638" s="2" t="s">
        <v>26</v>
      </c>
      <c r="D2638" s="2" t="s">
        <v>18</v>
      </c>
      <c r="E2638" s="4">
        <v>-32259</v>
      </c>
      <c r="F2638" s="3" t="s">
        <v>3276</v>
      </c>
      <c r="G2638" s="3" t="s">
        <v>47</v>
      </c>
      <c r="H2638" s="2" t="s">
        <v>148</v>
      </c>
      <c r="I2638" s="2" t="s">
        <v>7537</v>
      </c>
      <c r="J2638" s="3" t="str">
        <f>HYPERLINK("https://www.boe.es/gazeta/dias/1811/09/04/pdfs/GMD-1811-247.pdf#page=4","Abrir facsímil")</f>
        <v>Abrir facsímil</v>
      </c>
      <c r="K2638" s="3" t="s">
        <v>150</v>
      </c>
    </row>
    <row r="2639" spans="1:11" ht="42" customHeight="1">
      <c r="A2639" s="2" t="s">
        <v>7538</v>
      </c>
      <c r="B2639" s="2" t="s">
        <v>7539</v>
      </c>
      <c r="C2639" s="2" t="s">
        <v>17</v>
      </c>
      <c r="D2639" s="2" t="s">
        <v>156</v>
      </c>
      <c r="E2639" s="4">
        <v>-32389</v>
      </c>
      <c r="F2639" s="3" t="s">
        <v>524</v>
      </c>
      <c r="G2639" s="3" t="s">
        <v>525</v>
      </c>
      <c r="H2639" s="2" t="s">
        <v>148</v>
      </c>
      <c r="I2639" s="2" t="s">
        <v>7540</v>
      </c>
      <c r="J2639" s="3" t="str">
        <f>HYPERLINK("https://www.boe.es/gazeta/dias/1811/04/27/pdfs/GEI-D-1811-56.pdf#page=4","Abrir facsímil")</f>
        <v>Abrir facsímil</v>
      </c>
      <c r="K2639" s="3" t="s">
        <v>150</v>
      </c>
    </row>
    <row r="2640" spans="1:11" ht="42" customHeight="1">
      <c r="A2640" s="2" t="s">
        <v>7541</v>
      </c>
      <c r="B2640" s="2" t="s">
        <v>7542</v>
      </c>
      <c r="C2640" s="2" t="s">
        <v>26</v>
      </c>
      <c r="D2640" s="2" t="s">
        <v>105</v>
      </c>
      <c r="E2640" s="4">
        <v>-32447</v>
      </c>
      <c r="F2640" s="3" t="s">
        <v>665</v>
      </c>
      <c r="G2640" s="3" t="s">
        <v>57</v>
      </c>
      <c r="H2640" s="2" t="s">
        <v>148</v>
      </c>
      <c r="I2640" s="2" t="s">
        <v>7543</v>
      </c>
      <c r="J2640" s="3" t="str">
        <f>HYPERLINK("https://www.boe.es/gazeta/dias/1811/02/28/pdfs/GMD-1811-59.pdf#page=2","Abrir facsímil")</f>
        <v>Abrir facsímil</v>
      </c>
      <c r="K2640" s="3" t="s">
        <v>150</v>
      </c>
    </row>
    <row r="2641" spans="1:11" ht="42" customHeight="1">
      <c r="A2641" s="2" t="s">
        <v>7544</v>
      </c>
      <c r="B2641" s="2" t="s">
        <v>7545</v>
      </c>
      <c r="C2641" s="2" t="s">
        <v>26</v>
      </c>
      <c r="D2641" s="2" t="s">
        <v>141</v>
      </c>
      <c r="E2641" s="4">
        <v>-32249</v>
      </c>
      <c r="F2641" s="3" t="s">
        <v>743</v>
      </c>
      <c r="G2641" s="3" t="s">
        <v>468</v>
      </c>
      <c r="H2641" s="2" t="s">
        <v>148</v>
      </c>
      <c r="I2641" s="2" t="s">
        <v>7546</v>
      </c>
      <c r="J2641" s="3" t="str">
        <f>HYPERLINK("https://www.boe.es/gazeta/dias/1811/09/14/pdfs/GMD-C-1811-257.pdf#page=1","Abrir facsímil")</f>
        <v>Abrir facsímil</v>
      </c>
      <c r="K2641" s="3" t="s">
        <v>150</v>
      </c>
    </row>
    <row r="2642" spans="1:11" ht="42" customHeight="1">
      <c r="A2642" s="2" t="s">
        <v>7547</v>
      </c>
      <c r="B2642" s="2" t="s">
        <v>7548</v>
      </c>
      <c r="C2642" s="2" t="s">
        <v>26</v>
      </c>
      <c r="D2642" s="2" t="s">
        <v>18</v>
      </c>
      <c r="E2642" s="4">
        <v>-32297</v>
      </c>
      <c r="F2642" s="3" t="s">
        <v>2174</v>
      </c>
      <c r="G2642" s="3" t="s">
        <v>183</v>
      </c>
      <c r="H2642" s="2" t="s">
        <v>148</v>
      </c>
      <c r="I2642" s="2" t="s">
        <v>7549</v>
      </c>
      <c r="J2642" s="3" t="str">
        <f>HYPERLINK("https://www.boe.es/gazeta/dias/1811/07/28/pdfs/GMD-1811-209.pdf#page=4","Abrir facsímil")</f>
        <v>Abrir facsímil</v>
      </c>
      <c r="K2642" s="3" t="s">
        <v>150</v>
      </c>
    </row>
    <row r="2643" spans="1:11" ht="42" customHeight="1">
      <c r="A2643" s="2" t="s">
        <v>7550</v>
      </c>
      <c r="B2643" s="2" t="s">
        <v>7551</v>
      </c>
      <c r="C2643" s="2" t="s">
        <v>26</v>
      </c>
      <c r="D2643" s="2" t="s">
        <v>105</v>
      </c>
      <c r="E2643" s="4">
        <v>-32195</v>
      </c>
      <c r="F2643" s="3" t="s">
        <v>439</v>
      </c>
      <c r="G2643" s="3" t="s">
        <v>2092</v>
      </c>
      <c r="H2643" s="2" t="s">
        <v>148</v>
      </c>
      <c r="I2643" s="2" t="s">
        <v>7552</v>
      </c>
      <c r="J2643" s="3" t="str">
        <f>HYPERLINK("https://www.boe.es/gazeta/dias/1811/11/07/pdfs/GEI-1811-144.pdf#page=7","Abrir facsímil")</f>
        <v>Abrir facsímil</v>
      </c>
      <c r="K2643" s="3" t="s">
        <v>150</v>
      </c>
    </row>
    <row r="2644" spans="1:11" ht="42" customHeight="1">
      <c r="A2644" s="2" t="s">
        <v>7553</v>
      </c>
      <c r="B2644" s="2" t="s">
        <v>7554</v>
      </c>
      <c r="C2644" s="2" t="s">
        <v>26</v>
      </c>
      <c r="D2644" s="2" t="s">
        <v>105</v>
      </c>
      <c r="E2644" s="4">
        <v>-32155</v>
      </c>
      <c r="F2644" s="3" t="s">
        <v>99</v>
      </c>
      <c r="G2644" s="3" t="s">
        <v>100</v>
      </c>
      <c r="H2644" s="2" t="s">
        <v>148</v>
      </c>
      <c r="I2644" s="2" t="s">
        <v>7555</v>
      </c>
      <c r="J2644" s="3" t="str">
        <f>HYPERLINK("https://www.boe.es/gazeta/dias/1811/12/17/pdfs/GMD-1811-351.pdf#page=4","Abrir facsímil")</f>
        <v>Abrir facsímil</v>
      </c>
      <c r="K2644" s="3" t="s">
        <v>150</v>
      </c>
    </row>
    <row r="2645" spans="1:11" ht="42" customHeight="1">
      <c r="A2645" s="2" t="s">
        <v>7556</v>
      </c>
      <c r="B2645" s="2" t="s">
        <v>7557</v>
      </c>
      <c r="C2645" s="2" t="s">
        <v>17</v>
      </c>
      <c r="D2645" s="2" t="s">
        <v>156</v>
      </c>
      <c r="E2645" s="4">
        <v>-32365</v>
      </c>
      <c r="F2645" s="3" t="s">
        <v>1304</v>
      </c>
      <c r="G2645" s="3" t="s">
        <v>120</v>
      </c>
      <c r="H2645" s="2" t="s">
        <v>148</v>
      </c>
      <c r="I2645" s="2" t="s">
        <v>7558</v>
      </c>
      <c r="J2645" s="3" t="str">
        <f>HYPERLINK("https://www.boe.es/gazeta/dias/1811/05/21/pdfs/GEI-D-1811-67.pdf#page=4","Abrir facsímil")</f>
        <v>Abrir facsímil</v>
      </c>
      <c r="K2645" s="3" t="s">
        <v>150</v>
      </c>
    </row>
    <row r="2646" spans="1:11" ht="42" customHeight="1">
      <c r="A2646" s="2" t="s">
        <v>7559</v>
      </c>
      <c r="B2646" s="2" t="s">
        <v>7560</v>
      </c>
      <c r="C2646" s="2" t="s">
        <v>104</v>
      </c>
      <c r="D2646" s="2" t="s">
        <v>18</v>
      </c>
      <c r="E2646" s="4">
        <v>-32230</v>
      </c>
      <c r="F2646" s="3" t="s">
        <v>625</v>
      </c>
      <c r="G2646" s="3" t="s">
        <v>162</v>
      </c>
      <c r="H2646" s="2" t="s">
        <v>148</v>
      </c>
      <c r="I2646" s="2" t="s">
        <v>7561</v>
      </c>
      <c r="J2646" s="3" t="str">
        <f>HYPERLINK("https://www.boe.es/gazeta/dias/1811/10/03/pdfs/GEI-1811-127.pdf#page=7","Abrir facsímil")</f>
        <v>Abrir facsímil</v>
      </c>
      <c r="K2646" s="3" t="s">
        <v>150</v>
      </c>
    </row>
    <row r="2647" spans="1:11" ht="42" customHeight="1">
      <c r="A2647" s="2" t="s">
        <v>7562</v>
      </c>
      <c r="B2647" s="2" t="s">
        <v>7563</v>
      </c>
      <c r="C2647" s="2" t="s">
        <v>17</v>
      </c>
      <c r="D2647" s="2" t="s">
        <v>18</v>
      </c>
      <c r="E2647" s="4">
        <v>-32337</v>
      </c>
      <c r="F2647" s="3" t="s">
        <v>5266</v>
      </c>
      <c r="G2647" s="3" t="s">
        <v>115</v>
      </c>
      <c r="H2647" s="2" t="s">
        <v>148</v>
      </c>
      <c r="I2647" s="2" t="s">
        <v>7564</v>
      </c>
      <c r="J2647" s="3" t="str">
        <f>HYPERLINK("https://www.boe.es/gazeta/dias/1811/06/18/pdfs/GEI-1811-81.pdf#page=3","Abrir facsímil")</f>
        <v>Abrir facsímil</v>
      </c>
      <c r="K2647" s="3" t="s">
        <v>150</v>
      </c>
    </row>
    <row r="2648" spans="1:11" ht="42" customHeight="1">
      <c r="A2648" s="2" t="s">
        <v>7565</v>
      </c>
      <c r="B2648" s="2" t="s">
        <v>7566</v>
      </c>
      <c r="C2648" s="2" t="s">
        <v>26</v>
      </c>
      <c r="D2648" s="2" t="s">
        <v>18</v>
      </c>
      <c r="E2648" s="4">
        <v>-32188</v>
      </c>
      <c r="F2648" s="3" t="s">
        <v>356</v>
      </c>
      <c r="G2648" s="3" t="s">
        <v>468</v>
      </c>
      <c r="H2648" s="2" t="s">
        <v>148</v>
      </c>
      <c r="I2648" s="2" t="s">
        <v>7567</v>
      </c>
      <c r="J2648" s="3" t="str">
        <f>HYPERLINK("https://www.boe.es/gazeta/dias/1811/11/14/pdfs/GMD-1811-318.pdf#page=6","Abrir facsímil")</f>
        <v>Abrir facsímil</v>
      </c>
      <c r="K2648" s="3" t="s">
        <v>150</v>
      </c>
    </row>
    <row r="2649" spans="1:11" ht="42" customHeight="1">
      <c r="A2649" s="2" t="s">
        <v>7568</v>
      </c>
      <c r="B2649" s="2" t="s">
        <v>7569</v>
      </c>
      <c r="C2649" s="2" t="s">
        <v>26</v>
      </c>
      <c r="D2649" s="2" t="s">
        <v>18</v>
      </c>
      <c r="E2649" s="4">
        <v>-32319</v>
      </c>
      <c r="F2649" s="3" t="s">
        <v>2035</v>
      </c>
      <c r="G2649" s="3" t="s">
        <v>7570</v>
      </c>
      <c r="H2649" s="2" t="s">
        <v>148</v>
      </c>
      <c r="I2649" s="2" t="s">
        <v>7571</v>
      </c>
      <c r="J2649" s="3" t="str">
        <f>HYPERLINK("https://www.boe.es/gazeta/dias/1811/07/06/pdfs/GMD-1811-187.pdf#page=1","Abrir facsímil")</f>
        <v>Abrir facsímil</v>
      </c>
      <c r="K2649" s="3" t="s">
        <v>150</v>
      </c>
    </row>
    <row r="2650" spans="1:11" ht="42" customHeight="1">
      <c r="A2650" s="2" t="s">
        <v>7572</v>
      </c>
      <c r="B2650" s="2" t="s">
        <v>7573</v>
      </c>
      <c r="C2650" s="2" t="s">
        <v>26</v>
      </c>
      <c r="D2650" s="2" t="s">
        <v>18</v>
      </c>
      <c r="E2650" s="4">
        <v>-32153</v>
      </c>
      <c r="F2650" s="3" t="s">
        <v>123</v>
      </c>
      <c r="G2650" s="3" t="s">
        <v>1067</v>
      </c>
      <c r="H2650" s="2" t="s">
        <v>148</v>
      </c>
      <c r="I2650" s="2" t="s">
        <v>7574</v>
      </c>
      <c r="J2650" s="3" t="str">
        <f>HYPERLINK("https://www.boe.es/gazeta/dias/1811/12/19/pdfs/GMD-1811-353.pdf#page=5","Abrir facsímil")</f>
        <v>Abrir facsímil</v>
      </c>
      <c r="K2650" s="3" t="s">
        <v>150</v>
      </c>
    </row>
    <row r="2651" spans="1:11" ht="42" customHeight="1">
      <c r="A2651" s="2" t="s">
        <v>7575</v>
      </c>
      <c r="B2651" s="2" t="s">
        <v>7576</v>
      </c>
      <c r="C2651" s="2" t="s">
        <v>122</v>
      </c>
      <c r="D2651" s="2" t="s">
        <v>105</v>
      </c>
      <c r="E2651" s="4">
        <v>-32303</v>
      </c>
      <c r="F2651" s="3" t="s">
        <v>2811</v>
      </c>
      <c r="G2651" s="3" t="s">
        <v>3577</v>
      </c>
      <c r="H2651" s="2" t="s">
        <v>148</v>
      </c>
      <c r="I2651" s="2" t="s">
        <v>7577</v>
      </c>
      <c r="J2651" s="3" t="str">
        <f>HYPERLINK("https://www.boe.es/gazeta/dias/1811/07/22/pdfs/GMD-1811-203.pdf#page=4","Abrir facsímil")</f>
        <v>Abrir facsímil</v>
      </c>
      <c r="K2651" s="3" t="s">
        <v>150</v>
      </c>
    </row>
    <row r="2652" spans="1:11" ht="42" customHeight="1">
      <c r="A2652" s="2" t="s">
        <v>7578</v>
      </c>
      <c r="B2652" s="2" t="s">
        <v>7579</v>
      </c>
      <c r="C2652" s="2" t="s">
        <v>122</v>
      </c>
      <c r="D2652" s="2" t="s">
        <v>18</v>
      </c>
      <c r="E2652" s="4">
        <v>-32394</v>
      </c>
      <c r="F2652" s="3" t="s">
        <v>1709</v>
      </c>
      <c r="G2652" s="3" t="s">
        <v>115</v>
      </c>
      <c r="H2652" s="2" t="s">
        <v>148</v>
      </c>
      <c r="I2652" s="2" t="s">
        <v>7580</v>
      </c>
      <c r="J2652" s="3" t="str">
        <f>HYPERLINK("https://www.boe.es/gazeta/dias/1811/04/22/pdfs/GMD-1811-112.pdf#page=3","Abrir facsímil")</f>
        <v>Abrir facsímil</v>
      </c>
      <c r="K2652" s="3" t="s">
        <v>150</v>
      </c>
    </row>
    <row r="2653" spans="1:11" ht="42" customHeight="1">
      <c r="A2653" s="2" t="s">
        <v>7581</v>
      </c>
      <c r="B2653" s="2" t="s">
        <v>7582</v>
      </c>
      <c r="C2653" s="2" t="s">
        <v>17</v>
      </c>
      <c r="D2653" s="2" t="s">
        <v>156</v>
      </c>
      <c r="E2653" s="4">
        <v>-32195</v>
      </c>
      <c r="F2653" s="3" t="s">
        <v>439</v>
      </c>
      <c r="G2653" s="3" t="s">
        <v>162</v>
      </c>
      <c r="H2653" s="2" t="s">
        <v>148</v>
      </c>
      <c r="I2653" s="2" t="s">
        <v>7583</v>
      </c>
      <c r="J2653" s="3" t="str">
        <f>HYPERLINK("https://www.boe.es/gazeta/dias/1811/11/07/pdfs/GEI-1811-144.pdf#page=5","Abrir facsímil")</f>
        <v>Abrir facsímil</v>
      </c>
      <c r="K2653" s="3" t="s">
        <v>150</v>
      </c>
    </row>
    <row r="2654" spans="1:11" ht="42" customHeight="1">
      <c r="A2654" s="2" t="s">
        <v>7584</v>
      </c>
      <c r="B2654" s="2" t="s">
        <v>7585</v>
      </c>
      <c r="C2654" s="2" t="s">
        <v>17</v>
      </c>
      <c r="D2654" s="2" t="s">
        <v>156</v>
      </c>
      <c r="E2654" s="4">
        <v>-32286</v>
      </c>
      <c r="F2654" s="3" t="s">
        <v>754</v>
      </c>
      <c r="G2654" s="3" t="s">
        <v>1728</v>
      </c>
      <c r="H2654" s="2" t="s">
        <v>148</v>
      </c>
      <c r="I2654" s="2" t="s">
        <v>7586</v>
      </c>
      <c r="J2654" s="3" t="str">
        <f>HYPERLINK("https://www.boe.es/gazeta/dias/1811/08/08/pdfs/GEI-1811-103.pdf#page=8","Abrir facsímil")</f>
        <v>Abrir facsímil</v>
      </c>
      <c r="K2654" s="3" t="s">
        <v>150</v>
      </c>
    </row>
    <row r="2655" spans="1:11" ht="42" customHeight="1">
      <c r="A2655" s="2" t="s">
        <v>7587</v>
      </c>
      <c r="B2655" s="2" t="s">
        <v>7588</v>
      </c>
      <c r="C2655" s="2" t="s">
        <v>841</v>
      </c>
      <c r="D2655" s="2" t="s">
        <v>18</v>
      </c>
      <c r="E2655" s="4">
        <v>-32340</v>
      </c>
      <c r="F2655" s="3" t="s">
        <v>565</v>
      </c>
      <c r="G2655" s="3" t="s">
        <v>91</v>
      </c>
      <c r="H2655" s="2" t="s">
        <v>148</v>
      </c>
      <c r="I2655" s="2" t="s">
        <v>7589</v>
      </c>
      <c r="J2655" s="3" t="str">
        <f>HYPERLINK("https://www.boe.es/gazeta/dias/1811/06/15/pdfs/GEI-1811-80.pdf#page=8","Abrir facsímil")</f>
        <v>Abrir facsímil</v>
      </c>
      <c r="K2655" s="3" t="s">
        <v>150</v>
      </c>
    </row>
    <row r="2656" spans="1:11" ht="42" customHeight="1">
      <c r="A2656" s="2" t="s">
        <v>7590</v>
      </c>
      <c r="B2656" s="2" t="s">
        <v>7591</v>
      </c>
      <c r="C2656" s="2" t="s">
        <v>26</v>
      </c>
      <c r="D2656" s="2" t="s">
        <v>141</v>
      </c>
      <c r="E2656" s="4">
        <v>-32389</v>
      </c>
      <c r="F2656" s="3" t="s">
        <v>524</v>
      </c>
      <c r="G2656" s="3" t="s">
        <v>530</v>
      </c>
      <c r="H2656" s="2" t="s">
        <v>148</v>
      </c>
      <c r="I2656" s="2" t="s">
        <v>7592</v>
      </c>
      <c r="J2656" s="3" t="str">
        <f>HYPERLINK("https://www.boe.es/gazeta/dias/1811/04/27/pdfs/GEI-D-1811-56.pdf#page=2","Abrir facsímil")</f>
        <v>Abrir facsímil</v>
      </c>
      <c r="K2656" s="3" t="s">
        <v>150</v>
      </c>
    </row>
    <row r="2657" spans="1:11" ht="42" customHeight="1">
      <c r="A2657" s="2" t="s">
        <v>7593</v>
      </c>
      <c r="B2657" s="2" t="s">
        <v>7594</v>
      </c>
      <c r="C2657" s="2" t="s">
        <v>17</v>
      </c>
      <c r="D2657" s="2" t="s">
        <v>18</v>
      </c>
      <c r="E2657" s="4">
        <v>-32256</v>
      </c>
      <c r="F2657" s="3" t="s">
        <v>161</v>
      </c>
      <c r="G2657" s="3" t="s">
        <v>47</v>
      </c>
      <c r="H2657" s="2" t="s">
        <v>21</v>
      </c>
      <c r="I2657" s="2" t="s">
        <v>7595</v>
      </c>
      <c r="J2657" s="3" t="str">
        <f>HYPERLINK("https://www.boe.es/gazeta/dias/1811/09/07/pdfs/GEI-1811-116.pdf#page=7","Abrir facsímil")</f>
        <v>Abrir facsímil</v>
      </c>
      <c r="K2657" s="3" t="s">
        <v>23</v>
      </c>
    </row>
    <row r="2658" spans="1:11" ht="42" customHeight="1">
      <c r="A2658" s="2" t="s">
        <v>7596</v>
      </c>
      <c r="B2658" s="2" t="s">
        <v>7597</v>
      </c>
      <c r="C2658" s="2" t="s">
        <v>17</v>
      </c>
      <c r="D2658" s="2" t="s">
        <v>18</v>
      </c>
      <c r="E2658" s="4">
        <v>-32188</v>
      </c>
      <c r="F2658" s="3" t="s">
        <v>356</v>
      </c>
      <c r="G2658" s="3" t="s">
        <v>248</v>
      </c>
      <c r="H2658" s="2" t="s">
        <v>148</v>
      </c>
      <c r="I2658" s="2" t="s">
        <v>7598</v>
      </c>
      <c r="J2658" s="3" t="str">
        <f>HYPERLINK("https://www.boe.es/gazeta/dias/1811/11/14/pdfs/GMD-1811-318.pdf#page=5","Abrir facsímil")</f>
        <v>Abrir facsímil</v>
      </c>
      <c r="K2658" s="3" t="s">
        <v>150</v>
      </c>
    </row>
    <row r="2659" spans="1:11" ht="42" customHeight="1">
      <c r="A2659" s="2" t="s">
        <v>7599</v>
      </c>
      <c r="B2659" s="2" t="s">
        <v>7600</v>
      </c>
      <c r="C2659" s="2" t="s">
        <v>26</v>
      </c>
      <c r="D2659" s="2" t="s">
        <v>18</v>
      </c>
      <c r="E2659" s="4">
        <v>-32364</v>
      </c>
      <c r="F2659" s="3" t="s">
        <v>2783</v>
      </c>
      <c r="G2659" s="3" t="s">
        <v>39</v>
      </c>
      <c r="H2659" s="2" t="s">
        <v>148</v>
      </c>
      <c r="I2659" s="2" t="s">
        <v>7601</v>
      </c>
      <c r="J2659" s="3" t="str">
        <f>HYPERLINK("https://www.boe.es/gazeta/dias/1811/05/22/pdfs/GMD-1811-142.pdf#page=1","Abrir facsímil")</f>
        <v>Abrir facsímil</v>
      </c>
      <c r="K2659" s="3" t="s">
        <v>150</v>
      </c>
    </row>
    <row r="2660" spans="1:11" ht="42" customHeight="1">
      <c r="A2660" s="2" t="s">
        <v>7602</v>
      </c>
      <c r="B2660" s="2" t="s">
        <v>7603</v>
      </c>
      <c r="C2660" s="2" t="s">
        <v>26</v>
      </c>
      <c r="D2660" s="2" t="s">
        <v>18</v>
      </c>
      <c r="E2660" s="4">
        <v>-32286</v>
      </c>
      <c r="F2660" s="3" t="s">
        <v>754</v>
      </c>
      <c r="G2660" s="3" t="s">
        <v>1728</v>
      </c>
      <c r="H2660" s="2" t="s">
        <v>148</v>
      </c>
      <c r="I2660" s="2" t="s">
        <v>7604</v>
      </c>
      <c r="J2660" s="3" t="str">
        <f>HYPERLINK("https://www.boe.es/gazeta/dias/1811/08/08/pdfs/GEI-1811-103.pdf#page=8","Abrir facsímil")</f>
        <v>Abrir facsímil</v>
      </c>
      <c r="K2660" s="3" t="s">
        <v>150</v>
      </c>
    </row>
    <row r="2661" spans="1:11" ht="42" customHeight="1">
      <c r="A2661" s="2" t="s">
        <v>7605</v>
      </c>
      <c r="B2661" s="2" t="s">
        <v>7606</v>
      </c>
      <c r="C2661" s="2" t="s">
        <v>104</v>
      </c>
      <c r="D2661" s="2" t="s">
        <v>18</v>
      </c>
      <c r="E2661" s="4">
        <v>-32403</v>
      </c>
      <c r="F2661" s="3" t="s">
        <v>1915</v>
      </c>
      <c r="G2661" s="3" t="s">
        <v>7607</v>
      </c>
      <c r="H2661" s="2" t="s">
        <v>148</v>
      </c>
      <c r="I2661" s="2" t="s">
        <v>7608</v>
      </c>
      <c r="J2661" s="3" t="str">
        <f>HYPERLINK("https://www.boe.es/gazeta/dias/1811/04/13/pdfs/GEI-1811-50.pdf#page=1","Abrir facsímil")</f>
        <v>Abrir facsímil</v>
      </c>
      <c r="K2661" s="3" t="s">
        <v>150</v>
      </c>
    </row>
    <row r="2662" spans="1:11" ht="42" customHeight="1">
      <c r="A2662" s="2" t="s">
        <v>7609</v>
      </c>
      <c r="B2662" s="2" t="s">
        <v>7610</v>
      </c>
      <c r="C2662" s="2" t="s">
        <v>84</v>
      </c>
      <c r="D2662" s="2" t="s">
        <v>18</v>
      </c>
      <c r="E2662" s="4">
        <v>-32365</v>
      </c>
      <c r="F2662" s="3" t="s">
        <v>119</v>
      </c>
      <c r="G2662" s="3" t="s">
        <v>248</v>
      </c>
      <c r="H2662" s="2" t="s">
        <v>148</v>
      </c>
      <c r="I2662" s="2" t="s">
        <v>7611</v>
      </c>
      <c r="J2662" s="3" t="str">
        <f>HYPERLINK("https://www.boe.es/gazeta/dias/1811/05/21/pdfs/GEI-1811-67.pdf#page=1","Abrir facsímil")</f>
        <v>Abrir facsímil</v>
      </c>
      <c r="K2662" s="3" t="s">
        <v>150</v>
      </c>
    </row>
    <row r="2663" spans="1:11" ht="42" customHeight="1">
      <c r="A2663" s="2" t="s">
        <v>7612</v>
      </c>
      <c r="B2663" s="2" t="s">
        <v>7613</v>
      </c>
      <c r="C2663" s="2" t="s">
        <v>84</v>
      </c>
      <c r="D2663" s="2" t="s">
        <v>18</v>
      </c>
      <c r="E2663" s="4">
        <v>-32365</v>
      </c>
      <c r="F2663" s="3" t="s">
        <v>119</v>
      </c>
      <c r="G2663" s="3" t="s">
        <v>248</v>
      </c>
      <c r="H2663" s="2" t="s">
        <v>148</v>
      </c>
      <c r="I2663" s="2" t="s">
        <v>7614</v>
      </c>
      <c r="J2663" s="3" t="str">
        <f>HYPERLINK("https://www.boe.es/gazeta/dias/1811/05/21/pdfs/GEI-1811-67.pdf#page=1","Abrir facsímil")</f>
        <v>Abrir facsímil</v>
      </c>
      <c r="K2663" s="3" t="s">
        <v>150</v>
      </c>
    </row>
    <row r="2664" spans="1:11" ht="42" customHeight="1">
      <c r="A2664" s="2" t="s">
        <v>7612</v>
      </c>
      <c r="B2664" s="2" t="s">
        <v>7613</v>
      </c>
      <c r="C2664" s="2" t="s">
        <v>104</v>
      </c>
      <c r="D2664" s="2" t="s">
        <v>18</v>
      </c>
      <c r="E2664" s="4">
        <v>-32342</v>
      </c>
      <c r="F2664" s="3" t="s">
        <v>1474</v>
      </c>
      <c r="G2664" s="3" t="s">
        <v>3380</v>
      </c>
      <c r="H2664" s="2" t="s">
        <v>148</v>
      </c>
      <c r="I2664" s="2" t="s">
        <v>7615</v>
      </c>
      <c r="J2664" s="3" t="str">
        <f>HYPERLINK("https://www.boe.es/gazeta/dias/1811/06/13/pdfs/GEI-1811-79.pdf#page=2","Abrir facsímil")</f>
        <v>Abrir facsímil</v>
      </c>
      <c r="K2664" s="3" t="s">
        <v>150</v>
      </c>
    </row>
    <row r="2665" spans="1:11" ht="42" customHeight="1">
      <c r="A2665" s="2" t="s">
        <v>7616</v>
      </c>
      <c r="B2665" s="2" t="s">
        <v>7617</v>
      </c>
      <c r="C2665" s="2" t="s">
        <v>367</v>
      </c>
      <c r="D2665" s="2" t="s">
        <v>204</v>
      </c>
      <c r="E2665" s="4">
        <v>-32491</v>
      </c>
      <c r="F2665" s="3" t="s">
        <v>2280</v>
      </c>
      <c r="G2665" s="3" t="s">
        <v>515</v>
      </c>
      <c r="H2665" s="2" t="s">
        <v>148</v>
      </c>
      <c r="I2665" s="2" t="s">
        <v>7618</v>
      </c>
      <c r="J2665" s="3" t="str">
        <f>HYPERLINK("https://www.boe.es/gazeta/dias/1811/01/15/pdfs/GMD-1811-15.pdf#page=2","Abrir facsímil")</f>
        <v>Abrir facsímil</v>
      </c>
      <c r="K2665" s="3" t="s">
        <v>150</v>
      </c>
    </row>
    <row r="2666" spans="1:11" ht="42" customHeight="1">
      <c r="A2666" s="2" t="s">
        <v>7619</v>
      </c>
      <c r="B2666" s="2" t="s">
        <v>7620</v>
      </c>
      <c r="C2666" s="2" t="s">
        <v>26</v>
      </c>
      <c r="D2666" s="2" t="s">
        <v>18</v>
      </c>
      <c r="E2666" s="4">
        <v>-32309</v>
      </c>
      <c r="F2666" s="3" t="s">
        <v>7621</v>
      </c>
      <c r="G2666" s="3" t="s">
        <v>47</v>
      </c>
      <c r="H2666" s="2" t="s">
        <v>148</v>
      </c>
      <c r="I2666" s="2" t="s">
        <v>7622</v>
      </c>
      <c r="J2666" s="3" t="str">
        <f>HYPERLINK("https://www.boe.es/gazeta/dias/1811/07/16/pdfs/GMD-1811-197.pdf#page=1","Abrir facsímil")</f>
        <v>Abrir facsímil</v>
      </c>
      <c r="K2666" s="3" t="s">
        <v>150</v>
      </c>
    </row>
    <row r="2667" spans="1:11" ht="42" customHeight="1">
      <c r="A2667" s="2" t="s">
        <v>7623</v>
      </c>
      <c r="B2667" s="2" t="s">
        <v>7624</v>
      </c>
      <c r="C2667" s="2" t="s">
        <v>26</v>
      </c>
      <c r="D2667" s="2" t="s">
        <v>141</v>
      </c>
      <c r="E2667" s="4">
        <v>-32188</v>
      </c>
      <c r="F2667" s="3" t="s">
        <v>505</v>
      </c>
      <c r="G2667" s="3" t="s">
        <v>162</v>
      </c>
      <c r="H2667" s="2" t="s">
        <v>148</v>
      </c>
      <c r="I2667" s="2" t="s">
        <v>7625</v>
      </c>
      <c r="J2667" s="3" t="str">
        <f>HYPERLINK("https://www.boe.es/gazeta/dias/1811/11/14/pdfs/GEI-D-1811-149.pdf#page=4","Abrir facsímil")</f>
        <v>Abrir facsímil</v>
      </c>
      <c r="K2667" s="3" t="s">
        <v>150</v>
      </c>
    </row>
    <row r="2668" spans="1:11" ht="42" customHeight="1">
      <c r="A2668" s="2" t="s">
        <v>7626</v>
      </c>
      <c r="B2668" s="2" t="s">
        <v>7627</v>
      </c>
      <c r="C2668" s="2" t="s">
        <v>17</v>
      </c>
      <c r="D2668" s="2" t="s">
        <v>18</v>
      </c>
      <c r="E2668" s="4">
        <v>-32361</v>
      </c>
      <c r="F2668" s="3" t="s">
        <v>1104</v>
      </c>
      <c r="G2668" s="3" t="s">
        <v>2213</v>
      </c>
      <c r="H2668" s="2" t="s">
        <v>148</v>
      </c>
      <c r="I2668" s="2" t="s">
        <v>7628</v>
      </c>
      <c r="J2668" s="3" t="str">
        <f>HYPERLINK("https://www.boe.es/gazeta/dias/1811/05/25/pdfs/GEI-1811-71.pdf#page=8","Abrir facsímil")</f>
        <v>Abrir facsímil</v>
      </c>
      <c r="K2668" s="3" t="s">
        <v>150</v>
      </c>
    </row>
    <row r="2669" spans="1:11" ht="42" customHeight="1">
      <c r="A2669" s="2" t="s">
        <v>7629</v>
      </c>
      <c r="B2669" s="2" t="s">
        <v>7630</v>
      </c>
      <c r="C2669" s="2" t="s">
        <v>26</v>
      </c>
      <c r="D2669" s="2" t="s">
        <v>18</v>
      </c>
      <c r="E2669" s="4">
        <v>-32419</v>
      </c>
      <c r="F2669" s="3" t="s">
        <v>2585</v>
      </c>
      <c r="G2669" s="3" t="s">
        <v>4529</v>
      </c>
      <c r="H2669" s="2" t="s">
        <v>148</v>
      </c>
      <c r="I2669" s="2" t="s">
        <v>7631</v>
      </c>
      <c r="J2669" s="3" t="str">
        <f>HYPERLINK("https://www.boe.es/gazeta/dias/1811/03/28/pdfs/GEI-1811-43.pdf#page=8","Abrir facsímil")</f>
        <v>Abrir facsímil</v>
      </c>
      <c r="K2669" s="3" t="s">
        <v>150</v>
      </c>
    </row>
    <row r="2670" spans="1:11" ht="42" customHeight="1">
      <c r="A2670" s="2" t="s">
        <v>7632</v>
      </c>
      <c r="B2670" s="2" t="s">
        <v>7633</v>
      </c>
      <c r="C2670" s="2" t="s">
        <v>26</v>
      </c>
      <c r="D2670" s="2" t="s">
        <v>18</v>
      </c>
      <c r="E2670" s="4">
        <v>-32182</v>
      </c>
      <c r="F2670" s="3" t="s">
        <v>653</v>
      </c>
      <c r="G2670" s="3" t="s">
        <v>162</v>
      </c>
      <c r="H2670" s="2" t="s">
        <v>148</v>
      </c>
      <c r="I2670" s="2" t="s">
        <v>7634</v>
      </c>
      <c r="J2670" s="3" t="str">
        <f>HYPERLINK("https://www.boe.es/gazeta/dias/1811/11/20/pdfs/GMD-1811-324.pdf#page=1","Abrir facsímil")</f>
        <v>Abrir facsímil</v>
      </c>
      <c r="K2670" s="3" t="s">
        <v>150</v>
      </c>
    </row>
    <row r="2671" spans="1:11" ht="42" customHeight="1">
      <c r="A2671" s="2" t="s">
        <v>7635</v>
      </c>
      <c r="B2671" s="2" t="s">
        <v>7636</v>
      </c>
      <c r="C2671" s="2" t="s">
        <v>26</v>
      </c>
      <c r="D2671" s="2" t="s">
        <v>18</v>
      </c>
      <c r="E2671" s="4">
        <v>-32288</v>
      </c>
      <c r="F2671" s="3" t="s">
        <v>95</v>
      </c>
      <c r="G2671" s="3" t="s">
        <v>47</v>
      </c>
      <c r="H2671" s="2" t="s">
        <v>148</v>
      </c>
      <c r="I2671" s="2" t="s">
        <v>7637</v>
      </c>
      <c r="J2671" s="3" t="str">
        <f>HYPERLINK("https://www.boe.es/gazeta/dias/1811/08/06/pdfs/GEI-1811-102.pdf#page=8","Abrir facsímil")</f>
        <v>Abrir facsímil</v>
      </c>
      <c r="K2671" s="3" t="s">
        <v>150</v>
      </c>
    </row>
    <row r="2672" spans="1:11" ht="42" customHeight="1">
      <c r="A2672" s="2" t="s">
        <v>7638</v>
      </c>
      <c r="B2672" s="2" t="s">
        <v>7639</v>
      </c>
      <c r="C2672" s="2" t="s">
        <v>26</v>
      </c>
      <c r="D2672" s="2" t="s">
        <v>18</v>
      </c>
      <c r="E2672" s="4">
        <v>-32288</v>
      </c>
      <c r="F2672" s="3" t="s">
        <v>95</v>
      </c>
      <c r="G2672" s="3" t="s">
        <v>47</v>
      </c>
      <c r="H2672" s="2" t="s">
        <v>148</v>
      </c>
      <c r="I2672" s="2" t="s">
        <v>7640</v>
      </c>
      <c r="J2672" s="3" t="str">
        <f>HYPERLINK("https://www.boe.es/gazeta/dias/1811/08/06/pdfs/GEI-1811-102.pdf#page=8","Abrir facsímil")</f>
        <v>Abrir facsímil</v>
      </c>
      <c r="K2672" s="3" t="s">
        <v>150</v>
      </c>
    </row>
    <row r="2673" spans="1:11" ht="42" customHeight="1">
      <c r="A2673" s="2" t="s">
        <v>7641</v>
      </c>
      <c r="B2673" s="2" t="s">
        <v>7642</v>
      </c>
      <c r="C2673" s="2" t="s">
        <v>37</v>
      </c>
      <c r="D2673" s="2" t="s">
        <v>18</v>
      </c>
      <c r="E2673" s="4">
        <v>-32407</v>
      </c>
      <c r="F2673" s="3" t="s">
        <v>38</v>
      </c>
      <c r="G2673" s="3" t="s">
        <v>39</v>
      </c>
      <c r="H2673" s="2" t="s">
        <v>148</v>
      </c>
      <c r="I2673" s="2" t="s">
        <v>7643</v>
      </c>
      <c r="J2673" s="3" t="str">
        <f>HYPERLINK("https://www.boe.es/gazeta/dias/1811/04/09/pdfs/GEI-1811-48.pdf#page=3","Abrir facsímil")</f>
        <v>Abrir facsímil</v>
      </c>
      <c r="K2673" s="3" t="s">
        <v>150</v>
      </c>
    </row>
    <row r="2674" spans="1:11" ht="42" customHeight="1">
      <c r="A2674" s="2" t="s">
        <v>7644</v>
      </c>
      <c r="B2674" s="2" t="s">
        <v>7645</v>
      </c>
      <c r="C2674" s="2" t="s">
        <v>26</v>
      </c>
      <c r="D2674" s="2" t="s">
        <v>18</v>
      </c>
      <c r="E2674" s="4">
        <v>-32288</v>
      </c>
      <c r="F2674" s="3" t="s">
        <v>95</v>
      </c>
      <c r="G2674" s="3" t="s">
        <v>47</v>
      </c>
      <c r="H2674" s="2" t="s">
        <v>148</v>
      </c>
      <c r="I2674" s="2" t="s">
        <v>7646</v>
      </c>
      <c r="J2674" s="3" t="str">
        <f>HYPERLINK("https://www.boe.es/gazeta/dias/1811/08/06/pdfs/GEI-1811-102.pdf#page=8","Abrir facsímil")</f>
        <v>Abrir facsímil</v>
      </c>
      <c r="K2674" s="3" t="s">
        <v>150</v>
      </c>
    </row>
    <row r="2675" spans="1:11" ht="42" customHeight="1">
      <c r="A2675" s="2" t="s">
        <v>7647</v>
      </c>
      <c r="B2675" s="2" t="s">
        <v>7648</v>
      </c>
      <c r="C2675" s="2" t="s">
        <v>17</v>
      </c>
      <c r="D2675" s="2" t="s">
        <v>18</v>
      </c>
      <c r="E2675" s="4">
        <v>-32176</v>
      </c>
      <c r="F2675" s="3" t="s">
        <v>638</v>
      </c>
      <c r="G2675" s="3" t="s">
        <v>7649</v>
      </c>
      <c r="H2675" s="2" t="s">
        <v>148</v>
      </c>
      <c r="I2675" s="2" t="s">
        <v>7650</v>
      </c>
      <c r="J2675" s="3" t="str">
        <f>HYPERLINK("https://www.boe.es/gazeta/dias/1811/11/26/pdfs/GEI-1811-154.pdf#page=1","Abrir facsímil")</f>
        <v>Abrir facsímil</v>
      </c>
      <c r="K2675" s="3" t="s">
        <v>150</v>
      </c>
    </row>
    <row r="2676" spans="1:11" ht="42" customHeight="1">
      <c r="A2676" s="2" t="s">
        <v>7651</v>
      </c>
      <c r="B2676" s="2" t="s">
        <v>7652</v>
      </c>
      <c r="C2676" s="2" t="s">
        <v>66</v>
      </c>
      <c r="D2676" s="2" t="s">
        <v>105</v>
      </c>
      <c r="E2676" s="4">
        <v>-32242</v>
      </c>
      <c r="F2676" s="3" t="s">
        <v>1295</v>
      </c>
      <c r="G2676" s="3" t="s">
        <v>1296</v>
      </c>
      <c r="H2676" s="2" t="s">
        <v>148</v>
      </c>
      <c r="I2676" s="2" t="s">
        <v>7653</v>
      </c>
      <c r="J2676" s="3" t="str">
        <f>HYPERLINK("https://www.boe.es/gazeta/dias/1811/09/21/pdfs/GEI-1811-122.pdf#page=8","Abrir facsímil")</f>
        <v>Abrir facsímil</v>
      </c>
      <c r="K2676" s="3" t="s">
        <v>150</v>
      </c>
    </row>
    <row r="2677" spans="1:11" ht="42" customHeight="1">
      <c r="A2677" s="2" t="s">
        <v>7654</v>
      </c>
      <c r="B2677" s="2" t="s">
        <v>7655</v>
      </c>
      <c r="C2677" s="2" t="s">
        <v>26</v>
      </c>
      <c r="D2677" s="2" t="s">
        <v>18</v>
      </c>
      <c r="E2677" s="4">
        <v>-32242</v>
      </c>
      <c r="F2677" s="3" t="s">
        <v>1295</v>
      </c>
      <c r="G2677" s="3" t="s">
        <v>1296</v>
      </c>
      <c r="H2677" s="2" t="s">
        <v>148</v>
      </c>
      <c r="I2677" s="2" t="s">
        <v>7656</v>
      </c>
      <c r="J2677" s="3" t="str">
        <f>HYPERLINK("https://www.boe.es/gazeta/dias/1811/09/21/pdfs/GEI-1811-122.pdf#page=8","Abrir facsímil")</f>
        <v>Abrir facsímil</v>
      </c>
      <c r="K2677" s="3" t="s">
        <v>150</v>
      </c>
    </row>
    <row r="2678" spans="1:11" ht="42" customHeight="1">
      <c r="A2678" s="2" t="s">
        <v>7657</v>
      </c>
      <c r="B2678" s="2" t="s">
        <v>7658</v>
      </c>
      <c r="C2678" s="2" t="s">
        <v>26</v>
      </c>
      <c r="D2678" s="2" t="s">
        <v>18</v>
      </c>
      <c r="E2678" s="4">
        <v>-32188</v>
      </c>
      <c r="F2678" s="3" t="s">
        <v>356</v>
      </c>
      <c r="G2678" s="3" t="s">
        <v>468</v>
      </c>
      <c r="H2678" s="2" t="s">
        <v>148</v>
      </c>
      <c r="I2678" s="2" t="s">
        <v>7659</v>
      </c>
      <c r="J2678" s="3" t="str">
        <f>HYPERLINK("https://www.boe.es/gazeta/dias/1811/11/14/pdfs/GMD-1811-318.pdf#page=6","Abrir facsímil")</f>
        <v>Abrir facsímil</v>
      </c>
      <c r="K2678" s="3" t="s">
        <v>150</v>
      </c>
    </row>
    <row r="2679" spans="1:11" ht="42" customHeight="1">
      <c r="A2679" s="2" t="s">
        <v>7660</v>
      </c>
      <c r="B2679" s="2" t="s">
        <v>7661</v>
      </c>
      <c r="C2679" s="2" t="s">
        <v>122</v>
      </c>
      <c r="D2679" s="2" t="s">
        <v>141</v>
      </c>
      <c r="E2679" s="4">
        <v>-32272</v>
      </c>
      <c r="F2679" s="3" t="s">
        <v>1150</v>
      </c>
      <c r="G2679" s="3" t="s">
        <v>248</v>
      </c>
      <c r="H2679" s="2" t="s">
        <v>148</v>
      </c>
      <c r="I2679" s="2" t="s">
        <v>7662</v>
      </c>
      <c r="J2679" s="3" t="str">
        <f>HYPERLINK("https://www.boe.es/gazeta/dias/1811/08/22/pdfs/GMD-C-1811-234.pdf#page=1","Abrir facsímil")</f>
        <v>Abrir facsímil</v>
      </c>
      <c r="K2679" s="3" t="s">
        <v>150</v>
      </c>
    </row>
    <row r="2680" spans="1:11" ht="42" customHeight="1">
      <c r="A2680" s="2" t="s">
        <v>7663</v>
      </c>
      <c r="B2680" s="2" t="s">
        <v>7664</v>
      </c>
      <c r="C2680" s="2" t="s">
        <v>84</v>
      </c>
      <c r="D2680" s="2" t="s">
        <v>18</v>
      </c>
      <c r="E2680" s="4">
        <v>-32335</v>
      </c>
      <c r="F2680" s="3" t="s">
        <v>7373</v>
      </c>
      <c r="G2680" s="3" t="s">
        <v>248</v>
      </c>
      <c r="H2680" s="2" t="s">
        <v>148</v>
      </c>
      <c r="I2680" s="2" t="s">
        <v>7665</v>
      </c>
      <c r="J2680" s="3" t="str">
        <f>HYPERLINK("https://www.boe.es/gazeta/dias/1811/06/20/pdfs/GMD-1811-171.pdf#page=4","Abrir facsímil")</f>
        <v>Abrir facsímil</v>
      </c>
      <c r="K2680" s="3" t="s">
        <v>150</v>
      </c>
    </row>
    <row r="2681" spans="1:11" ht="42" customHeight="1">
      <c r="A2681" s="2" t="s">
        <v>7666</v>
      </c>
      <c r="B2681" s="2" t="s">
        <v>7667</v>
      </c>
      <c r="C2681" s="2" t="s">
        <v>26</v>
      </c>
      <c r="D2681" s="2" t="s">
        <v>18</v>
      </c>
      <c r="E2681" s="4">
        <v>-32293</v>
      </c>
      <c r="F2681" s="3" t="s">
        <v>3064</v>
      </c>
      <c r="G2681" s="3" t="s">
        <v>2318</v>
      </c>
      <c r="H2681" s="2" t="s">
        <v>148</v>
      </c>
      <c r="I2681" s="2" t="s">
        <v>7668</v>
      </c>
      <c r="J2681" s="3" t="str">
        <f>HYPERLINK("https://www.boe.es/gazeta/dias/1811/08/01/pdfs/GEI-1811-100.pdf#page=5","Abrir facsímil")</f>
        <v>Abrir facsímil</v>
      </c>
      <c r="K2681" s="3" t="s">
        <v>150</v>
      </c>
    </row>
    <row r="2682" spans="1:11" ht="42" customHeight="1">
      <c r="A2682" s="2" t="s">
        <v>7669</v>
      </c>
      <c r="B2682" s="2" t="s">
        <v>7670</v>
      </c>
      <c r="C2682" s="2" t="s">
        <v>26</v>
      </c>
      <c r="D2682" s="2" t="s">
        <v>18</v>
      </c>
      <c r="E2682" s="4">
        <v>-32375</v>
      </c>
      <c r="F2682" s="3" t="s">
        <v>1209</v>
      </c>
      <c r="G2682" s="3" t="s">
        <v>440</v>
      </c>
      <c r="H2682" s="2" t="s">
        <v>148</v>
      </c>
      <c r="I2682" s="2" t="s">
        <v>7671</v>
      </c>
      <c r="J2682" s="3" t="str">
        <f>HYPERLINK("https://www.boe.es/gazeta/dias/1811/05/11/pdfs/GEI-1811-62.pdf#page=6","Abrir facsímil")</f>
        <v>Abrir facsímil</v>
      </c>
      <c r="K2682" s="3" t="s">
        <v>150</v>
      </c>
    </row>
    <row r="2683" spans="1:11" ht="42" customHeight="1">
      <c r="A2683" s="2" t="s">
        <v>7672</v>
      </c>
      <c r="B2683" s="2" t="s">
        <v>7673</v>
      </c>
      <c r="C2683" s="2" t="s">
        <v>367</v>
      </c>
      <c r="D2683" s="2" t="s">
        <v>18</v>
      </c>
      <c r="E2683" s="4">
        <v>-32153</v>
      </c>
      <c r="F2683" s="3" t="s">
        <v>123</v>
      </c>
      <c r="G2683" s="3" t="s">
        <v>1067</v>
      </c>
      <c r="H2683" s="2" t="s">
        <v>148</v>
      </c>
      <c r="I2683" s="2" t="s">
        <v>7674</v>
      </c>
      <c r="J2683" s="3" t="str">
        <f>HYPERLINK("https://www.boe.es/gazeta/dias/1811/12/19/pdfs/GMD-1811-353.pdf#page=5","Abrir facsímil")</f>
        <v>Abrir facsímil</v>
      </c>
      <c r="K2683" s="3" t="s">
        <v>150</v>
      </c>
    </row>
    <row r="2684" spans="1:11" ht="42" customHeight="1">
      <c r="A2684" s="2" t="s">
        <v>7675</v>
      </c>
      <c r="B2684" s="2" t="s">
        <v>7676</v>
      </c>
      <c r="C2684" s="2" t="s">
        <v>26</v>
      </c>
      <c r="D2684" s="2" t="s">
        <v>105</v>
      </c>
      <c r="E2684" s="4">
        <v>-32320</v>
      </c>
      <c r="F2684" s="3" t="s">
        <v>3234</v>
      </c>
      <c r="G2684" s="3" t="s">
        <v>2824</v>
      </c>
      <c r="H2684" s="2" t="s">
        <v>148</v>
      </c>
      <c r="I2684" s="2" t="s">
        <v>7677</v>
      </c>
      <c r="J2684" s="3" t="str">
        <f>HYPERLINK("https://www.boe.es/gazeta/dias/1811/07/05/pdfs/GMD-1811-186.pdf#page=1","Abrir facsímil")</f>
        <v>Abrir facsímil</v>
      </c>
      <c r="K2684" s="3" t="s">
        <v>150</v>
      </c>
    </row>
    <row r="2685" spans="1:11" ht="42" customHeight="1">
      <c r="A2685" s="2" t="s">
        <v>7678</v>
      </c>
      <c r="B2685" s="2" t="s">
        <v>7679</v>
      </c>
      <c r="C2685" s="2" t="s">
        <v>17</v>
      </c>
      <c r="D2685" s="2" t="s">
        <v>156</v>
      </c>
      <c r="E2685" s="4">
        <v>-32242</v>
      </c>
      <c r="F2685" s="3" t="s">
        <v>1295</v>
      </c>
      <c r="G2685" s="3" t="s">
        <v>2906</v>
      </c>
      <c r="H2685" s="2" t="s">
        <v>148</v>
      </c>
      <c r="I2685" s="2" t="s">
        <v>7680</v>
      </c>
      <c r="J2685" s="3" t="str">
        <f>HYPERLINK("https://www.boe.es/gazeta/dias/1811/09/21/pdfs/GEI-1811-122.pdf#page=2","Abrir facsímil")</f>
        <v>Abrir facsímil</v>
      </c>
      <c r="K2685" s="3" t="s">
        <v>150</v>
      </c>
    </row>
    <row r="2686" spans="1:11" ht="42" customHeight="1">
      <c r="A2686" s="2" t="s">
        <v>7681</v>
      </c>
      <c r="B2686" s="2" t="s">
        <v>7682</v>
      </c>
      <c r="C2686" s="2" t="s">
        <v>17</v>
      </c>
      <c r="D2686" s="2" t="s">
        <v>18</v>
      </c>
      <c r="E2686" s="4">
        <v>-32204</v>
      </c>
      <c r="F2686" s="3" t="s">
        <v>177</v>
      </c>
      <c r="G2686" s="3" t="s">
        <v>178</v>
      </c>
      <c r="H2686" s="2" t="s">
        <v>148</v>
      </c>
      <c r="I2686" s="2" t="s">
        <v>7683</v>
      </c>
      <c r="J2686" s="3" t="str">
        <f>HYPERLINK("https://www.boe.es/gazeta/dias/1811/10/29/pdfs/GMD-1811-302.pdf#page=4","Abrir facsímil")</f>
        <v>Abrir facsímil</v>
      </c>
      <c r="K2686" s="3" t="s">
        <v>150</v>
      </c>
    </row>
    <row r="2687" spans="1:11" ht="42" customHeight="1">
      <c r="A2687" s="2" t="s">
        <v>7684</v>
      </c>
      <c r="B2687" s="2" t="s">
        <v>7685</v>
      </c>
      <c r="C2687" s="2" t="s">
        <v>26</v>
      </c>
      <c r="D2687" s="2" t="s">
        <v>18</v>
      </c>
      <c r="E2687" s="4">
        <v>-32419</v>
      </c>
      <c r="F2687" s="3" t="s">
        <v>2585</v>
      </c>
      <c r="G2687" s="3" t="s">
        <v>4049</v>
      </c>
      <c r="H2687" s="2" t="s">
        <v>148</v>
      </c>
      <c r="I2687" s="2" t="s">
        <v>7686</v>
      </c>
      <c r="J2687" s="3" t="str">
        <f>HYPERLINK("https://www.boe.es/gazeta/dias/1811/03/28/pdfs/GEI-1811-43.pdf#page=7","Abrir facsímil")</f>
        <v>Abrir facsímil</v>
      </c>
      <c r="K2687" s="3" t="s">
        <v>150</v>
      </c>
    </row>
    <row r="2688" spans="1:11" ht="42" customHeight="1">
      <c r="A2688" s="2" t="s">
        <v>7687</v>
      </c>
      <c r="B2688" s="2" t="s">
        <v>7688</v>
      </c>
      <c r="C2688" s="2" t="s">
        <v>26</v>
      </c>
      <c r="D2688" s="2" t="s">
        <v>141</v>
      </c>
      <c r="E2688" s="4">
        <v>-32280</v>
      </c>
      <c r="F2688" s="3" t="s">
        <v>142</v>
      </c>
      <c r="G2688" s="3" t="s">
        <v>47</v>
      </c>
      <c r="H2688" s="2" t="s">
        <v>148</v>
      </c>
      <c r="I2688" s="2" t="s">
        <v>7689</v>
      </c>
      <c r="J2688" s="3" t="str">
        <f>HYPERLINK("https://www.boe.es/gazeta/dias/1811/08/14/pdfs/GMD-C-1811-226.pdf#page=1","Abrir facsímil")</f>
        <v>Abrir facsímil</v>
      </c>
      <c r="K2688" s="3" t="s">
        <v>150</v>
      </c>
    </row>
    <row r="2689" spans="1:11" ht="42" customHeight="1">
      <c r="A2689" s="2" t="s">
        <v>7690</v>
      </c>
      <c r="B2689" s="2" t="s">
        <v>7691</v>
      </c>
      <c r="C2689" s="2" t="s">
        <v>26</v>
      </c>
      <c r="D2689" s="2" t="s">
        <v>18</v>
      </c>
      <c r="E2689" s="4">
        <v>-32438</v>
      </c>
      <c r="F2689" s="3" t="s">
        <v>114</v>
      </c>
      <c r="G2689" s="3" t="s">
        <v>115</v>
      </c>
      <c r="H2689" s="2" t="s">
        <v>148</v>
      </c>
      <c r="I2689" s="2" t="s">
        <v>7692</v>
      </c>
      <c r="J2689" s="3" t="str">
        <f>HYPERLINK("https://www.boe.es/gazeta/dias/1811/03/09/pdfs/GEI-1811-33.pdf#page=3","Abrir facsímil")</f>
        <v>Abrir facsímil</v>
      </c>
      <c r="K2689" s="3" t="s">
        <v>150</v>
      </c>
    </row>
    <row r="2690" spans="1:11" ht="42" customHeight="1">
      <c r="A2690" s="2" t="s">
        <v>7690</v>
      </c>
      <c r="B2690" s="2" t="s">
        <v>7691</v>
      </c>
      <c r="C2690" s="2" t="s">
        <v>17</v>
      </c>
      <c r="D2690" s="2" t="s">
        <v>18</v>
      </c>
      <c r="E2690" s="4">
        <v>-32202</v>
      </c>
      <c r="F2690" s="3" t="s">
        <v>2194</v>
      </c>
      <c r="G2690" s="3" t="s">
        <v>7693</v>
      </c>
      <c r="H2690" s="2" t="s">
        <v>148</v>
      </c>
      <c r="I2690" s="2" t="s">
        <v>7694</v>
      </c>
      <c r="J2690" s="3" t="str">
        <f>HYPERLINK("https://www.boe.es/gazeta/dias/1811/10/31/pdfs/GEI-1811-140.pdf#page=3","Abrir facsímil")</f>
        <v>Abrir facsímil</v>
      </c>
      <c r="K2690" s="3" t="s">
        <v>150</v>
      </c>
    </row>
    <row r="2691" spans="1:11" ht="42" customHeight="1">
      <c r="A2691" s="2" t="s">
        <v>7695</v>
      </c>
      <c r="B2691" s="2" t="s">
        <v>7696</v>
      </c>
      <c r="C2691" s="2" t="s">
        <v>26</v>
      </c>
      <c r="D2691" s="2" t="s">
        <v>141</v>
      </c>
      <c r="E2691" s="4">
        <v>-32188</v>
      </c>
      <c r="F2691" s="3" t="s">
        <v>505</v>
      </c>
      <c r="G2691" s="3" t="s">
        <v>47</v>
      </c>
      <c r="H2691" s="2" t="s">
        <v>148</v>
      </c>
      <c r="I2691" s="2" t="s">
        <v>7697</v>
      </c>
      <c r="J2691" s="3" t="str">
        <f>HYPERLINK("https://www.boe.es/gazeta/dias/1811/11/14/pdfs/GEI-D-1811-149.pdf#page=3","Abrir facsímil")</f>
        <v>Abrir facsímil</v>
      </c>
      <c r="K2691" s="3" t="s">
        <v>150</v>
      </c>
    </row>
    <row r="2692" spans="1:11" ht="42" customHeight="1">
      <c r="A2692" s="2" t="s">
        <v>7698</v>
      </c>
      <c r="B2692" s="2" t="s">
        <v>7699</v>
      </c>
      <c r="C2692" s="2" t="s">
        <v>122</v>
      </c>
      <c r="D2692" s="2" t="s">
        <v>18</v>
      </c>
      <c r="E2692" s="4">
        <v>-32475</v>
      </c>
      <c r="F2692" s="3" t="s">
        <v>259</v>
      </c>
      <c r="G2692" s="3" t="s">
        <v>115</v>
      </c>
      <c r="H2692" s="2" t="s">
        <v>148</v>
      </c>
      <c r="I2692" s="2" t="s">
        <v>7700</v>
      </c>
      <c r="J2692" s="3" t="str">
        <f>HYPERLINK("https://www.boe.es/gazeta/dias/1811/01/31/pdfs/GMD-1811-31.pdf#page=3","Abrir facsímil")</f>
        <v>Abrir facsímil</v>
      </c>
      <c r="K2692" s="3" t="s">
        <v>150</v>
      </c>
    </row>
    <row r="2693" spans="1:11" ht="42" customHeight="1">
      <c r="A2693" s="2" t="s">
        <v>7701</v>
      </c>
      <c r="B2693" s="2" t="s">
        <v>7702</v>
      </c>
      <c r="C2693" s="2" t="s">
        <v>66</v>
      </c>
      <c r="D2693" s="2" t="s">
        <v>141</v>
      </c>
      <c r="E2693" s="4">
        <v>-32238</v>
      </c>
      <c r="F2693" s="3" t="s">
        <v>166</v>
      </c>
      <c r="G2693" s="3" t="s">
        <v>178</v>
      </c>
      <c r="H2693" s="2" t="s">
        <v>148</v>
      </c>
      <c r="I2693" s="2" t="s">
        <v>7703</v>
      </c>
      <c r="J2693" s="3" t="str">
        <f>HYPERLINK("https://www.boe.es/gazeta/dias/1811/09/25/pdfs/GMD-C-1811-268.pdf#page=4","Abrir facsímil")</f>
        <v>Abrir facsímil</v>
      </c>
      <c r="K2693" s="3" t="s">
        <v>150</v>
      </c>
    </row>
    <row r="2694" spans="1:11" ht="42" customHeight="1">
      <c r="A2694" s="2" t="s">
        <v>7704</v>
      </c>
      <c r="B2694" s="2" t="s">
        <v>7705</v>
      </c>
      <c r="C2694" s="2" t="s">
        <v>26</v>
      </c>
      <c r="D2694" s="2" t="s">
        <v>18</v>
      </c>
      <c r="E2694" s="4">
        <v>-32153</v>
      </c>
      <c r="F2694" s="3" t="s">
        <v>123</v>
      </c>
      <c r="G2694" s="3" t="s">
        <v>124</v>
      </c>
      <c r="H2694" s="2" t="s">
        <v>148</v>
      </c>
      <c r="I2694" s="2" t="s">
        <v>7706</v>
      </c>
      <c r="J2694" s="3" t="str">
        <f>HYPERLINK("https://www.boe.es/gazeta/dias/1811/12/19/pdfs/GMD-1811-353.pdf#page=6","Abrir facsímil")</f>
        <v>Abrir facsímil</v>
      </c>
      <c r="K2694" s="3" t="s">
        <v>150</v>
      </c>
    </row>
    <row r="2695" spans="1:11" ht="42" customHeight="1">
      <c r="A2695" s="2" t="s">
        <v>7707</v>
      </c>
      <c r="B2695" s="2" t="s">
        <v>7708</v>
      </c>
      <c r="C2695" s="2" t="s">
        <v>26</v>
      </c>
      <c r="D2695" s="2" t="s">
        <v>105</v>
      </c>
      <c r="E2695" s="4">
        <v>-32258</v>
      </c>
      <c r="F2695" s="3" t="s">
        <v>449</v>
      </c>
      <c r="G2695" s="3" t="s">
        <v>20</v>
      </c>
      <c r="H2695" s="2" t="s">
        <v>148</v>
      </c>
      <c r="I2695" s="2" t="s">
        <v>7709</v>
      </c>
      <c r="J2695" s="3" t="str">
        <f>HYPERLINK("https://www.boe.es/gazeta/dias/1811/09/05/pdfs/GEI-1811-115.pdf#page=8","Abrir facsímil")</f>
        <v>Abrir facsímil</v>
      </c>
      <c r="K2695" s="3" t="s">
        <v>150</v>
      </c>
    </row>
    <row r="2696" spans="1:11" ht="42" customHeight="1">
      <c r="A2696" s="2" t="s">
        <v>7710</v>
      </c>
      <c r="B2696" s="2" t="s">
        <v>7711</v>
      </c>
      <c r="C2696" s="2" t="s">
        <v>26</v>
      </c>
      <c r="D2696" s="2" t="s">
        <v>105</v>
      </c>
      <c r="E2696" s="4">
        <v>-32153</v>
      </c>
      <c r="F2696" s="3" t="s">
        <v>123</v>
      </c>
      <c r="G2696" s="3" t="s">
        <v>288</v>
      </c>
      <c r="H2696" s="2" t="s">
        <v>148</v>
      </c>
      <c r="I2696" s="2" t="s">
        <v>7712</v>
      </c>
      <c r="J2696" s="3" t="str">
        <f>HYPERLINK("https://www.boe.es/gazeta/dias/1811/12/19/pdfs/GMD-1811-353.pdf#page=4","Abrir facsímil")</f>
        <v>Abrir facsímil</v>
      </c>
      <c r="K2696" s="3" t="s">
        <v>150</v>
      </c>
    </row>
    <row r="2697" spans="1:11" ht="42" customHeight="1">
      <c r="A2697" s="2" t="s">
        <v>7713</v>
      </c>
      <c r="B2697" s="2" t="s">
        <v>7714</v>
      </c>
      <c r="C2697" s="2" t="s">
        <v>26</v>
      </c>
      <c r="D2697" s="2" t="s">
        <v>18</v>
      </c>
      <c r="E2697" s="4">
        <v>-32263</v>
      </c>
      <c r="F2697" s="3" t="s">
        <v>3780</v>
      </c>
      <c r="G2697" s="3" t="s">
        <v>3781</v>
      </c>
      <c r="H2697" s="2" t="s">
        <v>21</v>
      </c>
      <c r="I2697" s="2" t="s">
        <v>7715</v>
      </c>
      <c r="J2697" s="3" t="str">
        <f>HYPERLINK("https://www.boe.es/gazeta/dias/1811/08/31/pdfs/GMD-1811-243.pdf#page=4","Abrir facsímil")</f>
        <v>Abrir facsímil</v>
      </c>
      <c r="K2697" s="3" t="s">
        <v>23</v>
      </c>
    </row>
    <row r="2698" spans="1:11" ht="42" customHeight="1">
      <c r="A2698" s="2" t="s">
        <v>7716</v>
      </c>
      <c r="B2698" s="2" t="s">
        <v>7717</v>
      </c>
      <c r="C2698" s="2" t="s">
        <v>26</v>
      </c>
      <c r="D2698" s="2" t="s">
        <v>18</v>
      </c>
      <c r="E2698" s="4">
        <v>-32295</v>
      </c>
      <c r="F2698" s="3" t="s">
        <v>279</v>
      </c>
      <c r="G2698" s="3" t="s">
        <v>44</v>
      </c>
      <c r="H2698" s="2" t="s">
        <v>148</v>
      </c>
      <c r="I2698" s="2" t="s">
        <v>7718</v>
      </c>
      <c r="J2698" s="3" t="str">
        <f>HYPERLINK("https://www.boe.es/gazeta/dias/1811/07/30/pdfs/GEI-1811-99.pdf#page=8","Abrir facsímil")</f>
        <v>Abrir facsímil</v>
      </c>
      <c r="K2698" s="3" t="s">
        <v>150</v>
      </c>
    </row>
    <row r="2699" spans="1:11" ht="42" customHeight="1">
      <c r="A2699" s="2" t="s">
        <v>7719</v>
      </c>
      <c r="B2699" s="2" t="s">
        <v>7720</v>
      </c>
      <c r="C2699" s="2" t="s">
        <v>26</v>
      </c>
      <c r="D2699" s="2" t="s">
        <v>105</v>
      </c>
      <c r="E2699" s="4">
        <v>-32195</v>
      </c>
      <c r="F2699" s="3" t="s">
        <v>439</v>
      </c>
      <c r="G2699" s="3" t="s">
        <v>440</v>
      </c>
      <c r="H2699" s="2" t="s">
        <v>148</v>
      </c>
      <c r="I2699" s="2" t="s">
        <v>7721</v>
      </c>
      <c r="J2699" s="3" t="str">
        <f>HYPERLINK("https://www.boe.es/gazeta/dias/1811/11/07/pdfs/GEI-1811-144.pdf#page=8","Abrir facsímil")</f>
        <v>Abrir facsímil</v>
      </c>
      <c r="K2699" s="3" t="s">
        <v>150</v>
      </c>
    </row>
    <row r="2700" spans="1:11" ht="42" customHeight="1">
      <c r="A2700" s="2" t="s">
        <v>7722</v>
      </c>
      <c r="B2700" s="2" t="s">
        <v>7723</v>
      </c>
      <c r="C2700" s="2" t="s">
        <v>17</v>
      </c>
      <c r="D2700" s="2" t="s">
        <v>18</v>
      </c>
      <c r="E2700" s="4">
        <v>-32307</v>
      </c>
      <c r="F2700" s="3" t="s">
        <v>2614</v>
      </c>
      <c r="G2700" s="3" t="s">
        <v>2615</v>
      </c>
      <c r="H2700" s="2" t="s">
        <v>148</v>
      </c>
      <c r="I2700" s="2" t="s">
        <v>7724</v>
      </c>
      <c r="J2700" s="3" t="str">
        <f>HYPERLINK("https://www.boe.es/gazeta/dias/1811/07/18/pdfs/GMD-1811-199.pdf#page=3","Abrir facsímil")</f>
        <v>Abrir facsímil</v>
      </c>
      <c r="K2700" s="3" t="s">
        <v>150</v>
      </c>
    </row>
    <row r="2701" spans="1:11" ht="42" customHeight="1">
      <c r="A2701" s="2" t="s">
        <v>7725</v>
      </c>
      <c r="B2701" s="2" t="s">
        <v>7726</v>
      </c>
      <c r="C2701" s="2" t="s">
        <v>26</v>
      </c>
      <c r="D2701" s="2" t="s">
        <v>18</v>
      </c>
      <c r="E2701" s="4">
        <v>-32416</v>
      </c>
      <c r="F2701" s="3" t="s">
        <v>954</v>
      </c>
      <c r="G2701" s="3" t="s">
        <v>183</v>
      </c>
      <c r="H2701" s="2" t="s">
        <v>148</v>
      </c>
      <c r="I2701" s="2" t="s">
        <v>7727</v>
      </c>
      <c r="J2701" s="3" t="str">
        <f>HYPERLINK("https://www.boe.es/gazeta/dias/1811/03/31/pdfs/GMD-1811-90.pdf#page=4","Abrir facsímil")</f>
        <v>Abrir facsímil</v>
      </c>
      <c r="K2701" s="3" t="s">
        <v>150</v>
      </c>
    </row>
    <row r="2702" spans="1:11" ht="42" customHeight="1">
      <c r="A2702" s="2" t="s">
        <v>7728</v>
      </c>
      <c r="B2702" s="2" t="s">
        <v>7729</v>
      </c>
      <c r="C2702" s="2" t="s">
        <v>26</v>
      </c>
      <c r="D2702" s="2" t="s">
        <v>18</v>
      </c>
      <c r="E2702" s="4">
        <v>-32295</v>
      </c>
      <c r="F2702" s="3" t="s">
        <v>279</v>
      </c>
      <c r="G2702" s="3" t="s">
        <v>7730</v>
      </c>
      <c r="H2702" s="2" t="s">
        <v>148</v>
      </c>
      <c r="I2702" s="2" t="s">
        <v>7731</v>
      </c>
      <c r="J2702" s="3" t="str">
        <f>HYPERLINK("https://www.boe.es/gazeta/dias/1811/07/30/pdfs/GEI-1811-99.pdf#page=5","Abrir facsímil")</f>
        <v>Abrir facsímil</v>
      </c>
      <c r="K2702" s="3" t="s">
        <v>150</v>
      </c>
    </row>
    <row r="2703" spans="1:11" ht="42" customHeight="1">
      <c r="A2703" s="2" t="s">
        <v>7732</v>
      </c>
      <c r="B2703" s="2" t="s">
        <v>7733</v>
      </c>
      <c r="C2703" s="2" t="s">
        <v>26</v>
      </c>
      <c r="D2703" s="2" t="s">
        <v>141</v>
      </c>
      <c r="E2703" s="4">
        <v>-32188</v>
      </c>
      <c r="F2703" s="3" t="s">
        <v>505</v>
      </c>
      <c r="G2703" s="3" t="s">
        <v>162</v>
      </c>
      <c r="H2703" s="2" t="s">
        <v>148</v>
      </c>
      <c r="I2703" s="2" t="s">
        <v>7734</v>
      </c>
      <c r="J2703" s="3" t="str">
        <f>HYPERLINK("https://www.boe.es/gazeta/dias/1811/11/14/pdfs/GEI-D-1811-149.pdf#page=4","Abrir facsímil")</f>
        <v>Abrir facsímil</v>
      </c>
      <c r="K2703" s="3" t="s">
        <v>150</v>
      </c>
    </row>
    <row r="2704" spans="1:11" ht="42" customHeight="1">
      <c r="A2704" s="2" t="s">
        <v>7735</v>
      </c>
      <c r="B2704" s="2" t="s">
        <v>7736</v>
      </c>
      <c r="C2704" s="2" t="s">
        <v>26</v>
      </c>
      <c r="D2704" s="2" t="s">
        <v>18</v>
      </c>
      <c r="E2704" s="4">
        <v>-32181</v>
      </c>
      <c r="F2704" s="3" t="s">
        <v>1169</v>
      </c>
      <c r="G2704" s="3" t="s">
        <v>1170</v>
      </c>
      <c r="H2704" s="2" t="s">
        <v>148</v>
      </c>
      <c r="I2704" s="2" t="s">
        <v>7737</v>
      </c>
      <c r="J2704" s="3" t="str">
        <f>HYPERLINK("https://www.boe.es/gazeta/dias/1811/11/21/pdfs/GMD-1811-325.pdf#page=4","Abrir facsímil")</f>
        <v>Abrir facsímil</v>
      </c>
      <c r="K2704" s="3" t="s">
        <v>150</v>
      </c>
    </row>
    <row r="2705" spans="1:11" ht="42" customHeight="1">
      <c r="A2705" s="2" t="s">
        <v>7738</v>
      </c>
      <c r="B2705" s="2" t="s">
        <v>7739</v>
      </c>
      <c r="C2705" s="2" t="s">
        <v>26</v>
      </c>
      <c r="D2705" s="2" t="s">
        <v>105</v>
      </c>
      <c r="E2705" s="4">
        <v>-32238</v>
      </c>
      <c r="F2705" s="3" t="s">
        <v>166</v>
      </c>
      <c r="G2705" s="3" t="s">
        <v>657</v>
      </c>
      <c r="H2705" s="2" t="s">
        <v>148</v>
      </c>
      <c r="I2705" s="2" t="s">
        <v>7740</v>
      </c>
      <c r="J2705" s="3" t="str">
        <f>HYPERLINK("https://www.boe.es/gazeta/dias/1811/09/25/pdfs/GMD-C-1811-268.pdf#page=3","Abrir facsímil")</f>
        <v>Abrir facsímil</v>
      </c>
      <c r="K2705" s="3" t="s">
        <v>150</v>
      </c>
    </row>
    <row r="2706" spans="1:11" ht="42" customHeight="1">
      <c r="A2706" s="2" t="s">
        <v>7741</v>
      </c>
      <c r="B2706" s="2" t="s">
        <v>7742</v>
      </c>
      <c r="C2706" s="2" t="s">
        <v>26</v>
      </c>
      <c r="D2706" s="2" t="s">
        <v>105</v>
      </c>
      <c r="E2706" s="4">
        <v>-32302</v>
      </c>
      <c r="F2706" s="3" t="s">
        <v>412</v>
      </c>
      <c r="G2706" s="3" t="s">
        <v>248</v>
      </c>
      <c r="H2706" s="2" t="s">
        <v>148</v>
      </c>
      <c r="I2706" s="2" t="s">
        <v>7743</v>
      </c>
      <c r="J2706" s="3" t="str">
        <f>HYPERLINK("https://www.boe.es/gazeta/dias/1811/07/23/pdfs/GMD-1811-204.pdf#page=4","Abrir facsímil")</f>
        <v>Abrir facsímil</v>
      </c>
      <c r="K2706" s="3" t="s">
        <v>150</v>
      </c>
    </row>
    <row r="2707" spans="1:11" ht="42" customHeight="1">
      <c r="A2707" s="2" t="s">
        <v>7744</v>
      </c>
      <c r="B2707" s="2" t="s">
        <v>7745</v>
      </c>
      <c r="C2707" s="2" t="s">
        <v>17</v>
      </c>
      <c r="D2707" s="2" t="s">
        <v>18</v>
      </c>
      <c r="E2707" s="4">
        <v>-32188</v>
      </c>
      <c r="F2707" s="3" t="s">
        <v>356</v>
      </c>
      <c r="G2707" s="3" t="s">
        <v>248</v>
      </c>
      <c r="H2707" s="2" t="s">
        <v>148</v>
      </c>
      <c r="I2707" s="2" t="s">
        <v>7746</v>
      </c>
      <c r="J2707" s="3" t="str">
        <f>HYPERLINK("https://www.boe.es/gazeta/dias/1811/11/14/pdfs/GMD-1811-318.pdf#page=5","Abrir facsímil")</f>
        <v>Abrir facsímil</v>
      </c>
      <c r="K2707" s="3" t="s">
        <v>150</v>
      </c>
    </row>
    <row r="2708" spans="1:11" ht="42" customHeight="1">
      <c r="A2708" s="2" t="s">
        <v>7747</v>
      </c>
      <c r="B2708" s="2" t="s">
        <v>7748</v>
      </c>
      <c r="C2708" s="2" t="s">
        <v>26</v>
      </c>
      <c r="D2708" s="2" t="s">
        <v>105</v>
      </c>
      <c r="E2708" s="4">
        <v>-32344</v>
      </c>
      <c r="F2708" s="3" t="s">
        <v>1548</v>
      </c>
      <c r="G2708" s="3" t="s">
        <v>44</v>
      </c>
      <c r="H2708" s="2" t="s">
        <v>148</v>
      </c>
      <c r="I2708" s="2" t="s">
        <v>7749</v>
      </c>
      <c r="J2708" s="3" t="str">
        <f>HYPERLINK("https://www.boe.es/gazeta/dias/1811/06/11/pdfs/GEI-D-1811-78.pdf#page=3","Abrir facsímil")</f>
        <v>Abrir facsímil</v>
      </c>
      <c r="K2708" s="3" t="s">
        <v>150</v>
      </c>
    </row>
    <row r="2709" spans="1:11" ht="42" customHeight="1">
      <c r="A2709" s="2" t="s">
        <v>7750</v>
      </c>
      <c r="B2709" s="2" t="s">
        <v>7751</v>
      </c>
      <c r="C2709" s="2" t="s">
        <v>104</v>
      </c>
      <c r="D2709" s="2" t="s">
        <v>204</v>
      </c>
      <c r="E2709" s="4">
        <v>-32326</v>
      </c>
      <c r="F2709" s="3" t="s">
        <v>2321</v>
      </c>
      <c r="G2709" s="3" t="s">
        <v>183</v>
      </c>
      <c r="H2709" s="2" t="s">
        <v>148</v>
      </c>
      <c r="I2709" s="2" t="s">
        <v>7752</v>
      </c>
      <c r="J2709" s="3" t="str">
        <f>HYPERLINK("https://www.boe.es/gazeta/dias/1811/06/29/pdfs/GMD-1811-180.pdf#page=4","Abrir facsímil")</f>
        <v>Abrir facsímil</v>
      </c>
      <c r="K2709" s="3" t="s">
        <v>150</v>
      </c>
    </row>
    <row r="2710" spans="1:11" ht="42" customHeight="1">
      <c r="A2710" s="2" t="s">
        <v>7753</v>
      </c>
      <c r="B2710" s="2" t="s">
        <v>7754</v>
      </c>
      <c r="C2710" s="2" t="s">
        <v>17</v>
      </c>
      <c r="D2710" s="2" t="s">
        <v>156</v>
      </c>
      <c r="E2710" s="4">
        <v>-32442</v>
      </c>
      <c r="F2710" s="3" t="s">
        <v>634</v>
      </c>
      <c r="G2710" s="3" t="s">
        <v>3430</v>
      </c>
      <c r="H2710" s="2" t="s">
        <v>148</v>
      </c>
      <c r="I2710" s="2" t="s">
        <v>7755</v>
      </c>
      <c r="J2710" s="3" t="str">
        <f>HYPERLINK("https://www.boe.es/gazeta/dias/1811/03/05/pdfs/GEI-1811-29.pdf#page=3","Abrir facsímil")</f>
        <v>Abrir facsímil</v>
      </c>
      <c r="K2710" s="3" t="s">
        <v>150</v>
      </c>
    </row>
    <row r="2711" spans="1:11" ht="42" customHeight="1">
      <c r="A2711" s="2" t="s">
        <v>7756</v>
      </c>
      <c r="B2711" s="2" t="s">
        <v>7757</v>
      </c>
      <c r="C2711" s="2" t="s">
        <v>17</v>
      </c>
      <c r="D2711" s="2" t="s">
        <v>156</v>
      </c>
      <c r="E2711" s="4">
        <v>-32314</v>
      </c>
      <c r="F2711" s="3" t="s">
        <v>570</v>
      </c>
      <c r="G2711" s="3" t="s">
        <v>7758</v>
      </c>
      <c r="H2711" s="2" t="s">
        <v>148</v>
      </c>
      <c r="I2711" s="2" t="s">
        <v>7759</v>
      </c>
      <c r="J2711" s="3" t="str">
        <f>HYPERLINK("https://www.boe.es/gazeta/dias/1811/07/11/pdfs/GEI-1811-91.pdf#page=5","Abrir facsímil")</f>
        <v>Abrir facsímil</v>
      </c>
      <c r="K2711" s="3" t="s">
        <v>150</v>
      </c>
    </row>
    <row r="2712" spans="1:11" ht="42" customHeight="1">
      <c r="A2712" s="2" t="s">
        <v>7760</v>
      </c>
      <c r="B2712" s="2" t="s">
        <v>7761</v>
      </c>
      <c r="C2712" s="2" t="s">
        <v>26</v>
      </c>
      <c r="D2712" s="2" t="s">
        <v>18</v>
      </c>
      <c r="E2712" s="4">
        <v>-32188</v>
      </c>
      <c r="F2712" s="3" t="s">
        <v>356</v>
      </c>
      <c r="G2712" s="3" t="s">
        <v>248</v>
      </c>
      <c r="H2712" s="2" t="s">
        <v>148</v>
      </c>
      <c r="I2712" s="2" t="s">
        <v>7762</v>
      </c>
      <c r="J2712" s="3" t="str">
        <f>HYPERLINK("https://www.boe.es/gazeta/dias/1811/11/14/pdfs/GMD-1811-318.pdf#page=5","Abrir facsímil")</f>
        <v>Abrir facsímil</v>
      </c>
      <c r="K2712" s="3" t="s">
        <v>150</v>
      </c>
    </row>
    <row r="2713" spans="1:11" ht="42" customHeight="1">
      <c r="A2713" s="2" t="s">
        <v>7763</v>
      </c>
      <c r="B2713" s="2" t="s">
        <v>7764</v>
      </c>
      <c r="C2713" s="2" t="s">
        <v>26</v>
      </c>
      <c r="D2713" s="2" t="s">
        <v>18</v>
      </c>
      <c r="E2713" s="4">
        <v>-32463</v>
      </c>
      <c r="F2713" s="3" t="s">
        <v>734</v>
      </c>
      <c r="G2713" s="3" t="s">
        <v>735</v>
      </c>
      <c r="H2713" s="2" t="s">
        <v>148</v>
      </c>
      <c r="I2713" s="2" t="s">
        <v>7765</v>
      </c>
      <c r="J2713" s="3" t="str">
        <f>HYPERLINK("https://www.boe.es/gazeta/dias/1811/02/12/pdfs/GEI-1811-19.pdf#page=8","Abrir facsímil")</f>
        <v>Abrir facsímil</v>
      </c>
      <c r="K2713" s="3" t="s">
        <v>150</v>
      </c>
    </row>
    <row r="2714" spans="1:11" ht="42" customHeight="1">
      <c r="A2714" s="2" t="s">
        <v>7766</v>
      </c>
      <c r="B2714" s="2" t="s">
        <v>7767</v>
      </c>
      <c r="C2714" s="2" t="s">
        <v>26</v>
      </c>
      <c r="D2714" s="2" t="s">
        <v>18</v>
      </c>
      <c r="E2714" s="4">
        <v>-32153</v>
      </c>
      <c r="F2714" s="3" t="s">
        <v>123</v>
      </c>
      <c r="G2714" s="3" t="s">
        <v>1067</v>
      </c>
      <c r="H2714" s="2" t="s">
        <v>148</v>
      </c>
      <c r="I2714" s="2" t="s">
        <v>7768</v>
      </c>
      <c r="J2714" s="3" t="str">
        <f>HYPERLINK("https://www.boe.es/gazeta/dias/1811/12/19/pdfs/GMD-1811-353.pdf#page=5","Abrir facsímil")</f>
        <v>Abrir facsímil</v>
      </c>
      <c r="K2714" s="3" t="s">
        <v>150</v>
      </c>
    </row>
    <row r="2715" spans="1:11" ht="42" customHeight="1">
      <c r="A2715" s="2" t="s">
        <v>7769</v>
      </c>
      <c r="B2715" s="2" t="s">
        <v>7770</v>
      </c>
      <c r="C2715" s="2" t="s">
        <v>17</v>
      </c>
      <c r="D2715" s="2" t="s">
        <v>18</v>
      </c>
      <c r="E2715" s="4">
        <v>-32438</v>
      </c>
      <c r="F2715" s="3" t="s">
        <v>114</v>
      </c>
      <c r="G2715" s="3" t="s">
        <v>115</v>
      </c>
      <c r="H2715" s="2" t="s">
        <v>148</v>
      </c>
      <c r="I2715" s="2" t="s">
        <v>7771</v>
      </c>
      <c r="J2715" s="3" t="str">
        <f>HYPERLINK("https://www.boe.es/gazeta/dias/1811/03/09/pdfs/GEI-1811-33.pdf#page=3","Abrir facsímil")</f>
        <v>Abrir facsímil</v>
      </c>
      <c r="K2715" s="3" t="s">
        <v>150</v>
      </c>
    </row>
    <row r="2716" spans="1:11" ht="42" customHeight="1">
      <c r="A2716" s="2" t="s">
        <v>7772</v>
      </c>
      <c r="B2716" s="2" t="s">
        <v>7773</v>
      </c>
      <c r="C2716" s="2" t="s">
        <v>26</v>
      </c>
      <c r="D2716" s="2" t="s">
        <v>18</v>
      </c>
      <c r="E2716" s="4">
        <v>-32491</v>
      </c>
      <c r="F2716" s="3" t="s">
        <v>533</v>
      </c>
      <c r="G2716" s="3" t="s">
        <v>515</v>
      </c>
      <c r="H2716" s="2" t="s">
        <v>148</v>
      </c>
      <c r="I2716" s="2" t="s">
        <v>7774</v>
      </c>
      <c r="J2716" s="3" t="str">
        <f>HYPERLINK("https://www.boe.es/gazeta/dias/1811/01/15/pdfs/GEI-1811-7.pdf#page=6","Abrir facsímil")</f>
        <v>Abrir facsímil</v>
      </c>
      <c r="K2716" s="3" t="s">
        <v>150</v>
      </c>
    </row>
    <row r="2717" spans="1:11" ht="42" customHeight="1">
      <c r="A2717" s="2" t="s">
        <v>7775</v>
      </c>
      <c r="B2717" s="2" t="s">
        <v>7776</v>
      </c>
      <c r="C2717" s="2" t="s">
        <v>26</v>
      </c>
      <c r="D2717" s="2" t="s">
        <v>18</v>
      </c>
      <c r="E2717" s="4">
        <v>-32416</v>
      </c>
      <c r="F2717" s="3" t="s">
        <v>954</v>
      </c>
      <c r="G2717" s="3" t="s">
        <v>47</v>
      </c>
      <c r="H2717" s="2" t="s">
        <v>148</v>
      </c>
      <c r="I2717" s="2" t="s">
        <v>7777</v>
      </c>
      <c r="J2717" s="3" t="str">
        <f>HYPERLINK("https://www.boe.es/gazeta/dias/1811/03/31/pdfs/GMD-1811-90.pdf#page=3","Abrir facsímil")</f>
        <v>Abrir facsímil</v>
      </c>
      <c r="K2717" s="3" t="s">
        <v>150</v>
      </c>
    </row>
    <row r="2718" spans="1:11" ht="42" customHeight="1">
      <c r="A2718" s="2" t="s">
        <v>7778</v>
      </c>
      <c r="B2718" s="2" t="s">
        <v>7779</v>
      </c>
      <c r="C2718" s="2" t="s">
        <v>26</v>
      </c>
      <c r="D2718" s="2" t="s">
        <v>18</v>
      </c>
      <c r="E2718" s="4">
        <v>-32188</v>
      </c>
      <c r="F2718" s="3" t="s">
        <v>356</v>
      </c>
      <c r="G2718" s="3" t="s">
        <v>248</v>
      </c>
      <c r="H2718" s="2" t="s">
        <v>148</v>
      </c>
      <c r="I2718" s="2" t="s">
        <v>7780</v>
      </c>
      <c r="J2718" s="3" t="str">
        <f>HYPERLINK("https://www.boe.es/gazeta/dias/1811/11/14/pdfs/GMD-1811-318.pdf#page=5","Abrir facsímil")</f>
        <v>Abrir facsímil</v>
      </c>
      <c r="K2718" s="3" t="s">
        <v>150</v>
      </c>
    </row>
    <row r="2719" spans="1:11" ht="42" customHeight="1">
      <c r="A2719" s="2" t="s">
        <v>7781</v>
      </c>
      <c r="B2719" s="2" t="s">
        <v>7782</v>
      </c>
      <c r="C2719" s="2" t="s">
        <v>122</v>
      </c>
      <c r="D2719" s="2" t="s">
        <v>18</v>
      </c>
      <c r="E2719" s="4">
        <v>-32276</v>
      </c>
      <c r="F2719" s="3" t="s">
        <v>1361</v>
      </c>
      <c r="G2719" s="3" t="s">
        <v>183</v>
      </c>
      <c r="H2719" s="2" t="s">
        <v>148</v>
      </c>
      <c r="I2719" s="2" t="s">
        <v>7783</v>
      </c>
      <c r="J2719" s="3" t="str">
        <f>HYPERLINK("https://www.boe.es/gazeta/dias/1811/08/18/pdfs/GMD-1811-230.pdf#page=4","Abrir facsímil")</f>
        <v>Abrir facsímil</v>
      </c>
      <c r="K2719" s="3" t="s">
        <v>150</v>
      </c>
    </row>
    <row r="2720" spans="1:11" ht="42" customHeight="1">
      <c r="A2720" s="2" t="s">
        <v>7784</v>
      </c>
      <c r="B2720" s="2" t="s">
        <v>7785</v>
      </c>
      <c r="C2720" s="2" t="s">
        <v>17</v>
      </c>
      <c r="D2720" s="2" t="s">
        <v>18</v>
      </c>
      <c r="E2720" s="4">
        <v>-32267</v>
      </c>
      <c r="F2720" s="3" t="s">
        <v>1045</v>
      </c>
      <c r="G2720" s="3" t="s">
        <v>178</v>
      </c>
      <c r="H2720" s="2" t="s">
        <v>148</v>
      </c>
      <c r="I2720" s="2" t="s">
        <v>7786</v>
      </c>
      <c r="J2720" s="3" t="str">
        <f>HYPERLINK("https://www.boe.es/gazeta/dias/1811/08/27/pdfs/GEI-1811-111.pdf#page=5","Abrir facsímil")</f>
        <v>Abrir facsímil</v>
      </c>
      <c r="K2720" s="3" t="s">
        <v>150</v>
      </c>
    </row>
    <row r="2721" spans="1:11" ht="42" customHeight="1">
      <c r="A2721" s="2" t="s">
        <v>7787</v>
      </c>
      <c r="B2721" s="2" t="s">
        <v>7788</v>
      </c>
      <c r="C2721" s="2" t="s">
        <v>17</v>
      </c>
      <c r="D2721" s="2" t="s">
        <v>18</v>
      </c>
      <c r="E2721" s="4">
        <v>-32148</v>
      </c>
      <c r="F2721" s="3" t="s">
        <v>1616</v>
      </c>
      <c r="G2721" s="3" t="s">
        <v>1617</v>
      </c>
      <c r="H2721" s="2" t="s">
        <v>148</v>
      </c>
      <c r="I2721" s="2" t="s">
        <v>7789</v>
      </c>
      <c r="J2721" s="3" t="str">
        <f>HYPERLINK("https://www.boe.es/gazeta/dias/1811/12/24/pdfs/GEI-1811-166.pdf#page=8","Abrir facsímil")</f>
        <v>Abrir facsímil</v>
      </c>
      <c r="K2721" s="3" t="s">
        <v>150</v>
      </c>
    </row>
    <row r="2722" spans="1:11" ht="42" customHeight="1">
      <c r="A2722" s="2" t="s">
        <v>7790</v>
      </c>
      <c r="B2722" s="2" t="s">
        <v>7791</v>
      </c>
      <c r="C2722" s="2" t="s">
        <v>37</v>
      </c>
      <c r="D2722" s="2" t="s">
        <v>18</v>
      </c>
      <c r="E2722" s="4">
        <v>-32416</v>
      </c>
      <c r="F2722" s="3" t="s">
        <v>954</v>
      </c>
      <c r="G2722" s="3" t="s">
        <v>183</v>
      </c>
      <c r="H2722" s="2" t="s">
        <v>148</v>
      </c>
      <c r="I2722" s="2" t="s">
        <v>7792</v>
      </c>
      <c r="J2722" s="3" t="str">
        <f>HYPERLINK("https://www.boe.es/gazeta/dias/1811/03/31/pdfs/GMD-1811-90.pdf#page=4","Abrir facsímil")</f>
        <v>Abrir facsímil</v>
      </c>
      <c r="K2722" s="3" t="s">
        <v>150</v>
      </c>
    </row>
    <row r="2723" spans="1:11" ht="42" customHeight="1">
      <c r="A2723" s="2" t="s">
        <v>7793</v>
      </c>
      <c r="B2723" s="2" t="s">
        <v>7794</v>
      </c>
      <c r="C2723" s="2" t="s">
        <v>17</v>
      </c>
      <c r="D2723" s="2" t="s">
        <v>18</v>
      </c>
      <c r="E2723" s="4">
        <v>-32359</v>
      </c>
      <c r="F2723" s="3" t="s">
        <v>7795</v>
      </c>
      <c r="G2723" s="3" t="s">
        <v>515</v>
      </c>
      <c r="H2723" s="2" t="s">
        <v>148</v>
      </c>
      <c r="I2723" s="2" t="s">
        <v>7796</v>
      </c>
      <c r="J2723" s="3" t="str">
        <f>HYPERLINK("https://www.boe.es/gazeta/dias/1811/05/27/pdfs/GMD-1811-147.pdf#page=2","Abrir facsímil")</f>
        <v>Abrir facsímil</v>
      </c>
      <c r="K2723" s="3" t="s">
        <v>150</v>
      </c>
    </row>
    <row r="2724" spans="1:11" ht="42" customHeight="1">
      <c r="A2724" s="2" t="s">
        <v>7797</v>
      </c>
      <c r="B2724" s="2" t="s">
        <v>7798</v>
      </c>
      <c r="C2724" s="2" t="s">
        <v>104</v>
      </c>
      <c r="D2724" s="2" t="s">
        <v>528</v>
      </c>
      <c r="E2724" s="4">
        <v>-32219</v>
      </c>
      <c r="F2724" s="3" t="s">
        <v>529</v>
      </c>
      <c r="G2724" s="3" t="s">
        <v>530</v>
      </c>
      <c r="H2724" s="2" t="s">
        <v>148</v>
      </c>
      <c r="I2724" s="2" t="s">
        <v>7799</v>
      </c>
      <c r="J2724" s="3" t="str">
        <f>HYPERLINK("https://www.boe.es/gazeta/dias/1811/10/14/pdfs/GEI-1811-132E.pdf#page=4","Abrir facsímil")</f>
        <v>Abrir facsímil</v>
      </c>
      <c r="K2724" s="3" t="s">
        <v>150</v>
      </c>
    </row>
    <row r="2725" spans="1:11" ht="42" customHeight="1">
      <c r="A2725" s="2" t="s">
        <v>7800</v>
      </c>
      <c r="B2725" s="2" t="s">
        <v>7801</v>
      </c>
      <c r="C2725" s="2" t="s">
        <v>26</v>
      </c>
      <c r="D2725" s="2" t="s">
        <v>18</v>
      </c>
      <c r="E2725" s="4">
        <v>-32153</v>
      </c>
      <c r="F2725" s="3" t="s">
        <v>123</v>
      </c>
      <c r="G2725" s="3" t="s">
        <v>1067</v>
      </c>
      <c r="H2725" s="2" t="s">
        <v>148</v>
      </c>
      <c r="I2725" s="2" t="s">
        <v>7802</v>
      </c>
      <c r="J2725" s="3" t="str">
        <f>HYPERLINK("https://www.boe.es/gazeta/dias/1811/12/19/pdfs/GMD-1811-353.pdf#page=5","Abrir facsímil")</f>
        <v>Abrir facsímil</v>
      </c>
      <c r="K2725" s="3" t="s">
        <v>150</v>
      </c>
    </row>
    <row r="2726" spans="1:11" ht="42" customHeight="1">
      <c r="A2726" s="2" t="s">
        <v>7803</v>
      </c>
      <c r="B2726" s="2" t="s">
        <v>7804</v>
      </c>
      <c r="C2726" s="2" t="s">
        <v>26</v>
      </c>
      <c r="D2726" s="2" t="s">
        <v>18</v>
      </c>
      <c r="E2726" s="4">
        <v>-32288</v>
      </c>
      <c r="F2726" s="3" t="s">
        <v>95</v>
      </c>
      <c r="G2726" s="3" t="s">
        <v>47</v>
      </c>
      <c r="H2726" s="2" t="s">
        <v>148</v>
      </c>
      <c r="I2726" s="2" t="s">
        <v>7805</v>
      </c>
      <c r="J2726" s="3" t="str">
        <f>HYPERLINK("https://www.boe.es/gazeta/dias/1811/08/06/pdfs/GEI-1811-102.pdf#page=8","Abrir facsímil")</f>
        <v>Abrir facsímil</v>
      </c>
      <c r="K2726" s="3" t="s">
        <v>150</v>
      </c>
    </row>
    <row r="2727" spans="1:11" ht="42" customHeight="1">
      <c r="A2727" s="2" t="s">
        <v>7806</v>
      </c>
      <c r="B2727" s="2" t="s">
        <v>7807</v>
      </c>
      <c r="C2727" s="2" t="s">
        <v>26</v>
      </c>
      <c r="D2727" s="2" t="s">
        <v>18</v>
      </c>
      <c r="E2727" s="4">
        <v>-32172</v>
      </c>
      <c r="F2727" s="3" t="s">
        <v>300</v>
      </c>
      <c r="G2727" s="3" t="s">
        <v>301</v>
      </c>
      <c r="H2727" s="2" t="s">
        <v>148</v>
      </c>
      <c r="I2727" s="2" t="s">
        <v>7808</v>
      </c>
      <c r="J2727" s="3" t="str">
        <f>HYPERLINK("https://www.boe.es/gazeta/dias/1811/11/30/pdfs/GMD-1811-334.pdf#page=4","Abrir facsímil")</f>
        <v>Abrir facsímil</v>
      </c>
      <c r="K2727" s="3" t="s">
        <v>150</v>
      </c>
    </row>
    <row r="2728" spans="1:11" ht="42" customHeight="1">
      <c r="A2728" s="2" t="s">
        <v>7809</v>
      </c>
      <c r="B2728" s="2" t="s">
        <v>7810</v>
      </c>
      <c r="C2728" s="2" t="s">
        <v>17</v>
      </c>
      <c r="D2728" s="2" t="s">
        <v>18</v>
      </c>
      <c r="E2728" s="4">
        <v>-32193</v>
      </c>
      <c r="F2728" s="3" t="s">
        <v>1037</v>
      </c>
      <c r="G2728" s="3" t="s">
        <v>44</v>
      </c>
      <c r="H2728" s="2" t="s">
        <v>148</v>
      </c>
      <c r="I2728" s="2" t="s">
        <v>7811</v>
      </c>
      <c r="J2728" s="3" t="str">
        <f>HYPERLINK("https://www.boe.es/gazeta/dias/1811/11/09/pdfs/GEI-1811-145.pdf#page=4","Abrir facsímil")</f>
        <v>Abrir facsímil</v>
      </c>
      <c r="K2728" s="3" t="s">
        <v>150</v>
      </c>
    </row>
    <row r="2729" spans="1:11" ht="42" customHeight="1">
      <c r="A2729" s="2" t="s">
        <v>7812</v>
      </c>
      <c r="B2729" s="2" t="s">
        <v>7813</v>
      </c>
      <c r="C2729" s="2" t="s">
        <v>367</v>
      </c>
      <c r="D2729" s="2" t="s">
        <v>105</v>
      </c>
      <c r="E2729" s="4">
        <v>-32444</v>
      </c>
      <c r="F2729" s="3" t="s">
        <v>4512</v>
      </c>
      <c r="G2729" s="3" t="s">
        <v>162</v>
      </c>
      <c r="H2729" s="2" t="s">
        <v>148</v>
      </c>
      <c r="I2729" s="2" t="s">
        <v>7814</v>
      </c>
      <c r="J2729" s="3" t="str">
        <f>HYPERLINK("https://www.boe.es/gazeta/dias/1811/03/03/pdfs/GMD-1811-62.pdf#page=4","Abrir facsímil")</f>
        <v>Abrir facsímil</v>
      </c>
      <c r="K2729" s="3" t="s">
        <v>150</v>
      </c>
    </row>
    <row r="2730" spans="1:11" ht="42" customHeight="1">
      <c r="A2730" s="2" t="s">
        <v>7815</v>
      </c>
      <c r="B2730" s="2" t="s">
        <v>7816</v>
      </c>
      <c r="C2730" s="2" t="s">
        <v>122</v>
      </c>
      <c r="D2730" s="2" t="s">
        <v>18</v>
      </c>
      <c r="E2730" s="4">
        <v>-32202</v>
      </c>
      <c r="F2730" s="3" t="s">
        <v>1634</v>
      </c>
      <c r="G2730" s="3" t="s">
        <v>178</v>
      </c>
      <c r="H2730" s="2" t="s">
        <v>148</v>
      </c>
      <c r="I2730" s="2" t="s">
        <v>7817</v>
      </c>
      <c r="J2730" s="3" t="str">
        <f>HYPERLINK("https://www.boe.es/gazeta/dias/1811/10/31/pdfs/GMD-1811-304.pdf#page=4","Abrir facsímil")</f>
        <v>Abrir facsímil</v>
      </c>
      <c r="K2730" s="3" t="s">
        <v>150</v>
      </c>
    </row>
    <row r="2731" spans="1:11" ht="42" customHeight="1">
      <c r="A2731" s="2" t="s">
        <v>7818</v>
      </c>
      <c r="B2731" s="2" t="s">
        <v>7819</v>
      </c>
      <c r="C2731" s="2" t="s">
        <v>26</v>
      </c>
      <c r="D2731" s="2" t="s">
        <v>105</v>
      </c>
      <c r="E2731" s="4">
        <v>-32280</v>
      </c>
      <c r="F2731" s="3" t="s">
        <v>142</v>
      </c>
      <c r="G2731" s="3" t="s">
        <v>597</v>
      </c>
      <c r="H2731" s="2" t="s">
        <v>148</v>
      </c>
      <c r="I2731" s="2" t="s">
        <v>7820</v>
      </c>
      <c r="J2731" s="3" t="str">
        <f>HYPERLINK("https://www.boe.es/gazeta/dias/1811/08/14/pdfs/GMD-C-1811-226.pdf#page=2","Abrir facsímil")</f>
        <v>Abrir facsímil</v>
      </c>
      <c r="K2731" s="3" t="s">
        <v>150</v>
      </c>
    </row>
    <row r="2732" spans="1:11" ht="42" customHeight="1">
      <c r="A2732" s="2" t="s">
        <v>7821</v>
      </c>
      <c r="B2732" s="2" t="s">
        <v>7822</v>
      </c>
      <c r="C2732" s="2" t="s">
        <v>26</v>
      </c>
      <c r="D2732" s="2" t="s">
        <v>105</v>
      </c>
      <c r="E2732" s="4">
        <v>-32295</v>
      </c>
      <c r="F2732" s="3" t="s">
        <v>279</v>
      </c>
      <c r="G2732" s="3" t="s">
        <v>44</v>
      </c>
      <c r="H2732" s="2" t="s">
        <v>148</v>
      </c>
      <c r="I2732" s="2" t="s">
        <v>7823</v>
      </c>
      <c r="J2732" s="3" t="str">
        <f>HYPERLINK("https://www.boe.es/gazeta/dias/1811/07/30/pdfs/GEI-1811-99.pdf#page=8","Abrir facsímil")</f>
        <v>Abrir facsímil</v>
      </c>
      <c r="K2732" s="3" t="s">
        <v>150</v>
      </c>
    </row>
    <row r="2733" spans="1:11" ht="42" customHeight="1">
      <c r="A2733" s="2" t="s">
        <v>7824</v>
      </c>
      <c r="B2733" s="2" t="s">
        <v>7825</v>
      </c>
      <c r="C2733" s="2" t="s">
        <v>26</v>
      </c>
      <c r="D2733" s="2" t="s">
        <v>18</v>
      </c>
      <c r="E2733" s="4">
        <v>-32188</v>
      </c>
      <c r="F2733" s="3" t="s">
        <v>356</v>
      </c>
      <c r="G2733" s="3" t="s">
        <v>248</v>
      </c>
      <c r="H2733" s="2" t="s">
        <v>148</v>
      </c>
      <c r="I2733" s="2" t="s">
        <v>7826</v>
      </c>
      <c r="J2733" s="3" t="str">
        <f>HYPERLINK("https://www.boe.es/gazeta/dias/1811/11/14/pdfs/GMD-1811-318.pdf#page=5","Abrir facsímil")</f>
        <v>Abrir facsímil</v>
      </c>
      <c r="K2733" s="3" t="s">
        <v>150</v>
      </c>
    </row>
    <row r="2734" spans="1:11" ht="42" customHeight="1">
      <c r="A2734" s="2" t="s">
        <v>7827</v>
      </c>
      <c r="B2734" s="2" t="s">
        <v>7828</v>
      </c>
      <c r="C2734" s="2" t="s">
        <v>26</v>
      </c>
      <c r="D2734" s="2" t="s">
        <v>18</v>
      </c>
      <c r="E2734" s="4">
        <v>-32259</v>
      </c>
      <c r="F2734" s="3" t="s">
        <v>3276</v>
      </c>
      <c r="G2734" s="3" t="s">
        <v>47</v>
      </c>
      <c r="H2734" s="2" t="s">
        <v>148</v>
      </c>
      <c r="I2734" s="2" t="s">
        <v>7829</v>
      </c>
      <c r="J2734" s="3" t="str">
        <f>HYPERLINK("https://www.boe.es/gazeta/dias/1811/09/04/pdfs/GMD-1811-247.pdf#page=4","Abrir facsímil")</f>
        <v>Abrir facsímil</v>
      </c>
      <c r="K2734" s="3" t="s">
        <v>150</v>
      </c>
    </row>
    <row r="2735" spans="1:11" ht="42" customHeight="1">
      <c r="A2735" s="2" t="s">
        <v>7830</v>
      </c>
      <c r="B2735" s="2" t="s">
        <v>7831</v>
      </c>
      <c r="C2735" s="2" t="s">
        <v>26</v>
      </c>
      <c r="D2735" s="2" t="s">
        <v>141</v>
      </c>
      <c r="E2735" s="4">
        <v>-32249</v>
      </c>
      <c r="F2735" s="3" t="s">
        <v>743</v>
      </c>
      <c r="G2735" s="3" t="s">
        <v>1021</v>
      </c>
      <c r="H2735" s="2" t="s">
        <v>148</v>
      </c>
      <c r="I2735" s="2" t="s">
        <v>7832</v>
      </c>
      <c r="J2735" s="3" t="str">
        <f>HYPERLINK("https://www.boe.es/gazeta/dias/1811/09/14/pdfs/GMD-C-1811-257.pdf#page=2","Abrir facsímil")</f>
        <v>Abrir facsímil</v>
      </c>
      <c r="K2735" s="3" t="s">
        <v>150</v>
      </c>
    </row>
    <row r="2736" spans="1:11" ht="42" customHeight="1">
      <c r="A2736" s="2" t="s">
        <v>7833</v>
      </c>
      <c r="B2736" s="2" t="s">
        <v>7834</v>
      </c>
      <c r="C2736" s="2" t="s">
        <v>26</v>
      </c>
      <c r="D2736" s="2" t="s">
        <v>18</v>
      </c>
      <c r="E2736" s="4">
        <v>-32242</v>
      </c>
      <c r="F2736" s="3" t="s">
        <v>1295</v>
      </c>
      <c r="G2736" s="3" t="s">
        <v>1296</v>
      </c>
      <c r="H2736" s="2" t="s">
        <v>148</v>
      </c>
      <c r="I2736" s="2" t="s">
        <v>7835</v>
      </c>
      <c r="J2736" s="3" t="str">
        <f>HYPERLINK("https://www.boe.es/gazeta/dias/1811/09/21/pdfs/GEI-1811-122.pdf#page=8","Abrir facsímil")</f>
        <v>Abrir facsímil</v>
      </c>
      <c r="K2736" s="3" t="s">
        <v>150</v>
      </c>
    </row>
    <row r="2737" spans="1:11" ht="42" customHeight="1">
      <c r="A2737" s="2" t="s">
        <v>7836</v>
      </c>
      <c r="B2737" s="2" t="s">
        <v>7837</v>
      </c>
      <c r="C2737" s="2" t="s">
        <v>26</v>
      </c>
      <c r="D2737" s="2" t="s">
        <v>18</v>
      </c>
      <c r="E2737" s="4">
        <v>-32237</v>
      </c>
      <c r="F2737" s="3" t="s">
        <v>136</v>
      </c>
      <c r="G2737" s="3" t="s">
        <v>137</v>
      </c>
      <c r="H2737" s="2" t="s">
        <v>148</v>
      </c>
      <c r="I2737" s="2" t="s">
        <v>7838</v>
      </c>
      <c r="J2737" s="3" t="str">
        <f>HYPERLINK("https://www.boe.es/gazeta/dias/1811/09/26/pdfs/GMD-1811-269.pdf#page=3","Abrir facsímil")</f>
        <v>Abrir facsímil</v>
      </c>
      <c r="K2737" s="3" t="s">
        <v>150</v>
      </c>
    </row>
    <row r="2738" spans="1:11" ht="42" customHeight="1">
      <c r="A2738" s="2" t="s">
        <v>7839</v>
      </c>
      <c r="B2738" s="2" t="s">
        <v>7840</v>
      </c>
      <c r="C2738" s="2" t="s">
        <v>26</v>
      </c>
      <c r="D2738" s="2" t="s">
        <v>141</v>
      </c>
      <c r="E2738" s="4">
        <v>-32280</v>
      </c>
      <c r="F2738" s="3" t="s">
        <v>142</v>
      </c>
      <c r="G2738" s="3" t="s">
        <v>47</v>
      </c>
      <c r="H2738" s="2" t="s">
        <v>148</v>
      </c>
      <c r="I2738" s="2" t="s">
        <v>7841</v>
      </c>
      <c r="J2738" s="3" t="str">
        <f>HYPERLINK("https://www.boe.es/gazeta/dias/1811/08/14/pdfs/GMD-C-1811-226.pdf#page=1","Abrir facsímil")</f>
        <v>Abrir facsímil</v>
      </c>
      <c r="K2738" s="3" t="s">
        <v>150</v>
      </c>
    </row>
    <row r="2739" spans="1:11" ht="42" customHeight="1">
      <c r="A2739" s="2" t="s">
        <v>7842</v>
      </c>
      <c r="B2739" s="2" t="s">
        <v>7843</v>
      </c>
      <c r="C2739" s="2" t="s">
        <v>26</v>
      </c>
      <c r="D2739" s="2" t="s">
        <v>18</v>
      </c>
      <c r="E2739" s="4">
        <v>-32153</v>
      </c>
      <c r="F2739" s="3" t="s">
        <v>235</v>
      </c>
      <c r="G2739" s="3" t="s">
        <v>2181</v>
      </c>
      <c r="H2739" s="2" t="s">
        <v>148</v>
      </c>
      <c r="I2739" s="2" t="s">
        <v>7844</v>
      </c>
      <c r="J2739" s="3" t="str">
        <f>HYPERLINK("https://www.boe.es/gazeta/dias/1811/12/19/pdfs/GEI-1811-164.pdf#page=8","Abrir facsímil")</f>
        <v>Abrir facsímil</v>
      </c>
      <c r="K2739" s="3" t="s">
        <v>150</v>
      </c>
    </row>
    <row r="2740" spans="1:11" ht="42" customHeight="1">
      <c r="A2740" s="2" t="s">
        <v>7845</v>
      </c>
      <c r="B2740" s="2" t="s">
        <v>7846</v>
      </c>
      <c r="C2740" s="2" t="s">
        <v>26</v>
      </c>
      <c r="D2740" s="2" t="s">
        <v>18</v>
      </c>
      <c r="E2740" s="4">
        <v>-32144</v>
      </c>
      <c r="F2740" s="3" t="s">
        <v>1097</v>
      </c>
      <c r="G2740" s="3" t="s">
        <v>7847</v>
      </c>
      <c r="H2740" s="2" t="s">
        <v>148</v>
      </c>
      <c r="I2740" s="2" t="s">
        <v>7848</v>
      </c>
      <c r="J2740" s="3" t="str">
        <f>HYPERLINK("https://www.boe.es/gazeta/dias/1811/12/28/pdfs/GEI-1811-168.pdf#page=1","Abrir facsímil")</f>
        <v>Abrir facsímil</v>
      </c>
      <c r="K2740" s="3" t="s">
        <v>150</v>
      </c>
    </row>
    <row r="2741" spans="1:11" ht="42" customHeight="1">
      <c r="A2741" s="2" t="s">
        <v>7849</v>
      </c>
      <c r="B2741" s="2" t="s">
        <v>7850</v>
      </c>
      <c r="C2741" s="2" t="s">
        <v>26</v>
      </c>
      <c r="D2741" s="2" t="s">
        <v>18</v>
      </c>
      <c r="E2741" s="4">
        <v>-32242</v>
      </c>
      <c r="F2741" s="3" t="s">
        <v>3015</v>
      </c>
      <c r="G2741" s="3" t="s">
        <v>7851</v>
      </c>
      <c r="H2741" s="2" t="s">
        <v>148</v>
      </c>
      <c r="I2741" s="2" t="s">
        <v>7852</v>
      </c>
      <c r="J2741" s="3" t="str">
        <f>HYPERLINK("https://www.boe.es/gazeta/dias/1811/09/21/pdfs/GMD-1811-264.pdf#page=3","Abrir facsímil")</f>
        <v>Abrir facsímil</v>
      </c>
      <c r="K2741" s="3" t="s">
        <v>150</v>
      </c>
    </row>
    <row r="2742" spans="1:11" ht="42" customHeight="1">
      <c r="A2742" s="2" t="s">
        <v>7853</v>
      </c>
      <c r="B2742" s="2" t="s">
        <v>7854</v>
      </c>
      <c r="C2742" s="2" t="s">
        <v>37</v>
      </c>
      <c r="D2742" s="2" t="s">
        <v>18</v>
      </c>
      <c r="E2742" s="4">
        <v>-32421</v>
      </c>
      <c r="F2742" s="3" t="s">
        <v>6279</v>
      </c>
      <c r="G2742" s="3" t="s">
        <v>6280</v>
      </c>
      <c r="H2742" s="2" t="s">
        <v>148</v>
      </c>
      <c r="I2742" s="2" t="s">
        <v>7855</v>
      </c>
      <c r="J2742" s="3" t="str">
        <f>HYPERLINK("https://www.boe.es/gazeta/dias/1811/03/26/pdfs/GMD-1811-85.pdf#page=1","Abrir facsímil")</f>
        <v>Abrir facsímil</v>
      </c>
      <c r="K2742" s="3" t="s">
        <v>150</v>
      </c>
    </row>
    <row r="2743" spans="1:11" ht="42" customHeight="1">
      <c r="A2743" s="2" t="s">
        <v>7856</v>
      </c>
      <c r="B2743" s="2" t="s">
        <v>7857</v>
      </c>
      <c r="C2743" s="2" t="s">
        <v>84</v>
      </c>
      <c r="D2743" s="2" t="s">
        <v>18</v>
      </c>
      <c r="E2743" s="4">
        <v>-32142</v>
      </c>
      <c r="F2743" s="3" t="s">
        <v>3022</v>
      </c>
      <c r="G2743" s="3" t="s">
        <v>4795</v>
      </c>
      <c r="H2743" s="2" t="s">
        <v>148</v>
      </c>
      <c r="I2743" s="2" t="s">
        <v>7858</v>
      </c>
      <c r="J2743" s="3" t="str">
        <f>HYPERLINK("https://www.boe.es/gazeta/dias/1811/12/30/pdfs/GMD-1811-364.pdf#page=2","Abrir facsímil")</f>
        <v>Abrir facsímil</v>
      </c>
      <c r="K2743" s="3" t="s">
        <v>150</v>
      </c>
    </row>
    <row r="2744" spans="1:11" ht="42" customHeight="1">
      <c r="A2744" s="2" t="s">
        <v>7859</v>
      </c>
      <c r="B2744" s="2" t="s">
        <v>7860</v>
      </c>
      <c r="C2744" s="2" t="s">
        <v>17</v>
      </c>
      <c r="D2744" s="2" t="s">
        <v>18</v>
      </c>
      <c r="E2744" s="4">
        <v>-32389</v>
      </c>
      <c r="F2744" s="3" t="s">
        <v>5683</v>
      </c>
      <c r="G2744" s="3" t="s">
        <v>7861</v>
      </c>
      <c r="H2744" s="2" t="s">
        <v>148</v>
      </c>
      <c r="I2744" s="2" t="s">
        <v>7862</v>
      </c>
      <c r="J2744" s="3" t="str">
        <f>HYPERLINK("https://www.boe.es/gazeta/dias/1811/04/27/pdfs/GMD-1811-117.pdf#page=2","Abrir facsímil")</f>
        <v>Abrir facsímil</v>
      </c>
      <c r="K2744" s="3" t="s">
        <v>150</v>
      </c>
    </row>
    <row r="2745" spans="1:11" ht="42" customHeight="1">
      <c r="A2745" s="2" t="s">
        <v>7863</v>
      </c>
      <c r="B2745" s="2" t="s">
        <v>7864</v>
      </c>
      <c r="C2745" s="2" t="s">
        <v>17</v>
      </c>
      <c r="D2745" s="2" t="s">
        <v>204</v>
      </c>
      <c r="E2745" s="4">
        <v>-32280</v>
      </c>
      <c r="F2745" s="3" t="s">
        <v>7865</v>
      </c>
      <c r="G2745" s="3" t="s">
        <v>162</v>
      </c>
      <c r="H2745" s="2" t="s">
        <v>148</v>
      </c>
      <c r="I2745" s="2" t="s">
        <v>7866</v>
      </c>
      <c r="J2745" s="3" t="str">
        <f>HYPERLINK("https://www.boe.es/gazeta/dias/1811/08/14/pdfs/GMD-1811-226.pdf#page=1","Abrir facsímil")</f>
        <v>Abrir facsímil</v>
      </c>
      <c r="K2745" s="3" t="s">
        <v>150</v>
      </c>
    </row>
    <row r="2746" spans="1:11" ht="42" customHeight="1">
      <c r="A2746" s="2" t="s">
        <v>7867</v>
      </c>
      <c r="B2746" s="2" t="s">
        <v>7868</v>
      </c>
      <c r="C2746" s="2" t="s">
        <v>37</v>
      </c>
      <c r="D2746" s="2" t="s">
        <v>18</v>
      </c>
      <c r="E2746" s="4">
        <v>-32339</v>
      </c>
      <c r="F2746" s="3" t="s">
        <v>1853</v>
      </c>
      <c r="G2746" s="3" t="s">
        <v>468</v>
      </c>
      <c r="H2746" s="2" t="s">
        <v>148</v>
      </c>
      <c r="I2746" s="2" t="s">
        <v>7869</v>
      </c>
      <c r="J2746" s="3" t="str">
        <f>HYPERLINK("https://www.boe.es/gazeta/dias/1811/06/16/pdfs/GMD-1811-167.pdf#page=1","Abrir facsímil")</f>
        <v>Abrir facsímil</v>
      </c>
      <c r="K2746" s="3" t="s">
        <v>150</v>
      </c>
    </row>
    <row r="2747" spans="1:11" ht="42" customHeight="1">
      <c r="A2747" s="2" t="s">
        <v>7870</v>
      </c>
      <c r="B2747" s="2" t="s">
        <v>7871</v>
      </c>
      <c r="C2747" s="2" t="s">
        <v>26</v>
      </c>
      <c r="D2747" s="2" t="s">
        <v>18</v>
      </c>
      <c r="E2747" s="4">
        <v>-32188</v>
      </c>
      <c r="F2747" s="3" t="s">
        <v>356</v>
      </c>
      <c r="G2747" s="3" t="s">
        <v>248</v>
      </c>
      <c r="H2747" s="2" t="s">
        <v>148</v>
      </c>
      <c r="I2747" s="2" t="s">
        <v>7872</v>
      </c>
      <c r="J2747" s="3" t="str">
        <f>HYPERLINK("https://www.boe.es/gazeta/dias/1811/11/14/pdfs/GMD-1811-318.pdf#page=5","Abrir facsímil")</f>
        <v>Abrir facsímil</v>
      </c>
      <c r="K2747" s="3" t="s">
        <v>150</v>
      </c>
    </row>
    <row r="2748" spans="1:11" ht="42" customHeight="1">
      <c r="A2748" s="2" t="s">
        <v>7870</v>
      </c>
      <c r="B2748" s="2" t="s">
        <v>7871</v>
      </c>
      <c r="C2748" s="2" t="s">
        <v>26</v>
      </c>
      <c r="D2748" s="2" t="s">
        <v>18</v>
      </c>
      <c r="E2748" s="4">
        <v>-32188</v>
      </c>
      <c r="F2748" s="3" t="s">
        <v>356</v>
      </c>
      <c r="G2748" s="3" t="s">
        <v>468</v>
      </c>
      <c r="H2748" s="2" t="s">
        <v>148</v>
      </c>
      <c r="I2748" s="2" t="s">
        <v>7873</v>
      </c>
      <c r="J2748" s="3" t="str">
        <f>HYPERLINK("https://www.boe.es/gazeta/dias/1811/11/14/pdfs/GMD-1811-318.pdf#page=6","Abrir facsímil")</f>
        <v>Abrir facsímil</v>
      </c>
      <c r="K2748" s="3" t="s">
        <v>150</v>
      </c>
    </row>
    <row r="2749" spans="1:11" ht="42" customHeight="1">
      <c r="A2749" s="2" t="s">
        <v>7874</v>
      </c>
      <c r="B2749" s="2" t="s">
        <v>7875</v>
      </c>
      <c r="C2749" s="2" t="s">
        <v>26</v>
      </c>
      <c r="D2749" s="2" t="s">
        <v>18</v>
      </c>
      <c r="E2749" s="4">
        <v>-32491</v>
      </c>
      <c r="F2749" s="3" t="s">
        <v>533</v>
      </c>
      <c r="G2749" s="3" t="s">
        <v>515</v>
      </c>
      <c r="H2749" s="2" t="s">
        <v>148</v>
      </c>
      <c r="I2749" s="2" t="s">
        <v>7876</v>
      </c>
      <c r="J2749" s="3" t="str">
        <f>HYPERLINK("https://www.boe.es/gazeta/dias/1811/01/15/pdfs/GEI-1811-7.pdf#page=6","Abrir facsímil")</f>
        <v>Abrir facsímil</v>
      </c>
      <c r="K2749" s="3" t="s">
        <v>150</v>
      </c>
    </row>
    <row r="2750" spans="1:11" ht="42" customHeight="1">
      <c r="A2750" s="2" t="s">
        <v>7874</v>
      </c>
      <c r="B2750" s="2" t="s">
        <v>7875</v>
      </c>
      <c r="C2750" s="2" t="s">
        <v>104</v>
      </c>
      <c r="D2750" s="2" t="s">
        <v>18</v>
      </c>
      <c r="E2750" s="4">
        <v>-32449</v>
      </c>
      <c r="F2750" s="3" t="s">
        <v>381</v>
      </c>
      <c r="G2750" s="3" t="s">
        <v>57</v>
      </c>
      <c r="H2750" s="2" t="s">
        <v>148</v>
      </c>
      <c r="I2750" s="2" t="s">
        <v>7877</v>
      </c>
      <c r="J2750" s="3" t="str">
        <f>HYPERLINK("https://www.boe.es/gazeta/dias/1811/02/26/pdfs/GEI-1811-25.pdf#page=2","Abrir facsímil")</f>
        <v>Abrir facsímil</v>
      </c>
      <c r="K2750" s="3" t="s">
        <v>150</v>
      </c>
    </row>
    <row r="2751" spans="1:11" ht="42" customHeight="1">
      <c r="A2751" s="2" t="s">
        <v>7878</v>
      </c>
      <c r="B2751" s="2" t="s">
        <v>7879</v>
      </c>
      <c r="C2751" s="2" t="s">
        <v>104</v>
      </c>
      <c r="D2751" s="2" t="s">
        <v>18</v>
      </c>
      <c r="E2751" s="4">
        <v>-32373</v>
      </c>
      <c r="F2751" s="3" t="s">
        <v>271</v>
      </c>
      <c r="G2751" s="3" t="s">
        <v>272</v>
      </c>
      <c r="H2751" s="2" t="s">
        <v>21</v>
      </c>
      <c r="I2751" s="2" t="s">
        <v>7880</v>
      </c>
      <c r="J2751" s="3" t="str">
        <f>HYPERLINK("https://www.boe.es/gazeta/dias/1811/05/13/pdfs/GMD-1811-133.pdf#page=2","Abrir facsímil")</f>
        <v>Abrir facsímil</v>
      </c>
      <c r="K2751" s="3" t="s">
        <v>23</v>
      </c>
    </row>
    <row r="2752" spans="1:11" ht="42" customHeight="1">
      <c r="A2752" s="2" t="s">
        <v>7881</v>
      </c>
      <c r="B2752" s="2" t="s">
        <v>7882</v>
      </c>
      <c r="C2752" s="2" t="s">
        <v>26</v>
      </c>
      <c r="D2752" s="2" t="s">
        <v>18</v>
      </c>
      <c r="E2752" s="4">
        <v>-32503</v>
      </c>
      <c r="F2752" s="3" t="s">
        <v>487</v>
      </c>
      <c r="G2752" s="3" t="s">
        <v>1930</v>
      </c>
      <c r="H2752" s="2" t="s">
        <v>21</v>
      </c>
      <c r="I2752" s="2" t="s">
        <v>7883</v>
      </c>
      <c r="J2752" s="3" t="str">
        <f>HYPERLINK("https://www.boe.es/gazeta/dias/1811/01/03/pdfs/GEI-1811-2.pdf#page=8","Abrir facsímil")</f>
        <v>Abrir facsímil</v>
      </c>
      <c r="K2752" s="3" t="s">
        <v>23</v>
      </c>
    </row>
    <row r="2753" spans="1:11" ht="42" customHeight="1">
      <c r="A2753" s="2" t="s">
        <v>7884</v>
      </c>
      <c r="B2753" s="2" t="s">
        <v>7885</v>
      </c>
      <c r="C2753" s="2" t="s">
        <v>26</v>
      </c>
      <c r="D2753" s="2" t="s">
        <v>18</v>
      </c>
      <c r="E2753" s="4">
        <v>-32165</v>
      </c>
      <c r="F2753" s="3" t="s">
        <v>1462</v>
      </c>
      <c r="G2753" s="3" t="s">
        <v>1463</v>
      </c>
      <c r="H2753" s="2" t="s">
        <v>148</v>
      </c>
      <c r="I2753" s="2" t="s">
        <v>7886</v>
      </c>
      <c r="J2753" s="3" t="str">
        <f>HYPERLINK("https://www.boe.es/gazeta/dias/1811/12/07/pdfs/GMD-1811-341.pdf#page=3","Abrir facsímil")</f>
        <v>Abrir facsímil</v>
      </c>
      <c r="K2753" s="3" t="s">
        <v>150</v>
      </c>
    </row>
    <row r="2754" spans="1:11" ht="42" customHeight="1">
      <c r="A2754" s="2" t="s">
        <v>7887</v>
      </c>
      <c r="B2754" s="2" t="s">
        <v>7888</v>
      </c>
      <c r="C2754" s="2" t="s">
        <v>26</v>
      </c>
      <c r="D2754" s="2" t="s">
        <v>18</v>
      </c>
      <c r="E2754" s="4">
        <v>-32250</v>
      </c>
      <c r="F2754" s="3" t="s">
        <v>2823</v>
      </c>
      <c r="G2754" s="3" t="s">
        <v>3947</v>
      </c>
      <c r="H2754" s="2" t="s">
        <v>148</v>
      </c>
      <c r="I2754" s="2" t="s">
        <v>7889</v>
      </c>
      <c r="J2754" s="3" t="str">
        <f>HYPERLINK("https://www.boe.es/gazeta/dias/1811/09/13/pdfs/GMD-1811-256.pdf#page=4","Abrir facsímil")</f>
        <v>Abrir facsímil</v>
      </c>
      <c r="K2754" s="3" t="s">
        <v>150</v>
      </c>
    </row>
    <row r="2755" spans="1:11" ht="42" customHeight="1">
      <c r="A2755" s="2" t="s">
        <v>7890</v>
      </c>
      <c r="B2755" s="2" t="s">
        <v>7891</v>
      </c>
      <c r="C2755" s="2" t="s">
        <v>26</v>
      </c>
      <c r="D2755" s="2" t="s">
        <v>18</v>
      </c>
      <c r="E2755" s="4">
        <v>-32316</v>
      </c>
      <c r="F2755" s="3" t="s">
        <v>5337</v>
      </c>
      <c r="G2755" s="3" t="s">
        <v>57</v>
      </c>
      <c r="H2755" s="2" t="s">
        <v>148</v>
      </c>
      <c r="I2755" s="2" t="s">
        <v>7892</v>
      </c>
      <c r="J2755" s="3" t="str">
        <f>HYPERLINK("https://www.boe.es/gazeta/dias/1811/07/09/pdfs/GEI-1811-90.pdf#page=2","Abrir facsímil")</f>
        <v>Abrir facsímil</v>
      </c>
      <c r="K2755" s="3" t="s">
        <v>150</v>
      </c>
    </row>
    <row r="2756" spans="1:11" ht="42" customHeight="1">
      <c r="A2756" s="2" t="s">
        <v>7893</v>
      </c>
      <c r="B2756" s="2" t="s">
        <v>7894</v>
      </c>
      <c r="C2756" s="2" t="s">
        <v>17</v>
      </c>
      <c r="D2756" s="2" t="s">
        <v>141</v>
      </c>
      <c r="E2756" s="4">
        <v>-32384</v>
      </c>
      <c r="F2756" s="3" t="s">
        <v>2599</v>
      </c>
      <c r="G2756" s="3" t="s">
        <v>4480</v>
      </c>
      <c r="H2756" s="2" t="s">
        <v>21</v>
      </c>
      <c r="I2756" s="2" t="s">
        <v>7895</v>
      </c>
      <c r="J2756" s="3" t="str">
        <f>HYPERLINK("https://www.boe.es/gazeta/dias/1811/05/02/pdfs/GEI-D-1811-58.pdf#page=3","Abrir facsímil")</f>
        <v>Abrir facsímil</v>
      </c>
      <c r="K2756" s="3" t="s">
        <v>23</v>
      </c>
    </row>
    <row r="2757" spans="1:11" ht="42" customHeight="1">
      <c r="A2757" s="2" t="s">
        <v>7896</v>
      </c>
      <c r="B2757" s="2" t="s">
        <v>7897</v>
      </c>
      <c r="C2757" s="2" t="s">
        <v>17</v>
      </c>
      <c r="D2757" s="2" t="s">
        <v>156</v>
      </c>
      <c r="E2757" s="4">
        <v>-32396</v>
      </c>
      <c r="F2757" s="3" t="s">
        <v>804</v>
      </c>
      <c r="G2757" s="3" t="s">
        <v>7898</v>
      </c>
      <c r="H2757" s="2" t="s">
        <v>148</v>
      </c>
      <c r="I2757" s="2" t="s">
        <v>7899</v>
      </c>
      <c r="J2757" s="3" t="str">
        <f>HYPERLINK("https://www.boe.es/gazeta/dias/1811/04/20/pdfs/GEI-D-1811-53.pdf#page=2","Abrir facsímil")</f>
        <v>Abrir facsímil</v>
      </c>
      <c r="K2757" s="3" t="s">
        <v>150</v>
      </c>
    </row>
    <row r="2758" spans="1:11" ht="42" customHeight="1">
      <c r="A2758" s="2" t="s">
        <v>7900</v>
      </c>
      <c r="B2758" s="2" t="s">
        <v>7901</v>
      </c>
      <c r="C2758" s="2" t="s">
        <v>26</v>
      </c>
      <c r="D2758" s="2" t="s">
        <v>141</v>
      </c>
      <c r="E2758" s="4">
        <v>-32384</v>
      </c>
      <c r="F2758" s="3" t="s">
        <v>2599</v>
      </c>
      <c r="G2758" s="3" t="s">
        <v>4480</v>
      </c>
      <c r="H2758" s="2" t="s">
        <v>148</v>
      </c>
      <c r="I2758" s="2" t="s">
        <v>7902</v>
      </c>
      <c r="J2758" s="3" t="str">
        <f>HYPERLINK("https://www.boe.es/gazeta/dias/1811/05/02/pdfs/GEI-D-1811-58.pdf#page=3","Abrir facsímil")</f>
        <v>Abrir facsímil</v>
      </c>
      <c r="K2758" s="3" t="s">
        <v>150</v>
      </c>
    </row>
    <row r="2759" spans="1:11" ht="42" customHeight="1">
      <c r="A2759" s="2" t="s">
        <v>7903</v>
      </c>
      <c r="B2759" s="2" t="s">
        <v>7904</v>
      </c>
      <c r="C2759" s="2" t="s">
        <v>26</v>
      </c>
      <c r="D2759" s="2" t="s">
        <v>18</v>
      </c>
      <c r="E2759" s="4">
        <v>-32172</v>
      </c>
      <c r="F2759" s="3" t="s">
        <v>300</v>
      </c>
      <c r="G2759" s="3" t="s">
        <v>301</v>
      </c>
      <c r="H2759" s="2" t="s">
        <v>148</v>
      </c>
      <c r="I2759" s="2" t="s">
        <v>7905</v>
      </c>
      <c r="J2759" s="3" t="str">
        <f>HYPERLINK("https://www.boe.es/gazeta/dias/1811/11/30/pdfs/GMD-1811-334.pdf#page=4","Abrir facsímil")</f>
        <v>Abrir facsímil</v>
      </c>
      <c r="K2759" s="3" t="s">
        <v>150</v>
      </c>
    </row>
    <row r="2760" spans="1:11" ht="42" customHeight="1">
      <c r="A2760" s="2" t="s">
        <v>7906</v>
      </c>
      <c r="B2760" s="2" t="s">
        <v>7907</v>
      </c>
      <c r="C2760" s="2" t="s">
        <v>26</v>
      </c>
      <c r="D2760" s="2" t="s">
        <v>18</v>
      </c>
      <c r="E2760" s="4">
        <v>-32228</v>
      </c>
      <c r="F2760" s="3" t="s">
        <v>372</v>
      </c>
      <c r="G2760" s="3" t="s">
        <v>20</v>
      </c>
      <c r="H2760" s="2" t="s">
        <v>148</v>
      </c>
      <c r="I2760" s="2" t="s">
        <v>7908</v>
      </c>
      <c r="J2760" s="3" t="str">
        <f>HYPERLINK("https://www.boe.es/gazeta/dias/1811/10/05/pdfs/GEI-1811-128.pdf#page=8","Abrir facsímil")</f>
        <v>Abrir facsímil</v>
      </c>
      <c r="K2760" s="3" t="s">
        <v>150</v>
      </c>
    </row>
    <row r="2761" spans="1:11" ht="42" customHeight="1">
      <c r="A2761" s="2" t="s">
        <v>7909</v>
      </c>
      <c r="B2761" s="2" t="s">
        <v>7910</v>
      </c>
      <c r="C2761" s="2" t="s">
        <v>17</v>
      </c>
      <c r="D2761" s="2" t="s">
        <v>156</v>
      </c>
      <c r="E2761" s="4">
        <v>-32323</v>
      </c>
      <c r="F2761" s="3" t="s">
        <v>322</v>
      </c>
      <c r="G2761" s="3" t="s">
        <v>323</v>
      </c>
      <c r="H2761" s="2" t="s">
        <v>148</v>
      </c>
      <c r="I2761" s="2" t="s">
        <v>7911</v>
      </c>
      <c r="J2761" s="3" t="str">
        <f>HYPERLINK("https://www.boe.es/gazeta/dias/1811/07/02/pdfs/GEI-1811-87.pdf#page=8","Abrir facsímil")</f>
        <v>Abrir facsímil</v>
      </c>
      <c r="K2761" s="3" t="s">
        <v>150</v>
      </c>
    </row>
    <row r="2762" spans="1:11" ht="42" customHeight="1">
      <c r="A2762" s="2" t="s">
        <v>7912</v>
      </c>
      <c r="B2762" s="2" t="s">
        <v>7913</v>
      </c>
      <c r="C2762" s="2" t="s">
        <v>17</v>
      </c>
      <c r="D2762" s="2" t="s">
        <v>18</v>
      </c>
      <c r="E2762" s="4">
        <v>-32263</v>
      </c>
      <c r="F2762" s="3" t="s">
        <v>3780</v>
      </c>
      <c r="G2762" s="3" t="s">
        <v>3781</v>
      </c>
      <c r="H2762" s="2" t="s">
        <v>148</v>
      </c>
      <c r="I2762" s="2" t="s">
        <v>7914</v>
      </c>
      <c r="J2762" s="3" t="str">
        <f>HYPERLINK("https://www.boe.es/gazeta/dias/1811/08/31/pdfs/GMD-1811-243.pdf#page=4","Abrir facsímil")</f>
        <v>Abrir facsímil</v>
      </c>
      <c r="K2762" s="3" t="s">
        <v>150</v>
      </c>
    </row>
    <row r="2763" spans="1:11" ht="42" customHeight="1">
      <c r="A2763" s="2" t="s">
        <v>7912</v>
      </c>
      <c r="B2763" s="2" t="s">
        <v>7913</v>
      </c>
      <c r="C2763" s="2" t="s">
        <v>17</v>
      </c>
      <c r="D2763" s="2" t="s">
        <v>105</v>
      </c>
      <c r="E2763" s="4">
        <v>-32204</v>
      </c>
      <c r="F2763" s="3" t="s">
        <v>177</v>
      </c>
      <c r="G2763" s="3" t="s">
        <v>178</v>
      </c>
      <c r="H2763" s="2" t="s">
        <v>148</v>
      </c>
      <c r="I2763" s="2" t="s">
        <v>7915</v>
      </c>
      <c r="J2763" s="3" t="str">
        <f>HYPERLINK("https://www.boe.es/gazeta/dias/1811/10/29/pdfs/GMD-1811-302.pdf#page=4","Abrir facsímil")</f>
        <v>Abrir facsímil</v>
      </c>
      <c r="K2763" s="3" t="s">
        <v>150</v>
      </c>
    </row>
    <row r="2764" spans="1:11" ht="42" customHeight="1">
      <c r="A2764" s="2" t="s">
        <v>7916</v>
      </c>
      <c r="B2764" s="2" t="s">
        <v>7917</v>
      </c>
      <c r="C2764" s="2" t="s">
        <v>26</v>
      </c>
      <c r="D2764" s="2" t="s">
        <v>18</v>
      </c>
      <c r="E2764" s="4">
        <v>-32197</v>
      </c>
      <c r="F2764" s="3" t="s">
        <v>687</v>
      </c>
      <c r="G2764" s="3" t="s">
        <v>1240</v>
      </c>
      <c r="H2764" s="2" t="s">
        <v>148</v>
      </c>
      <c r="I2764" s="2" t="s">
        <v>7918</v>
      </c>
      <c r="J2764" s="3" t="str">
        <f>HYPERLINK("https://www.boe.es/gazeta/dias/1811/11/05/pdfs/GEI-1811-143.pdf#page=8","Abrir facsímil")</f>
        <v>Abrir facsímil</v>
      </c>
      <c r="K2764" s="3" t="s">
        <v>150</v>
      </c>
    </row>
    <row r="2765" spans="1:11" ht="42" customHeight="1">
      <c r="A2765" s="2" t="s">
        <v>7919</v>
      </c>
      <c r="B2765" s="2" t="s">
        <v>7920</v>
      </c>
      <c r="C2765" s="2" t="s">
        <v>17</v>
      </c>
      <c r="D2765" s="2" t="s">
        <v>156</v>
      </c>
      <c r="E2765" s="4">
        <v>-32319</v>
      </c>
      <c r="F2765" s="3" t="s">
        <v>907</v>
      </c>
      <c r="G2765" s="3" t="s">
        <v>134</v>
      </c>
      <c r="H2765" s="2" t="s">
        <v>148</v>
      </c>
      <c r="I2765" s="2" t="s">
        <v>7921</v>
      </c>
      <c r="J2765" s="3" t="str">
        <f>HYPERLINK("https://www.boe.es/gazeta/dias/1811/07/06/pdfs/GEI-D-1811-89.pdf#page=4","Abrir facsímil")</f>
        <v>Abrir facsímil</v>
      </c>
      <c r="K2765" s="3" t="s">
        <v>150</v>
      </c>
    </row>
    <row r="2766" spans="1:11" ht="42" customHeight="1">
      <c r="A2766" s="2" t="s">
        <v>7922</v>
      </c>
      <c r="B2766" s="2" t="s">
        <v>7923</v>
      </c>
      <c r="C2766" s="2" t="s">
        <v>26</v>
      </c>
      <c r="D2766" s="2" t="s">
        <v>141</v>
      </c>
      <c r="E2766" s="4">
        <v>-32272</v>
      </c>
      <c r="F2766" s="3" t="s">
        <v>1150</v>
      </c>
      <c r="G2766" s="3" t="s">
        <v>248</v>
      </c>
      <c r="H2766" s="2" t="s">
        <v>148</v>
      </c>
      <c r="I2766" s="2" t="s">
        <v>7924</v>
      </c>
      <c r="J2766" s="3" t="str">
        <f>HYPERLINK("https://www.boe.es/gazeta/dias/1811/08/22/pdfs/GMD-C-1811-234.pdf#page=1","Abrir facsímil")</f>
        <v>Abrir facsímil</v>
      </c>
      <c r="K2766" s="3" t="s">
        <v>150</v>
      </c>
    </row>
    <row r="2767" spans="1:11" ht="42" customHeight="1">
      <c r="A2767" s="2" t="s">
        <v>7925</v>
      </c>
      <c r="B2767" s="2" t="s">
        <v>7925</v>
      </c>
      <c r="C2767" s="2" t="s">
        <v>17</v>
      </c>
      <c r="D2767" s="2" t="s">
        <v>18</v>
      </c>
      <c r="E2767" s="4">
        <v>-32490</v>
      </c>
      <c r="F2767" s="3" t="s">
        <v>2407</v>
      </c>
      <c r="G2767" s="3" t="s">
        <v>91</v>
      </c>
      <c r="H2767" s="2" t="s">
        <v>148</v>
      </c>
      <c r="I2767" s="2" t="s">
        <v>7926</v>
      </c>
      <c r="J2767" s="3" t="str">
        <f>HYPERLINK("https://www.boe.es/gazeta/dias/1811/01/16/pdfs/GMD-1811-16.pdf#page=4","Abrir facsímil")</f>
        <v>Abrir facsímil</v>
      </c>
      <c r="K2767" s="3" t="s">
        <v>150</v>
      </c>
    </row>
    <row r="2768" spans="1:11" ht="42" customHeight="1">
      <c r="A2768" s="2" t="s">
        <v>7925</v>
      </c>
      <c r="B2768" s="2" t="s">
        <v>7925</v>
      </c>
      <c r="C2768" s="2" t="s">
        <v>17</v>
      </c>
      <c r="D2768" s="2" t="s">
        <v>18</v>
      </c>
      <c r="E2768" s="4">
        <v>-32488</v>
      </c>
      <c r="F2768" s="3" t="s">
        <v>3154</v>
      </c>
      <c r="G2768" s="3" t="s">
        <v>115</v>
      </c>
      <c r="H2768" s="2" t="s">
        <v>148</v>
      </c>
      <c r="I2768" s="2" t="s">
        <v>7927</v>
      </c>
      <c r="J2768" s="3" t="str">
        <f>HYPERLINK("https://www.boe.es/gazeta/dias/1811/01/18/pdfs/GMD-1811-18.pdf#page=3","Abrir facsímil")</f>
        <v>Abrir facsímil</v>
      </c>
      <c r="K2768" s="3" t="s">
        <v>150</v>
      </c>
    </row>
    <row r="2769" spans="1:11" ht="42" customHeight="1">
      <c r="A2769" s="2" t="s">
        <v>7925</v>
      </c>
      <c r="B2769" s="2" t="s">
        <v>7925</v>
      </c>
      <c r="C2769" s="2" t="s">
        <v>17</v>
      </c>
      <c r="D2769" s="2" t="s">
        <v>204</v>
      </c>
      <c r="E2769" s="4">
        <v>-32165</v>
      </c>
      <c r="F2769" s="3" t="s">
        <v>4621</v>
      </c>
      <c r="G2769" s="3" t="s">
        <v>6507</v>
      </c>
      <c r="H2769" s="2" t="s">
        <v>148</v>
      </c>
      <c r="I2769" s="2" t="s">
        <v>7928</v>
      </c>
      <c r="J2769" s="3" t="str">
        <f>HYPERLINK("https://www.boe.es/gazeta/dias/1811/12/07/pdfs/GEI-1811-159.pdf#page=1","Abrir facsímil")</f>
        <v>Abrir facsímil</v>
      </c>
      <c r="K2769" s="3" t="s">
        <v>150</v>
      </c>
    </row>
    <row r="2770" spans="1:11" ht="42" customHeight="1">
      <c r="A2770" s="2" t="s">
        <v>7929</v>
      </c>
      <c r="B2770" s="2" t="s">
        <v>7929</v>
      </c>
      <c r="C2770" s="2" t="s">
        <v>17</v>
      </c>
      <c r="D2770" s="2" t="s">
        <v>18</v>
      </c>
      <c r="E2770" s="4">
        <v>-32488</v>
      </c>
      <c r="F2770" s="3" t="s">
        <v>3154</v>
      </c>
      <c r="G2770" s="3" t="s">
        <v>228</v>
      </c>
      <c r="H2770" s="2" t="s">
        <v>148</v>
      </c>
      <c r="I2770" s="2" t="s">
        <v>7930</v>
      </c>
      <c r="J2770" s="3" t="str">
        <f>HYPERLINK("https://www.boe.es/gazeta/dias/1811/01/18/pdfs/GMD-1811-18.pdf#page=4","Abrir facsímil")</f>
        <v>Abrir facsímil</v>
      </c>
      <c r="K2770" s="3" t="s">
        <v>150</v>
      </c>
    </row>
    <row r="2771" spans="1:11" ht="42" customHeight="1">
      <c r="A2771" s="2" t="s">
        <v>7931</v>
      </c>
      <c r="B2771" s="2" t="s">
        <v>7931</v>
      </c>
      <c r="C2771" s="2" t="s">
        <v>17</v>
      </c>
      <c r="D2771" s="2" t="s">
        <v>156</v>
      </c>
      <c r="E2771" s="4">
        <v>-32211</v>
      </c>
      <c r="F2771" s="3" t="s">
        <v>1230</v>
      </c>
      <c r="G2771" s="3" t="s">
        <v>4628</v>
      </c>
      <c r="H2771" s="2" t="s">
        <v>148</v>
      </c>
      <c r="I2771" s="2" t="s">
        <v>7932</v>
      </c>
      <c r="J2771" s="3" t="str">
        <f>HYPERLINK("https://www.boe.es/gazeta/dias/1811/10/22/pdfs/GMD-1811-295.pdf#page=1","Abrir facsímil")</f>
        <v>Abrir facsímil</v>
      </c>
      <c r="K2771" s="3" t="s">
        <v>150</v>
      </c>
    </row>
    <row r="2772" spans="1:11" ht="42" customHeight="1">
      <c r="A2772" s="2" t="s">
        <v>7933</v>
      </c>
      <c r="B2772" s="2" t="s">
        <v>7933</v>
      </c>
      <c r="C2772" s="2" t="s">
        <v>104</v>
      </c>
      <c r="D2772" s="2" t="s">
        <v>18</v>
      </c>
      <c r="E2772" s="4">
        <v>-32403</v>
      </c>
      <c r="F2772" s="3" t="s">
        <v>4861</v>
      </c>
      <c r="G2772" s="3" t="s">
        <v>57</v>
      </c>
      <c r="H2772" s="2" t="s">
        <v>148</v>
      </c>
      <c r="I2772" s="2" t="s">
        <v>7934</v>
      </c>
      <c r="J2772" s="3" t="str">
        <f>HYPERLINK("https://www.boe.es/gazeta/dias/1811/04/13/pdfs/GMD-1811-103.pdf#page=2","Abrir facsímil")</f>
        <v>Abrir facsímil</v>
      </c>
      <c r="K2772" s="3" t="s">
        <v>150</v>
      </c>
    </row>
    <row r="2773" spans="1:11" ht="42" customHeight="1">
      <c r="A2773" s="2" t="s">
        <v>7935</v>
      </c>
      <c r="B2773" s="2" t="s">
        <v>7935</v>
      </c>
      <c r="C2773" s="2" t="s">
        <v>17</v>
      </c>
      <c r="D2773" s="2" t="s">
        <v>18</v>
      </c>
      <c r="E2773" s="4">
        <v>-32285</v>
      </c>
      <c r="F2773" s="3" t="s">
        <v>3716</v>
      </c>
      <c r="G2773" s="3" t="s">
        <v>162</v>
      </c>
      <c r="H2773" s="2" t="s">
        <v>148</v>
      </c>
      <c r="I2773" s="2" t="s">
        <v>7936</v>
      </c>
      <c r="J2773" s="3" t="str">
        <f>HYPERLINK("https://www.boe.es/gazeta/dias/1811/08/09/pdfs/GMD-1811-221.pdf#page=2","Abrir facsímil")</f>
        <v>Abrir facsímil</v>
      </c>
      <c r="K2773" s="3" t="s">
        <v>150</v>
      </c>
    </row>
    <row r="2774" spans="1:11" ht="42" customHeight="1">
      <c r="A2774" s="2" t="s">
        <v>7937</v>
      </c>
      <c r="B2774" s="2" t="s">
        <v>7937</v>
      </c>
      <c r="C2774" s="2" t="s">
        <v>37</v>
      </c>
      <c r="D2774" s="2" t="s">
        <v>18</v>
      </c>
      <c r="E2774" s="4">
        <v>-32465</v>
      </c>
      <c r="F2774" s="3" t="s">
        <v>4414</v>
      </c>
      <c r="G2774" s="3" t="s">
        <v>515</v>
      </c>
      <c r="H2774" s="2" t="s">
        <v>148</v>
      </c>
      <c r="I2774" s="2" t="s">
        <v>7938</v>
      </c>
      <c r="J2774" s="3" t="str">
        <f>HYPERLINK("https://www.boe.es/gazeta/dias/1811/02/10/pdfs/GMD-1811-41.pdf#page=1","Abrir facsímil")</f>
        <v>Abrir facsímil</v>
      </c>
      <c r="K2774" s="3" t="s">
        <v>150</v>
      </c>
    </row>
    <row r="2775" spans="1:11" ht="42" customHeight="1">
      <c r="A2775" s="2" t="s">
        <v>7939</v>
      </c>
      <c r="B2775" s="2" t="s">
        <v>7940</v>
      </c>
      <c r="C2775" s="2" t="s">
        <v>26</v>
      </c>
      <c r="D2775" s="2" t="s">
        <v>18</v>
      </c>
      <c r="E2775" s="4">
        <v>-32308</v>
      </c>
      <c r="F2775" s="3" t="s">
        <v>4572</v>
      </c>
      <c r="G2775" s="3" t="s">
        <v>91</v>
      </c>
      <c r="H2775" s="2" t="s">
        <v>148</v>
      </c>
      <c r="I2775" s="2" t="s">
        <v>7941</v>
      </c>
      <c r="J2775" s="3" t="str">
        <f>HYPERLINK("https://www.boe.es/gazeta/dias/1811/07/17/pdfs/GMD-1811-198.pdf#page=3","Abrir facsímil")</f>
        <v>Abrir facsímil</v>
      </c>
      <c r="K2775" s="3" t="s">
        <v>150</v>
      </c>
    </row>
    <row r="2776" spans="1:11" ht="42" customHeight="1">
      <c r="A2776" s="2" t="s">
        <v>7942</v>
      </c>
      <c r="B2776" s="2" t="s">
        <v>7943</v>
      </c>
      <c r="C2776" s="2" t="s">
        <v>17</v>
      </c>
      <c r="D2776" s="2" t="s">
        <v>18</v>
      </c>
      <c r="E2776" s="4">
        <v>-32482</v>
      </c>
      <c r="F2776" s="3" t="s">
        <v>924</v>
      </c>
      <c r="G2776" s="3" t="s">
        <v>846</v>
      </c>
      <c r="H2776" s="2" t="s">
        <v>148</v>
      </c>
      <c r="I2776" s="2" t="s">
        <v>7944</v>
      </c>
      <c r="J2776" s="3" t="str">
        <f>HYPERLINK("https://www.boe.es/gazeta/dias/1811/01/24/pdfs/GEI-1811-11.pdf#page=8","Abrir facsímil")</f>
        <v>Abrir facsímil</v>
      </c>
      <c r="K2776" s="3" t="s">
        <v>150</v>
      </c>
    </row>
    <row r="2777" spans="1:11" ht="42" customHeight="1">
      <c r="A2777" s="2" t="s">
        <v>7945</v>
      </c>
      <c r="B2777" s="2" t="s">
        <v>7946</v>
      </c>
      <c r="C2777" s="2" t="s">
        <v>26</v>
      </c>
      <c r="D2777" s="2" t="s">
        <v>105</v>
      </c>
      <c r="E2777" s="4">
        <v>-32238</v>
      </c>
      <c r="F2777" s="3" t="s">
        <v>166</v>
      </c>
      <c r="G2777" s="3" t="s">
        <v>39</v>
      </c>
      <c r="H2777" s="2" t="s">
        <v>148</v>
      </c>
      <c r="I2777" s="2" t="s">
        <v>7947</v>
      </c>
      <c r="J2777" s="3" t="str">
        <f>HYPERLINK("https://www.boe.es/gazeta/dias/1811/09/25/pdfs/GMD-C-1811-268.pdf#page=2","Abrir facsímil")</f>
        <v>Abrir facsímil</v>
      </c>
      <c r="K2777" s="3" t="s">
        <v>150</v>
      </c>
    </row>
    <row r="2778" spans="1:11" ht="42" customHeight="1">
      <c r="A2778" s="2" t="s">
        <v>7948</v>
      </c>
      <c r="B2778" s="2" t="s">
        <v>7949</v>
      </c>
      <c r="C2778" s="2" t="s">
        <v>17</v>
      </c>
      <c r="D2778" s="2" t="s">
        <v>105</v>
      </c>
      <c r="E2778" s="4">
        <v>-32438</v>
      </c>
      <c r="F2778" s="3" t="s">
        <v>114</v>
      </c>
      <c r="G2778" s="3" t="s">
        <v>20</v>
      </c>
      <c r="H2778" s="2" t="s">
        <v>21</v>
      </c>
      <c r="I2778" s="2" t="s">
        <v>7950</v>
      </c>
      <c r="J2778" s="3" t="str">
        <f>HYPERLINK("https://www.boe.es/gazeta/dias/1811/03/09/pdfs/GEI-1811-33.pdf#page=8","Abrir facsímil")</f>
        <v>Abrir facsímil</v>
      </c>
      <c r="K2778" s="3" t="s">
        <v>23</v>
      </c>
    </row>
    <row r="2779" spans="1:11" ht="42" customHeight="1">
      <c r="A2779" s="2" t="s">
        <v>7951</v>
      </c>
      <c r="B2779" s="2" t="s">
        <v>7952</v>
      </c>
      <c r="C2779" s="2" t="s">
        <v>104</v>
      </c>
      <c r="D2779" s="2" t="s">
        <v>141</v>
      </c>
      <c r="E2779" s="4">
        <v>-32389</v>
      </c>
      <c r="F2779" s="3" t="s">
        <v>524</v>
      </c>
      <c r="G2779" s="3" t="s">
        <v>525</v>
      </c>
      <c r="H2779" s="2" t="s">
        <v>148</v>
      </c>
      <c r="I2779" s="2" t="s">
        <v>7953</v>
      </c>
      <c r="J2779" s="3" t="str">
        <f>HYPERLINK("https://www.boe.es/gazeta/dias/1811/04/27/pdfs/GEI-D-1811-56.pdf#page=4","Abrir facsímil")</f>
        <v>Abrir facsímil</v>
      </c>
      <c r="K2779" s="3" t="s">
        <v>150</v>
      </c>
    </row>
    <row r="2780" spans="1:11" ht="42" customHeight="1">
      <c r="A2780" s="2" t="s">
        <v>7954</v>
      </c>
      <c r="B2780" s="2" t="s">
        <v>7955</v>
      </c>
      <c r="C2780" s="2" t="s">
        <v>104</v>
      </c>
      <c r="D2780" s="2" t="s">
        <v>141</v>
      </c>
      <c r="E2780" s="4">
        <v>-32389</v>
      </c>
      <c r="F2780" s="3" t="s">
        <v>524</v>
      </c>
      <c r="G2780" s="3" t="s">
        <v>525</v>
      </c>
      <c r="H2780" s="2" t="s">
        <v>148</v>
      </c>
      <c r="I2780" s="2" t="s">
        <v>7956</v>
      </c>
      <c r="J2780" s="3" t="str">
        <f>HYPERLINK("https://www.boe.es/gazeta/dias/1811/04/27/pdfs/GEI-D-1811-56.pdf#page=4","Abrir facsímil")</f>
        <v>Abrir facsímil</v>
      </c>
      <c r="K2780" s="3" t="s">
        <v>150</v>
      </c>
    </row>
    <row r="2781" spans="1:11" ht="42" customHeight="1">
      <c r="A2781" s="2" t="s">
        <v>7957</v>
      </c>
      <c r="B2781" s="2" t="s">
        <v>7958</v>
      </c>
      <c r="C2781" s="2" t="s">
        <v>26</v>
      </c>
      <c r="D2781" s="2" t="s">
        <v>18</v>
      </c>
      <c r="E2781" s="4">
        <v>-32242</v>
      </c>
      <c r="F2781" s="3" t="s">
        <v>1295</v>
      </c>
      <c r="G2781" s="3" t="s">
        <v>1296</v>
      </c>
      <c r="H2781" s="2" t="s">
        <v>148</v>
      </c>
      <c r="I2781" s="2" t="s">
        <v>7959</v>
      </c>
      <c r="J2781" s="3" t="str">
        <f>HYPERLINK("https://www.boe.es/gazeta/dias/1811/09/21/pdfs/GEI-1811-122.pdf#page=8","Abrir facsímil")</f>
        <v>Abrir facsímil</v>
      </c>
      <c r="K2781" s="3" t="s">
        <v>150</v>
      </c>
    </row>
    <row r="2782" spans="1:11" ht="42" customHeight="1">
      <c r="A2782" s="2" t="s">
        <v>7960</v>
      </c>
      <c r="B2782" s="2" t="s">
        <v>7961</v>
      </c>
      <c r="C2782" s="2" t="s">
        <v>17</v>
      </c>
      <c r="D2782" s="2" t="s">
        <v>18</v>
      </c>
      <c r="E2782" s="4">
        <v>-32463</v>
      </c>
      <c r="F2782" s="3" t="s">
        <v>734</v>
      </c>
      <c r="G2782" s="3" t="s">
        <v>515</v>
      </c>
      <c r="H2782" s="2" t="s">
        <v>148</v>
      </c>
      <c r="I2782" s="2" t="s">
        <v>7962</v>
      </c>
      <c r="J2782" s="3" t="str">
        <f>HYPERLINK("https://www.boe.es/gazeta/dias/1811/02/12/pdfs/GEI-1811-19.pdf#page=7","Abrir facsímil")</f>
        <v>Abrir facsímil</v>
      </c>
      <c r="K2782" s="3" t="s">
        <v>150</v>
      </c>
    </row>
    <row r="2783" spans="1:11" ht="42" customHeight="1">
      <c r="A2783" s="2" t="s">
        <v>7963</v>
      </c>
      <c r="B2783" s="2" t="s">
        <v>7964</v>
      </c>
      <c r="C2783" s="2" t="s">
        <v>104</v>
      </c>
      <c r="D2783" s="2" t="s">
        <v>141</v>
      </c>
      <c r="E2783" s="4">
        <v>-32272</v>
      </c>
      <c r="F2783" s="3" t="s">
        <v>1150</v>
      </c>
      <c r="G2783" s="3" t="s">
        <v>248</v>
      </c>
      <c r="H2783" s="2" t="s">
        <v>148</v>
      </c>
      <c r="I2783" s="2" t="s">
        <v>7965</v>
      </c>
      <c r="J2783" s="3" t="str">
        <f>HYPERLINK("https://www.boe.es/gazeta/dias/1811/08/22/pdfs/GMD-C-1811-234.pdf#page=1","Abrir facsímil")</f>
        <v>Abrir facsímil</v>
      </c>
      <c r="K2783" s="3" t="s">
        <v>150</v>
      </c>
    </row>
    <row r="2784" spans="1:11" ht="42" customHeight="1">
      <c r="A2784" s="2" t="s">
        <v>7966</v>
      </c>
      <c r="B2784" s="2" t="s">
        <v>7967</v>
      </c>
      <c r="C2784" s="2" t="s">
        <v>26</v>
      </c>
      <c r="D2784" s="2" t="s">
        <v>18</v>
      </c>
      <c r="E2784" s="4">
        <v>-32242</v>
      </c>
      <c r="F2784" s="3" t="s">
        <v>1295</v>
      </c>
      <c r="G2784" s="3" t="s">
        <v>1296</v>
      </c>
      <c r="H2784" s="2" t="s">
        <v>148</v>
      </c>
      <c r="I2784" s="2" t="s">
        <v>7968</v>
      </c>
      <c r="J2784" s="3" t="str">
        <f>HYPERLINK("https://www.boe.es/gazeta/dias/1811/09/21/pdfs/GEI-1811-122.pdf#page=8","Abrir facsímil")</f>
        <v>Abrir facsímil</v>
      </c>
      <c r="K2784" s="3" t="s">
        <v>150</v>
      </c>
    </row>
    <row r="2785" spans="1:11" ht="42" customHeight="1">
      <c r="A2785" s="2" t="s">
        <v>7969</v>
      </c>
      <c r="B2785" s="2" t="s">
        <v>7970</v>
      </c>
      <c r="C2785" s="2" t="s">
        <v>26</v>
      </c>
      <c r="D2785" s="2" t="s">
        <v>18</v>
      </c>
      <c r="E2785" s="4">
        <v>-32270</v>
      </c>
      <c r="F2785" s="3" t="s">
        <v>431</v>
      </c>
      <c r="G2785" s="3" t="s">
        <v>2080</v>
      </c>
      <c r="H2785" s="2" t="s">
        <v>148</v>
      </c>
      <c r="I2785" s="2" t="s">
        <v>7971</v>
      </c>
      <c r="J2785" s="3" t="str">
        <f>HYPERLINK("https://www.boe.es/gazeta/dias/1811/08/24/pdfs/GEI-1811-110.pdf#page=5","Abrir facsímil")</f>
        <v>Abrir facsímil</v>
      </c>
      <c r="K2785" s="3" t="s">
        <v>150</v>
      </c>
    </row>
    <row r="2786" spans="1:11" ht="42" customHeight="1">
      <c r="A2786" s="2" t="s">
        <v>7972</v>
      </c>
      <c r="B2786" s="2" t="s">
        <v>7973</v>
      </c>
      <c r="C2786" s="2" t="s">
        <v>26</v>
      </c>
      <c r="D2786" s="2" t="s">
        <v>18</v>
      </c>
      <c r="E2786" s="4">
        <v>-32263</v>
      </c>
      <c r="F2786" s="3" t="s">
        <v>128</v>
      </c>
      <c r="G2786" s="3" t="s">
        <v>162</v>
      </c>
      <c r="H2786" s="2" t="s">
        <v>148</v>
      </c>
      <c r="I2786" s="2" t="s">
        <v>7974</v>
      </c>
      <c r="J2786" s="3" t="str">
        <f>HYPERLINK("https://www.boe.es/gazeta/dias/1811/08/31/pdfs/GEI-1811-113.pdf#page=8","Abrir facsímil")</f>
        <v>Abrir facsímil</v>
      </c>
      <c r="K2786" s="3" t="s">
        <v>150</v>
      </c>
    </row>
    <row r="2787" spans="1:11" ht="42" customHeight="1">
      <c r="A2787" s="2" t="s">
        <v>7975</v>
      </c>
      <c r="B2787" s="2" t="s">
        <v>7976</v>
      </c>
      <c r="C2787" s="2" t="s">
        <v>26</v>
      </c>
      <c r="D2787" s="2" t="s">
        <v>18</v>
      </c>
      <c r="E2787" s="4">
        <v>-32459</v>
      </c>
      <c r="F2787" s="3" t="s">
        <v>1034</v>
      </c>
      <c r="G2787" s="3" t="s">
        <v>510</v>
      </c>
      <c r="H2787" s="2" t="s">
        <v>148</v>
      </c>
      <c r="I2787" s="2" t="s">
        <v>7977</v>
      </c>
      <c r="J2787" s="3" t="str">
        <f>HYPERLINK("https://www.boe.es/gazeta/dias/1811/02/16/pdfs/GEI-1811-21.pdf#page=8","Abrir facsímil")</f>
        <v>Abrir facsímil</v>
      </c>
      <c r="K2787" s="3" t="s">
        <v>150</v>
      </c>
    </row>
    <row r="2788" spans="1:11" ht="42" customHeight="1">
      <c r="A2788" s="2" t="s">
        <v>7978</v>
      </c>
      <c r="B2788" s="2" t="s">
        <v>7979</v>
      </c>
      <c r="C2788" s="2" t="s">
        <v>26</v>
      </c>
      <c r="D2788" s="2" t="s">
        <v>18</v>
      </c>
      <c r="E2788" s="4">
        <v>-32163</v>
      </c>
      <c r="F2788" s="3" t="s">
        <v>497</v>
      </c>
      <c r="G2788" s="3" t="s">
        <v>498</v>
      </c>
      <c r="H2788" s="2" t="s">
        <v>148</v>
      </c>
      <c r="I2788" s="2" t="s">
        <v>7980</v>
      </c>
      <c r="J2788" s="3" t="str">
        <f>HYPERLINK("https://www.boe.es/gazeta/dias/1811/12/09/pdfs/GMD-1811-343.pdf#page=4","Abrir facsímil")</f>
        <v>Abrir facsímil</v>
      </c>
      <c r="K2788" s="3" t="s">
        <v>150</v>
      </c>
    </row>
    <row r="2789" spans="1:11" ht="42" customHeight="1">
      <c r="A2789" s="2" t="s">
        <v>7981</v>
      </c>
      <c r="B2789" s="2" t="s">
        <v>7982</v>
      </c>
      <c r="C2789" s="2" t="s">
        <v>17</v>
      </c>
      <c r="D2789" s="2" t="s">
        <v>156</v>
      </c>
      <c r="E2789" s="4">
        <v>-32260</v>
      </c>
      <c r="F2789" s="3" t="s">
        <v>27</v>
      </c>
      <c r="G2789" s="3" t="s">
        <v>7983</v>
      </c>
      <c r="H2789" s="2" t="s">
        <v>148</v>
      </c>
      <c r="I2789" s="2" t="s">
        <v>7984</v>
      </c>
      <c r="J2789" s="3" t="str">
        <f>HYPERLINK("https://www.boe.es/gazeta/dias/1811/09/03/pdfs/GEI-1811-114.pdf#page=8","Abrir facsímil")</f>
        <v>Abrir facsímil</v>
      </c>
      <c r="K2789" s="3" t="s">
        <v>150</v>
      </c>
    </row>
    <row r="2790" spans="1:11" ht="42" customHeight="1">
      <c r="A2790" s="2" t="s">
        <v>7985</v>
      </c>
      <c r="B2790" s="2" t="s">
        <v>7986</v>
      </c>
      <c r="C2790" s="2" t="s">
        <v>17</v>
      </c>
      <c r="D2790" s="2" t="s">
        <v>156</v>
      </c>
      <c r="E2790" s="4">
        <v>-32162</v>
      </c>
      <c r="F2790" s="3" t="s">
        <v>317</v>
      </c>
      <c r="G2790" s="3" t="s">
        <v>5003</v>
      </c>
      <c r="H2790" s="2" t="s">
        <v>148</v>
      </c>
      <c r="I2790" s="2" t="s">
        <v>7987</v>
      </c>
      <c r="J2790" s="3" t="str">
        <f>HYPERLINK("https://www.boe.es/gazeta/dias/1811/12/10/pdfs/GEI-1811-160.pdf#page=7","Abrir facsímil")</f>
        <v>Abrir facsímil</v>
      </c>
      <c r="K2790" s="3" t="s">
        <v>150</v>
      </c>
    </row>
    <row r="2791" spans="1:11" ht="42" customHeight="1">
      <c r="A2791" s="2" t="s">
        <v>7988</v>
      </c>
      <c r="B2791" s="2" t="s">
        <v>7989</v>
      </c>
      <c r="C2791" s="2" t="s">
        <v>26</v>
      </c>
      <c r="D2791" s="2" t="s">
        <v>18</v>
      </c>
      <c r="E2791" s="4">
        <v>-32379</v>
      </c>
      <c r="F2791" s="3" t="s">
        <v>462</v>
      </c>
      <c r="G2791" s="3" t="s">
        <v>463</v>
      </c>
      <c r="H2791" s="2" t="s">
        <v>148</v>
      </c>
      <c r="I2791" s="2" t="s">
        <v>7990</v>
      </c>
      <c r="J2791" s="3" t="str">
        <f>HYPERLINK("https://www.boe.es/gazeta/dias/1811/05/07/pdfs/GEI-1811-60.pdf#page=8","Abrir facsímil")</f>
        <v>Abrir facsímil</v>
      </c>
      <c r="K2791" s="3" t="s">
        <v>150</v>
      </c>
    </row>
    <row r="2792" spans="1:11" ht="42" customHeight="1">
      <c r="A2792" s="2" t="s">
        <v>7991</v>
      </c>
      <c r="B2792" s="2" t="s">
        <v>7992</v>
      </c>
      <c r="C2792" s="2" t="s">
        <v>26</v>
      </c>
      <c r="D2792" s="2" t="s">
        <v>141</v>
      </c>
      <c r="E2792" s="4">
        <v>-32249</v>
      </c>
      <c r="F2792" s="3" t="s">
        <v>743</v>
      </c>
      <c r="G2792" s="3" t="s">
        <v>1021</v>
      </c>
      <c r="H2792" s="2" t="s">
        <v>148</v>
      </c>
      <c r="I2792" s="2" t="s">
        <v>7993</v>
      </c>
      <c r="J2792" s="3" t="str">
        <f>HYPERLINK("https://www.boe.es/gazeta/dias/1811/09/14/pdfs/GMD-C-1811-257.pdf#page=2","Abrir facsímil")</f>
        <v>Abrir facsímil</v>
      </c>
      <c r="K2792" s="3" t="s">
        <v>150</v>
      </c>
    </row>
    <row r="2793" spans="1:11" ht="42" customHeight="1">
      <c r="A2793" s="2" t="s">
        <v>7994</v>
      </c>
      <c r="B2793" s="2" t="s">
        <v>7995</v>
      </c>
      <c r="C2793" s="2" t="s">
        <v>17</v>
      </c>
      <c r="D2793" s="2" t="s">
        <v>156</v>
      </c>
      <c r="E2793" s="4">
        <v>-32225</v>
      </c>
      <c r="F2793" s="3" t="s">
        <v>390</v>
      </c>
      <c r="G2793" s="3" t="s">
        <v>3957</v>
      </c>
      <c r="H2793" s="2" t="s">
        <v>148</v>
      </c>
      <c r="I2793" s="2" t="s">
        <v>7996</v>
      </c>
      <c r="J2793" s="3" t="str">
        <f>HYPERLINK("https://www.boe.es/gazeta/dias/1811/10/08/pdfs/GEI-1811-129.pdf#page=4","Abrir facsímil")</f>
        <v>Abrir facsímil</v>
      </c>
      <c r="K2793" s="3" t="s">
        <v>150</v>
      </c>
    </row>
    <row r="2794" spans="1:11" ht="42" customHeight="1">
      <c r="A2794" s="2" t="s">
        <v>7997</v>
      </c>
      <c r="B2794" s="2" t="s">
        <v>7998</v>
      </c>
      <c r="C2794" s="2" t="s">
        <v>17</v>
      </c>
      <c r="D2794" s="2" t="s">
        <v>156</v>
      </c>
      <c r="E2794" s="4">
        <v>-32447</v>
      </c>
      <c r="F2794" s="3" t="s">
        <v>3655</v>
      </c>
      <c r="G2794" s="3" t="s">
        <v>248</v>
      </c>
      <c r="H2794" s="2" t="s">
        <v>148</v>
      </c>
      <c r="I2794" s="2" t="s">
        <v>7999</v>
      </c>
      <c r="J2794" s="3" t="str">
        <f>HYPERLINK("https://www.boe.es/gazeta/dias/1811/02/28/pdfs/GEI-1811-26.pdf#page=5","Abrir facsímil")</f>
        <v>Abrir facsímil</v>
      </c>
      <c r="K2794" s="3" t="s">
        <v>150</v>
      </c>
    </row>
    <row r="2795" spans="1:11" ht="42" customHeight="1">
      <c r="A2795" s="2" t="s">
        <v>8000</v>
      </c>
      <c r="B2795" s="2" t="s">
        <v>8001</v>
      </c>
      <c r="C2795" s="2" t="s">
        <v>17</v>
      </c>
      <c r="D2795" s="2" t="s">
        <v>156</v>
      </c>
      <c r="E2795" s="4">
        <v>-32480</v>
      </c>
      <c r="F2795" s="3" t="s">
        <v>3061</v>
      </c>
      <c r="G2795" s="3" t="s">
        <v>510</v>
      </c>
      <c r="H2795" s="2" t="s">
        <v>148</v>
      </c>
      <c r="I2795" s="2" t="s">
        <v>8002</v>
      </c>
      <c r="J2795" s="3" t="str">
        <f>HYPERLINK("https://www.boe.es/gazeta/dias/1811/01/26/pdfs/GEI-1811-12.pdf#page=8","Abrir facsímil")</f>
        <v>Abrir facsímil</v>
      </c>
      <c r="K2795" s="3" t="s">
        <v>150</v>
      </c>
    </row>
    <row r="2796" spans="1:11" ht="42" customHeight="1">
      <c r="A2796" s="2" t="s">
        <v>8003</v>
      </c>
      <c r="B2796" s="2" t="s">
        <v>8004</v>
      </c>
      <c r="C2796" s="2" t="s">
        <v>26</v>
      </c>
      <c r="D2796" s="2" t="s">
        <v>18</v>
      </c>
      <c r="E2796" s="4">
        <v>-32419</v>
      </c>
      <c r="F2796" s="3" t="s">
        <v>2585</v>
      </c>
      <c r="G2796" s="3" t="s">
        <v>4529</v>
      </c>
      <c r="H2796" s="2" t="s">
        <v>148</v>
      </c>
      <c r="I2796" s="2" t="s">
        <v>8005</v>
      </c>
      <c r="J2796" s="3" t="str">
        <f>HYPERLINK("https://www.boe.es/gazeta/dias/1811/03/28/pdfs/GEI-1811-43.pdf#page=8","Abrir facsímil")</f>
        <v>Abrir facsímil</v>
      </c>
      <c r="K2796" s="3" t="s">
        <v>150</v>
      </c>
    </row>
    <row r="2797" spans="1:11" ht="42" customHeight="1">
      <c r="A2797" s="2" t="s">
        <v>8006</v>
      </c>
      <c r="B2797" s="2" t="s">
        <v>8007</v>
      </c>
      <c r="C2797" s="2" t="s">
        <v>26</v>
      </c>
      <c r="D2797" s="2" t="s">
        <v>18</v>
      </c>
      <c r="E2797" s="4">
        <v>-32188</v>
      </c>
      <c r="F2797" s="3" t="s">
        <v>356</v>
      </c>
      <c r="G2797" s="3" t="s">
        <v>468</v>
      </c>
      <c r="H2797" s="2" t="s">
        <v>21</v>
      </c>
      <c r="I2797" s="2" t="s">
        <v>8008</v>
      </c>
      <c r="J2797" s="3" t="str">
        <f>HYPERLINK("https://www.boe.es/gazeta/dias/1811/11/14/pdfs/GMD-1811-318.pdf#page=6","Abrir facsímil")</f>
        <v>Abrir facsímil</v>
      </c>
      <c r="K2797" s="3" t="s">
        <v>23</v>
      </c>
    </row>
    <row r="2798" spans="1:11" ht="42" customHeight="1">
      <c r="A2798" s="2" t="s">
        <v>8009</v>
      </c>
      <c r="B2798" s="2" t="s">
        <v>8010</v>
      </c>
      <c r="C2798" s="2" t="s">
        <v>84</v>
      </c>
      <c r="D2798" s="2" t="s">
        <v>18</v>
      </c>
      <c r="E2798" s="4">
        <v>-32447</v>
      </c>
      <c r="F2798" s="3" t="s">
        <v>665</v>
      </c>
      <c r="G2798" s="3" t="s">
        <v>57</v>
      </c>
      <c r="H2798" s="2" t="s">
        <v>148</v>
      </c>
      <c r="I2798" s="2" t="s">
        <v>8011</v>
      </c>
      <c r="J2798" s="3" t="str">
        <f>HYPERLINK("https://www.boe.es/gazeta/dias/1811/02/28/pdfs/GMD-1811-59.pdf#page=2","Abrir facsímil")</f>
        <v>Abrir facsímil</v>
      </c>
      <c r="K2798" s="3" t="s">
        <v>150</v>
      </c>
    </row>
    <row r="2799" spans="1:11" ht="42" customHeight="1">
      <c r="A2799" s="2" t="s">
        <v>8012</v>
      </c>
      <c r="B2799" s="2" t="s">
        <v>8013</v>
      </c>
      <c r="C2799" s="2" t="s">
        <v>26</v>
      </c>
      <c r="D2799" s="2" t="s">
        <v>18</v>
      </c>
      <c r="E2799" s="4">
        <v>-32463</v>
      </c>
      <c r="F2799" s="3" t="s">
        <v>734</v>
      </c>
      <c r="G2799" s="3" t="s">
        <v>735</v>
      </c>
      <c r="H2799" s="2" t="s">
        <v>148</v>
      </c>
      <c r="I2799" s="2" t="s">
        <v>8014</v>
      </c>
      <c r="J2799" s="3" t="str">
        <f>HYPERLINK("https://www.boe.es/gazeta/dias/1811/02/12/pdfs/GEI-1811-19.pdf#page=8","Abrir facsímil")</f>
        <v>Abrir facsímil</v>
      </c>
      <c r="K2799" s="3" t="s">
        <v>150</v>
      </c>
    </row>
    <row r="2800" spans="1:11" ht="42" customHeight="1">
      <c r="A2800" s="2" t="s">
        <v>8015</v>
      </c>
      <c r="B2800" s="2" t="s">
        <v>8016</v>
      </c>
      <c r="C2800" s="2" t="s">
        <v>841</v>
      </c>
      <c r="D2800" s="2" t="s">
        <v>105</v>
      </c>
      <c r="E2800" s="4">
        <v>-32183</v>
      </c>
      <c r="F2800" s="3" t="s">
        <v>3310</v>
      </c>
      <c r="G2800" s="3" t="s">
        <v>8017</v>
      </c>
      <c r="H2800" s="2" t="s">
        <v>148</v>
      </c>
      <c r="I2800" s="2" t="s">
        <v>8018</v>
      </c>
      <c r="J2800" s="3" t="str">
        <f>HYPERLINK("https://www.boe.es/gazeta/dias/1811/11/19/pdfs/GEI-1811-151.pdf#page=8","Abrir facsímil")</f>
        <v>Abrir facsímil</v>
      </c>
      <c r="K2800" s="3" t="s">
        <v>150</v>
      </c>
    </row>
    <row r="2801" spans="1:11" ht="42" customHeight="1">
      <c r="A2801" s="2" t="s">
        <v>8019</v>
      </c>
      <c r="B2801" s="2" t="s">
        <v>8020</v>
      </c>
      <c r="C2801" s="2" t="s">
        <v>26</v>
      </c>
      <c r="D2801" s="2" t="s">
        <v>18</v>
      </c>
      <c r="E2801" s="4">
        <v>-32141</v>
      </c>
      <c r="F2801" s="3" t="s">
        <v>327</v>
      </c>
      <c r="G2801" s="3" t="s">
        <v>20</v>
      </c>
      <c r="H2801" s="2" t="s">
        <v>148</v>
      </c>
      <c r="I2801" s="2" t="s">
        <v>8021</v>
      </c>
      <c r="J2801" s="3" t="str">
        <f>HYPERLINK("https://www.boe.es/gazeta/dias/1811/12/31/pdfs/GMD-1811-365.pdf#page=4","Abrir facsímil")</f>
        <v>Abrir facsímil</v>
      </c>
      <c r="K2801" s="3" t="s">
        <v>150</v>
      </c>
    </row>
    <row r="2802" spans="1:11" ht="42" customHeight="1">
      <c r="A2802" s="2" t="s">
        <v>8022</v>
      </c>
      <c r="B2802" s="2" t="s">
        <v>8023</v>
      </c>
      <c r="C2802" s="2" t="s">
        <v>367</v>
      </c>
      <c r="D2802" s="2" t="s">
        <v>18</v>
      </c>
      <c r="E2802" s="4">
        <v>-32389</v>
      </c>
      <c r="F2802" s="3" t="s">
        <v>5334</v>
      </c>
      <c r="G2802" s="3" t="s">
        <v>20</v>
      </c>
      <c r="H2802" s="2" t="s">
        <v>148</v>
      </c>
      <c r="I2802" s="2" t="s">
        <v>8024</v>
      </c>
      <c r="J2802" s="3" t="str">
        <f>HYPERLINK("https://www.boe.es/gazeta/dias/1811/04/27/pdfs/GEI-1811-56.pdf#page=6","Abrir facsímil")</f>
        <v>Abrir facsímil</v>
      </c>
      <c r="K2802" s="3" t="s">
        <v>150</v>
      </c>
    </row>
    <row r="2803" spans="1:11" ht="42" customHeight="1">
      <c r="A2803" s="2" t="s">
        <v>8025</v>
      </c>
      <c r="B2803" s="2" t="s">
        <v>8026</v>
      </c>
      <c r="C2803" s="2" t="s">
        <v>17</v>
      </c>
      <c r="D2803" s="2" t="s">
        <v>156</v>
      </c>
      <c r="E2803" s="4">
        <v>-32300</v>
      </c>
      <c r="F2803" s="3" t="s">
        <v>492</v>
      </c>
      <c r="G2803" s="3" t="s">
        <v>493</v>
      </c>
      <c r="H2803" s="2" t="s">
        <v>148</v>
      </c>
      <c r="I2803" s="2" t="s">
        <v>8027</v>
      </c>
      <c r="J2803" s="3" t="str">
        <f>HYPERLINK("https://www.boe.es/gazeta/dias/1811/07/25/pdfs/GMD-1811-206.pdf#page=4","Abrir facsímil")</f>
        <v>Abrir facsímil</v>
      </c>
      <c r="K2803" s="3" t="s">
        <v>150</v>
      </c>
    </row>
    <row r="2804" spans="1:11" ht="42" customHeight="1">
      <c r="A2804" s="2" t="s">
        <v>8028</v>
      </c>
      <c r="B2804" s="2" t="s">
        <v>8029</v>
      </c>
      <c r="C2804" s="2" t="s">
        <v>26</v>
      </c>
      <c r="D2804" s="2" t="s">
        <v>141</v>
      </c>
      <c r="E2804" s="4">
        <v>-32188</v>
      </c>
      <c r="F2804" s="3" t="s">
        <v>505</v>
      </c>
      <c r="G2804" s="3" t="s">
        <v>47</v>
      </c>
      <c r="H2804" s="2" t="s">
        <v>148</v>
      </c>
      <c r="I2804" s="2" t="s">
        <v>8030</v>
      </c>
      <c r="J2804" s="3" t="str">
        <f>HYPERLINK("https://www.boe.es/gazeta/dias/1811/11/14/pdfs/GEI-D-1811-149.pdf#page=3","Abrir facsímil")</f>
        <v>Abrir facsímil</v>
      </c>
      <c r="K2804" s="3" t="s">
        <v>150</v>
      </c>
    </row>
    <row r="2805" spans="1:11" ht="42" customHeight="1">
      <c r="A2805" s="2" t="s">
        <v>8031</v>
      </c>
      <c r="B2805" s="2" t="s">
        <v>8032</v>
      </c>
      <c r="C2805" s="2" t="s">
        <v>26</v>
      </c>
      <c r="D2805" s="2" t="s">
        <v>18</v>
      </c>
      <c r="E2805" s="4">
        <v>-32141</v>
      </c>
      <c r="F2805" s="3" t="s">
        <v>327</v>
      </c>
      <c r="G2805" s="3" t="s">
        <v>20</v>
      </c>
      <c r="H2805" s="2" t="s">
        <v>148</v>
      </c>
      <c r="I2805" s="2" t="s">
        <v>8033</v>
      </c>
      <c r="J2805" s="3" t="str">
        <f>HYPERLINK("https://www.boe.es/gazeta/dias/1811/12/31/pdfs/GMD-1811-365.pdf#page=4","Abrir facsímil")</f>
        <v>Abrir facsímil</v>
      </c>
      <c r="K2805" s="3" t="s">
        <v>150</v>
      </c>
    </row>
    <row r="2806" spans="1:11" ht="42" customHeight="1">
      <c r="A2806" s="2" t="s">
        <v>8034</v>
      </c>
      <c r="B2806" s="2" t="s">
        <v>8035</v>
      </c>
      <c r="C2806" s="2" t="s">
        <v>26</v>
      </c>
      <c r="D2806" s="2" t="s">
        <v>18</v>
      </c>
      <c r="E2806" s="4">
        <v>-32433</v>
      </c>
      <c r="F2806" s="3" t="s">
        <v>209</v>
      </c>
      <c r="G2806" s="3" t="s">
        <v>488</v>
      </c>
      <c r="H2806" s="2" t="s">
        <v>148</v>
      </c>
      <c r="I2806" s="2" t="s">
        <v>8036</v>
      </c>
      <c r="J2806" s="3" t="str">
        <f>HYPERLINK("https://www.boe.es/gazeta/dias/1811/03/14/pdfs/GMD-1811-73.pdf#page=2","Abrir facsímil")</f>
        <v>Abrir facsímil</v>
      </c>
      <c r="K2806" s="3" t="s">
        <v>150</v>
      </c>
    </row>
    <row r="2807" spans="1:11" ht="42" customHeight="1">
      <c r="A2807" s="2" t="s">
        <v>8037</v>
      </c>
      <c r="B2807" s="2" t="s">
        <v>8038</v>
      </c>
      <c r="C2807" s="2" t="s">
        <v>17</v>
      </c>
      <c r="D2807" s="2" t="s">
        <v>156</v>
      </c>
      <c r="E2807" s="4">
        <v>-32232</v>
      </c>
      <c r="F2807" s="3" t="s">
        <v>1816</v>
      </c>
      <c r="G2807" s="3" t="s">
        <v>1817</v>
      </c>
      <c r="H2807" s="2" t="s">
        <v>148</v>
      </c>
      <c r="I2807" s="2" t="s">
        <v>8039</v>
      </c>
      <c r="J2807" s="3" t="str">
        <f>HYPERLINK("https://www.boe.es/gazeta/dias/1811/10/01/pdfs/GEI-1811-126.pdf#page=8","Abrir facsímil")</f>
        <v>Abrir facsímil</v>
      </c>
      <c r="K2807" s="3" t="s">
        <v>150</v>
      </c>
    </row>
    <row r="2808" spans="1:11" ht="42" customHeight="1">
      <c r="A2808" s="2" t="s">
        <v>8040</v>
      </c>
      <c r="B2808" s="2" t="s">
        <v>8041</v>
      </c>
      <c r="C2808" s="2" t="s">
        <v>26</v>
      </c>
      <c r="D2808" s="2" t="s">
        <v>18</v>
      </c>
      <c r="E2808" s="4">
        <v>-32396</v>
      </c>
      <c r="F2808" s="3" t="s">
        <v>1267</v>
      </c>
      <c r="G2808" s="3" t="s">
        <v>382</v>
      </c>
      <c r="H2808" s="2" t="s">
        <v>148</v>
      </c>
      <c r="I2808" s="2" t="s">
        <v>8042</v>
      </c>
      <c r="J2808" s="3" t="str">
        <f>HYPERLINK("https://www.boe.es/gazeta/dias/1811/04/20/pdfs/GMD-1811-110.pdf#page=2","Abrir facsímil")</f>
        <v>Abrir facsímil</v>
      </c>
      <c r="K2808" s="3" t="s">
        <v>150</v>
      </c>
    </row>
    <row r="2809" spans="1:11" ht="42" customHeight="1">
      <c r="A2809" s="2" t="s">
        <v>8043</v>
      </c>
      <c r="B2809" s="2" t="s">
        <v>8044</v>
      </c>
      <c r="C2809" s="2" t="s">
        <v>26</v>
      </c>
      <c r="D2809" s="2" t="s">
        <v>18</v>
      </c>
      <c r="E2809" s="4">
        <v>-32242</v>
      </c>
      <c r="F2809" s="3" t="s">
        <v>1295</v>
      </c>
      <c r="G2809" s="3" t="s">
        <v>1296</v>
      </c>
      <c r="H2809" s="2" t="s">
        <v>148</v>
      </c>
      <c r="I2809" s="2" t="s">
        <v>8045</v>
      </c>
      <c r="J2809" s="3" t="str">
        <f>HYPERLINK("https://www.boe.es/gazeta/dias/1811/09/21/pdfs/GEI-1811-122.pdf#page=8","Abrir facsímil")</f>
        <v>Abrir facsímil</v>
      </c>
      <c r="K2809" s="3" t="s">
        <v>150</v>
      </c>
    </row>
    <row r="2810" spans="1:11" ht="42" customHeight="1">
      <c r="A2810" s="2" t="s">
        <v>8046</v>
      </c>
      <c r="B2810" s="2" t="s">
        <v>8047</v>
      </c>
      <c r="C2810" s="2" t="s">
        <v>26</v>
      </c>
      <c r="D2810" s="2" t="s">
        <v>18</v>
      </c>
      <c r="E2810" s="4">
        <v>-32242</v>
      </c>
      <c r="F2810" s="3" t="s">
        <v>1295</v>
      </c>
      <c r="G2810" s="3" t="s">
        <v>1296</v>
      </c>
      <c r="H2810" s="2" t="s">
        <v>148</v>
      </c>
      <c r="I2810" s="2" t="s">
        <v>8048</v>
      </c>
      <c r="J2810" s="3" t="str">
        <f>HYPERLINK("https://www.boe.es/gazeta/dias/1811/09/21/pdfs/GEI-1811-122.pdf#page=8","Abrir facsímil")</f>
        <v>Abrir facsímil</v>
      </c>
      <c r="K2810" s="3" t="s">
        <v>150</v>
      </c>
    </row>
    <row r="2811" spans="1:11" ht="42" customHeight="1">
      <c r="A2811" s="2" t="s">
        <v>8049</v>
      </c>
      <c r="B2811" s="2" t="s">
        <v>8050</v>
      </c>
      <c r="C2811" s="2" t="s">
        <v>26</v>
      </c>
      <c r="D2811" s="2" t="s">
        <v>18</v>
      </c>
      <c r="E2811" s="4">
        <v>-32242</v>
      </c>
      <c r="F2811" s="3" t="s">
        <v>1295</v>
      </c>
      <c r="G2811" s="3" t="s">
        <v>1296</v>
      </c>
      <c r="H2811" s="2" t="s">
        <v>148</v>
      </c>
      <c r="I2811" s="2" t="s">
        <v>8051</v>
      </c>
      <c r="J2811" s="3" t="str">
        <f>HYPERLINK("https://www.boe.es/gazeta/dias/1811/09/21/pdfs/GEI-1811-122.pdf#page=8","Abrir facsímil")</f>
        <v>Abrir facsímil</v>
      </c>
      <c r="K2811" s="3" t="s">
        <v>150</v>
      </c>
    </row>
    <row r="2812" spans="1:11" ht="42" customHeight="1">
      <c r="A2812" s="2" t="s">
        <v>8052</v>
      </c>
      <c r="B2812" s="2" t="s">
        <v>8053</v>
      </c>
      <c r="C2812" s="2" t="s">
        <v>26</v>
      </c>
      <c r="D2812" s="2" t="s">
        <v>204</v>
      </c>
      <c r="E2812" s="4">
        <v>-32155</v>
      </c>
      <c r="F2812" s="3" t="s">
        <v>99</v>
      </c>
      <c r="G2812" s="3" t="s">
        <v>100</v>
      </c>
      <c r="H2812" s="2" t="s">
        <v>148</v>
      </c>
      <c r="I2812" s="2" t="s">
        <v>8054</v>
      </c>
      <c r="J2812" s="3" t="str">
        <f>HYPERLINK("https://www.boe.es/gazeta/dias/1811/12/17/pdfs/GMD-1811-351.pdf#page=4","Abrir facsímil")</f>
        <v>Abrir facsímil</v>
      </c>
      <c r="K2812" s="3" t="s">
        <v>150</v>
      </c>
    </row>
    <row r="2813" spans="1:11" ht="42" customHeight="1">
      <c r="A2813" s="2" t="s">
        <v>8055</v>
      </c>
      <c r="B2813" s="2" t="s">
        <v>8056</v>
      </c>
      <c r="C2813" s="2" t="s">
        <v>26</v>
      </c>
      <c r="D2813" s="2" t="s">
        <v>18</v>
      </c>
      <c r="E2813" s="4">
        <v>-32433</v>
      </c>
      <c r="F2813" s="3" t="s">
        <v>209</v>
      </c>
      <c r="G2813" s="3" t="s">
        <v>488</v>
      </c>
      <c r="H2813" s="2" t="s">
        <v>148</v>
      </c>
      <c r="I2813" s="2" t="s">
        <v>8057</v>
      </c>
      <c r="J2813" s="3" t="str">
        <f>HYPERLINK("https://www.boe.es/gazeta/dias/1811/03/14/pdfs/GMD-1811-73.pdf#page=2","Abrir facsímil")</f>
        <v>Abrir facsímil</v>
      </c>
      <c r="K2813" s="3" t="s">
        <v>150</v>
      </c>
    </row>
    <row r="2814" spans="1:11" ht="42" customHeight="1">
      <c r="A2814" s="2" t="s">
        <v>8058</v>
      </c>
      <c r="B2814" s="2" t="s">
        <v>8059</v>
      </c>
      <c r="C2814" s="2" t="s">
        <v>104</v>
      </c>
      <c r="D2814" s="2" t="s">
        <v>141</v>
      </c>
      <c r="E2814" s="4">
        <v>-32319</v>
      </c>
      <c r="F2814" s="3" t="s">
        <v>907</v>
      </c>
      <c r="G2814" s="3" t="s">
        <v>134</v>
      </c>
      <c r="H2814" s="2" t="s">
        <v>148</v>
      </c>
      <c r="I2814" s="2" t="s">
        <v>8060</v>
      </c>
      <c r="J2814" s="3" t="str">
        <f>HYPERLINK("https://www.boe.es/gazeta/dias/1811/07/06/pdfs/GEI-D-1811-89.pdf#page=4","Abrir facsímil")</f>
        <v>Abrir facsímil</v>
      </c>
      <c r="K2814" s="3" t="s">
        <v>150</v>
      </c>
    </row>
    <row r="2815" spans="1:11" ht="42" customHeight="1">
      <c r="A2815" s="2" t="s">
        <v>8061</v>
      </c>
      <c r="B2815" s="2" t="s">
        <v>8062</v>
      </c>
      <c r="C2815" s="2" t="s">
        <v>17</v>
      </c>
      <c r="D2815" s="2" t="s">
        <v>18</v>
      </c>
      <c r="E2815" s="4">
        <v>-32323</v>
      </c>
      <c r="F2815" s="3" t="s">
        <v>322</v>
      </c>
      <c r="G2815" s="3" t="s">
        <v>323</v>
      </c>
      <c r="H2815" s="2" t="s">
        <v>148</v>
      </c>
      <c r="I2815" s="2" t="s">
        <v>8063</v>
      </c>
      <c r="J2815" s="3" t="str">
        <f>HYPERLINK("https://www.boe.es/gazeta/dias/1811/07/02/pdfs/GEI-1811-87.pdf#page=8","Abrir facsímil")</f>
        <v>Abrir facsímil</v>
      </c>
      <c r="K2815" s="3" t="s">
        <v>150</v>
      </c>
    </row>
    <row r="2816" spans="1:11" ht="42" customHeight="1">
      <c r="A2816" s="2" t="s">
        <v>8064</v>
      </c>
      <c r="B2816" s="2" t="s">
        <v>8065</v>
      </c>
      <c r="C2816" s="2" t="s">
        <v>26</v>
      </c>
      <c r="D2816" s="2" t="s">
        <v>18</v>
      </c>
      <c r="E2816" s="4">
        <v>-32188</v>
      </c>
      <c r="F2816" s="3" t="s">
        <v>356</v>
      </c>
      <c r="G2816" s="3" t="s">
        <v>468</v>
      </c>
      <c r="H2816" s="2" t="s">
        <v>21</v>
      </c>
      <c r="I2816" s="2" t="s">
        <v>8066</v>
      </c>
      <c r="J2816" s="3" t="str">
        <f>HYPERLINK("https://www.boe.es/gazeta/dias/1811/11/14/pdfs/GMD-1811-318.pdf#page=6","Abrir facsímil")</f>
        <v>Abrir facsímil</v>
      </c>
      <c r="K2816" s="3" t="s">
        <v>23</v>
      </c>
    </row>
    <row r="2817" spans="1:11" ht="42" customHeight="1">
      <c r="A2817" s="2" t="s">
        <v>8067</v>
      </c>
      <c r="B2817" s="2" t="s">
        <v>8068</v>
      </c>
      <c r="C2817" s="2" t="s">
        <v>26</v>
      </c>
      <c r="D2817" s="2" t="s">
        <v>18</v>
      </c>
      <c r="E2817" s="4">
        <v>-32211</v>
      </c>
      <c r="F2817" s="3" t="s">
        <v>1230</v>
      </c>
      <c r="G2817" s="3" t="s">
        <v>377</v>
      </c>
      <c r="H2817" s="2" t="s">
        <v>148</v>
      </c>
      <c r="I2817" s="2" t="s">
        <v>8069</v>
      </c>
      <c r="J2817" s="3" t="str">
        <f>HYPERLINK("https://www.boe.es/gazeta/dias/1811/10/22/pdfs/GMD-1811-295.pdf#page=4","Abrir facsímil")</f>
        <v>Abrir facsímil</v>
      </c>
      <c r="K2817" s="3" t="s">
        <v>150</v>
      </c>
    </row>
    <row r="2818" spans="1:11" ht="42" customHeight="1">
      <c r="A2818" s="2" t="s">
        <v>8070</v>
      </c>
      <c r="B2818" s="2" t="s">
        <v>8071</v>
      </c>
      <c r="C2818" s="2" t="s">
        <v>26</v>
      </c>
      <c r="D2818" s="2" t="s">
        <v>18</v>
      </c>
      <c r="E2818" s="4">
        <v>-32352</v>
      </c>
      <c r="F2818" s="3" t="s">
        <v>834</v>
      </c>
      <c r="G2818" s="3" t="s">
        <v>183</v>
      </c>
      <c r="H2818" s="2" t="s">
        <v>148</v>
      </c>
      <c r="I2818" s="2" t="s">
        <v>8072</v>
      </c>
      <c r="J2818" s="3" t="str">
        <f>HYPERLINK("https://www.boe.es/gazeta/dias/1811/06/03/pdfs/GMD-1811-154.pdf#page=4","Abrir facsímil")</f>
        <v>Abrir facsímil</v>
      </c>
      <c r="K2818" s="3" t="s">
        <v>150</v>
      </c>
    </row>
    <row r="2819" spans="1:11" ht="42" customHeight="1">
      <c r="A2819" s="2" t="s">
        <v>8073</v>
      </c>
      <c r="B2819" s="2" t="s">
        <v>8074</v>
      </c>
      <c r="C2819" s="2" t="s">
        <v>17</v>
      </c>
      <c r="D2819" s="2" t="s">
        <v>156</v>
      </c>
      <c r="E2819" s="4">
        <v>-32251</v>
      </c>
      <c r="F2819" s="3" t="s">
        <v>1089</v>
      </c>
      <c r="G2819" s="3" t="s">
        <v>488</v>
      </c>
      <c r="H2819" s="2" t="s">
        <v>21</v>
      </c>
      <c r="I2819" s="2" t="s">
        <v>8075</v>
      </c>
      <c r="J2819" s="3" t="str">
        <f>HYPERLINK("https://www.boe.es/gazeta/dias/1811/09/12/pdfs/GMD-1811-255.pdf#page=2","Abrir facsímil")</f>
        <v>Abrir facsímil</v>
      </c>
      <c r="K2819" s="3" t="s">
        <v>23</v>
      </c>
    </row>
    <row r="2820" spans="1:11" ht="42" customHeight="1">
      <c r="A2820" s="2" t="s">
        <v>8076</v>
      </c>
      <c r="B2820" s="2" t="s">
        <v>8077</v>
      </c>
      <c r="C2820" s="2" t="s">
        <v>26</v>
      </c>
      <c r="D2820" s="2" t="s">
        <v>18</v>
      </c>
      <c r="E2820" s="4">
        <v>-32297</v>
      </c>
      <c r="F2820" s="3" t="s">
        <v>2174</v>
      </c>
      <c r="G2820" s="3" t="s">
        <v>183</v>
      </c>
      <c r="H2820" s="2" t="s">
        <v>148</v>
      </c>
      <c r="I2820" s="2" t="s">
        <v>8078</v>
      </c>
      <c r="J2820" s="3" t="str">
        <f>HYPERLINK("https://www.boe.es/gazeta/dias/1811/07/28/pdfs/GMD-1811-209.pdf#page=4","Abrir facsímil")</f>
        <v>Abrir facsímil</v>
      </c>
      <c r="K2820" s="3" t="s">
        <v>150</v>
      </c>
    </row>
    <row r="2821" spans="1:11" ht="42" customHeight="1">
      <c r="A2821" s="2" t="s">
        <v>8079</v>
      </c>
      <c r="B2821" s="2" t="s">
        <v>8080</v>
      </c>
      <c r="C2821" s="2" t="s">
        <v>66</v>
      </c>
      <c r="D2821" s="2" t="s">
        <v>141</v>
      </c>
      <c r="E2821" s="4">
        <v>-32238</v>
      </c>
      <c r="F2821" s="3" t="s">
        <v>166</v>
      </c>
      <c r="G2821" s="3" t="s">
        <v>129</v>
      </c>
      <c r="H2821" s="2" t="s">
        <v>148</v>
      </c>
      <c r="I2821" s="2" t="s">
        <v>8081</v>
      </c>
      <c r="J2821" s="3" t="str">
        <f>HYPERLINK("https://www.boe.es/gazeta/dias/1811/09/25/pdfs/GMD-C-1811-268.pdf#page=1","Abrir facsímil")</f>
        <v>Abrir facsímil</v>
      </c>
      <c r="K2821" s="3" t="s">
        <v>150</v>
      </c>
    </row>
    <row r="2822" spans="1:11" ht="42" customHeight="1">
      <c r="A2822" s="2" t="s">
        <v>8079</v>
      </c>
      <c r="B2822" s="2" t="s">
        <v>8080</v>
      </c>
      <c r="C2822" s="2" t="s">
        <v>26</v>
      </c>
      <c r="D2822" s="2" t="s">
        <v>141</v>
      </c>
      <c r="E2822" s="4">
        <v>-32238</v>
      </c>
      <c r="F2822" s="3" t="s">
        <v>166</v>
      </c>
      <c r="G2822" s="3" t="s">
        <v>178</v>
      </c>
      <c r="H2822" s="2" t="s">
        <v>148</v>
      </c>
      <c r="I2822" s="2" t="s">
        <v>8082</v>
      </c>
      <c r="J2822" s="3" t="str">
        <f>HYPERLINK("https://www.boe.es/gazeta/dias/1811/09/25/pdfs/GMD-C-1811-268.pdf#page=4","Abrir facsímil")</f>
        <v>Abrir facsímil</v>
      </c>
      <c r="K2822" s="3" t="s">
        <v>150</v>
      </c>
    </row>
    <row r="2823" spans="1:11" ht="42" customHeight="1">
      <c r="A2823" s="2" t="s">
        <v>8083</v>
      </c>
      <c r="B2823" s="2" t="s">
        <v>8084</v>
      </c>
      <c r="C2823" s="2" t="s">
        <v>122</v>
      </c>
      <c r="D2823" s="2" t="s">
        <v>141</v>
      </c>
      <c r="E2823" s="4">
        <v>-32249</v>
      </c>
      <c r="F2823" s="3" t="s">
        <v>743</v>
      </c>
      <c r="G2823" s="3" t="s">
        <v>468</v>
      </c>
      <c r="H2823" s="2" t="s">
        <v>148</v>
      </c>
      <c r="I2823" s="2" t="s">
        <v>8085</v>
      </c>
      <c r="J2823" s="3" t="str">
        <f>HYPERLINK("https://www.boe.es/gazeta/dias/1811/09/14/pdfs/GMD-C-1811-257.pdf#page=1","Abrir facsímil")</f>
        <v>Abrir facsímil</v>
      </c>
      <c r="K2823" s="3" t="s">
        <v>150</v>
      </c>
    </row>
    <row r="2824" spans="1:11" ht="42" customHeight="1">
      <c r="A2824" s="2" t="s">
        <v>8086</v>
      </c>
      <c r="B2824" s="2" t="s">
        <v>8087</v>
      </c>
      <c r="C2824" s="2" t="s">
        <v>26</v>
      </c>
      <c r="D2824" s="2" t="s">
        <v>18</v>
      </c>
      <c r="E2824" s="4">
        <v>-32242</v>
      </c>
      <c r="F2824" s="3" t="s">
        <v>1295</v>
      </c>
      <c r="G2824" s="3" t="s">
        <v>1296</v>
      </c>
      <c r="H2824" s="2" t="s">
        <v>148</v>
      </c>
      <c r="I2824" s="2" t="s">
        <v>8088</v>
      </c>
      <c r="J2824" s="3" t="str">
        <f>HYPERLINK("https://www.boe.es/gazeta/dias/1811/09/21/pdfs/GEI-1811-122.pdf#page=8","Abrir facsímil")</f>
        <v>Abrir facsímil</v>
      </c>
      <c r="K2824" s="3" t="s">
        <v>150</v>
      </c>
    </row>
    <row r="2825" spans="1:11" ht="42" customHeight="1">
      <c r="A2825" s="2" t="s">
        <v>8089</v>
      </c>
      <c r="B2825" s="2" t="s">
        <v>8090</v>
      </c>
      <c r="C2825" s="2" t="s">
        <v>17</v>
      </c>
      <c r="D2825" s="2" t="s">
        <v>156</v>
      </c>
      <c r="E2825" s="4">
        <v>-32498</v>
      </c>
      <c r="F2825" s="3" t="s">
        <v>828</v>
      </c>
      <c r="G2825" s="3" t="s">
        <v>1296</v>
      </c>
      <c r="H2825" s="2" t="s">
        <v>148</v>
      </c>
      <c r="I2825" s="2" t="s">
        <v>8091</v>
      </c>
      <c r="J2825" s="3" t="str">
        <f>HYPERLINK("https://www.boe.es/gazeta/dias/1811/01/08/pdfs/GEI-1811-4.pdf#page=4","Abrir facsímil")</f>
        <v>Abrir facsímil</v>
      </c>
      <c r="K2825" s="3" t="s">
        <v>150</v>
      </c>
    </row>
    <row r="2826" spans="1:11" ht="42" customHeight="1">
      <c r="A2826" s="2" t="s">
        <v>8092</v>
      </c>
      <c r="B2826" s="2" t="s">
        <v>8093</v>
      </c>
      <c r="C2826" s="2" t="s">
        <v>26</v>
      </c>
      <c r="D2826" s="2" t="s">
        <v>18</v>
      </c>
      <c r="E2826" s="4">
        <v>-32188</v>
      </c>
      <c r="F2826" s="3" t="s">
        <v>356</v>
      </c>
      <c r="G2826" s="3" t="s">
        <v>248</v>
      </c>
      <c r="H2826" s="2" t="s">
        <v>148</v>
      </c>
      <c r="I2826" s="2" t="s">
        <v>8094</v>
      </c>
      <c r="J2826" s="3" t="str">
        <f>HYPERLINK("https://www.boe.es/gazeta/dias/1811/11/14/pdfs/GMD-1811-318.pdf#page=5","Abrir facsímil")</f>
        <v>Abrir facsímil</v>
      </c>
      <c r="K2826" s="3" t="s">
        <v>150</v>
      </c>
    </row>
    <row r="2827" spans="1:11" ht="42" customHeight="1">
      <c r="A2827" s="2" t="s">
        <v>8095</v>
      </c>
      <c r="B2827" s="2" t="s">
        <v>8096</v>
      </c>
      <c r="C2827" s="2" t="s">
        <v>26</v>
      </c>
      <c r="D2827" s="2" t="s">
        <v>18</v>
      </c>
      <c r="E2827" s="4">
        <v>-32501</v>
      </c>
      <c r="F2827" s="3" t="s">
        <v>509</v>
      </c>
      <c r="G2827" s="3" t="s">
        <v>510</v>
      </c>
      <c r="H2827" s="2" t="s">
        <v>148</v>
      </c>
      <c r="I2827" s="2" t="s">
        <v>8097</v>
      </c>
      <c r="J2827" s="3" t="str">
        <f>HYPERLINK("https://www.boe.es/gazeta/dias/1811/01/05/pdfs/GEI-1811-3.pdf#page=8","Abrir facsímil")</f>
        <v>Abrir facsímil</v>
      </c>
      <c r="K2827" s="3" t="s">
        <v>150</v>
      </c>
    </row>
    <row r="2828" spans="1:11" ht="42" customHeight="1">
      <c r="A2828" s="2" t="s">
        <v>8098</v>
      </c>
      <c r="B2828" s="2" t="s">
        <v>8099</v>
      </c>
      <c r="C2828" s="2" t="s">
        <v>26</v>
      </c>
      <c r="D2828" s="2" t="s">
        <v>141</v>
      </c>
      <c r="E2828" s="4">
        <v>-32280</v>
      </c>
      <c r="F2828" s="3" t="s">
        <v>142</v>
      </c>
      <c r="G2828" s="3" t="s">
        <v>597</v>
      </c>
      <c r="H2828" s="2" t="s">
        <v>148</v>
      </c>
      <c r="I2828" s="2" t="s">
        <v>8100</v>
      </c>
      <c r="J2828" s="3" t="str">
        <f>HYPERLINK("https://www.boe.es/gazeta/dias/1811/08/14/pdfs/GMD-C-1811-226.pdf#page=2","Abrir facsímil")</f>
        <v>Abrir facsímil</v>
      </c>
      <c r="K2828" s="3" t="s">
        <v>150</v>
      </c>
    </row>
    <row r="2829" spans="1:11" ht="42" customHeight="1">
      <c r="A2829" s="2" t="s">
        <v>8101</v>
      </c>
      <c r="B2829" s="2" t="s">
        <v>8102</v>
      </c>
      <c r="C2829" s="2" t="s">
        <v>17</v>
      </c>
      <c r="D2829" s="2" t="s">
        <v>156</v>
      </c>
      <c r="E2829" s="4">
        <v>-32323</v>
      </c>
      <c r="F2829" s="3" t="s">
        <v>2289</v>
      </c>
      <c r="G2829" s="3" t="s">
        <v>331</v>
      </c>
      <c r="H2829" s="2" t="s">
        <v>148</v>
      </c>
      <c r="I2829" s="2" t="s">
        <v>8103</v>
      </c>
      <c r="J2829" s="3" t="str">
        <f>HYPERLINK("https://www.boe.es/gazeta/dias/1811/07/02/pdfs/GMD-1811-183.pdf#page=4","Abrir facsímil")</f>
        <v>Abrir facsímil</v>
      </c>
      <c r="K2829" s="3" t="s">
        <v>150</v>
      </c>
    </row>
    <row r="2830" spans="1:11" ht="42" customHeight="1">
      <c r="A2830" s="2" t="s">
        <v>8104</v>
      </c>
      <c r="B2830" s="2" t="s">
        <v>8105</v>
      </c>
      <c r="C2830" s="2" t="s">
        <v>17</v>
      </c>
      <c r="D2830" s="2" t="s">
        <v>18</v>
      </c>
      <c r="E2830" s="4">
        <v>-32201</v>
      </c>
      <c r="F2830" s="3" t="s">
        <v>2643</v>
      </c>
      <c r="G2830" s="3" t="s">
        <v>1087</v>
      </c>
      <c r="H2830" s="2" t="s">
        <v>148</v>
      </c>
      <c r="I2830" s="2" t="s">
        <v>8106</v>
      </c>
      <c r="J2830" s="3" t="str">
        <f>HYPERLINK("https://www.boe.es/gazeta/dias/1811/11/01/pdfs/GMD-1811-305.pdf#page=4","Abrir facsímil")</f>
        <v>Abrir facsímil</v>
      </c>
      <c r="K2830" s="3" t="s">
        <v>150</v>
      </c>
    </row>
    <row r="2831" spans="1:11" ht="42" customHeight="1">
      <c r="A2831" s="2" t="s">
        <v>8107</v>
      </c>
      <c r="B2831" s="2" t="s">
        <v>8108</v>
      </c>
      <c r="C2831" s="2" t="s">
        <v>26</v>
      </c>
      <c r="D2831" s="2" t="s">
        <v>18</v>
      </c>
      <c r="E2831" s="4">
        <v>-32172</v>
      </c>
      <c r="F2831" s="3" t="s">
        <v>300</v>
      </c>
      <c r="G2831" s="3" t="s">
        <v>301</v>
      </c>
      <c r="H2831" s="2" t="s">
        <v>148</v>
      </c>
      <c r="I2831" s="2" t="s">
        <v>8109</v>
      </c>
      <c r="J2831" s="3" t="str">
        <f>HYPERLINK("https://www.boe.es/gazeta/dias/1811/11/30/pdfs/GMD-1811-334.pdf#page=4","Abrir facsímil")</f>
        <v>Abrir facsímil</v>
      </c>
      <c r="K2831" s="3" t="s">
        <v>150</v>
      </c>
    </row>
    <row r="2832" spans="1:11" ht="42" customHeight="1">
      <c r="A2832" s="2" t="s">
        <v>8110</v>
      </c>
      <c r="B2832" s="2" t="s">
        <v>8111</v>
      </c>
      <c r="C2832" s="2" t="s">
        <v>26</v>
      </c>
      <c r="D2832" s="2" t="s">
        <v>18</v>
      </c>
      <c r="E2832" s="4">
        <v>-32251</v>
      </c>
      <c r="F2832" s="3" t="s">
        <v>726</v>
      </c>
      <c r="G2832" s="3" t="s">
        <v>727</v>
      </c>
      <c r="H2832" s="2" t="s">
        <v>148</v>
      </c>
      <c r="I2832" s="2" t="s">
        <v>8112</v>
      </c>
      <c r="J2832" s="3" t="str">
        <f>HYPERLINK("https://www.boe.es/gazeta/dias/1811/09/12/pdfs/GEI-1811-118.pdf#page=8","Abrir facsímil")</f>
        <v>Abrir facsímil</v>
      </c>
      <c r="K2832" s="3" t="s">
        <v>150</v>
      </c>
    </row>
    <row r="2833" spans="1:11" ht="42" customHeight="1">
      <c r="A2833" s="2" t="s">
        <v>8110</v>
      </c>
      <c r="B2833" s="2" t="s">
        <v>8111</v>
      </c>
      <c r="C2833" s="2" t="s">
        <v>26</v>
      </c>
      <c r="D2833" s="2" t="s">
        <v>18</v>
      </c>
      <c r="E2833" s="4">
        <v>-32228</v>
      </c>
      <c r="F2833" s="3" t="s">
        <v>372</v>
      </c>
      <c r="G2833" s="3" t="s">
        <v>20</v>
      </c>
      <c r="H2833" s="2" t="s">
        <v>148</v>
      </c>
      <c r="I2833" s="2" t="s">
        <v>8113</v>
      </c>
      <c r="J2833" s="3" t="str">
        <f>HYPERLINK("https://www.boe.es/gazeta/dias/1811/10/05/pdfs/GEI-1811-128.pdf#page=8","Abrir facsímil")</f>
        <v>Abrir facsímil</v>
      </c>
      <c r="K2833" s="3" t="s">
        <v>150</v>
      </c>
    </row>
    <row r="2834" spans="1:11" ht="42" customHeight="1">
      <c r="A2834" s="2" t="s">
        <v>8110</v>
      </c>
      <c r="B2834" s="2" t="s">
        <v>8111</v>
      </c>
      <c r="C2834" s="2" t="s">
        <v>26</v>
      </c>
      <c r="D2834" s="2" t="s">
        <v>18</v>
      </c>
      <c r="E2834" s="4">
        <v>-32200</v>
      </c>
      <c r="F2834" s="3" t="s">
        <v>109</v>
      </c>
      <c r="G2834" s="3" t="s">
        <v>586</v>
      </c>
      <c r="H2834" s="2" t="s">
        <v>148</v>
      </c>
      <c r="I2834" s="2" t="s">
        <v>8114</v>
      </c>
      <c r="J2834" s="3" t="str">
        <f>HYPERLINK("https://www.boe.es/gazeta/dias/1811/11/02/pdfs/GEI-1811-141.pdf#page=8","Abrir facsímil")</f>
        <v>Abrir facsímil</v>
      </c>
      <c r="K2834" s="3" t="s">
        <v>150</v>
      </c>
    </row>
    <row r="2835" spans="1:11" ht="42" customHeight="1">
      <c r="A2835" s="2" t="s">
        <v>8115</v>
      </c>
      <c r="B2835" s="2" t="s">
        <v>8116</v>
      </c>
      <c r="C2835" s="2" t="s">
        <v>37</v>
      </c>
      <c r="D2835" s="2" t="s">
        <v>18</v>
      </c>
      <c r="E2835" s="4">
        <v>-32407</v>
      </c>
      <c r="F2835" s="3" t="s">
        <v>38</v>
      </c>
      <c r="G2835" s="3" t="s">
        <v>39</v>
      </c>
      <c r="H2835" s="2" t="s">
        <v>148</v>
      </c>
      <c r="I2835" s="2" t="s">
        <v>8117</v>
      </c>
      <c r="J2835" s="3" t="str">
        <f>HYPERLINK("https://www.boe.es/gazeta/dias/1811/04/09/pdfs/GEI-1811-48.pdf#page=3","Abrir facsímil")</f>
        <v>Abrir facsímil</v>
      </c>
      <c r="K2835" s="3" t="s">
        <v>150</v>
      </c>
    </row>
    <row r="2836" spans="1:11" ht="42" customHeight="1">
      <c r="A2836" s="2" t="s">
        <v>8118</v>
      </c>
      <c r="B2836" s="2" t="s">
        <v>8119</v>
      </c>
      <c r="C2836" s="2" t="s">
        <v>26</v>
      </c>
      <c r="D2836" s="2" t="s">
        <v>18</v>
      </c>
      <c r="E2836" s="4">
        <v>-32242</v>
      </c>
      <c r="F2836" s="3" t="s">
        <v>1295</v>
      </c>
      <c r="G2836" s="3" t="s">
        <v>1296</v>
      </c>
      <c r="H2836" s="2" t="s">
        <v>148</v>
      </c>
      <c r="I2836" s="2" t="s">
        <v>8120</v>
      </c>
      <c r="J2836" s="3" t="str">
        <f>HYPERLINK("https://www.boe.es/gazeta/dias/1811/09/21/pdfs/GEI-1811-122.pdf#page=8","Abrir facsímil")</f>
        <v>Abrir facsímil</v>
      </c>
      <c r="K2836" s="3" t="s">
        <v>150</v>
      </c>
    </row>
    <row r="2837" spans="1:11" ht="42" customHeight="1">
      <c r="A2837" s="2" t="s">
        <v>8121</v>
      </c>
      <c r="B2837" s="2" t="s">
        <v>8122</v>
      </c>
      <c r="C2837" s="2" t="s">
        <v>84</v>
      </c>
      <c r="D2837" s="2" t="s">
        <v>18</v>
      </c>
      <c r="E2837" s="4">
        <v>-32270</v>
      </c>
      <c r="F2837" s="3" t="s">
        <v>431</v>
      </c>
      <c r="G2837" s="3" t="s">
        <v>2658</v>
      </c>
      <c r="H2837" s="2" t="s">
        <v>148</v>
      </c>
      <c r="I2837" s="2" t="s">
        <v>8123</v>
      </c>
      <c r="J2837" s="3" t="str">
        <f>HYPERLINK("https://www.boe.es/gazeta/dias/1811/08/24/pdfs/GEI-1811-110.pdf#page=7","Abrir facsímil")</f>
        <v>Abrir facsímil</v>
      </c>
      <c r="K2837" s="3" t="s">
        <v>150</v>
      </c>
    </row>
    <row r="2838" spans="1:11" ht="42" customHeight="1">
      <c r="A2838" s="2" t="s">
        <v>8124</v>
      </c>
      <c r="B2838" s="2" t="s">
        <v>8125</v>
      </c>
      <c r="C2838" s="2" t="s">
        <v>26</v>
      </c>
      <c r="D2838" s="2" t="s">
        <v>141</v>
      </c>
      <c r="E2838" s="4">
        <v>-32249</v>
      </c>
      <c r="F2838" s="3" t="s">
        <v>743</v>
      </c>
      <c r="G2838" s="3" t="s">
        <v>1021</v>
      </c>
      <c r="H2838" s="2" t="s">
        <v>148</v>
      </c>
      <c r="I2838" s="2" t="s">
        <v>8126</v>
      </c>
      <c r="J2838" s="3" t="str">
        <f>HYPERLINK("https://www.boe.es/gazeta/dias/1811/09/14/pdfs/GMD-C-1811-257.pdf#page=2","Abrir facsímil")</f>
        <v>Abrir facsímil</v>
      </c>
      <c r="K2838" s="3" t="s">
        <v>150</v>
      </c>
    </row>
    <row r="2839" spans="1:11" ht="42" customHeight="1">
      <c r="A2839" s="2" t="s">
        <v>8127</v>
      </c>
      <c r="B2839" s="2" t="s">
        <v>8128</v>
      </c>
      <c r="C2839" s="2" t="s">
        <v>26</v>
      </c>
      <c r="D2839" s="2" t="s">
        <v>141</v>
      </c>
      <c r="E2839" s="4">
        <v>-32249</v>
      </c>
      <c r="F2839" s="3" t="s">
        <v>743</v>
      </c>
      <c r="G2839" s="3" t="s">
        <v>468</v>
      </c>
      <c r="H2839" s="2" t="s">
        <v>148</v>
      </c>
      <c r="I2839" s="2" t="s">
        <v>8129</v>
      </c>
      <c r="J2839" s="3" t="str">
        <f>HYPERLINK("https://www.boe.es/gazeta/dias/1811/09/14/pdfs/GMD-C-1811-257.pdf#page=1","Abrir facsímil")</f>
        <v>Abrir facsímil</v>
      </c>
      <c r="K2839" s="3" t="s">
        <v>150</v>
      </c>
    </row>
    <row r="2840" spans="1:11" ht="42" customHeight="1">
      <c r="A2840" s="2" t="s">
        <v>8130</v>
      </c>
      <c r="B2840" s="2" t="s">
        <v>8131</v>
      </c>
      <c r="C2840" s="2" t="s">
        <v>17</v>
      </c>
      <c r="D2840" s="2" t="s">
        <v>18</v>
      </c>
      <c r="E2840" s="4">
        <v>-32438</v>
      </c>
      <c r="F2840" s="3" t="s">
        <v>114</v>
      </c>
      <c r="G2840" s="3" t="s">
        <v>115</v>
      </c>
      <c r="H2840" s="2" t="s">
        <v>148</v>
      </c>
      <c r="I2840" s="2" t="s">
        <v>8132</v>
      </c>
      <c r="J2840" s="3" t="str">
        <f>HYPERLINK("https://www.boe.es/gazeta/dias/1811/03/09/pdfs/GEI-1811-33.pdf#page=3","Abrir facsímil")</f>
        <v>Abrir facsímil</v>
      </c>
      <c r="K2840" s="3" t="s">
        <v>150</v>
      </c>
    </row>
    <row r="2841" spans="1:11" ht="42" customHeight="1">
      <c r="A2841" s="2" t="s">
        <v>8130</v>
      </c>
      <c r="B2841" s="2" t="s">
        <v>8131</v>
      </c>
      <c r="C2841" s="2" t="s">
        <v>26</v>
      </c>
      <c r="D2841" s="2" t="s">
        <v>18</v>
      </c>
      <c r="E2841" s="4">
        <v>-32242</v>
      </c>
      <c r="F2841" s="3" t="s">
        <v>1295</v>
      </c>
      <c r="G2841" s="3" t="s">
        <v>1296</v>
      </c>
      <c r="H2841" s="2" t="s">
        <v>148</v>
      </c>
      <c r="I2841" s="2" t="s">
        <v>8133</v>
      </c>
      <c r="J2841" s="3" t="str">
        <f>HYPERLINK("https://www.boe.es/gazeta/dias/1811/09/21/pdfs/GEI-1811-122.pdf#page=8","Abrir facsímil")</f>
        <v>Abrir facsímil</v>
      </c>
      <c r="K2841" s="3" t="s">
        <v>150</v>
      </c>
    </row>
    <row r="2842" spans="1:11" ht="42" customHeight="1">
      <c r="A2842" s="2" t="s">
        <v>8134</v>
      </c>
      <c r="B2842" s="2" t="s">
        <v>8135</v>
      </c>
      <c r="C2842" s="2" t="s">
        <v>26</v>
      </c>
      <c r="D2842" s="2" t="s">
        <v>18</v>
      </c>
      <c r="E2842" s="4">
        <v>-32200</v>
      </c>
      <c r="F2842" s="3" t="s">
        <v>109</v>
      </c>
      <c r="G2842" s="3" t="s">
        <v>268</v>
      </c>
      <c r="H2842" s="2" t="s">
        <v>148</v>
      </c>
      <c r="I2842" s="2" t="s">
        <v>8136</v>
      </c>
      <c r="J2842" s="3" t="str">
        <f>HYPERLINK("https://www.boe.es/gazeta/dias/1811/11/02/pdfs/GEI-1811-141.pdf#page=7","Abrir facsímil")</f>
        <v>Abrir facsímil</v>
      </c>
      <c r="K2842" s="3" t="s">
        <v>150</v>
      </c>
    </row>
    <row r="2843" spans="1:11" ht="42" customHeight="1">
      <c r="A2843" s="2" t="s">
        <v>8137</v>
      </c>
      <c r="B2843" s="2" t="s">
        <v>8138</v>
      </c>
      <c r="C2843" s="2" t="s">
        <v>26</v>
      </c>
      <c r="D2843" s="2" t="s">
        <v>18</v>
      </c>
      <c r="E2843" s="4">
        <v>-32344</v>
      </c>
      <c r="F2843" s="3" t="s">
        <v>761</v>
      </c>
      <c r="G2843" s="3" t="s">
        <v>115</v>
      </c>
      <c r="H2843" s="2" t="s">
        <v>21</v>
      </c>
      <c r="I2843" s="2" t="s">
        <v>8139</v>
      </c>
      <c r="J2843" s="3" t="str">
        <f>HYPERLINK("https://www.boe.es/gazeta/dias/1811/06/11/pdfs/GEI-1811-78.pdf#page=3","Abrir facsímil")</f>
        <v>Abrir facsímil</v>
      </c>
      <c r="K2843" s="3" t="s">
        <v>23</v>
      </c>
    </row>
    <row r="2844" spans="1:11" ht="42" customHeight="1">
      <c r="A2844" s="2" t="s">
        <v>8140</v>
      </c>
      <c r="B2844" s="2" t="s">
        <v>8141</v>
      </c>
      <c r="C2844" s="2" t="s">
        <v>17</v>
      </c>
      <c r="D2844" s="2" t="s">
        <v>156</v>
      </c>
      <c r="E2844" s="4">
        <v>-32221</v>
      </c>
      <c r="F2844" s="3" t="s">
        <v>747</v>
      </c>
      <c r="G2844" s="3" t="s">
        <v>39</v>
      </c>
      <c r="H2844" s="2" t="s">
        <v>148</v>
      </c>
      <c r="I2844" s="2" t="s">
        <v>8142</v>
      </c>
      <c r="J2844" s="3" t="str">
        <f>HYPERLINK("https://www.boe.es/gazeta/dias/1811/10/12/pdfs/GEI-1811-131.pdf#page=1","Abrir facsímil")</f>
        <v>Abrir facsímil</v>
      </c>
      <c r="K2844" s="3" t="s">
        <v>150</v>
      </c>
    </row>
    <row r="2845" spans="1:11" ht="42" customHeight="1">
      <c r="A2845" s="2" t="s">
        <v>8143</v>
      </c>
      <c r="B2845" s="2" t="s">
        <v>8144</v>
      </c>
      <c r="C2845" s="2" t="s">
        <v>17</v>
      </c>
      <c r="D2845" s="2" t="s">
        <v>156</v>
      </c>
      <c r="E2845" s="4">
        <v>-32403</v>
      </c>
      <c r="F2845" s="3" t="s">
        <v>1915</v>
      </c>
      <c r="G2845" s="3" t="s">
        <v>4126</v>
      </c>
      <c r="H2845" s="2" t="s">
        <v>148</v>
      </c>
      <c r="I2845" s="2" t="s">
        <v>8145</v>
      </c>
      <c r="J2845" s="3" t="str">
        <f>HYPERLINK("https://www.boe.es/gazeta/dias/1811/04/13/pdfs/GEI-1811-50.pdf#page=8","Abrir facsímil")</f>
        <v>Abrir facsímil</v>
      </c>
      <c r="K2845" s="3" t="s">
        <v>150</v>
      </c>
    </row>
    <row r="2846" spans="1:11" ht="42" customHeight="1">
      <c r="A2846" s="2" t="s">
        <v>8146</v>
      </c>
      <c r="B2846" s="2" t="s">
        <v>8147</v>
      </c>
      <c r="C2846" s="2" t="s">
        <v>17</v>
      </c>
      <c r="D2846" s="2" t="s">
        <v>156</v>
      </c>
      <c r="E2846" s="4">
        <v>-32162</v>
      </c>
      <c r="F2846" s="3" t="s">
        <v>317</v>
      </c>
      <c r="G2846" s="3" t="s">
        <v>318</v>
      </c>
      <c r="H2846" s="2" t="s">
        <v>148</v>
      </c>
      <c r="I2846" s="2" t="s">
        <v>8148</v>
      </c>
      <c r="J2846" s="3" t="str">
        <f>HYPERLINK("https://www.boe.es/gazeta/dias/1811/12/10/pdfs/GEI-1811-160.pdf#page=8","Abrir facsímil")</f>
        <v>Abrir facsímil</v>
      </c>
      <c r="K2846" s="3" t="s">
        <v>150</v>
      </c>
    </row>
    <row r="2847" spans="1:11" ht="42" customHeight="1">
      <c r="A2847" s="2" t="s">
        <v>8149</v>
      </c>
      <c r="B2847" s="2" t="s">
        <v>8150</v>
      </c>
      <c r="C2847" s="2" t="s">
        <v>17</v>
      </c>
      <c r="D2847" s="2" t="s">
        <v>156</v>
      </c>
      <c r="E2847" s="4">
        <v>-32270</v>
      </c>
      <c r="F2847" s="3" t="s">
        <v>431</v>
      </c>
      <c r="G2847" s="3" t="s">
        <v>2080</v>
      </c>
      <c r="H2847" s="2" t="s">
        <v>148</v>
      </c>
      <c r="I2847" s="2" t="s">
        <v>8151</v>
      </c>
      <c r="J2847" s="3" t="str">
        <f>HYPERLINK("https://www.boe.es/gazeta/dias/1811/08/24/pdfs/GEI-1811-110.pdf#page=5","Abrir facsímil")</f>
        <v>Abrir facsímil</v>
      </c>
      <c r="K2847" s="3" t="s">
        <v>150</v>
      </c>
    </row>
    <row r="2848" spans="1:11" ht="42" customHeight="1">
      <c r="A2848" s="2" t="s">
        <v>8152</v>
      </c>
      <c r="B2848" s="2" t="s">
        <v>8153</v>
      </c>
      <c r="C2848" s="2" t="s">
        <v>122</v>
      </c>
      <c r="D2848" s="2" t="s">
        <v>18</v>
      </c>
      <c r="E2848" s="4">
        <v>-32421</v>
      </c>
      <c r="F2848" s="3" t="s">
        <v>79</v>
      </c>
      <c r="G2848" s="3" t="s">
        <v>80</v>
      </c>
      <c r="H2848" s="2" t="s">
        <v>148</v>
      </c>
      <c r="I2848" s="2" t="s">
        <v>8154</v>
      </c>
      <c r="J2848" s="3" t="str">
        <f>HYPERLINK("https://www.boe.es/gazeta/dias/1811/03/26/pdfs/GEI-1811-42.pdf#page=7","Abrir facsímil")</f>
        <v>Abrir facsímil</v>
      </c>
      <c r="K2848" s="3" t="s">
        <v>150</v>
      </c>
    </row>
    <row r="2849" spans="1:11" ht="42" customHeight="1">
      <c r="A2849" s="2" t="s">
        <v>8155</v>
      </c>
      <c r="B2849" s="2" t="s">
        <v>8156</v>
      </c>
      <c r="C2849" s="2" t="s">
        <v>37</v>
      </c>
      <c r="D2849" s="2" t="s">
        <v>105</v>
      </c>
      <c r="E2849" s="4">
        <v>-32235</v>
      </c>
      <c r="F2849" s="3" t="s">
        <v>376</v>
      </c>
      <c r="G2849" s="3" t="s">
        <v>1280</v>
      </c>
      <c r="H2849" s="2" t="s">
        <v>148</v>
      </c>
      <c r="I2849" s="2" t="s">
        <v>8157</v>
      </c>
      <c r="J2849" s="3" t="str">
        <f>HYPERLINK("https://www.boe.es/gazeta/dias/1811/09/28/pdfs/GMD-1811-271.pdf#page=2","Abrir facsímil")</f>
        <v>Abrir facsímil</v>
      </c>
      <c r="K2849" s="3" t="s">
        <v>150</v>
      </c>
    </row>
    <row r="2850" spans="1:11" ht="42" customHeight="1">
      <c r="A2850" s="2" t="s">
        <v>8158</v>
      </c>
      <c r="B2850" s="2" t="s">
        <v>8159</v>
      </c>
      <c r="C2850" s="2" t="s">
        <v>17</v>
      </c>
      <c r="D2850" s="2" t="s">
        <v>18</v>
      </c>
      <c r="E2850" s="4">
        <v>-32200</v>
      </c>
      <c r="F2850" s="3" t="s">
        <v>109</v>
      </c>
      <c r="G2850" s="3" t="s">
        <v>586</v>
      </c>
      <c r="H2850" s="2" t="s">
        <v>148</v>
      </c>
      <c r="I2850" s="2" t="s">
        <v>8160</v>
      </c>
      <c r="J2850" s="3" t="str">
        <f>HYPERLINK("https://www.boe.es/gazeta/dias/1811/11/02/pdfs/GEI-1811-141.pdf#page=8","Abrir facsímil")</f>
        <v>Abrir facsímil</v>
      </c>
      <c r="K2850" s="3" t="s">
        <v>150</v>
      </c>
    </row>
    <row r="2851" spans="1:11" ht="42" customHeight="1">
      <c r="A2851" s="2" t="s">
        <v>8161</v>
      </c>
      <c r="B2851" s="2" t="s">
        <v>8162</v>
      </c>
      <c r="C2851" s="2" t="s">
        <v>26</v>
      </c>
      <c r="D2851" s="2" t="s">
        <v>18</v>
      </c>
      <c r="E2851" s="4">
        <v>-32242</v>
      </c>
      <c r="F2851" s="3" t="s">
        <v>1295</v>
      </c>
      <c r="G2851" s="3" t="s">
        <v>1296</v>
      </c>
      <c r="H2851" s="2" t="s">
        <v>148</v>
      </c>
      <c r="I2851" s="2" t="s">
        <v>8163</v>
      </c>
      <c r="J2851" s="3" t="str">
        <f>HYPERLINK("https://www.boe.es/gazeta/dias/1811/09/21/pdfs/GEI-1811-122.pdf#page=8","Abrir facsímil")</f>
        <v>Abrir facsímil</v>
      </c>
      <c r="K2851" s="3" t="s">
        <v>150</v>
      </c>
    </row>
    <row r="2852" spans="1:11" ht="42" customHeight="1">
      <c r="A2852" s="2" t="s">
        <v>8164</v>
      </c>
      <c r="B2852" s="2" t="s">
        <v>8165</v>
      </c>
      <c r="C2852" s="2" t="s">
        <v>841</v>
      </c>
      <c r="D2852" s="2" t="s">
        <v>141</v>
      </c>
      <c r="E2852" s="4">
        <v>-32396</v>
      </c>
      <c r="F2852" s="3" t="s">
        <v>804</v>
      </c>
      <c r="G2852" s="3" t="s">
        <v>805</v>
      </c>
      <c r="H2852" s="2" t="s">
        <v>148</v>
      </c>
      <c r="I2852" s="2" t="s">
        <v>8166</v>
      </c>
      <c r="J2852" s="3" t="str">
        <f>HYPERLINK("https://www.boe.es/gazeta/dias/1811/04/20/pdfs/GEI-D-1811-53.pdf#page=4","Abrir facsímil")</f>
        <v>Abrir facsímil</v>
      </c>
      <c r="K2852" s="3" t="s">
        <v>150</v>
      </c>
    </row>
    <row r="2853" spans="1:11" ht="42" customHeight="1">
      <c r="A2853" s="2" t="s">
        <v>8167</v>
      </c>
      <c r="B2853" s="2" t="s">
        <v>8168</v>
      </c>
      <c r="C2853" s="2" t="s">
        <v>17</v>
      </c>
      <c r="D2853" s="2" t="s">
        <v>156</v>
      </c>
      <c r="E2853" s="4">
        <v>-32235</v>
      </c>
      <c r="F2853" s="3" t="s">
        <v>190</v>
      </c>
      <c r="G2853" s="3" t="s">
        <v>188</v>
      </c>
      <c r="H2853" s="2" t="s">
        <v>148</v>
      </c>
      <c r="I2853" s="2" t="s">
        <v>8169</v>
      </c>
      <c r="J2853" s="3" t="str">
        <f>HYPERLINK("https://www.boe.es/gazeta/dias/1811/09/28/pdfs/GEI-1811-125.pdf#page=8","Abrir facsímil")</f>
        <v>Abrir facsímil</v>
      </c>
      <c r="K2853" s="3" t="s">
        <v>150</v>
      </c>
    </row>
    <row r="2854" spans="1:11" ht="42" customHeight="1">
      <c r="A2854" s="2" t="s">
        <v>8170</v>
      </c>
      <c r="B2854" s="2" t="s">
        <v>8170</v>
      </c>
      <c r="C2854" s="2" t="s">
        <v>26</v>
      </c>
      <c r="D2854" s="2" t="s">
        <v>18</v>
      </c>
      <c r="E2854" s="4">
        <v>-32193</v>
      </c>
      <c r="F2854" s="3" t="s">
        <v>6497</v>
      </c>
      <c r="G2854" s="3" t="s">
        <v>245</v>
      </c>
      <c r="H2854" s="2" t="s">
        <v>148</v>
      </c>
      <c r="I2854" s="2" t="s">
        <v>8171</v>
      </c>
      <c r="J2854" s="3" t="str">
        <f>HYPERLINK("https://www.boe.es/gazeta/dias/1811/11/09/pdfs/GMD-1811-313.pdf#page=3","Abrir facsímil")</f>
        <v>Abrir facsímil</v>
      </c>
      <c r="K2854" s="3" t="s">
        <v>150</v>
      </c>
    </row>
    <row r="2855" spans="1:11" ht="42" customHeight="1">
      <c r="A2855" s="2" t="s">
        <v>8172</v>
      </c>
      <c r="B2855" s="2" t="s">
        <v>8173</v>
      </c>
      <c r="C2855" s="2" t="s">
        <v>26</v>
      </c>
      <c r="D2855" s="2" t="s">
        <v>141</v>
      </c>
      <c r="E2855" s="4">
        <v>-32272</v>
      </c>
      <c r="F2855" s="3" t="s">
        <v>1150</v>
      </c>
      <c r="G2855" s="3" t="s">
        <v>248</v>
      </c>
      <c r="H2855" s="2" t="s">
        <v>148</v>
      </c>
      <c r="I2855" s="2" t="s">
        <v>8174</v>
      </c>
      <c r="J2855" s="3" t="str">
        <f>HYPERLINK("https://www.boe.es/gazeta/dias/1811/08/22/pdfs/GMD-C-1811-234.pdf#page=1","Abrir facsímil")</f>
        <v>Abrir facsímil</v>
      </c>
      <c r="K2855" s="3" t="s">
        <v>150</v>
      </c>
    </row>
    <row r="2856" spans="1:11" ht="42" customHeight="1">
      <c r="A2856" s="2" t="s">
        <v>8175</v>
      </c>
      <c r="B2856" s="2" t="s">
        <v>8176</v>
      </c>
      <c r="C2856" s="2" t="s">
        <v>26</v>
      </c>
      <c r="D2856" s="2" t="s">
        <v>18</v>
      </c>
      <c r="E2856" s="4">
        <v>-32297</v>
      </c>
      <c r="F2856" s="3" t="s">
        <v>2174</v>
      </c>
      <c r="G2856" s="3" t="s">
        <v>183</v>
      </c>
      <c r="H2856" s="2" t="s">
        <v>148</v>
      </c>
      <c r="I2856" s="2" t="s">
        <v>8177</v>
      </c>
      <c r="J2856" s="3" t="str">
        <f>HYPERLINK("https://www.boe.es/gazeta/dias/1811/07/28/pdfs/GMD-1811-209.pdf#page=4","Abrir facsímil")</f>
        <v>Abrir facsímil</v>
      </c>
      <c r="K2856" s="3" t="s">
        <v>150</v>
      </c>
    </row>
    <row r="2857" spans="1:11" ht="42" customHeight="1">
      <c r="A2857" s="2" t="s">
        <v>8178</v>
      </c>
      <c r="B2857" s="2" t="s">
        <v>8179</v>
      </c>
      <c r="C2857" s="2" t="s">
        <v>26</v>
      </c>
      <c r="D2857" s="2" t="s">
        <v>18</v>
      </c>
      <c r="E2857" s="4">
        <v>-32188</v>
      </c>
      <c r="F2857" s="3" t="s">
        <v>356</v>
      </c>
      <c r="G2857" s="3" t="s">
        <v>248</v>
      </c>
      <c r="H2857" s="2" t="s">
        <v>148</v>
      </c>
      <c r="I2857" s="2" t="s">
        <v>8180</v>
      </c>
      <c r="J2857" s="3" t="str">
        <f>HYPERLINK("https://www.boe.es/gazeta/dias/1811/11/14/pdfs/GMD-1811-318.pdf#page=5","Abrir facsímil")</f>
        <v>Abrir facsímil</v>
      </c>
      <c r="K2857" s="3" t="s">
        <v>150</v>
      </c>
    </row>
    <row r="2858" spans="1:11" ht="42" customHeight="1">
      <c r="A2858" s="2" t="s">
        <v>8181</v>
      </c>
      <c r="B2858" s="2" t="s">
        <v>8182</v>
      </c>
      <c r="C2858" s="2" t="s">
        <v>26</v>
      </c>
      <c r="D2858" s="2" t="s">
        <v>18</v>
      </c>
      <c r="E2858" s="4">
        <v>-32489</v>
      </c>
      <c r="F2858" s="3" t="s">
        <v>2073</v>
      </c>
      <c r="G2858" s="3" t="s">
        <v>44</v>
      </c>
      <c r="H2858" s="2" t="s">
        <v>148</v>
      </c>
      <c r="I2858" s="2" t="s">
        <v>8183</v>
      </c>
      <c r="J2858" s="3" t="str">
        <f>HYPERLINK("https://www.boe.es/gazeta/dias/1811/01/17/pdfs/GEI-1811-8.pdf#page=8","Abrir facsímil")</f>
        <v>Abrir facsímil</v>
      </c>
      <c r="K2858" s="3" t="s">
        <v>150</v>
      </c>
    </row>
    <row r="2859" spans="1:11" ht="42" customHeight="1">
      <c r="A2859" s="2" t="s">
        <v>8184</v>
      </c>
      <c r="B2859" s="2" t="s">
        <v>8185</v>
      </c>
      <c r="C2859" s="2" t="s">
        <v>17</v>
      </c>
      <c r="D2859" s="2" t="s">
        <v>18</v>
      </c>
      <c r="E2859" s="4">
        <v>-32251</v>
      </c>
      <c r="F2859" s="3" t="s">
        <v>726</v>
      </c>
      <c r="G2859" s="3" t="s">
        <v>20</v>
      </c>
      <c r="H2859" s="2" t="s">
        <v>148</v>
      </c>
      <c r="I2859" s="2" t="s">
        <v>8186</v>
      </c>
      <c r="J2859" s="3" t="str">
        <f>HYPERLINK("https://www.boe.es/gazeta/dias/1811/09/12/pdfs/GEI-1811-118.pdf#page=4","Abrir facsímil")</f>
        <v>Abrir facsímil</v>
      </c>
      <c r="K2859" s="3" t="s">
        <v>150</v>
      </c>
    </row>
    <row r="2860" spans="1:11" ht="42" customHeight="1">
      <c r="A2860" s="2" t="s">
        <v>8187</v>
      </c>
      <c r="B2860" s="2" t="s">
        <v>8188</v>
      </c>
      <c r="C2860" s="2" t="s">
        <v>26</v>
      </c>
      <c r="D2860" s="2" t="s">
        <v>18</v>
      </c>
      <c r="E2860" s="4">
        <v>-32489</v>
      </c>
      <c r="F2860" s="3" t="s">
        <v>2073</v>
      </c>
      <c r="G2860" s="3" t="s">
        <v>44</v>
      </c>
      <c r="H2860" s="2" t="s">
        <v>148</v>
      </c>
      <c r="I2860" s="2" t="s">
        <v>8189</v>
      </c>
      <c r="J2860" s="3" t="str">
        <f>HYPERLINK("https://www.boe.es/gazeta/dias/1811/01/17/pdfs/GEI-1811-8.pdf#page=8","Abrir facsímil")</f>
        <v>Abrir facsímil</v>
      </c>
      <c r="K2860" s="3" t="s">
        <v>150</v>
      </c>
    </row>
    <row r="2861" spans="1:11" ht="42" customHeight="1">
      <c r="A2861" s="2" t="s">
        <v>8190</v>
      </c>
      <c r="B2861" s="2" t="s">
        <v>8191</v>
      </c>
      <c r="C2861" s="2" t="s">
        <v>26</v>
      </c>
      <c r="D2861" s="2" t="s">
        <v>141</v>
      </c>
      <c r="E2861" s="4">
        <v>-32396</v>
      </c>
      <c r="F2861" s="3" t="s">
        <v>804</v>
      </c>
      <c r="G2861" s="3" t="s">
        <v>805</v>
      </c>
      <c r="H2861" s="2" t="s">
        <v>148</v>
      </c>
      <c r="I2861" s="2" t="s">
        <v>8192</v>
      </c>
      <c r="J2861" s="3" t="str">
        <f>HYPERLINK("https://www.boe.es/gazeta/dias/1811/04/20/pdfs/GEI-D-1811-53.pdf#page=4","Abrir facsímil")</f>
        <v>Abrir facsímil</v>
      </c>
      <c r="K2861" s="3" t="s">
        <v>150</v>
      </c>
    </row>
    <row r="2862" spans="1:11" ht="42" customHeight="1">
      <c r="A2862" s="2" t="s">
        <v>8193</v>
      </c>
      <c r="B2862" s="2" t="s">
        <v>8194</v>
      </c>
      <c r="C2862" s="2" t="s">
        <v>26</v>
      </c>
      <c r="D2862" s="2" t="s">
        <v>18</v>
      </c>
      <c r="E2862" s="4">
        <v>-32153</v>
      </c>
      <c r="F2862" s="3" t="s">
        <v>123</v>
      </c>
      <c r="G2862" s="3" t="s">
        <v>288</v>
      </c>
      <c r="H2862" s="2" t="s">
        <v>148</v>
      </c>
      <c r="I2862" s="2" t="s">
        <v>8195</v>
      </c>
      <c r="J2862" s="3" t="str">
        <f>HYPERLINK("https://www.boe.es/gazeta/dias/1811/12/19/pdfs/GMD-1811-353.pdf#page=4","Abrir facsímil")</f>
        <v>Abrir facsímil</v>
      </c>
      <c r="K2862" s="3" t="s">
        <v>150</v>
      </c>
    </row>
    <row r="2863" spans="1:11" ht="42" customHeight="1">
      <c r="A2863" s="2" t="s">
        <v>8196</v>
      </c>
      <c r="B2863" s="2" t="s">
        <v>8197</v>
      </c>
      <c r="C2863" s="2" t="s">
        <v>26</v>
      </c>
      <c r="D2863" s="2" t="s">
        <v>18</v>
      </c>
      <c r="E2863" s="4">
        <v>-32471</v>
      </c>
      <c r="F2863" s="3" t="s">
        <v>1571</v>
      </c>
      <c r="G2863" s="3" t="s">
        <v>530</v>
      </c>
      <c r="H2863" s="2" t="s">
        <v>148</v>
      </c>
      <c r="I2863" s="2" t="s">
        <v>8198</v>
      </c>
      <c r="J2863" s="3" t="str">
        <f>HYPERLINK("https://www.boe.es/gazeta/dias/1811/02/04/pdfs/GMD-1811-35.pdf#page=3","Abrir facsímil")</f>
        <v>Abrir facsímil</v>
      </c>
      <c r="K2863" s="3" t="s">
        <v>150</v>
      </c>
    </row>
    <row r="2864" spans="1:11" ht="42" customHeight="1">
      <c r="A2864" s="2" t="s">
        <v>8199</v>
      </c>
      <c r="B2864" s="2" t="s">
        <v>8200</v>
      </c>
      <c r="C2864" s="2" t="s">
        <v>17</v>
      </c>
      <c r="D2864" s="2" t="s">
        <v>18</v>
      </c>
      <c r="E2864" s="4">
        <v>-32193</v>
      </c>
      <c r="F2864" s="3" t="s">
        <v>1037</v>
      </c>
      <c r="G2864" s="3" t="s">
        <v>44</v>
      </c>
      <c r="H2864" s="2" t="s">
        <v>148</v>
      </c>
      <c r="I2864" s="2" t="s">
        <v>8201</v>
      </c>
      <c r="J2864" s="3" t="str">
        <f>HYPERLINK("https://www.boe.es/gazeta/dias/1811/11/09/pdfs/GEI-1811-145.pdf#page=4","Abrir facsímil")</f>
        <v>Abrir facsímil</v>
      </c>
      <c r="K2864" s="3" t="s">
        <v>150</v>
      </c>
    </row>
    <row r="2865" spans="1:11" ht="42" customHeight="1">
      <c r="A2865" s="2" t="s">
        <v>8202</v>
      </c>
      <c r="B2865" s="2" t="s">
        <v>8202</v>
      </c>
      <c r="C2865" s="2" t="s">
        <v>17</v>
      </c>
      <c r="D2865" s="2" t="s">
        <v>18</v>
      </c>
      <c r="E2865" s="4">
        <v>-32364</v>
      </c>
      <c r="F2865" s="3" t="s">
        <v>2783</v>
      </c>
      <c r="G2865" s="3" t="s">
        <v>440</v>
      </c>
      <c r="H2865" s="2" t="s">
        <v>148</v>
      </c>
      <c r="I2865" s="2" t="s">
        <v>8203</v>
      </c>
      <c r="J2865" s="3" t="str">
        <f>HYPERLINK("https://www.boe.es/gazeta/dias/1811/05/22/pdfs/GMD-1811-142.pdf#page=2","Abrir facsímil")</f>
        <v>Abrir facsímil</v>
      </c>
      <c r="K2865" s="3" t="s">
        <v>150</v>
      </c>
    </row>
    <row r="2866" spans="1:11" ht="42" customHeight="1">
      <c r="A2866" s="2" t="s">
        <v>8204</v>
      </c>
      <c r="B2866" s="2" t="s">
        <v>8204</v>
      </c>
      <c r="C2866" s="2" t="s">
        <v>17</v>
      </c>
      <c r="D2866" s="2" t="s">
        <v>18</v>
      </c>
      <c r="E2866" s="4">
        <v>-32317</v>
      </c>
      <c r="F2866" s="3" t="s">
        <v>2313</v>
      </c>
      <c r="G2866" s="3" t="s">
        <v>178</v>
      </c>
      <c r="H2866" s="2" t="s">
        <v>148</v>
      </c>
      <c r="I2866" s="2" t="s">
        <v>8205</v>
      </c>
      <c r="J2866" s="3" t="str">
        <f>HYPERLINK("https://www.boe.es/gazeta/dias/1811/07/08/pdfs/GMD-1811-189.pdf#page=4","Abrir facsímil")</f>
        <v>Abrir facsímil</v>
      </c>
      <c r="K2866" s="3" t="s">
        <v>150</v>
      </c>
    </row>
    <row r="2867" spans="1:11" ht="42" customHeight="1">
      <c r="A2867" s="2" t="s">
        <v>8206</v>
      </c>
      <c r="B2867" s="2" t="s">
        <v>8206</v>
      </c>
      <c r="C2867" s="2" t="s">
        <v>37</v>
      </c>
      <c r="D2867" s="2" t="s">
        <v>18</v>
      </c>
      <c r="E2867" s="4">
        <v>-32358</v>
      </c>
      <c r="F2867" s="3" t="s">
        <v>3186</v>
      </c>
      <c r="G2867" s="3" t="s">
        <v>4049</v>
      </c>
      <c r="H2867" s="2" t="s">
        <v>148</v>
      </c>
      <c r="I2867" s="2" t="s">
        <v>8207</v>
      </c>
      <c r="J2867" s="3" t="str">
        <f>HYPERLINK("https://www.boe.es/gazeta/dias/1811/05/28/pdfs/GMD-1811-148.pdf#page=4","Abrir facsímil")</f>
        <v>Abrir facsímil</v>
      </c>
      <c r="K2867" s="3" t="s">
        <v>150</v>
      </c>
    </row>
    <row r="2868" spans="1:11" ht="42" customHeight="1">
      <c r="A2868" s="2" t="s">
        <v>8208</v>
      </c>
      <c r="B2868" s="2" t="s">
        <v>8209</v>
      </c>
      <c r="C2868" s="2" t="s">
        <v>26</v>
      </c>
      <c r="D2868" s="2" t="s">
        <v>105</v>
      </c>
      <c r="E2868" s="4">
        <v>-32272</v>
      </c>
      <c r="F2868" s="3" t="s">
        <v>1150</v>
      </c>
      <c r="G2868" s="3" t="s">
        <v>468</v>
      </c>
      <c r="H2868" s="2" t="s">
        <v>148</v>
      </c>
      <c r="I2868" s="2" t="s">
        <v>8210</v>
      </c>
      <c r="J2868" s="3" t="str">
        <f>HYPERLINK("https://www.boe.es/gazeta/dias/1811/08/22/pdfs/GMD-C-1811-234.pdf#page=2","Abrir facsímil")</f>
        <v>Abrir facsímil</v>
      </c>
      <c r="K2868" s="3" t="s">
        <v>150</v>
      </c>
    </row>
    <row r="2869" spans="1:11" ht="42" customHeight="1">
      <c r="A2869" s="2" t="s">
        <v>8211</v>
      </c>
      <c r="B2869" s="2" t="s">
        <v>8211</v>
      </c>
      <c r="C2869" s="2" t="s">
        <v>17</v>
      </c>
      <c r="D2869" s="2" t="s">
        <v>18</v>
      </c>
      <c r="E2869" s="4">
        <v>-32185</v>
      </c>
      <c r="F2869" s="3" t="s">
        <v>1329</v>
      </c>
      <c r="G2869" s="3" t="s">
        <v>120</v>
      </c>
      <c r="H2869" s="2" t="s">
        <v>148</v>
      </c>
      <c r="I2869" s="2" t="s">
        <v>8212</v>
      </c>
      <c r="J2869" s="3" t="str">
        <f>HYPERLINK("https://www.boe.es/gazeta/dias/1811/11/17/pdfs/GMD-1811-321.pdf#page=4","Abrir facsímil")</f>
        <v>Abrir facsímil</v>
      </c>
      <c r="K2869" s="3" t="s">
        <v>150</v>
      </c>
    </row>
    <row r="2870" spans="1:11" ht="42" customHeight="1">
      <c r="A2870" s="2" t="s">
        <v>8213</v>
      </c>
      <c r="B2870" s="2" t="s">
        <v>8214</v>
      </c>
      <c r="C2870" s="2" t="s">
        <v>17</v>
      </c>
      <c r="D2870" s="2" t="s">
        <v>156</v>
      </c>
      <c r="E2870" s="4">
        <v>-32494</v>
      </c>
      <c r="F2870" s="3" t="s">
        <v>3050</v>
      </c>
      <c r="G2870" s="3" t="s">
        <v>3619</v>
      </c>
      <c r="H2870" s="2" t="s">
        <v>148</v>
      </c>
      <c r="I2870" s="2" t="s">
        <v>8215</v>
      </c>
      <c r="J2870" s="3" t="str">
        <f>HYPERLINK("https://www.boe.es/gazeta/dias/1811/01/12/pdfs/GEI-1811-6.pdf#page=8","Abrir facsímil")</f>
        <v>Abrir facsímil</v>
      </c>
      <c r="K2870" s="3" t="s">
        <v>150</v>
      </c>
    </row>
    <row r="2871" spans="1:11" ht="42" customHeight="1">
      <c r="A2871" s="2" t="s">
        <v>8216</v>
      </c>
      <c r="B2871" s="2" t="s">
        <v>8216</v>
      </c>
      <c r="C2871" s="2" t="s">
        <v>17</v>
      </c>
      <c r="D2871" s="2" t="s">
        <v>18</v>
      </c>
      <c r="E2871" s="4">
        <v>-32462</v>
      </c>
      <c r="F2871" s="3" t="s">
        <v>8217</v>
      </c>
      <c r="G2871" s="3" t="s">
        <v>3105</v>
      </c>
      <c r="H2871" s="2" t="s">
        <v>148</v>
      </c>
      <c r="I2871" s="2" t="s">
        <v>8218</v>
      </c>
      <c r="J2871" s="3" t="str">
        <f>HYPERLINK("https://www.boe.es/gazeta/dias/1811/02/13/pdfs/GMD-1811-44.pdf#page=1","Abrir facsímil")</f>
        <v>Abrir facsímil</v>
      </c>
      <c r="K2871" s="3" t="s">
        <v>150</v>
      </c>
    </row>
    <row r="2872" spans="1:11" ht="42" customHeight="1">
      <c r="A2872" s="2" t="s">
        <v>8219</v>
      </c>
      <c r="B2872" s="2" t="s">
        <v>8220</v>
      </c>
      <c r="C2872" s="2" t="s">
        <v>367</v>
      </c>
      <c r="D2872" s="2" t="s">
        <v>18</v>
      </c>
      <c r="E2872" s="4">
        <v>-32153</v>
      </c>
      <c r="F2872" s="3" t="s">
        <v>123</v>
      </c>
      <c r="G2872" s="3" t="s">
        <v>288</v>
      </c>
      <c r="H2872" s="2" t="s">
        <v>148</v>
      </c>
      <c r="I2872" s="2" t="s">
        <v>8221</v>
      </c>
      <c r="J2872" s="3" t="str">
        <f>HYPERLINK("https://www.boe.es/gazeta/dias/1811/12/19/pdfs/GMD-1811-353.pdf#page=4","Abrir facsímil")</f>
        <v>Abrir facsímil</v>
      </c>
      <c r="K2872" s="3" t="s">
        <v>150</v>
      </c>
    </row>
    <row r="2873" spans="1:11" ht="42" customHeight="1">
      <c r="A2873" s="2" t="s">
        <v>8222</v>
      </c>
      <c r="B2873" s="2" t="s">
        <v>8222</v>
      </c>
      <c r="C2873" s="2" t="s">
        <v>17</v>
      </c>
      <c r="D2873" s="2" t="s">
        <v>18</v>
      </c>
      <c r="E2873" s="4">
        <v>-32458</v>
      </c>
      <c r="F2873" s="3" t="s">
        <v>8223</v>
      </c>
      <c r="G2873" s="3" t="s">
        <v>162</v>
      </c>
      <c r="H2873" s="2" t="s">
        <v>148</v>
      </c>
      <c r="I2873" s="2" t="s">
        <v>8224</v>
      </c>
      <c r="J2873" s="3" t="str">
        <f>HYPERLINK("https://www.boe.es/gazeta/dias/1811/02/17/pdfs/GMD-1811-48.pdf#page=3","Abrir facsímil")</f>
        <v>Abrir facsímil</v>
      </c>
      <c r="K2873" s="3" t="s">
        <v>150</v>
      </c>
    </row>
    <row r="2874" spans="1:11" ht="42" customHeight="1">
      <c r="A2874" s="2" t="s">
        <v>8225</v>
      </c>
      <c r="B2874" s="2" t="s">
        <v>8225</v>
      </c>
      <c r="C2874" s="2" t="s">
        <v>37</v>
      </c>
      <c r="D2874" s="2" t="s">
        <v>18</v>
      </c>
      <c r="E2874" s="4">
        <v>-32386</v>
      </c>
      <c r="F2874" s="3" t="s">
        <v>6053</v>
      </c>
      <c r="G2874" s="3" t="s">
        <v>8226</v>
      </c>
      <c r="H2874" s="2" t="s">
        <v>148</v>
      </c>
      <c r="I2874" s="2" t="s">
        <v>8227</v>
      </c>
      <c r="J2874" s="3" t="str">
        <f>HYPERLINK("https://www.boe.es/gazeta/dias/1811/04/30/pdfs/GMD-1811-120.pdf#page=1","Abrir facsímil")</f>
        <v>Abrir facsímil</v>
      </c>
      <c r="K2874" s="3" t="s">
        <v>150</v>
      </c>
    </row>
    <row r="2875" spans="1:11" ht="42" customHeight="1">
      <c r="A2875" s="2" t="s">
        <v>8228</v>
      </c>
      <c r="B2875" s="2" t="s">
        <v>8229</v>
      </c>
      <c r="C2875" s="2" t="s">
        <v>17</v>
      </c>
      <c r="D2875" s="2" t="s">
        <v>141</v>
      </c>
      <c r="E2875" s="4">
        <v>-32188</v>
      </c>
      <c r="F2875" s="3" t="s">
        <v>505</v>
      </c>
      <c r="G2875" s="3" t="s">
        <v>47</v>
      </c>
      <c r="H2875" s="2" t="s">
        <v>148</v>
      </c>
      <c r="I2875" s="2" t="s">
        <v>8230</v>
      </c>
      <c r="J2875" s="3" t="str">
        <f>HYPERLINK("https://www.boe.es/gazeta/dias/1811/11/14/pdfs/GEI-D-1811-149.pdf#page=3","Abrir facsímil")</f>
        <v>Abrir facsímil</v>
      </c>
      <c r="K2875" s="3" t="s">
        <v>150</v>
      </c>
    </row>
    <row r="2876" spans="1:11" ht="42" customHeight="1">
      <c r="A2876" s="2" t="s">
        <v>8231</v>
      </c>
      <c r="B2876" s="2" t="s">
        <v>8232</v>
      </c>
      <c r="C2876" s="2" t="s">
        <v>84</v>
      </c>
      <c r="D2876" s="2" t="s">
        <v>18</v>
      </c>
      <c r="E2876" s="4">
        <v>-32181</v>
      </c>
      <c r="F2876" s="3" t="s">
        <v>1169</v>
      </c>
      <c r="G2876" s="3" t="s">
        <v>1170</v>
      </c>
      <c r="H2876" s="2" t="s">
        <v>148</v>
      </c>
      <c r="I2876" s="2" t="s">
        <v>8233</v>
      </c>
      <c r="J2876" s="3" t="str">
        <f>HYPERLINK("https://www.boe.es/gazeta/dias/1811/11/21/pdfs/GMD-1811-325.pdf#page=4","Abrir facsímil")</f>
        <v>Abrir facsímil</v>
      </c>
      <c r="K2876" s="3" t="s">
        <v>150</v>
      </c>
    </row>
    <row r="2877" spans="1:11" ht="42" customHeight="1">
      <c r="A2877" s="2" t="s">
        <v>8234</v>
      </c>
      <c r="B2877" s="2" t="s">
        <v>8235</v>
      </c>
      <c r="C2877" s="2" t="s">
        <v>37</v>
      </c>
      <c r="D2877" s="2" t="s">
        <v>156</v>
      </c>
      <c r="E2877" s="4">
        <v>-32389</v>
      </c>
      <c r="F2877" s="3" t="s">
        <v>524</v>
      </c>
      <c r="G2877" s="3" t="s">
        <v>525</v>
      </c>
      <c r="H2877" s="2" t="s">
        <v>148</v>
      </c>
      <c r="I2877" s="2" t="s">
        <v>8236</v>
      </c>
      <c r="J2877" s="3" t="str">
        <f>HYPERLINK("https://www.boe.es/gazeta/dias/1811/04/27/pdfs/GEI-D-1811-56.pdf#page=4","Abrir facsímil")</f>
        <v>Abrir facsímil</v>
      </c>
      <c r="K2877" s="3" t="s">
        <v>150</v>
      </c>
    </row>
    <row r="2878" spans="1:11" ht="42" customHeight="1">
      <c r="A2878" s="2" t="s">
        <v>8237</v>
      </c>
      <c r="B2878" s="2" t="s">
        <v>8238</v>
      </c>
      <c r="C2878" s="2" t="s">
        <v>26</v>
      </c>
      <c r="D2878" s="2" t="s">
        <v>141</v>
      </c>
      <c r="E2878" s="4">
        <v>-32238</v>
      </c>
      <c r="F2878" s="3" t="s">
        <v>166</v>
      </c>
      <c r="G2878" s="3" t="s">
        <v>129</v>
      </c>
      <c r="H2878" s="2" t="s">
        <v>148</v>
      </c>
      <c r="I2878" s="2" t="s">
        <v>8239</v>
      </c>
      <c r="J2878" s="3" t="str">
        <f>HYPERLINK("https://www.boe.es/gazeta/dias/1811/09/25/pdfs/GMD-C-1811-268.pdf#page=1","Abrir facsímil")</f>
        <v>Abrir facsímil</v>
      </c>
      <c r="K2878" s="3" t="s">
        <v>150</v>
      </c>
    </row>
    <row r="2879" spans="1:11" ht="42" customHeight="1">
      <c r="A2879" s="2" t="s">
        <v>8240</v>
      </c>
      <c r="B2879" s="2" t="s">
        <v>8240</v>
      </c>
      <c r="C2879" s="2" t="s">
        <v>17</v>
      </c>
      <c r="D2879" s="2" t="s">
        <v>18</v>
      </c>
      <c r="E2879" s="4">
        <v>-32458</v>
      </c>
      <c r="F2879" s="3" t="s">
        <v>8223</v>
      </c>
      <c r="G2879" s="3" t="s">
        <v>468</v>
      </c>
      <c r="H2879" s="2" t="s">
        <v>148</v>
      </c>
      <c r="I2879" s="2" t="s">
        <v>8241</v>
      </c>
      <c r="J2879" s="3" t="str">
        <f>HYPERLINK("https://www.boe.es/gazeta/dias/1811/02/17/pdfs/GMD-1811-48.pdf#page=4","Abrir facsímil")</f>
        <v>Abrir facsímil</v>
      </c>
      <c r="K2879" s="3" t="s">
        <v>150</v>
      </c>
    </row>
    <row r="2880" spans="1:11" ht="42" customHeight="1">
      <c r="A2880" s="2" t="s">
        <v>8242</v>
      </c>
      <c r="B2880" s="2" t="s">
        <v>8242</v>
      </c>
      <c r="C2880" s="2" t="s">
        <v>17</v>
      </c>
      <c r="D2880" s="2" t="s">
        <v>18</v>
      </c>
      <c r="E2880" s="4">
        <v>-32458</v>
      </c>
      <c r="F2880" s="3" t="s">
        <v>8223</v>
      </c>
      <c r="G2880" s="3" t="s">
        <v>468</v>
      </c>
      <c r="H2880" s="2" t="s">
        <v>148</v>
      </c>
      <c r="I2880" s="2" t="s">
        <v>8243</v>
      </c>
      <c r="J2880" s="3" t="str">
        <f>HYPERLINK("https://www.boe.es/gazeta/dias/1811/02/17/pdfs/GMD-1811-48.pdf#page=4","Abrir facsímil")</f>
        <v>Abrir facsímil</v>
      </c>
      <c r="K2880" s="3" t="s">
        <v>150</v>
      </c>
    </row>
    <row r="2881" spans="1:11" ht="42" customHeight="1">
      <c r="A2881" s="2" t="s">
        <v>8244</v>
      </c>
      <c r="B2881" s="2" t="s">
        <v>8245</v>
      </c>
      <c r="C2881" s="2" t="s">
        <v>26</v>
      </c>
      <c r="D2881" s="2" t="s">
        <v>18</v>
      </c>
      <c r="E2881" s="4">
        <v>-32489</v>
      </c>
      <c r="F2881" s="3" t="s">
        <v>2073</v>
      </c>
      <c r="G2881" s="3" t="s">
        <v>44</v>
      </c>
      <c r="H2881" s="2" t="s">
        <v>148</v>
      </c>
      <c r="I2881" s="2" t="s">
        <v>8246</v>
      </c>
      <c r="J2881" s="3" t="str">
        <f>HYPERLINK("https://www.boe.es/gazeta/dias/1811/01/17/pdfs/GEI-1811-8.pdf#page=8","Abrir facsímil")</f>
        <v>Abrir facsímil</v>
      </c>
      <c r="K2881" s="3" t="s">
        <v>150</v>
      </c>
    </row>
    <row r="2882" spans="1:11" ht="42" customHeight="1">
      <c r="A2882" s="2" t="s">
        <v>8247</v>
      </c>
      <c r="B2882" s="2" t="s">
        <v>8247</v>
      </c>
      <c r="C2882" s="2" t="s">
        <v>26</v>
      </c>
      <c r="D2882" s="2" t="s">
        <v>204</v>
      </c>
      <c r="E2882" s="4">
        <v>-32396</v>
      </c>
      <c r="F2882" s="3" t="s">
        <v>2393</v>
      </c>
      <c r="G2882" s="3" t="s">
        <v>3853</v>
      </c>
      <c r="H2882" s="2" t="s">
        <v>148</v>
      </c>
      <c r="I2882" s="2" t="s">
        <v>8248</v>
      </c>
      <c r="J2882" s="3" t="str">
        <f>HYPERLINK("https://www.boe.es/gazeta/dias/1811/04/20/pdfs/GEI-1811-53.pdf#page=4","Abrir facsímil")</f>
        <v>Abrir facsímil</v>
      </c>
      <c r="K2882" s="3" t="s">
        <v>150</v>
      </c>
    </row>
    <row r="2883" spans="1:11" ht="42" customHeight="1">
      <c r="A2883" s="2" t="s">
        <v>8247</v>
      </c>
      <c r="B2883" s="2" t="s">
        <v>8247</v>
      </c>
      <c r="C2883" s="2" t="s">
        <v>17</v>
      </c>
      <c r="D2883" s="2" t="s">
        <v>156</v>
      </c>
      <c r="E2883" s="4">
        <v>-32321</v>
      </c>
      <c r="F2883" s="3" t="s">
        <v>1829</v>
      </c>
      <c r="G2883" s="3" t="s">
        <v>1830</v>
      </c>
      <c r="H2883" s="2" t="s">
        <v>148</v>
      </c>
      <c r="I2883" s="2" t="s">
        <v>8249</v>
      </c>
      <c r="J2883" s="3" t="str">
        <f>HYPERLINK("https://www.boe.es/gazeta/dias/1811/07/04/pdfs/GEI-1811-88.pdf#page=3","Abrir facsímil")</f>
        <v>Abrir facsímil</v>
      </c>
      <c r="K2883" s="3" t="s">
        <v>150</v>
      </c>
    </row>
    <row r="2884" spans="1:11" ht="42" customHeight="1">
      <c r="A2884" s="2" t="s">
        <v>8250</v>
      </c>
      <c r="B2884" s="2" t="s">
        <v>8250</v>
      </c>
      <c r="C2884" s="2" t="s">
        <v>17</v>
      </c>
      <c r="D2884" s="2" t="s">
        <v>18</v>
      </c>
      <c r="E2884" s="4">
        <v>-32318</v>
      </c>
      <c r="F2884" s="3" t="s">
        <v>1193</v>
      </c>
      <c r="G2884" s="3" t="s">
        <v>488</v>
      </c>
      <c r="H2884" s="2" t="s">
        <v>148</v>
      </c>
      <c r="I2884" s="2" t="s">
        <v>8251</v>
      </c>
      <c r="J2884" s="3" t="str">
        <f>HYPERLINK("https://www.boe.es/gazeta/dias/1811/07/07/pdfs/GMD-1811-188.pdf#page=3","Abrir facsímil")</f>
        <v>Abrir facsímil</v>
      </c>
      <c r="K2884" s="3" t="s">
        <v>150</v>
      </c>
    </row>
    <row r="2885" spans="1:11" ht="42" customHeight="1">
      <c r="A2885" s="2" t="s">
        <v>8252</v>
      </c>
      <c r="B2885" s="2" t="s">
        <v>8253</v>
      </c>
      <c r="C2885" s="2" t="s">
        <v>367</v>
      </c>
      <c r="D2885" s="2" t="s">
        <v>18</v>
      </c>
      <c r="E2885" s="4">
        <v>-32365</v>
      </c>
      <c r="F2885" s="3" t="s">
        <v>5322</v>
      </c>
      <c r="G2885" s="3" t="s">
        <v>488</v>
      </c>
      <c r="H2885" s="2" t="s">
        <v>148</v>
      </c>
      <c r="I2885" s="2" t="s">
        <v>8254</v>
      </c>
      <c r="J2885" s="3" t="str">
        <f>HYPERLINK("https://www.boe.es/gazeta/dias/1811/05/21/pdfs/GMD-1811-141.pdf#page=2","Abrir facsímil")</f>
        <v>Abrir facsímil</v>
      </c>
      <c r="K2885" s="3" t="s">
        <v>150</v>
      </c>
    </row>
    <row r="2886" spans="1:11" ht="42" customHeight="1">
      <c r="A2886" s="2" t="s">
        <v>8255</v>
      </c>
      <c r="B2886" s="2" t="s">
        <v>8255</v>
      </c>
      <c r="C2886" s="2" t="s">
        <v>17</v>
      </c>
      <c r="D2886" s="2" t="s">
        <v>18</v>
      </c>
      <c r="E2886" s="4">
        <v>-32363</v>
      </c>
      <c r="F2886" s="3" t="s">
        <v>1645</v>
      </c>
      <c r="G2886" s="3" t="s">
        <v>8256</v>
      </c>
      <c r="H2886" s="2" t="s">
        <v>148</v>
      </c>
      <c r="I2886" s="2" t="s">
        <v>8257</v>
      </c>
      <c r="J2886" s="3" t="str">
        <f>HYPERLINK("https://www.boe.es/gazeta/dias/1811/05/23/pdfs/GEI-1811-68.pdf#page=3","Abrir facsímil")</f>
        <v>Abrir facsímil</v>
      </c>
      <c r="K2886" s="3" t="s">
        <v>150</v>
      </c>
    </row>
    <row r="2887" spans="1:11" ht="42" customHeight="1">
      <c r="A2887" s="2" t="s">
        <v>8258</v>
      </c>
      <c r="B2887" s="2" t="s">
        <v>8258</v>
      </c>
      <c r="C2887" s="2" t="s">
        <v>17</v>
      </c>
      <c r="D2887" s="2" t="s">
        <v>156</v>
      </c>
      <c r="E2887" s="4">
        <v>-32495</v>
      </c>
      <c r="F2887" s="3" t="s">
        <v>1681</v>
      </c>
      <c r="G2887" s="3" t="s">
        <v>8259</v>
      </c>
      <c r="H2887" s="2" t="s">
        <v>148</v>
      </c>
      <c r="I2887" s="2" t="s">
        <v>8260</v>
      </c>
      <c r="J2887" s="3" t="str">
        <f>HYPERLINK("https://www.boe.es/gazeta/dias/1811/01/11/pdfs/GMD-1811-11.pdf#page=3","Abrir facsímil")</f>
        <v>Abrir facsímil</v>
      </c>
      <c r="K2887" s="3" t="s">
        <v>150</v>
      </c>
    </row>
    <row r="2888" spans="1:11" ht="42" customHeight="1">
      <c r="A2888" s="2" t="s">
        <v>8261</v>
      </c>
      <c r="B2888" s="2" t="s">
        <v>8262</v>
      </c>
      <c r="C2888" s="2" t="s">
        <v>17</v>
      </c>
      <c r="D2888" s="2" t="s">
        <v>105</v>
      </c>
      <c r="E2888" s="4">
        <v>-32141</v>
      </c>
      <c r="F2888" s="3" t="s">
        <v>308</v>
      </c>
      <c r="G2888" s="3" t="s">
        <v>1198</v>
      </c>
      <c r="H2888" s="2" t="s">
        <v>148</v>
      </c>
      <c r="I2888" s="2" t="s">
        <v>8263</v>
      </c>
      <c r="J2888" s="3" t="str">
        <f>HYPERLINK("https://www.boe.es/gazeta/dias/1811/12/31/pdfs/GEI-1811-169.pdf#page=8","Abrir facsímil")</f>
        <v>Abrir facsímil</v>
      </c>
      <c r="K2888" s="3" t="s">
        <v>150</v>
      </c>
    </row>
    <row r="2889" spans="1:11" ht="42" customHeight="1">
      <c r="A2889" s="2" t="s">
        <v>8264</v>
      </c>
      <c r="B2889" s="2" t="s">
        <v>8264</v>
      </c>
      <c r="C2889" s="2" t="s">
        <v>17</v>
      </c>
      <c r="D2889" s="2" t="s">
        <v>18</v>
      </c>
      <c r="E2889" s="4">
        <v>-32321</v>
      </c>
      <c r="F2889" s="3" t="s">
        <v>1829</v>
      </c>
      <c r="G2889" s="3" t="s">
        <v>8265</v>
      </c>
      <c r="H2889" s="2" t="s">
        <v>148</v>
      </c>
      <c r="I2889" s="2" t="s">
        <v>8266</v>
      </c>
      <c r="J2889" s="3" t="str">
        <f>HYPERLINK("https://www.boe.es/gazeta/dias/1811/07/04/pdfs/GEI-1811-88.pdf#page=5","Abrir facsímil")</f>
        <v>Abrir facsímil</v>
      </c>
      <c r="K2889" s="3" t="s">
        <v>150</v>
      </c>
    </row>
    <row r="2890" spans="1:11" ht="42" customHeight="1">
      <c r="A2890" s="2" t="s">
        <v>8267</v>
      </c>
      <c r="B2890" s="2" t="s">
        <v>8267</v>
      </c>
      <c r="C2890" s="2" t="s">
        <v>17</v>
      </c>
      <c r="D2890" s="2" t="s">
        <v>18</v>
      </c>
      <c r="E2890" s="4">
        <v>-32270</v>
      </c>
      <c r="F2890" s="3" t="s">
        <v>431</v>
      </c>
      <c r="G2890" s="3" t="s">
        <v>8268</v>
      </c>
      <c r="H2890" s="2" t="s">
        <v>148</v>
      </c>
      <c r="I2890" s="2" t="s">
        <v>8269</v>
      </c>
      <c r="J2890" s="3" t="str">
        <f>HYPERLINK("https://www.boe.es/gazeta/dias/1811/08/24/pdfs/GEI-1811-110.pdf#page=8","Abrir facsímil")</f>
        <v>Abrir facsímil</v>
      </c>
      <c r="K2890" s="3" t="s">
        <v>150</v>
      </c>
    </row>
    <row r="2891" spans="1:11" ht="42" customHeight="1">
      <c r="A2891" s="2" t="s">
        <v>8270</v>
      </c>
      <c r="B2891" s="2" t="s">
        <v>8271</v>
      </c>
      <c r="C2891" s="2" t="s">
        <v>26</v>
      </c>
      <c r="D2891" s="2" t="s">
        <v>18</v>
      </c>
      <c r="E2891" s="4">
        <v>-32211</v>
      </c>
      <c r="F2891" s="3" t="s">
        <v>1230</v>
      </c>
      <c r="G2891" s="3" t="s">
        <v>377</v>
      </c>
      <c r="H2891" s="2" t="s">
        <v>148</v>
      </c>
      <c r="I2891" s="2" t="s">
        <v>8272</v>
      </c>
      <c r="J2891" s="3" t="str">
        <f>HYPERLINK("https://www.boe.es/gazeta/dias/1811/10/22/pdfs/GMD-1811-295.pdf#page=4","Abrir facsímil")</f>
        <v>Abrir facsímil</v>
      </c>
      <c r="K2891" s="3" t="s">
        <v>150</v>
      </c>
    </row>
    <row r="2892" spans="1:11" ht="42" customHeight="1">
      <c r="A2892" s="2" t="s">
        <v>8270</v>
      </c>
      <c r="B2892" s="2" t="s">
        <v>8271</v>
      </c>
      <c r="C2892" s="2" t="s">
        <v>17</v>
      </c>
      <c r="D2892" s="2" t="s">
        <v>156</v>
      </c>
      <c r="E2892" s="4">
        <v>-32210</v>
      </c>
      <c r="F2892" s="3" t="s">
        <v>1737</v>
      </c>
      <c r="G2892" s="3" t="s">
        <v>8273</v>
      </c>
      <c r="H2892" s="2" t="s">
        <v>148</v>
      </c>
      <c r="I2892" s="2" t="s">
        <v>8274</v>
      </c>
      <c r="J2892" s="3" t="str">
        <f>HYPERLINK("https://www.boe.es/gazeta/dias/1811/10/23/pdfs/GMD-1811-296.pdf#page=6","Abrir facsímil")</f>
        <v>Abrir facsímil</v>
      </c>
      <c r="K2892" s="3" t="s">
        <v>150</v>
      </c>
    </row>
    <row r="2893" spans="1:11" ht="42" customHeight="1">
      <c r="A2893" s="2" t="s">
        <v>8275</v>
      </c>
      <c r="B2893" s="2" t="s">
        <v>8275</v>
      </c>
      <c r="C2893" s="2" t="s">
        <v>17</v>
      </c>
      <c r="D2893" s="2" t="s">
        <v>18</v>
      </c>
      <c r="E2893" s="4">
        <v>-32307</v>
      </c>
      <c r="F2893" s="3" t="s">
        <v>1112</v>
      </c>
      <c r="G2893" s="3" t="s">
        <v>115</v>
      </c>
      <c r="H2893" s="2" t="s">
        <v>148</v>
      </c>
      <c r="I2893" s="2" t="s">
        <v>8276</v>
      </c>
      <c r="J2893" s="3" t="str">
        <f>HYPERLINK("https://www.boe.es/gazeta/dias/1811/07/18/pdfs/GEI-1811-94.pdf#page=3","Abrir facsímil")</f>
        <v>Abrir facsímil</v>
      </c>
      <c r="K2893" s="3" t="s">
        <v>150</v>
      </c>
    </row>
    <row r="2894" spans="1:11" ht="42" customHeight="1">
      <c r="A2894" s="2" t="s">
        <v>8277</v>
      </c>
      <c r="B2894" s="2" t="s">
        <v>8277</v>
      </c>
      <c r="C2894" s="2" t="s">
        <v>104</v>
      </c>
      <c r="D2894" s="2" t="s">
        <v>18</v>
      </c>
      <c r="E2894" s="4">
        <v>-32283</v>
      </c>
      <c r="F2894" s="3" t="s">
        <v>90</v>
      </c>
      <c r="G2894" s="3" t="s">
        <v>1856</v>
      </c>
      <c r="H2894" s="2" t="s">
        <v>148</v>
      </c>
      <c r="I2894" s="2" t="s">
        <v>8278</v>
      </c>
      <c r="J2894" s="3" t="str">
        <f>HYPERLINK("https://www.boe.es/gazeta/dias/1811/08/11/pdfs/GMD-1811-223.pdf#page=1","Abrir facsímil")</f>
        <v>Abrir facsímil</v>
      </c>
      <c r="K2894" s="3" t="s">
        <v>150</v>
      </c>
    </row>
    <row r="2895" spans="1:11" ht="42" customHeight="1">
      <c r="A2895" s="2" t="s">
        <v>8279</v>
      </c>
      <c r="B2895" s="2" t="s">
        <v>8279</v>
      </c>
      <c r="C2895" s="2" t="s">
        <v>17</v>
      </c>
      <c r="D2895" s="2" t="s">
        <v>156</v>
      </c>
      <c r="E2895" s="4">
        <v>-32321</v>
      </c>
      <c r="F2895" s="3" t="s">
        <v>1829</v>
      </c>
      <c r="G2895" s="3" t="s">
        <v>1414</v>
      </c>
      <c r="H2895" s="2" t="s">
        <v>148</v>
      </c>
      <c r="I2895" s="2" t="s">
        <v>8280</v>
      </c>
      <c r="J2895" s="3" t="str">
        <f>HYPERLINK("https://www.boe.es/gazeta/dias/1811/07/04/pdfs/GEI-1811-88.pdf#page=1","Abrir facsímil")</f>
        <v>Abrir facsímil</v>
      </c>
      <c r="K2895" s="3" t="s">
        <v>150</v>
      </c>
    </row>
    <row r="2896" spans="1:11" ht="42" customHeight="1">
      <c r="A2896" s="2" t="s">
        <v>8281</v>
      </c>
      <c r="B2896" s="2" t="s">
        <v>8281</v>
      </c>
      <c r="C2896" s="2" t="s">
        <v>26</v>
      </c>
      <c r="D2896" s="2" t="s">
        <v>18</v>
      </c>
      <c r="E2896" s="4">
        <v>-32321</v>
      </c>
      <c r="F2896" s="3" t="s">
        <v>1829</v>
      </c>
      <c r="G2896" s="3" t="s">
        <v>8282</v>
      </c>
      <c r="H2896" s="2" t="s">
        <v>148</v>
      </c>
      <c r="I2896" s="2" t="s">
        <v>8283</v>
      </c>
      <c r="J2896" s="3" t="str">
        <f>HYPERLINK("https://www.boe.es/gazeta/dias/1811/07/04/pdfs/GEI-1811-88.pdf#page=2","Abrir facsímil")</f>
        <v>Abrir facsímil</v>
      </c>
      <c r="K2896" s="3" t="s">
        <v>150</v>
      </c>
    </row>
    <row r="2897" spans="1:11" ht="42" customHeight="1">
      <c r="A2897" s="2" t="s">
        <v>8284</v>
      </c>
      <c r="B2897" s="2" t="s">
        <v>8285</v>
      </c>
      <c r="C2897" s="2" t="s">
        <v>26</v>
      </c>
      <c r="D2897" s="2" t="s">
        <v>141</v>
      </c>
      <c r="E2897" s="4">
        <v>-32238</v>
      </c>
      <c r="F2897" s="3" t="s">
        <v>166</v>
      </c>
      <c r="G2897" s="3" t="s">
        <v>178</v>
      </c>
      <c r="H2897" s="2" t="s">
        <v>148</v>
      </c>
      <c r="I2897" s="2" t="s">
        <v>8286</v>
      </c>
      <c r="J2897" s="3" t="str">
        <f>HYPERLINK("https://www.boe.es/gazeta/dias/1811/09/25/pdfs/GMD-C-1811-268.pdf#page=4","Abrir facsímil")</f>
        <v>Abrir facsímil</v>
      </c>
      <c r="K2897" s="3" t="s">
        <v>150</v>
      </c>
    </row>
    <row r="2898" spans="1:11" ht="42" customHeight="1">
      <c r="A2898" s="2" t="s">
        <v>8287</v>
      </c>
      <c r="B2898" s="2" t="s">
        <v>8288</v>
      </c>
      <c r="C2898" s="2" t="s">
        <v>26</v>
      </c>
      <c r="D2898" s="2" t="s">
        <v>18</v>
      </c>
      <c r="E2898" s="4">
        <v>-32188</v>
      </c>
      <c r="F2898" s="3" t="s">
        <v>356</v>
      </c>
      <c r="G2898" s="3" t="s">
        <v>468</v>
      </c>
      <c r="H2898" s="2" t="s">
        <v>148</v>
      </c>
      <c r="I2898" s="2" t="s">
        <v>8289</v>
      </c>
      <c r="J2898" s="3" t="str">
        <f>HYPERLINK("https://www.boe.es/gazeta/dias/1811/11/14/pdfs/GMD-1811-318.pdf#page=6","Abrir facsímil")</f>
        <v>Abrir facsímil</v>
      </c>
      <c r="K2898" s="3" t="s">
        <v>150</v>
      </c>
    </row>
    <row r="2899" spans="1:11" ht="42" customHeight="1">
      <c r="A2899" s="2" t="s">
        <v>8290</v>
      </c>
      <c r="B2899" s="2" t="s">
        <v>8291</v>
      </c>
      <c r="C2899" s="2" t="s">
        <v>26</v>
      </c>
      <c r="D2899" s="2" t="s">
        <v>141</v>
      </c>
      <c r="E2899" s="4">
        <v>-32280</v>
      </c>
      <c r="F2899" s="3" t="s">
        <v>142</v>
      </c>
      <c r="G2899" s="3" t="s">
        <v>597</v>
      </c>
      <c r="H2899" s="2" t="s">
        <v>148</v>
      </c>
      <c r="I2899" s="2" t="s">
        <v>8292</v>
      </c>
      <c r="J2899" s="3" t="str">
        <f>HYPERLINK("https://www.boe.es/gazeta/dias/1811/08/14/pdfs/GMD-C-1811-226.pdf#page=2","Abrir facsímil")</f>
        <v>Abrir facsímil</v>
      </c>
      <c r="K2899" s="3" t="s">
        <v>150</v>
      </c>
    </row>
    <row r="2900" spans="1:11" ht="42" customHeight="1">
      <c r="A2900" s="2" t="s">
        <v>8293</v>
      </c>
      <c r="B2900" s="2" t="s">
        <v>8294</v>
      </c>
      <c r="C2900" s="2" t="s">
        <v>26</v>
      </c>
      <c r="D2900" s="2" t="s">
        <v>141</v>
      </c>
      <c r="E2900" s="4">
        <v>-32280</v>
      </c>
      <c r="F2900" s="3" t="s">
        <v>142</v>
      </c>
      <c r="G2900" s="3" t="s">
        <v>47</v>
      </c>
      <c r="H2900" s="2" t="s">
        <v>148</v>
      </c>
      <c r="I2900" s="2" t="s">
        <v>8295</v>
      </c>
      <c r="J2900" s="3" t="str">
        <f>HYPERLINK("https://www.boe.es/gazeta/dias/1811/08/14/pdfs/GMD-C-1811-226.pdf#page=1","Abrir facsímil")</f>
        <v>Abrir facsímil</v>
      </c>
      <c r="K2900" s="3" t="s">
        <v>150</v>
      </c>
    </row>
    <row r="2901" spans="1:11" ht="42" customHeight="1">
      <c r="A2901" s="2" t="s">
        <v>8296</v>
      </c>
      <c r="B2901" s="2" t="s">
        <v>8297</v>
      </c>
      <c r="C2901" s="2" t="s">
        <v>26</v>
      </c>
      <c r="D2901" s="2" t="s">
        <v>18</v>
      </c>
      <c r="E2901" s="4">
        <v>-32416</v>
      </c>
      <c r="F2901" s="3" t="s">
        <v>954</v>
      </c>
      <c r="G2901" s="3" t="s">
        <v>47</v>
      </c>
      <c r="H2901" s="2" t="s">
        <v>148</v>
      </c>
      <c r="I2901" s="2" t="s">
        <v>8298</v>
      </c>
      <c r="J2901" s="3" t="str">
        <f>HYPERLINK("https://www.boe.es/gazeta/dias/1811/03/31/pdfs/GMD-1811-90.pdf#page=3","Abrir facsímil")</f>
        <v>Abrir facsímil</v>
      </c>
      <c r="K2901" s="3" t="s">
        <v>150</v>
      </c>
    </row>
    <row r="2902" spans="1:11" ht="42" customHeight="1">
      <c r="A2902" s="2" t="s">
        <v>8299</v>
      </c>
      <c r="B2902" s="2" t="s">
        <v>8300</v>
      </c>
      <c r="C2902" s="2" t="s">
        <v>26</v>
      </c>
      <c r="D2902" s="2" t="s">
        <v>141</v>
      </c>
      <c r="E2902" s="4">
        <v>-32249</v>
      </c>
      <c r="F2902" s="3" t="s">
        <v>743</v>
      </c>
      <c r="G2902" s="3" t="s">
        <v>1021</v>
      </c>
      <c r="H2902" s="2" t="s">
        <v>148</v>
      </c>
      <c r="I2902" s="2" t="s">
        <v>8301</v>
      </c>
      <c r="J2902" s="3" t="str">
        <f>HYPERLINK("https://www.boe.es/gazeta/dias/1811/09/14/pdfs/GMD-C-1811-257.pdf#page=2","Abrir facsímil")</f>
        <v>Abrir facsímil</v>
      </c>
      <c r="K2902" s="3" t="s">
        <v>150</v>
      </c>
    </row>
    <row r="2903" spans="1:11" ht="42" customHeight="1">
      <c r="A2903" s="2" t="s">
        <v>8302</v>
      </c>
      <c r="B2903" s="2" t="s">
        <v>8303</v>
      </c>
      <c r="C2903" s="2" t="s">
        <v>26</v>
      </c>
      <c r="D2903" s="2" t="s">
        <v>18</v>
      </c>
      <c r="E2903" s="4">
        <v>-32286</v>
      </c>
      <c r="F2903" s="3" t="s">
        <v>754</v>
      </c>
      <c r="G2903" s="3" t="s">
        <v>1728</v>
      </c>
      <c r="H2903" s="2" t="s">
        <v>148</v>
      </c>
      <c r="I2903" s="2" t="s">
        <v>8304</v>
      </c>
      <c r="J2903" s="3" t="str">
        <f>HYPERLINK("https://www.boe.es/gazeta/dias/1811/08/08/pdfs/GEI-1811-103.pdf#page=8","Abrir facsímil")</f>
        <v>Abrir facsímil</v>
      </c>
      <c r="K2903" s="3" t="s">
        <v>150</v>
      </c>
    </row>
    <row r="2904" spans="1:11" ht="42" customHeight="1">
      <c r="A2904" s="2" t="s">
        <v>8305</v>
      </c>
      <c r="B2904" s="2" t="s">
        <v>8306</v>
      </c>
      <c r="C2904" s="2" t="s">
        <v>17</v>
      </c>
      <c r="D2904" s="2" t="s">
        <v>18</v>
      </c>
      <c r="E2904" s="4">
        <v>-32284</v>
      </c>
      <c r="F2904" s="3" t="s">
        <v>170</v>
      </c>
      <c r="G2904" s="3" t="s">
        <v>1388</v>
      </c>
      <c r="H2904" s="2" t="s">
        <v>148</v>
      </c>
      <c r="I2904" s="2" t="s">
        <v>8307</v>
      </c>
      <c r="J2904" s="3" t="str">
        <f>HYPERLINK("https://www.boe.es/gazeta/dias/1811/08/10/pdfs/GEI-1811-104.pdf#page=8","Abrir facsímil")</f>
        <v>Abrir facsímil</v>
      </c>
      <c r="K2904" s="3" t="s">
        <v>150</v>
      </c>
    </row>
    <row r="2905" spans="1:11" ht="42" customHeight="1">
      <c r="A2905" s="2" t="s">
        <v>8308</v>
      </c>
      <c r="B2905" s="2" t="s">
        <v>8309</v>
      </c>
      <c r="C2905" s="2" t="s">
        <v>26</v>
      </c>
      <c r="D2905" s="2" t="s">
        <v>141</v>
      </c>
      <c r="E2905" s="4">
        <v>-32280</v>
      </c>
      <c r="F2905" s="3" t="s">
        <v>142</v>
      </c>
      <c r="G2905" s="3" t="s">
        <v>597</v>
      </c>
      <c r="H2905" s="2" t="s">
        <v>148</v>
      </c>
      <c r="I2905" s="2" t="s">
        <v>8310</v>
      </c>
      <c r="J2905" s="3" t="str">
        <f>HYPERLINK("https://www.boe.es/gazeta/dias/1811/08/14/pdfs/GMD-C-1811-226.pdf#page=2","Abrir facsímil")</f>
        <v>Abrir facsímil</v>
      </c>
      <c r="K2905" s="3" t="s">
        <v>150</v>
      </c>
    </row>
    <row r="2906" spans="1:11" ht="42" customHeight="1">
      <c r="A2906" s="2" t="s">
        <v>8311</v>
      </c>
      <c r="B2906" s="2" t="s">
        <v>8312</v>
      </c>
      <c r="C2906" s="2" t="s">
        <v>17</v>
      </c>
      <c r="D2906" s="2" t="s">
        <v>156</v>
      </c>
      <c r="E2906" s="4">
        <v>-32197</v>
      </c>
      <c r="F2906" s="3" t="s">
        <v>687</v>
      </c>
      <c r="G2906" s="3" t="s">
        <v>1240</v>
      </c>
      <c r="H2906" s="2" t="s">
        <v>148</v>
      </c>
      <c r="I2906" s="2" t="s">
        <v>8313</v>
      </c>
      <c r="J2906" s="3" t="str">
        <f>HYPERLINK("https://www.boe.es/gazeta/dias/1811/11/05/pdfs/GEI-1811-143.pdf#page=8","Abrir facsímil")</f>
        <v>Abrir facsímil</v>
      </c>
      <c r="K2906" s="3" t="s">
        <v>150</v>
      </c>
    </row>
    <row r="2907" spans="1:11" ht="42" customHeight="1">
      <c r="A2907" s="2" t="s">
        <v>8311</v>
      </c>
      <c r="B2907" s="2" t="s">
        <v>8312</v>
      </c>
      <c r="C2907" s="2" t="s">
        <v>17</v>
      </c>
      <c r="D2907" s="2" t="s">
        <v>18</v>
      </c>
      <c r="E2907" s="4">
        <v>-32148</v>
      </c>
      <c r="F2907" s="3" t="s">
        <v>1616</v>
      </c>
      <c r="G2907" s="3" t="s">
        <v>1617</v>
      </c>
      <c r="H2907" s="2" t="s">
        <v>148</v>
      </c>
      <c r="I2907" s="2" t="s">
        <v>8314</v>
      </c>
      <c r="J2907" s="3" t="str">
        <f>HYPERLINK("https://www.boe.es/gazeta/dias/1811/12/24/pdfs/GEI-1811-166.pdf#page=8","Abrir facsímil")</f>
        <v>Abrir facsímil</v>
      </c>
      <c r="K2907" s="3" t="s">
        <v>150</v>
      </c>
    </row>
    <row r="2908" spans="1:11" ht="42" customHeight="1">
      <c r="A2908" s="2" t="s">
        <v>8315</v>
      </c>
      <c r="B2908" s="2" t="s">
        <v>8316</v>
      </c>
      <c r="C2908" s="2" t="s">
        <v>26</v>
      </c>
      <c r="D2908" s="2" t="s">
        <v>141</v>
      </c>
      <c r="E2908" s="4">
        <v>-32365</v>
      </c>
      <c r="F2908" s="3" t="s">
        <v>1304</v>
      </c>
      <c r="G2908" s="3" t="s">
        <v>120</v>
      </c>
      <c r="H2908" s="2" t="s">
        <v>148</v>
      </c>
      <c r="I2908" s="2" t="s">
        <v>8317</v>
      </c>
      <c r="J2908" s="3" t="str">
        <f>HYPERLINK("https://www.boe.es/gazeta/dias/1811/05/21/pdfs/GEI-D-1811-67.pdf#page=4","Abrir facsímil")</f>
        <v>Abrir facsímil</v>
      </c>
      <c r="K2908" s="3" t="s">
        <v>150</v>
      </c>
    </row>
    <row r="2909" spans="1:11" ht="42" customHeight="1">
      <c r="A2909" s="2" t="s">
        <v>8318</v>
      </c>
      <c r="B2909" s="2" t="s">
        <v>8319</v>
      </c>
      <c r="C2909" s="2" t="s">
        <v>26</v>
      </c>
      <c r="D2909" s="2" t="s">
        <v>141</v>
      </c>
      <c r="E2909" s="4">
        <v>-32188</v>
      </c>
      <c r="F2909" s="3" t="s">
        <v>505</v>
      </c>
      <c r="G2909" s="3" t="s">
        <v>162</v>
      </c>
      <c r="H2909" s="2" t="s">
        <v>148</v>
      </c>
      <c r="I2909" s="2" t="s">
        <v>8320</v>
      </c>
      <c r="J2909" s="3" t="str">
        <f>HYPERLINK("https://www.boe.es/gazeta/dias/1811/11/14/pdfs/GEI-D-1811-149.pdf#page=4","Abrir facsímil")</f>
        <v>Abrir facsímil</v>
      </c>
      <c r="K2909" s="3" t="s">
        <v>150</v>
      </c>
    </row>
    <row r="2910" spans="1:11" ht="42" customHeight="1">
      <c r="A2910" s="2" t="s">
        <v>8321</v>
      </c>
      <c r="B2910" s="2" t="s">
        <v>8322</v>
      </c>
      <c r="C2910" s="2" t="s">
        <v>26</v>
      </c>
      <c r="D2910" s="2" t="s">
        <v>141</v>
      </c>
      <c r="E2910" s="4">
        <v>-32238</v>
      </c>
      <c r="F2910" s="3" t="s">
        <v>166</v>
      </c>
      <c r="G2910" s="3" t="s">
        <v>39</v>
      </c>
      <c r="H2910" s="2" t="s">
        <v>148</v>
      </c>
      <c r="I2910" s="2" t="s">
        <v>8323</v>
      </c>
      <c r="J2910" s="3" t="str">
        <f>HYPERLINK("https://www.boe.es/gazeta/dias/1811/09/25/pdfs/GMD-C-1811-268.pdf#page=2","Abrir facsímil")</f>
        <v>Abrir facsímil</v>
      </c>
      <c r="K2910" s="3" t="s">
        <v>150</v>
      </c>
    </row>
    <row r="2911" spans="1:11" ht="42" customHeight="1">
      <c r="A2911" s="2" t="s">
        <v>8324</v>
      </c>
      <c r="B2911" s="2" t="s">
        <v>8325</v>
      </c>
      <c r="C2911" s="2" t="s">
        <v>26</v>
      </c>
      <c r="D2911" s="2" t="s">
        <v>18</v>
      </c>
      <c r="E2911" s="4">
        <v>-32505</v>
      </c>
      <c r="F2911" s="3" t="s">
        <v>475</v>
      </c>
      <c r="G2911" s="3" t="s">
        <v>553</v>
      </c>
      <c r="H2911" s="2" t="s">
        <v>148</v>
      </c>
      <c r="I2911" s="2" t="s">
        <v>8326</v>
      </c>
      <c r="J2911" s="3" t="str">
        <f>HYPERLINK("https://www.boe.es/gazeta/dias/1811/01/01/pdfs/GEI-1811-1.pdf#page=2","Abrir facsímil")</f>
        <v>Abrir facsímil</v>
      </c>
      <c r="K2911" s="3" t="s">
        <v>150</v>
      </c>
    </row>
    <row r="2912" spans="1:11" ht="42" customHeight="1">
      <c r="A2912" s="2" t="s">
        <v>8327</v>
      </c>
      <c r="B2912" s="2" t="s">
        <v>8328</v>
      </c>
      <c r="C2912" s="2" t="s">
        <v>17</v>
      </c>
      <c r="D2912" s="2" t="s">
        <v>18</v>
      </c>
      <c r="E2912" s="4">
        <v>-32146</v>
      </c>
      <c r="F2912" s="3" t="s">
        <v>777</v>
      </c>
      <c r="G2912" s="3" t="s">
        <v>846</v>
      </c>
      <c r="H2912" s="2" t="s">
        <v>148</v>
      </c>
      <c r="I2912" s="2" t="s">
        <v>8329</v>
      </c>
      <c r="J2912" s="3" t="str">
        <f>HYPERLINK("https://www.boe.es/gazeta/dias/1811/12/26/pdfs/GEI-1811-167.pdf#page=8","Abrir facsímil")</f>
        <v>Abrir facsímil</v>
      </c>
      <c r="K2912" s="3" t="s">
        <v>150</v>
      </c>
    </row>
    <row r="2913" spans="1:11" ht="42" customHeight="1">
      <c r="A2913" s="2" t="s">
        <v>8330</v>
      </c>
      <c r="B2913" s="2" t="s">
        <v>8331</v>
      </c>
      <c r="C2913" s="2" t="s">
        <v>26</v>
      </c>
      <c r="D2913" s="2" t="s">
        <v>141</v>
      </c>
      <c r="E2913" s="4">
        <v>-32238</v>
      </c>
      <c r="F2913" s="3" t="s">
        <v>166</v>
      </c>
      <c r="G2913" s="3" t="s">
        <v>178</v>
      </c>
      <c r="H2913" s="2" t="s">
        <v>148</v>
      </c>
      <c r="I2913" s="2" t="s">
        <v>8332</v>
      </c>
      <c r="J2913" s="3" t="str">
        <f>HYPERLINK("https://www.boe.es/gazeta/dias/1811/09/25/pdfs/GMD-C-1811-268.pdf#page=4","Abrir facsímil")</f>
        <v>Abrir facsímil</v>
      </c>
      <c r="K2913" s="3" t="s">
        <v>150</v>
      </c>
    </row>
    <row r="2914" spans="1:11" ht="42" customHeight="1">
      <c r="A2914" s="2" t="s">
        <v>8333</v>
      </c>
      <c r="B2914" s="2" t="s">
        <v>8334</v>
      </c>
      <c r="C2914" s="2" t="s">
        <v>26</v>
      </c>
      <c r="D2914" s="2" t="s">
        <v>18</v>
      </c>
      <c r="E2914" s="4">
        <v>-32505</v>
      </c>
      <c r="F2914" s="3" t="s">
        <v>475</v>
      </c>
      <c r="G2914" s="3" t="s">
        <v>755</v>
      </c>
      <c r="H2914" s="2" t="s">
        <v>148</v>
      </c>
      <c r="I2914" s="2" t="s">
        <v>8335</v>
      </c>
      <c r="J2914" s="3" t="str">
        <f>HYPERLINK("https://www.boe.es/gazeta/dias/1811/01/01/pdfs/GEI-1811-1.pdf#page=8","Abrir facsímil")</f>
        <v>Abrir facsímil</v>
      </c>
      <c r="K2914" s="3" t="s">
        <v>150</v>
      </c>
    </row>
    <row r="2915" spans="1:11" ht="42" customHeight="1">
      <c r="A2915" s="2" t="s">
        <v>8336</v>
      </c>
      <c r="B2915" s="2" t="s">
        <v>8337</v>
      </c>
      <c r="C2915" s="2" t="s">
        <v>26</v>
      </c>
      <c r="D2915" s="2" t="s">
        <v>18</v>
      </c>
      <c r="E2915" s="4">
        <v>-32471</v>
      </c>
      <c r="F2915" s="3" t="s">
        <v>1571</v>
      </c>
      <c r="G2915" s="3" t="s">
        <v>530</v>
      </c>
      <c r="H2915" s="2" t="s">
        <v>148</v>
      </c>
      <c r="I2915" s="2" t="s">
        <v>8338</v>
      </c>
      <c r="J2915" s="3" t="str">
        <f>HYPERLINK("https://www.boe.es/gazeta/dias/1811/02/04/pdfs/GMD-1811-35.pdf#page=3","Abrir facsímil")</f>
        <v>Abrir facsímil</v>
      </c>
      <c r="K2915" s="3" t="s">
        <v>150</v>
      </c>
    </row>
    <row r="2916" spans="1:11" ht="42" customHeight="1">
      <c r="A2916" s="2" t="s">
        <v>8339</v>
      </c>
      <c r="B2916" s="2" t="s">
        <v>8340</v>
      </c>
      <c r="C2916" s="2" t="s">
        <v>104</v>
      </c>
      <c r="D2916" s="2" t="s">
        <v>18</v>
      </c>
      <c r="E2916" s="4">
        <v>-32462</v>
      </c>
      <c r="F2916" s="3" t="s">
        <v>8217</v>
      </c>
      <c r="G2916" s="3" t="s">
        <v>468</v>
      </c>
      <c r="H2916" s="2" t="s">
        <v>148</v>
      </c>
      <c r="I2916" s="2" t="s">
        <v>8341</v>
      </c>
      <c r="J2916" s="3" t="str">
        <f>HYPERLINK("https://www.boe.es/gazeta/dias/1811/02/13/pdfs/GMD-1811-44.pdf#page=2","Abrir facsímil")</f>
        <v>Abrir facsímil</v>
      </c>
      <c r="K2916" s="3" t="s">
        <v>150</v>
      </c>
    </row>
    <row r="2917" spans="1:11" ht="42" customHeight="1">
      <c r="A2917" s="2" t="s">
        <v>8342</v>
      </c>
      <c r="B2917" s="2" t="s">
        <v>8343</v>
      </c>
      <c r="C2917" s="2" t="s">
        <v>17</v>
      </c>
      <c r="D2917" s="2" t="s">
        <v>156</v>
      </c>
      <c r="E2917" s="4">
        <v>-32325</v>
      </c>
      <c r="F2917" s="3" t="s">
        <v>552</v>
      </c>
      <c r="G2917" s="3" t="s">
        <v>515</v>
      </c>
      <c r="H2917" s="2" t="s">
        <v>148</v>
      </c>
      <c r="I2917" s="2" t="s">
        <v>8344</v>
      </c>
      <c r="J2917" s="3" t="str">
        <f>HYPERLINK("https://www.boe.es/gazeta/dias/1811/06/30/pdfs/GMD-1811-181.pdf#page=2","Abrir facsímil")</f>
        <v>Abrir facsímil</v>
      </c>
      <c r="K2917" s="3" t="s">
        <v>150</v>
      </c>
    </row>
    <row r="2918" spans="1:11" ht="42" customHeight="1">
      <c r="A2918" s="2" t="s">
        <v>8345</v>
      </c>
      <c r="B2918" s="2" t="s">
        <v>8345</v>
      </c>
      <c r="C2918" s="2" t="s">
        <v>17</v>
      </c>
      <c r="D2918" s="2" t="s">
        <v>18</v>
      </c>
      <c r="E2918" s="4">
        <v>-32208</v>
      </c>
      <c r="F2918" s="3" t="s">
        <v>8346</v>
      </c>
      <c r="G2918" s="3" t="s">
        <v>44</v>
      </c>
      <c r="H2918" s="2" t="s">
        <v>148</v>
      </c>
      <c r="I2918" s="2" t="s">
        <v>8347</v>
      </c>
      <c r="J2918" s="3" t="str">
        <f>HYPERLINK("https://www.boe.es/gazeta/dias/1811/10/25/pdfs/GMD-1811-298.pdf#page=4","Abrir facsímil")</f>
        <v>Abrir facsímil</v>
      </c>
      <c r="K2918" s="3" t="s">
        <v>150</v>
      </c>
    </row>
    <row r="2919" spans="1:11" ht="42" customHeight="1">
      <c r="A2919" s="2" t="s">
        <v>8348</v>
      </c>
      <c r="B2919" s="2" t="s">
        <v>8348</v>
      </c>
      <c r="C2919" s="2" t="s">
        <v>17</v>
      </c>
      <c r="D2919" s="2" t="s">
        <v>156</v>
      </c>
      <c r="E2919" s="4">
        <v>-32323</v>
      </c>
      <c r="F2919" s="3" t="s">
        <v>322</v>
      </c>
      <c r="G2919" s="3" t="s">
        <v>2164</v>
      </c>
      <c r="H2919" s="2" t="s">
        <v>148</v>
      </c>
      <c r="I2919" s="2" t="s">
        <v>8349</v>
      </c>
      <c r="J2919" s="3" t="str">
        <f>HYPERLINK("https://www.boe.es/gazeta/dias/1811/07/02/pdfs/GEI-1811-87.pdf#page=7","Abrir facsímil")</f>
        <v>Abrir facsímil</v>
      </c>
      <c r="K2919" s="3" t="s">
        <v>150</v>
      </c>
    </row>
    <row r="2920" spans="1:11" ht="42" customHeight="1">
      <c r="A2920" s="2" t="s">
        <v>8350</v>
      </c>
      <c r="B2920" s="2" t="s">
        <v>8350</v>
      </c>
      <c r="C2920" s="2" t="s">
        <v>17</v>
      </c>
      <c r="D2920" s="2" t="s">
        <v>156</v>
      </c>
      <c r="E2920" s="4">
        <v>-32428</v>
      </c>
      <c r="F2920" s="3" t="s">
        <v>351</v>
      </c>
      <c r="G2920" s="3" t="s">
        <v>57</v>
      </c>
      <c r="H2920" s="2" t="s">
        <v>148</v>
      </c>
      <c r="I2920" s="2" t="s">
        <v>8351</v>
      </c>
      <c r="J2920" s="3" t="str">
        <f>HYPERLINK("https://www.boe.es/gazeta/dias/1811/03/19/pdfs/GMD-1811-78.pdf#page=2","Abrir facsímil")</f>
        <v>Abrir facsímil</v>
      </c>
      <c r="K2920" s="3" t="s">
        <v>150</v>
      </c>
    </row>
    <row r="2921" spans="1:11" ht="42" customHeight="1">
      <c r="A2921" s="2" t="s">
        <v>8350</v>
      </c>
      <c r="B2921" s="2" t="s">
        <v>8350</v>
      </c>
      <c r="C2921" s="2" t="s">
        <v>26</v>
      </c>
      <c r="D2921" s="2" t="s">
        <v>18</v>
      </c>
      <c r="E2921" s="4">
        <v>-32296</v>
      </c>
      <c r="F2921" s="3" t="s">
        <v>8352</v>
      </c>
      <c r="G2921" s="3" t="s">
        <v>183</v>
      </c>
      <c r="H2921" s="2" t="s">
        <v>148</v>
      </c>
      <c r="I2921" s="2" t="s">
        <v>8353</v>
      </c>
      <c r="J2921" s="3" t="str">
        <f>HYPERLINK("https://www.boe.es/gazeta/dias/1811/07/29/pdfs/GMD-1811-210.pdf#page=4","Abrir facsímil")</f>
        <v>Abrir facsímil</v>
      </c>
      <c r="K2921" s="3" t="s">
        <v>150</v>
      </c>
    </row>
    <row r="2922" spans="1:11" ht="42" customHeight="1">
      <c r="A2922" s="2" t="s">
        <v>8350</v>
      </c>
      <c r="B2922" s="2" t="s">
        <v>8350</v>
      </c>
      <c r="C2922" s="2" t="s">
        <v>26</v>
      </c>
      <c r="D2922" s="2" t="s">
        <v>18</v>
      </c>
      <c r="E2922" s="4">
        <v>-32192</v>
      </c>
      <c r="F2922" s="3" t="s">
        <v>673</v>
      </c>
      <c r="G2922" s="3" t="s">
        <v>8354</v>
      </c>
      <c r="H2922" s="2" t="s">
        <v>148</v>
      </c>
      <c r="I2922" s="2" t="s">
        <v>8355</v>
      </c>
      <c r="J2922" s="3" t="str">
        <f>HYPERLINK("https://www.boe.es/gazeta/dias/1811/11/10/pdfs/GMD-1811-314.pdf#page=3","Abrir facsímil")</f>
        <v>Abrir facsímil</v>
      </c>
      <c r="K2922" s="3" t="s">
        <v>150</v>
      </c>
    </row>
    <row r="2923" spans="1:11" ht="42" customHeight="1">
      <c r="A2923" s="2" t="s">
        <v>8350</v>
      </c>
      <c r="B2923" s="2" t="s">
        <v>8350</v>
      </c>
      <c r="C2923" s="2" t="s">
        <v>17</v>
      </c>
      <c r="D2923" s="2" t="s">
        <v>105</v>
      </c>
      <c r="E2923" s="4">
        <v>-32171</v>
      </c>
      <c r="F2923" s="3" t="s">
        <v>157</v>
      </c>
      <c r="G2923" s="3" t="s">
        <v>44</v>
      </c>
      <c r="H2923" s="2" t="s">
        <v>148</v>
      </c>
      <c r="I2923" s="2" t="s">
        <v>8356</v>
      </c>
      <c r="J2923" s="3" t="str">
        <f>HYPERLINK("https://www.boe.es/gazeta/dias/1811/12/01/pdfs/GMD-1811-335.pdf#page=4","Abrir facsímil")</f>
        <v>Abrir facsímil</v>
      </c>
      <c r="K2923" s="3" t="s">
        <v>150</v>
      </c>
    </row>
    <row r="2924" spans="1:11" ht="42" customHeight="1">
      <c r="A2924" s="2" t="s">
        <v>8350</v>
      </c>
      <c r="B2924" s="2" t="s">
        <v>8350</v>
      </c>
      <c r="C2924" s="2" t="s">
        <v>84</v>
      </c>
      <c r="D2924" s="2" t="s">
        <v>18</v>
      </c>
      <c r="E2924" s="4">
        <v>-32170</v>
      </c>
      <c r="F2924" s="3" t="s">
        <v>1183</v>
      </c>
      <c r="G2924" s="3" t="s">
        <v>1184</v>
      </c>
      <c r="H2924" s="2" t="s">
        <v>148</v>
      </c>
      <c r="I2924" s="2" t="s">
        <v>8357</v>
      </c>
      <c r="J2924" s="3" t="str">
        <f>HYPERLINK("https://www.boe.es/gazeta/dias/1811/12/02/pdfs/GMD-1811-336.pdf#page=4","Abrir facsímil")</f>
        <v>Abrir facsímil</v>
      </c>
      <c r="K2924" s="3" t="s">
        <v>150</v>
      </c>
    </row>
    <row r="2925" spans="1:11" ht="42" customHeight="1">
      <c r="A2925" s="2" t="s">
        <v>8350</v>
      </c>
      <c r="B2925" s="2" t="s">
        <v>8350</v>
      </c>
      <c r="C2925" s="2" t="s">
        <v>37</v>
      </c>
      <c r="D2925" s="2" t="s">
        <v>18</v>
      </c>
      <c r="E2925" s="4">
        <v>-32145</v>
      </c>
      <c r="F2925" s="3" t="s">
        <v>417</v>
      </c>
      <c r="G2925" s="3" t="s">
        <v>418</v>
      </c>
      <c r="H2925" s="2" t="s">
        <v>148</v>
      </c>
      <c r="I2925" s="2" t="s">
        <v>8358</v>
      </c>
      <c r="J2925" s="3" t="str">
        <f>HYPERLINK("https://www.boe.es/gazeta/dias/1811/12/27/pdfs/GMD-1811-361.pdf#page=4","Abrir facsímil")</f>
        <v>Abrir facsímil</v>
      </c>
      <c r="K2925" s="3" t="s">
        <v>150</v>
      </c>
    </row>
    <row r="2926" spans="1:11" ht="42" customHeight="1">
      <c r="A2926" s="2" t="s">
        <v>8350</v>
      </c>
      <c r="B2926" s="2" t="s">
        <v>8350</v>
      </c>
      <c r="C2926" s="2" t="s">
        <v>26</v>
      </c>
      <c r="D2926" s="2" t="s">
        <v>18</v>
      </c>
      <c r="E2926" s="4">
        <v>-32141</v>
      </c>
      <c r="F2926" s="3" t="s">
        <v>327</v>
      </c>
      <c r="G2926" s="3" t="s">
        <v>20</v>
      </c>
      <c r="H2926" s="2" t="s">
        <v>148</v>
      </c>
      <c r="I2926" s="2" t="s">
        <v>8359</v>
      </c>
      <c r="J2926" s="3" t="str">
        <f>HYPERLINK("https://www.boe.es/gazeta/dias/1811/12/31/pdfs/GMD-1811-365.pdf#page=4","Abrir facsímil")</f>
        <v>Abrir facsímil</v>
      </c>
      <c r="K2926" s="3" t="s">
        <v>150</v>
      </c>
    </row>
    <row r="2927" spans="1:11" ht="42" customHeight="1">
      <c r="A2927" s="2" t="s">
        <v>8360</v>
      </c>
      <c r="B2927" s="2" t="s">
        <v>8361</v>
      </c>
      <c r="C2927" s="2" t="s">
        <v>17</v>
      </c>
      <c r="D2927" s="2" t="s">
        <v>18</v>
      </c>
      <c r="E2927" s="4">
        <v>-32489</v>
      </c>
      <c r="F2927" s="3" t="s">
        <v>722</v>
      </c>
      <c r="G2927" s="3" t="s">
        <v>468</v>
      </c>
      <c r="H2927" s="2" t="s">
        <v>148</v>
      </c>
      <c r="I2927" s="2" t="s">
        <v>8362</v>
      </c>
      <c r="J2927" s="3" t="str">
        <f>HYPERLINK("https://www.boe.es/gazeta/dias/1811/01/17/pdfs/GMD-1811-17.pdf#page=4","Abrir facsímil")</f>
        <v>Abrir facsímil</v>
      </c>
      <c r="K2927" s="3" t="s">
        <v>150</v>
      </c>
    </row>
    <row r="2928" spans="1:11" ht="42" customHeight="1">
      <c r="A2928" s="2" t="s">
        <v>8363</v>
      </c>
      <c r="B2928" s="2" t="s">
        <v>8364</v>
      </c>
      <c r="C2928" s="2" t="s">
        <v>17</v>
      </c>
      <c r="D2928" s="2" t="s">
        <v>156</v>
      </c>
      <c r="E2928" s="4">
        <v>-32323</v>
      </c>
      <c r="F2928" s="3" t="s">
        <v>322</v>
      </c>
      <c r="G2928" s="3" t="s">
        <v>2164</v>
      </c>
      <c r="H2928" s="2" t="s">
        <v>148</v>
      </c>
      <c r="I2928" s="2" t="s">
        <v>8365</v>
      </c>
      <c r="J2928" s="3" t="str">
        <f>HYPERLINK("https://www.boe.es/gazeta/dias/1811/07/02/pdfs/GEI-1811-87.pdf#page=7","Abrir facsímil")</f>
        <v>Abrir facsímil</v>
      </c>
      <c r="K2928" s="3" t="s">
        <v>150</v>
      </c>
    </row>
    <row r="2929" spans="1:11" ht="42" customHeight="1">
      <c r="A2929" s="2" t="s">
        <v>8366</v>
      </c>
      <c r="B2929" s="2" t="s">
        <v>8366</v>
      </c>
      <c r="C2929" s="2" t="s">
        <v>17</v>
      </c>
      <c r="D2929" s="2" t="s">
        <v>204</v>
      </c>
      <c r="E2929" s="4">
        <v>-32439</v>
      </c>
      <c r="F2929" s="3" t="s">
        <v>4682</v>
      </c>
      <c r="G2929" s="3" t="s">
        <v>44</v>
      </c>
      <c r="H2929" s="2" t="s">
        <v>148</v>
      </c>
      <c r="I2929" s="2" t="s">
        <v>8367</v>
      </c>
      <c r="J2929" s="3" t="str">
        <f>HYPERLINK("https://www.boe.es/gazeta/dias/1811/03/08/pdfs/GMD-1811-67.pdf#page=1","Abrir facsímil")</f>
        <v>Abrir facsímil</v>
      </c>
      <c r="K2929" s="3" t="s">
        <v>150</v>
      </c>
    </row>
    <row r="2930" spans="1:11" ht="42" customHeight="1">
      <c r="A2930" s="2" t="s">
        <v>8368</v>
      </c>
      <c r="B2930" s="2" t="s">
        <v>8368</v>
      </c>
      <c r="C2930" s="2" t="s">
        <v>26</v>
      </c>
      <c r="D2930" s="2" t="s">
        <v>18</v>
      </c>
      <c r="E2930" s="4">
        <v>-32449</v>
      </c>
      <c r="F2930" s="3" t="s">
        <v>8369</v>
      </c>
      <c r="G2930" s="3" t="s">
        <v>8370</v>
      </c>
      <c r="H2930" s="2" t="s">
        <v>148</v>
      </c>
      <c r="I2930" s="2" t="s">
        <v>8371</v>
      </c>
      <c r="J2930" s="3" t="str">
        <f>HYPERLINK("https://www.boe.es/gazeta/dias/1811/02/26/pdfs/GMD-1811-57.pdf#page=4","Abrir facsímil")</f>
        <v>Abrir facsímil</v>
      </c>
      <c r="K2930" s="3" t="s">
        <v>150</v>
      </c>
    </row>
    <row r="2931" spans="1:11" ht="42" customHeight="1">
      <c r="A2931" s="2" t="s">
        <v>8372</v>
      </c>
      <c r="B2931" s="2" t="s">
        <v>8372</v>
      </c>
      <c r="C2931" s="2" t="s">
        <v>17</v>
      </c>
      <c r="D2931" s="2" t="s">
        <v>156</v>
      </c>
      <c r="E2931" s="4">
        <v>-32307</v>
      </c>
      <c r="F2931" s="3" t="s">
        <v>1112</v>
      </c>
      <c r="G2931" s="3" t="s">
        <v>1113</v>
      </c>
      <c r="H2931" s="2" t="s">
        <v>148</v>
      </c>
      <c r="I2931" s="2" t="s">
        <v>8373</v>
      </c>
      <c r="J2931" s="3" t="str">
        <f>HYPERLINK("https://www.boe.es/gazeta/dias/1811/07/18/pdfs/GEI-1811-94.pdf#page=8","Abrir facsímil")</f>
        <v>Abrir facsímil</v>
      </c>
      <c r="K2931" s="3" t="s">
        <v>150</v>
      </c>
    </row>
    <row r="2932" spans="1:11" ht="42" customHeight="1">
      <c r="A2932" s="2" t="s">
        <v>8374</v>
      </c>
      <c r="B2932" s="2" t="s">
        <v>8375</v>
      </c>
      <c r="C2932" s="2" t="s">
        <v>17</v>
      </c>
      <c r="D2932" s="2" t="s">
        <v>18</v>
      </c>
      <c r="E2932" s="4">
        <v>-32246</v>
      </c>
      <c r="F2932" s="3" t="s">
        <v>19</v>
      </c>
      <c r="G2932" s="3" t="s">
        <v>20</v>
      </c>
      <c r="H2932" s="2" t="s">
        <v>148</v>
      </c>
      <c r="I2932" s="2" t="s">
        <v>8376</v>
      </c>
      <c r="J2932" s="3" t="str">
        <f>HYPERLINK("https://www.boe.es/gazeta/dias/1811/09/17/pdfs/GEI-1811-120.pdf#page=24","Abrir facsímil")</f>
        <v>Abrir facsímil</v>
      </c>
      <c r="K2932" s="3" t="s">
        <v>150</v>
      </c>
    </row>
    <row r="2933" spans="1:11" ht="42" customHeight="1">
      <c r="A2933" s="2" t="s">
        <v>8377</v>
      </c>
      <c r="B2933" s="2" t="s">
        <v>8377</v>
      </c>
      <c r="C2933" s="2" t="s">
        <v>26</v>
      </c>
      <c r="D2933" s="2" t="s">
        <v>204</v>
      </c>
      <c r="E2933" s="4">
        <v>-32175</v>
      </c>
      <c r="F2933" s="3" t="s">
        <v>1671</v>
      </c>
      <c r="G2933" s="3" t="s">
        <v>1930</v>
      </c>
      <c r="H2933" s="2" t="s">
        <v>148</v>
      </c>
      <c r="I2933" s="2" t="s">
        <v>8378</v>
      </c>
      <c r="J2933" s="3" t="str">
        <f>HYPERLINK("https://www.boe.es/gazeta/dias/1811/11/27/pdfs/GMD-1811-331.pdf#page=2","Abrir facsímil")</f>
        <v>Abrir facsímil</v>
      </c>
      <c r="K2933" s="3" t="s">
        <v>150</v>
      </c>
    </row>
    <row r="2934" spans="1:11" ht="42" customHeight="1">
      <c r="A2934" s="2" t="s">
        <v>8379</v>
      </c>
      <c r="B2934" s="2" t="s">
        <v>8380</v>
      </c>
      <c r="C2934" s="2" t="s">
        <v>26</v>
      </c>
      <c r="D2934" s="2" t="s">
        <v>18</v>
      </c>
      <c r="E2934" s="4">
        <v>-32242</v>
      </c>
      <c r="F2934" s="3" t="s">
        <v>1295</v>
      </c>
      <c r="G2934" s="3" t="s">
        <v>1296</v>
      </c>
      <c r="H2934" s="2" t="s">
        <v>148</v>
      </c>
      <c r="I2934" s="2" t="s">
        <v>8381</v>
      </c>
      <c r="J2934" s="3" t="str">
        <f>HYPERLINK("https://www.boe.es/gazeta/dias/1811/09/21/pdfs/GEI-1811-122.pdf#page=8","Abrir facsímil")</f>
        <v>Abrir facsímil</v>
      </c>
      <c r="K2934" s="3" t="s">
        <v>150</v>
      </c>
    </row>
    <row r="2935" spans="1:11" ht="42" customHeight="1">
      <c r="A2935" s="2" t="s">
        <v>8382</v>
      </c>
      <c r="B2935" s="2" t="s">
        <v>8383</v>
      </c>
      <c r="C2935" s="2" t="s">
        <v>26</v>
      </c>
      <c r="D2935" s="2" t="s">
        <v>18</v>
      </c>
      <c r="E2935" s="4">
        <v>-32288</v>
      </c>
      <c r="F2935" s="3" t="s">
        <v>95</v>
      </c>
      <c r="G2935" s="3" t="s">
        <v>47</v>
      </c>
      <c r="H2935" s="2" t="s">
        <v>148</v>
      </c>
      <c r="I2935" s="2" t="s">
        <v>8384</v>
      </c>
      <c r="J2935" s="3" t="str">
        <f>HYPERLINK("https://www.boe.es/gazeta/dias/1811/08/06/pdfs/GEI-1811-102.pdf#page=8","Abrir facsímil")</f>
        <v>Abrir facsímil</v>
      </c>
      <c r="K2935" s="3" t="s">
        <v>150</v>
      </c>
    </row>
    <row r="2936" spans="1:11" ht="42" customHeight="1">
      <c r="A2936" s="2" t="s">
        <v>8385</v>
      </c>
      <c r="B2936" s="2" t="s">
        <v>8386</v>
      </c>
      <c r="C2936" s="2" t="s">
        <v>17</v>
      </c>
      <c r="D2936" s="2" t="s">
        <v>18</v>
      </c>
      <c r="E2936" s="4">
        <v>-32200</v>
      </c>
      <c r="F2936" s="3" t="s">
        <v>109</v>
      </c>
      <c r="G2936" s="3" t="s">
        <v>268</v>
      </c>
      <c r="H2936" s="2" t="s">
        <v>148</v>
      </c>
      <c r="I2936" s="2" t="s">
        <v>8387</v>
      </c>
      <c r="J2936" s="3" t="str">
        <f>HYPERLINK("https://www.boe.es/gazeta/dias/1811/11/02/pdfs/GEI-1811-141.pdf#page=7","Abrir facsímil")</f>
        <v>Abrir facsímil</v>
      </c>
      <c r="K2936" s="3" t="s">
        <v>150</v>
      </c>
    </row>
    <row r="2937" spans="1:11" ht="42" customHeight="1">
      <c r="A2937" s="2" t="s">
        <v>8388</v>
      </c>
      <c r="B2937" s="2" t="s">
        <v>8388</v>
      </c>
      <c r="C2937" s="2" t="s">
        <v>17</v>
      </c>
      <c r="D2937" s="2" t="s">
        <v>156</v>
      </c>
      <c r="E2937" s="4">
        <v>-32382</v>
      </c>
      <c r="F2937" s="3" t="s">
        <v>1269</v>
      </c>
      <c r="G2937" s="3" t="s">
        <v>8389</v>
      </c>
      <c r="H2937" s="2" t="s">
        <v>148</v>
      </c>
      <c r="I2937" s="2" t="s">
        <v>8390</v>
      </c>
      <c r="J2937" s="3" t="str">
        <f>HYPERLINK("https://www.boe.es/gazeta/dias/1811/05/04/pdfs/GEI-1811-59.pdf#page=6","Abrir facsímil")</f>
        <v>Abrir facsímil</v>
      </c>
      <c r="K2937" s="3" t="s">
        <v>150</v>
      </c>
    </row>
    <row r="2938" spans="1:11" ht="42" customHeight="1">
      <c r="A2938" s="2" t="s">
        <v>8391</v>
      </c>
      <c r="B2938" s="2" t="s">
        <v>8391</v>
      </c>
      <c r="C2938" s="2" t="s">
        <v>26</v>
      </c>
      <c r="D2938" s="2" t="s">
        <v>18</v>
      </c>
      <c r="E2938" s="4">
        <v>-32215</v>
      </c>
      <c r="F2938" s="3" t="s">
        <v>6300</v>
      </c>
      <c r="G2938" s="3" t="s">
        <v>6301</v>
      </c>
      <c r="H2938" s="2" t="s">
        <v>148</v>
      </c>
      <c r="I2938" s="2" t="s">
        <v>8392</v>
      </c>
      <c r="J2938" s="3" t="str">
        <f>HYPERLINK("https://www.boe.es/gazeta/dias/1811/10/18/pdfs/GMD-1811-291.pdf#page=3","Abrir facsímil")</f>
        <v>Abrir facsímil</v>
      </c>
      <c r="K2938" s="3" t="s">
        <v>150</v>
      </c>
    </row>
    <row r="2939" spans="1:11" ht="42" customHeight="1">
      <c r="A2939" s="2" t="s">
        <v>8393</v>
      </c>
      <c r="B2939" s="2" t="s">
        <v>8394</v>
      </c>
      <c r="C2939" s="2" t="s">
        <v>17</v>
      </c>
      <c r="D2939" s="2" t="s">
        <v>18</v>
      </c>
      <c r="E2939" s="4">
        <v>-32389</v>
      </c>
      <c r="F2939" s="3" t="s">
        <v>5334</v>
      </c>
      <c r="G2939" s="3" t="s">
        <v>2384</v>
      </c>
      <c r="H2939" s="2" t="s">
        <v>148</v>
      </c>
      <c r="I2939" s="2" t="s">
        <v>8395</v>
      </c>
      <c r="J2939" s="3" t="str">
        <f>HYPERLINK("https://www.boe.es/gazeta/dias/1811/04/27/pdfs/GEI-1811-56.pdf#page=8","Abrir facsímil")</f>
        <v>Abrir facsímil</v>
      </c>
      <c r="K2939" s="3" t="s">
        <v>150</v>
      </c>
    </row>
    <row r="2940" spans="1:11" ht="42" customHeight="1">
      <c r="A2940" s="2" t="s">
        <v>8396</v>
      </c>
      <c r="B2940" s="2" t="s">
        <v>8396</v>
      </c>
      <c r="C2940" s="2" t="s">
        <v>17</v>
      </c>
      <c r="D2940" s="2" t="s">
        <v>156</v>
      </c>
      <c r="E2940" s="4">
        <v>-32388</v>
      </c>
      <c r="F2940" s="3" t="s">
        <v>2772</v>
      </c>
      <c r="G2940" s="3" t="s">
        <v>8397</v>
      </c>
      <c r="H2940" s="2" t="s">
        <v>148</v>
      </c>
      <c r="I2940" s="2" t="s">
        <v>8398</v>
      </c>
      <c r="J2940" s="3" t="str">
        <f>HYPERLINK("https://www.boe.es/gazeta/dias/1811/04/28/pdfs/GMD-1811-118.pdf#page=2","Abrir facsímil")</f>
        <v>Abrir facsímil</v>
      </c>
      <c r="K2940" s="3" t="s">
        <v>150</v>
      </c>
    </row>
    <row r="2941" spans="1:11" ht="42" customHeight="1">
      <c r="A2941" s="2" t="s">
        <v>8399</v>
      </c>
      <c r="B2941" s="2" t="s">
        <v>8399</v>
      </c>
      <c r="C2941" s="2" t="s">
        <v>17</v>
      </c>
      <c r="D2941" s="2" t="s">
        <v>156</v>
      </c>
      <c r="E2941" s="4">
        <v>-32407</v>
      </c>
      <c r="F2941" s="3" t="s">
        <v>38</v>
      </c>
      <c r="G2941" s="3" t="s">
        <v>2379</v>
      </c>
      <c r="H2941" s="2" t="s">
        <v>148</v>
      </c>
      <c r="I2941" s="2" t="s">
        <v>8400</v>
      </c>
      <c r="J2941" s="3" t="str">
        <f>HYPERLINK("https://www.boe.es/gazeta/dias/1811/04/09/pdfs/GEI-1811-48.pdf#page=10","Abrir facsímil")</f>
        <v>Abrir facsímil</v>
      </c>
      <c r="K2941" s="3" t="s">
        <v>150</v>
      </c>
    </row>
    <row r="2942" spans="1:11" ht="42" customHeight="1">
      <c r="A2942" s="2" t="s">
        <v>8401</v>
      </c>
      <c r="B2942" s="2" t="s">
        <v>8402</v>
      </c>
      <c r="C2942" s="2" t="s">
        <v>26</v>
      </c>
      <c r="D2942" s="2" t="s">
        <v>18</v>
      </c>
      <c r="E2942" s="4">
        <v>-32337</v>
      </c>
      <c r="F2942" s="3" t="s">
        <v>5266</v>
      </c>
      <c r="G2942" s="3" t="s">
        <v>44</v>
      </c>
      <c r="H2942" s="2" t="s">
        <v>148</v>
      </c>
      <c r="I2942" s="2" t="s">
        <v>8403</v>
      </c>
      <c r="J2942" s="3" t="str">
        <f>HYPERLINK("https://www.boe.es/gazeta/dias/1811/06/18/pdfs/GEI-1811-81.pdf#page=4","Abrir facsímil")</f>
        <v>Abrir facsímil</v>
      </c>
      <c r="K2942" s="3" t="s">
        <v>150</v>
      </c>
    </row>
    <row r="2943" spans="1:11" ht="42" customHeight="1">
      <c r="A2943" s="2" t="s">
        <v>8404</v>
      </c>
      <c r="B2943" s="2" t="s">
        <v>8405</v>
      </c>
      <c r="C2943" s="2" t="s">
        <v>26</v>
      </c>
      <c r="D2943" s="2" t="s">
        <v>18</v>
      </c>
      <c r="E2943" s="4">
        <v>-32153</v>
      </c>
      <c r="F2943" s="3" t="s">
        <v>235</v>
      </c>
      <c r="G2943" s="3" t="s">
        <v>2181</v>
      </c>
      <c r="H2943" s="2" t="s">
        <v>148</v>
      </c>
      <c r="I2943" s="2" t="s">
        <v>8406</v>
      </c>
      <c r="J2943" s="3" t="str">
        <f>HYPERLINK("https://www.boe.es/gazeta/dias/1811/12/19/pdfs/GEI-1811-164.pdf#page=8","Abrir facsímil")</f>
        <v>Abrir facsímil</v>
      </c>
      <c r="K2943" s="3" t="s">
        <v>150</v>
      </c>
    </row>
    <row r="2944" spans="1:11" ht="42" customHeight="1">
      <c r="A2944" s="2" t="s">
        <v>8407</v>
      </c>
      <c r="B2944" s="2" t="s">
        <v>8407</v>
      </c>
      <c r="C2944" s="2" t="s">
        <v>17</v>
      </c>
      <c r="D2944" s="2" t="s">
        <v>18</v>
      </c>
      <c r="E2944" s="4">
        <v>-32325</v>
      </c>
      <c r="F2944" s="3" t="s">
        <v>552</v>
      </c>
      <c r="G2944" s="3" t="s">
        <v>515</v>
      </c>
      <c r="H2944" s="2" t="s">
        <v>148</v>
      </c>
      <c r="I2944" s="2" t="s">
        <v>8408</v>
      </c>
      <c r="J2944" s="3" t="str">
        <f>HYPERLINK("https://www.boe.es/gazeta/dias/1811/06/30/pdfs/GMD-1811-181.pdf#page=2","Abrir facsímil")</f>
        <v>Abrir facsímil</v>
      </c>
      <c r="K2944" s="3" t="s">
        <v>150</v>
      </c>
    </row>
    <row r="2945" spans="1:11" ht="42" customHeight="1">
      <c r="A2945" s="2" t="s">
        <v>8409</v>
      </c>
      <c r="B2945" s="2" t="s">
        <v>8409</v>
      </c>
      <c r="C2945" s="2" t="s">
        <v>26</v>
      </c>
      <c r="D2945" s="2" t="s">
        <v>18</v>
      </c>
      <c r="E2945" s="4">
        <v>-32428</v>
      </c>
      <c r="F2945" s="3" t="s">
        <v>351</v>
      </c>
      <c r="G2945" s="3" t="s">
        <v>352</v>
      </c>
      <c r="H2945" s="2" t="s">
        <v>148</v>
      </c>
      <c r="I2945" s="2" t="s">
        <v>8410</v>
      </c>
      <c r="J2945" s="3" t="str">
        <f>HYPERLINK("https://www.boe.es/gazeta/dias/1811/03/19/pdfs/GMD-1811-78.pdf#page=4","Abrir facsímil")</f>
        <v>Abrir facsímil</v>
      </c>
      <c r="K2945" s="3" t="s">
        <v>150</v>
      </c>
    </row>
    <row r="2946" spans="1:11" ht="42" customHeight="1">
      <c r="A2946" s="2" t="s">
        <v>8409</v>
      </c>
      <c r="B2946" s="2" t="s">
        <v>8409</v>
      </c>
      <c r="C2946" s="2" t="s">
        <v>17</v>
      </c>
      <c r="D2946" s="2" t="s">
        <v>156</v>
      </c>
      <c r="E2946" s="4">
        <v>-32400</v>
      </c>
      <c r="F2946" s="3" t="s">
        <v>3343</v>
      </c>
      <c r="G2946" s="3" t="s">
        <v>846</v>
      </c>
      <c r="H2946" s="2" t="s">
        <v>148</v>
      </c>
      <c r="I2946" s="2" t="s">
        <v>8411</v>
      </c>
      <c r="J2946" s="3" t="str">
        <f>HYPERLINK("https://www.boe.es/gazeta/dias/1811/04/16/pdfs/GMD-1811-106.pdf#page=3","Abrir facsímil")</f>
        <v>Abrir facsímil</v>
      </c>
      <c r="K2946" s="3" t="s">
        <v>150</v>
      </c>
    </row>
    <row r="2947" spans="1:11" ht="42" customHeight="1">
      <c r="A2947" s="2" t="s">
        <v>8412</v>
      </c>
      <c r="B2947" s="2" t="s">
        <v>8412</v>
      </c>
      <c r="C2947" s="2" t="s">
        <v>17</v>
      </c>
      <c r="D2947" s="2" t="s">
        <v>156</v>
      </c>
      <c r="E2947" s="4">
        <v>-32186</v>
      </c>
      <c r="F2947" s="3" t="s">
        <v>1425</v>
      </c>
      <c r="G2947" s="3" t="s">
        <v>47</v>
      </c>
      <c r="H2947" s="2" t="s">
        <v>148</v>
      </c>
      <c r="I2947" s="2" t="s">
        <v>8413</v>
      </c>
      <c r="J2947" s="3" t="str">
        <f>HYPERLINK("https://www.boe.es/gazeta/dias/1811/11/16/pdfs/GEI-1811-150.pdf#page=4","Abrir facsímil")</f>
        <v>Abrir facsímil</v>
      </c>
      <c r="K2947" s="3" t="s">
        <v>150</v>
      </c>
    </row>
    <row r="2948" spans="1:11" ht="42" customHeight="1">
      <c r="A2948" s="2" t="s">
        <v>8414</v>
      </c>
      <c r="B2948" s="2" t="s">
        <v>8415</v>
      </c>
      <c r="C2948" s="2" t="s">
        <v>17</v>
      </c>
      <c r="D2948" s="2" t="s">
        <v>18</v>
      </c>
      <c r="E2948" s="4">
        <v>-32176</v>
      </c>
      <c r="F2948" s="3" t="s">
        <v>638</v>
      </c>
      <c r="G2948" s="3" t="s">
        <v>44</v>
      </c>
      <c r="H2948" s="2" t="s">
        <v>148</v>
      </c>
      <c r="I2948" s="2" t="s">
        <v>8416</v>
      </c>
      <c r="J2948" s="3" t="str">
        <f>HYPERLINK("https://www.boe.es/gazeta/dias/1811/11/26/pdfs/GEI-1811-154.pdf#page=8","Abrir facsímil")</f>
        <v>Abrir facsímil</v>
      </c>
      <c r="K2948" s="3" t="s">
        <v>150</v>
      </c>
    </row>
    <row r="2949" spans="1:11" ht="42" customHeight="1">
      <c r="A2949" s="2" t="s">
        <v>8417</v>
      </c>
      <c r="B2949" s="2" t="s">
        <v>8417</v>
      </c>
      <c r="C2949" s="2" t="s">
        <v>37</v>
      </c>
      <c r="D2949" s="2" t="s">
        <v>204</v>
      </c>
      <c r="E2949" s="4">
        <v>-32196</v>
      </c>
      <c r="F2949" s="3" t="s">
        <v>8418</v>
      </c>
      <c r="G2949" s="3" t="s">
        <v>468</v>
      </c>
      <c r="H2949" s="2" t="s">
        <v>148</v>
      </c>
      <c r="I2949" s="2" t="s">
        <v>8419</v>
      </c>
      <c r="J2949" s="3" t="str">
        <f>HYPERLINK("https://www.boe.es/gazeta/dias/1811/11/06/pdfs/GMD-1811-310.pdf#page=1","Abrir facsímil")</f>
        <v>Abrir facsímil</v>
      </c>
      <c r="K2949" s="3" t="s">
        <v>150</v>
      </c>
    </row>
    <row r="2950" spans="1:11" ht="42" customHeight="1">
      <c r="A2950" s="2" t="s">
        <v>8420</v>
      </c>
      <c r="B2950" s="2" t="s">
        <v>8420</v>
      </c>
      <c r="C2950" s="2" t="s">
        <v>26</v>
      </c>
      <c r="D2950" s="2" t="s">
        <v>18</v>
      </c>
      <c r="E2950" s="4">
        <v>-32314</v>
      </c>
      <c r="F2950" s="3" t="s">
        <v>6914</v>
      </c>
      <c r="G2950" s="3" t="s">
        <v>248</v>
      </c>
      <c r="H2950" s="2" t="s">
        <v>148</v>
      </c>
      <c r="I2950" s="2" t="s">
        <v>8421</v>
      </c>
      <c r="J2950" s="3" t="str">
        <f>HYPERLINK("https://www.boe.es/gazeta/dias/1811/07/11/pdfs/GMD-1811-192.pdf#page=3","Abrir facsímil")</f>
        <v>Abrir facsímil</v>
      </c>
      <c r="K2950" s="3" t="s">
        <v>150</v>
      </c>
    </row>
    <row r="2951" spans="1:11" ht="42" customHeight="1">
      <c r="A2951" s="2" t="s">
        <v>8422</v>
      </c>
      <c r="B2951" s="2" t="s">
        <v>8422</v>
      </c>
      <c r="C2951" s="2" t="s">
        <v>17</v>
      </c>
      <c r="D2951" s="2" t="s">
        <v>156</v>
      </c>
      <c r="E2951" s="4">
        <v>-32355</v>
      </c>
      <c r="F2951" s="3" t="s">
        <v>2342</v>
      </c>
      <c r="G2951" s="3" t="s">
        <v>20</v>
      </c>
      <c r="H2951" s="2" t="s">
        <v>148</v>
      </c>
      <c r="I2951" s="2" t="s">
        <v>8423</v>
      </c>
      <c r="J2951" s="3" t="str">
        <f>HYPERLINK("https://www.boe.es/gazeta/dias/1811/05/31/pdfs/GMD-1811-151.pdf#page=4","Abrir facsímil")</f>
        <v>Abrir facsímil</v>
      </c>
      <c r="K2951" s="3" t="s">
        <v>150</v>
      </c>
    </row>
    <row r="2952" spans="1:11" ht="42" customHeight="1">
      <c r="A2952" s="2" t="s">
        <v>8424</v>
      </c>
      <c r="B2952" s="2" t="s">
        <v>8425</v>
      </c>
      <c r="C2952" s="2" t="s">
        <v>17</v>
      </c>
      <c r="D2952" s="2" t="s">
        <v>18</v>
      </c>
      <c r="E2952" s="4">
        <v>-32316</v>
      </c>
      <c r="F2952" s="3" t="s">
        <v>5337</v>
      </c>
      <c r="G2952" s="3" t="s">
        <v>91</v>
      </c>
      <c r="H2952" s="2" t="s">
        <v>148</v>
      </c>
      <c r="I2952" s="2" t="s">
        <v>8426</v>
      </c>
      <c r="J2952" s="3" t="str">
        <f>HYPERLINK("https://www.boe.es/gazeta/dias/1811/07/09/pdfs/GEI-1811-90.pdf#page=5","Abrir facsímil")</f>
        <v>Abrir facsímil</v>
      </c>
      <c r="K2952" s="3" t="s">
        <v>150</v>
      </c>
    </row>
    <row r="2953" spans="1:11" ht="42" customHeight="1">
      <c r="A2953" s="2" t="s">
        <v>8427</v>
      </c>
      <c r="B2953" s="2" t="s">
        <v>8428</v>
      </c>
      <c r="C2953" s="2" t="s">
        <v>17</v>
      </c>
      <c r="D2953" s="2" t="s">
        <v>18</v>
      </c>
      <c r="E2953" s="4">
        <v>-32344</v>
      </c>
      <c r="F2953" s="3" t="s">
        <v>761</v>
      </c>
      <c r="G2953" s="3" t="s">
        <v>762</v>
      </c>
      <c r="H2953" s="2" t="s">
        <v>148</v>
      </c>
      <c r="I2953" s="2" t="s">
        <v>8429</v>
      </c>
      <c r="J2953" s="3" t="str">
        <f>HYPERLINK("https://www.boe.es/gazeta/dias/1811/06/11/pdfs/GEI-1811-78.pdf#page=4","Abrir facsímil")</f>
        <v>Abrir facsímil</v>
      </c>
      <c r="K2953" s="3" t="s">
        <v>150</v>
      </c>
    </row>
    <row r="2954" spans="1:11" ht="42" customHeight="1">
      <c r="A2954" s="2" t="s">
        <v>8430</v>
      </c>
      <c r="B2954" s="2" t="s">
        <v>8431</v>
      </c>
      <c r="C2954" s="2" t="s">
        <v>37</v>
      </c>
      <c r="D2954" s="2" t="s">
        <v>18</v>
      </c>
      <c r="E2954" s="4">
        <v>-32179</v>
      </c>
      <c r="F2954" s="3" t="s">
        <v>614</v>
      </c>
      <c r="G2954" s="3" t="s">
        <v>5164</v>
      </c>
      <c r="H2954" s="2" t="s">
        <v>148</v>
      </c>
      <c r="I2954" s="2" t="s">
        <v>8432</v>
      </c>
      <c r="J2954" s="3" t="str">
        <f>HYPERLINK("https://www.boe.es/gazeta/dias/1811/11/23/pdfs/GEI-1811-153.pdf#page=7","Abrir facsímil")</f>
        <v>Abrir facsímil</v>
      </c>
      <c r="K2954" s="3" t="s">
        <v>150</v>
      </c>
    </row>
    <row r="2955" spans="1:11" ht="42" customHeight="1">
      <c r="A2955" s="2" t="s">
        <v>8433</v>
      </c>
      <c r="B2955" s="2" t="s">
        <v>8434</v>
      </c>
      <c r="C2955" s="2" t="s">
        <v>26</v>
      </c>
      <c r="D2955" s="2" t="s">
        <v>18</v>
      </c>
      <c r="E2955" s="4">
        <v>-32225</v>
      </c>
      <c r="F2955" s="3" t="s">
        <v>390</v>
      </c>
      <c r="G2955" s="3" t="s">
        <v>1368</v>
      </c>
      <c r="H2955" s="2" t="s">
        <v>148</v>
      </c>
      <c r="I2955" s="2" t="s">
        <v>8435</v>
      </c>
      <c r="J2955" s="3" t="str">
        <f>HYPERLINK("https://www.boe.es/gazeta/dias/1811/10/08/pdfs/GEI-1811-129.pdf#page=8","Abrir facsímil")</f>
        <v>Abrir facsímil</v>
      </c>
      <c r="K2955" s="3" t="s">
        <v>150</v>
      </c>
    </row>
    <row r="2956" spans="1:11" ht="42" customHeight="1">
      <c r="A2956" s="2" t="s">
        <v>8436</v>
      </c>
      <c r="B2956" s="2" t="s">
        <v>8437</v>
      </c>
      <c r="C2956" s="2" t="s">
        <v>26</v>
      </c>
      <c r="D2956" s="2" t="s">
        <v>18</v>
      </c>
      <c r="E2956" s="4">
        <v>-32167</v>
      </c>
      <c r="F2956" s="3" t="s">
        <v>195</v>
      </c>
      <c r="G2956" s="3" t="s">
        <v>3543</v>
      </c>
      <c r="H2956" s="2" t="s">
        <v>148</v>
      </c>
      <c r="I2956" s="2" t="s">
        <v>8438</v>
      </c>
      <c r="J2956" s="3" t="str">
        <f>HYPERLINK("https://www.boe.es/gazeta/dias/1811/12/05/pdfs/GEI-1811-158.pdf#page=8","Abrir facsímil")</f>
        <v>Abrir facsímil</v>
      </c>
      <c r="K2956" s="3" t="s">
        <v>150</v>
      </c>
    </row>
    <row r="2957" spans="1:11" ht="42" customHeight="1">
      <c r="A2957" s="2" t="s">
        <v>8439</v>
      </c>
      <c r="B2957" s="2" t="s">
        <v>8440</v>
      </c>
      <c r="C2957" s="2" t="s">
        <v>17</v>
      </c>
      <c r="D2957" s="2" t="s">
        <v>156</v>
      </c>
      <c r="E2957" s="4">
        <v>-32333</v>
      </c>
      <c r="F2957" s="3" t="s">
        <v>292</v>
      </c>
      <c r="G2957" s="3" t="s">
        <v>293</v>
      </c>
      <c r="H2957" s="2" t="s">
        <v>148</v>
      </c>
      <c r="I2957" s="2" t="s">
        <v>8441</v>
      </c>
      <c r="J2957" s="3" t="str">
        <f>HYPERLINK("https://www.boe.es/gazeta/dias/1811/06/22/pdfs/GEI-1811-83.pdf#page=8","Abrir facsímil")</f>
        <v>Abrir facsímil</v>
      </c>
      <c r="K2957" s="3" t="s">
        <v>150</v>
      </c>
    </row>
    <row r="2958" spans="1:11" ht="42" customHeight="1">
      <c r="A2958" s="2" t="s">
        <v>8442</v>
      </c>
      <c r="B2958" s="2" t="s">
        <v>8443</v>
      </c>
      <c r="C2958" s="2" t="s">
        <v>37</v>
      </c>
      <c r="D2958" s="2" t="s">
        <v>105</v>
      </c>
      <c r="E2958" s="4">
        <v>-32158</v>
      </c>
      <c r="F2958" s="3" t="s">
        <v>46</v>
      </c>
      <c r="G2958" s="3" t="s">
        <v>47</v>
      </c>
      <c r="H2958" s="2" t="s">
        <v>148</v>
      </c>
      <c r="I2958" s="2" t="s">
        <v>8444</v>
      </c>
      <c r="J2958" s="3" t="str">
        <f>HYPERLINK("https://www.boe.es/gazeta/dias/1811/12/14/pdfs/GEI-1811-162.pdf#page=7","Abrir facsímil")</f>
        <v>Abrir facsímil</v>
      </c>
      <c r="K2958" s="3" t="s">
        <v>150</v>
      </c>
    </row>
    <row r="2959" spans="1:11" ht="42" customHeight="1">
      <c r="A2959" s="2" t="s">
        <v>8445</v>
      </c>
      <c r="B2959" s="2" t="s">
        <v>8446</v>
      </c>
      <c r="C2959" s="2" t="s">
        <v>17</v>
      </c>
      <c r="D2959" s="2" t="s">
        <v>18</v>
      </c>
      <c r="E2959" s="4">
        <v>-32490</v>
      </c>
      <c r="F2959" s="3" t="s">
        <v>2407</v>
      </c>
      <c r="G2959" s="3" t="s">
        <v>178</v>
      </c>
      <c r="H2959" s="2" t="s">
        <v>148</v>
      </c>
      <c r="I2959" s="2" t="s">
        <v>8447</v>
      </c>
      <c r="J2959" s="3" t="str">
        <f>HYPERLINK("https://www.boe.es/gazeta/dias/1811/01/16/pdfs/GMD-1811-16.pdf#page=3","Abrir facsímil")</f>
        <v>Abrir facsímil</v>
      </c>
      <c r="K2959" s="3" t="s">
        <v>150</v>
      </c>
    </row>
    <row r="2960" spans="1:11" ht="42" customHeight="1">
      <c r="A2960" s="2" t="s">
        <v>8448</v>
      </c>
      <c r="B2960" s="2" t="s">
        <v>8448</v>
      </c>
      <c r="C2960" s="2" t="s">
        <v>26</v>
      </c>
      <c r="D2960" s="2" t="s">
        <v>18</v>
      </c>
      <c r="E2960" s="4">
        <v>-32381</v>
      </c>
      <c r="F2960" s="3" t="s">
        <v>1698</v>
      </c>
      <c r="G2960" s="3" t="s">
        <v>183</v>
      </c>
      <c r="H2960" s="2" t="s">
        <v>148</v>
      </c>
      <c r="I2960" s="2" t="s">
        <v>8449</v>
      </c>
      <c r="J2960" s="3" t="str">
        <f>HYPERLINK("https://www.boe.es/gazeta/dias/1811/05/05/pdfs/GMD-1811-125.pdf#page=4","Abrir facsímil")</f>
        <v>Abrir facsímil</v>
      </c>
      <c r="K2960" s="3" t="s">
        <v>150</v>
      </c>
    </row>
    <row r="2961" spans="1:11" ht="42" customHeight="1">
      <c r="A2961" s="2" t="s">
        <v>8450</v>
      </c>
      <c r="B2961" s="2" t="s">
        <v>8450</v>
      </c>
      <c r="C2961" s="2" t="s">
        <v>17</v>
      </c>
      <c r="D2961" s="2" t="s">
        <v>18</v>
      </c>
      <c r="E2961" s="4">
        <v>-32319</v>
      </c>
      <c r="F2961" s="3" t="s">
        <v>975</v>
      </c>
      <c r="G2961" s="3" t="s">
        <v>8451</v>
      </c>
      <c r="H2961" s="2" t="s">
        <v>148</v>
      </c>
      <c r="I2961" s="2" t="s">
        <v>8452</v>
      </c>
      <c r="J2961" s="3" t="str">
        <f>HYPERLINK("https://www.boe.es/gazeta/dias/1811/07/06/pdfs/GEI-1811-89.pdf#page=1","Abrir facsímil")</f>
        <v>Abrir facsímil</v>
      </c>
      <c r="K2961" s="3" t="s">
        <v>150</v>
      </c>
    </row>
    <row r="2962" spans="1:11" ht="42" customHeight="1">
      <c r="A2962" s="2" t="s">
        <v>8453</v>
      </c>
      <c r="B2962" s="2" t="s">
        <v>8454</v>
      </c>
      <c r="C2962" s="2" t="s">
        <v>26</v>
      </c>
      <c r="D2962" s="2" t="s">
        <v>18</v>
      </c>
      <c r="E2962" s="4">
        <v>-32295</v>
      </c>
      <c r="F2962" s="3" t="s">
        <v>279</v>
      </c>
      <c r="G2962" s="3" t="s">
        <v>44</v>
      </c>
      <c r="H2962" s="2" t="s">
        <v>148</v>
      </c>
      <c r="I2962" s="2" t="s">
        <v>8455</v>
      </c>
      <c r="J2962" s="3" t="str">
        <f>HYPERLINK("https://www.boe.es/gazeta/dias/1811/07/30/pdfs/GEI-1811-99.pdf#page=8","Abrir facsímil")</f>
        <v>Abrir facsímil</v>
      </c>
      <c r="K2962" s="3" t="s">
        <v>150</v>
      </c>
    </row>
    <row r="2963" spans="1:11" ht="42" customHeight="1">
      <c r="A2963" s="2" t="s">
        <v>8456</v>
      </c>
      <c r="B2963" s="2" t="s">
        <v>8456</v>
      </c>
      <c r="C2963" s="2" t="s">
        <v>17</v>
      </c>
      <c r="D2963" s="2" t="s">
        <v>18</v>
      </c>
      <c r="E2963" s="4">
        <v>-32195</v>
      </c>
      <c r="F2963" s="3" t="s">
        <v>8457</v>
      </c>
      <c r="G2963" s="3" t="s">
        <v>44</v>
      </c>
      <c r="H2963" s="2" t="s">
        <v>148</v>
      </c>
      <c r="I2963" s="2" t="s">
        <v>8458</v>
      </c>
      <c r="J2963" s="3" t="str">
        <f>HYPERLINK("https://www.boe.es/gazeta/dias/1811/11/07/pdfs/GMD-1811-311.pdf#page=3","Abrir facsímil")</f>
        <v>Abrir facsímil</v>
      </c>
      <c r="K2963" s="3" t="s">
        <v>150</v>
      </c>
    </row>
    <row r="2964" spans="1:11" ht="42" customHeight="1">
      <c r="A2964" s="2" t="s">
        <v>8459</v>
      </c>
      <c r="B2964" s="2" t="s">
        <v>8459</v>
      </c>
      <c r="C2964" s="2" t="s">
        <v>37</v>
      </c>
      <c r="D2964" s="2" t="s">
        <v>18</v>
      </c>
      <c r="E2964" s="4">
        <v>-32232</v>
      </c>
      <c r="F2964" s="3" t="s">
        <v>1879</v>
      </c>
      <c r="G2964" s="3" t="s">
        <v>120</v>
      </c>
      <c r="H2964" s="2" t="s">
        <v>148</v>
      </c>
      <c r="I2964" s="2" t="s">
        <v>8460</v>
      </c>
      <c r="J2964" s="3" t="str">
        <f>HYPERLINK("https://www.boe.es/gazeta/dias/1811/10/01/pdfs/GMD-1811-274.pdf#page=1","Abrir facsímil")</f>
        <v>Abrir facsímil</v>
      </c>
      <c r="K2964" s="3" t="s">
        <v>150</v>
      </c>
    </row>
    <row r="2965" spans="1:11" ht="42" customHeight="1">
      <c r="A2965" s="2" t="s">
        <v>8461</v>
      </c>
      <c r="B2965" s="2" t="s">
        <v>8461</v>
      </c>
      <c r="C2965" s="2" t="s">
        <v>17</v>
      </c>
      <c r="D2965" s="2" t="s">
        <v>105</v>
      </c>
      <c r="E2965" s="4">
        <v>-32222</v>
      </c>
      <c r="F2965" s="3" t="s">
        <v>4460</v>
      </c>
      <c r="G2965" s="3" t="s">
        <v>178</v>
      </c>
      <c r="H2965" s="2" t="s">
        <v>148</v>
      </c>
      <c r="I2965" s="2" t="s">
        <v>8462</v>
      </c>
      <c r="J2965" s="3" t="str">
        <f>HYPERLINK("https://www.boe.es/gazeta/dias/1811/10/11/pdfs/GMD-1811-284.pdf#page=4","Abrir facsímil")</f>
        <v>Abrir facsímil</v>
      </c>
      <c r="K2965" s="3" t="s">
        <v>150</v>
      </c>
    </row>
    <row r="2966" spans="1:11" ht="42" customHeight="1">
      <c r="A2966" s="2" t="s">
        <v>8463</v>
      </c>
      <c r="B2966" s="2" t="s">
        <v>8463</v>
      </c>
      <c r="C2966" s="2" t="s">
        <v>104</v>
      </c>
      <c r="D2966" s="2" t="s">
        <v>204</v>
      </c>
      <c r="E2966" s="4">
        <v>-32491</v>
      </c>
      <c r="F2966" s="3" t="s">
        <v>2280</v>
      </c>
      <c r="G2966" s="3" t="s">
        <v>515</v>
      </c>
      <c r="H2966" s="2" t="s">
        <v>148</v>
      </c>
      <c r="I2966" s="2" t="s">
        <v>8464</v>
      </c>
      <c r="J2966" s="3" t="str">
        <f>HYPERLINK("https://www.boe.es/gazeta/dias/1811/01/15/pdfs/GMD-1811-15.pdf#page=2","Abrir facsímil")</f>
        <v>Abrir facsímil</v>
      </c>
      <c r="K2966" s="3" t="s">
        <v>150</v>
      </c>
    </row>
    <row r="2967" spans="1:11" ht="42" customHeight="1">
      <c r="A2967" s="2" t="s">
        <v>8465</v>
      </c>
      <c r="B2967" s="2" t="s">
        <v>8465</v>
      </c>
      <c r="C2967" s="2" t="s">
        <v>17</v>
      </c>
      <c r="D2967" s="2" t="s">
        <v>18</v>
      </c>
      <c r="E2967" s="4">
        <v>-32336</v>
      </c>
      <c r="F2967" s="3" t="s">
        <v>8466</v>
      </c>
      <c r="G2967" s="3" t="s">
        <v>107</v>
      </c>
      <c r="H2967" s="2" t="s">
        <v>148</v>
      </c>
      <c r="I2967" s="2" t="s">
        <v>8467</v>
      </c>
      <c r="J2967" s="3" t="str">
        <f>HYPERLINK("https://www.boe.es/gazeta/dias/1811/06/19/pdfs/GMD-1811-170.pdf#page=2","Abrir facsímil")</f>
        <v>Abrir facsímil</v>
      </c>
      <c r="K2967" s="3" t="s">
        <v>150</v>
      </c>
    </row>
    <row r="2968" spans="1:11" ht="42" customHeight="1">
      <c r="A2968" s="2" t="s">
        <v>8468</v>
      </c>
      <c r="B2968" s="2" t="s">
        <v>8469</v>
      </c>
      <c r="C2968" s="2" t="s">
        <v>26</v>
      </c>
      <c r="D2968" s="2" t="s">
        <v>18</v>
      </c>
      <c r="E2968" s="4">
        <v>-32200</v>
      </c>
      <c r="F2968" s="3" t="s">
        <v>109</v>
      </c>
      <c r="G2968" s="3" t="s">
        <v>268</v>
      </c>
      <c r="H2968" s="2" t="s">
        <v>148</v>
      </c>
      <c r="I2968" s="2" t="s">
        <v>8470</v>
      </c>
      <c r="J2968" s="3" t="str">
        <f>HYPERLINK("https://www.boe.es/gazeta/dias/1811/11/02/pdfs/GEI-1811-141.pdf#page=7","Abrir facsímil")</f>
        <v>Abrir facsímil</v>
      </c>
      <c r="K2968" s="3" t="s">
        <v>150</v>
      </c>
    </row>
    <row r="2969" spans="1:11" ht="42" customHeight="1">
      <c r="A2969" s="2" t="s">
        <v>8471</v>
      </c>
      <c r="B2969" s="2" t="s">
        <v>8471</v>
      </c>
      <c r="C2969" s="2" t="s">
        <v>26</v>
      </c>
      <c r="D2969" s="2" t="s">
        <v>18</v>
      </c>
      <c r="E2969" s="4">
        <v>-32286</v>
      </c>
      <c r="F2969" s="3" t="s">
        <v>754</v>
      </c>
      <c r="G2969" s="3" t="s">
        <v>1728</v>
      </c>
      <c r="H2969" s="2" t="s">
        <v>148</v>
      </c>
      <c r="I2969" s="2" t="s">
        <v>8472</v>
      </c>
      <c r="J2969" s="3" t="str">
        <f>HYPERLINK("https://www.boe.es/gazeta/dias/1811/08/08/pdfs/GEI-1811-103.pdf#page=8","Abrir facsímil")</f>
        <v>Abrir facsímil</v>
      </c>
      <c r="K2969" s="3" t="s">
        <v>150</v>
      </c>
    </row>
    <row r="2970" spans="1:11" ht="42" customHeight="1">
      <c r="A2970" s="2" t="s">
        <v>8471</v>
      </c>
      <c r="B2970" s="2" t="s">
        <v>8471</v>
      </c>
      <c r="C2970" s="2" t="s">
        <v>26</v>
      </c>
      <c r="D2970" s="2" t="s">
        <v>18</v>
      </c>
      <c r="E2970" s="4">
        <v>-32209</v>
      </c>
      <c r="F2970" s="3" t="s">
        <v>1324</v>
      </c>
      <c r="G2970" s="3" t="s">
        <v>2539</v>
      </c>
      <c r="H2970" s="2" t="s">
        <v>148</v>
      </c>
      <c r="I2970" s="2" t="s">
        <v>8473</v>
      </c>
      <c r="J2970" s="3" t="str">
        <f>HYPERLINK("https://www.boe.es/gazeta/dias/1811/10/24/pdfs/GMD-1811-297.pdf#page=3","Abrir facsímil")</f>
        <v>Abrir facsímil</v>
      </c>
      <c r="K2970" s="3" t="s">
        <v>150</v>
      </c>
    </row>
    <row r="2971" spans="1:11" ht="42" customHeight="1">
      <c r="A2971" s="2" t="s">
        <v>8471</v>
      </c>
      <c r="B2971" s="2" t="s">
        <v>8471</v>
      </c>
      <c r="C2971" s="2" t="s">
        <v>26</v>
      </c>
      <c r="D2971" s="2" t="s">
        <v>18</v>
      </c>
      <c r="E2971" s="4">
        <v>-32197</v>
      </c>
      <c r="F2971" s="3" t="s">
        <v>687</v>
      </c>
      <c r="G2971" s="3" t="s">
        <v>1240</v>
      </c>
      <c r="H2971" s="2" t="s">
        <v>148</v>
      </c>
      <c r="I2971" s="2" t="s">
        <v>8474</v>
      </c>
      <c r="J2971" s="3" t="str">
        <f>HYPERLINK("https://www.boe.es/gazeta/dias/1811/11/05/pdfs/GEI-1811-143.pdf#page=8","Abrir facsímil")</f>
        <v>Abrir facsímil</v>
      </c>
      <c r="K2971" s="3" t="s">
        <v>150</v>
      </c>
    </row>
    <row r="2972" spans="1:11" ht="42" customHeight="1">
      <c r="A2972" s="2" t="s">
        <v>8471</v>
      </c>
      <c r="B2972" s="2" t="s">
        <v>8471</v>
      </c>
      <c r="C2972" s="2" t="s">
        <v>26</v>
      </c>
      <c r="D2972" s="2" t="s">
        <v>18</v>
      </c>
      <c r="E2972" s="4">
        <v>-32172</v>
      </c>
      <c r="F2972" s="3" t="s">
        <v>300</v>
      </c>
      <c r="G2972" s="3" t="s">
        <v>301</v>
      </c>
      <c r="H2972" s="2" t="s">
        <v>148</v>
      </c>
      <c r="I2972" s="2" t="s">
        <v>8475</v>
      </c>
      <c r="J2972" s="3" t="str">
        <f>HYPERLINK("https://www.boe.es/gazeta/dias/1811/11/30/pdfs/GMD-1811-334.pdf#page=4","Abrir facsímil")</f>
        <v>Abrir facsímil</v>
      </c>
      <c r="K2972" s="3" t="s">
        <v>150</v>
      </c>
    </row>
    <row r="2973" spans="1:11" ht="42" customHeight="1">
      <c r="A2973" s="2" t="s">
        <v>8476</v>
      </c>
      <c r="B2973" s="2" t="s">
        <v>8477</v>
      </c>
      <c r="C2973" s="2" t="s">
        <v>104</v>
      </c>
      <c r="D2973" s="2" t="s">
        <v>18</v>
      </c>
      <c r="E2973" s="4">
        <v>-32501</v>
      </c>
      <c r="F2973" s="3" t="s">
        <v>509</v>
      </c>
      <c r="G2973" s="3" t="s">
        <v>510</v>
      </c>
      <c r="H2973" s="2" t="s">
        <v>148</v>
      </c>
      <c r="I2973" s="2" t="s">
        <v>8478</v>
      </c>
      <c r="J2973" s="3" t="str">
        <f>HYPERLINK("https://www.boe.es/gazeta/dias/1811/01/05/pdfs/GEI-1811-3.pdf#page=8","Abrir facsímil")</f>
        <v>Abrir facsímil</v>
      </c>
      <c r="K2973" s="3" t="s">
        <v>150</v>
      </c>
    </row>
    <row r="2974" spans="1:11" ht="42" customHeight="1">
      <c r="A2974" s="2" t="s">
        <v>8479</v>
      </c>
      <c r="B2974" s="2" t="s">
        <v>8479</v>
      </c>
      <c r="C2974" s="2" t="s">
        <v>17</v>
      </c>
      <c r="D2974" s="2" t="s">
        <v>156</v>
      </c>
      <c r="E2974" s="4">
        <v>-32428</v>
      </c>
      <c r="F2974" s="3" t="s">
        <v>351</v>
      </c>
      <c r="G2974" s="3" t="s">
        <v>115</v>
      </c>
      <c r="H2974" s="2" t="s">
        <v>148</v>
      </c>
      <c r="I2974" s="2" t="s">
        <v>8480</v>
      </c>
      <c r="J2974" s="3" t="str">
        <f>HYPERLINK("https://www.boe.es/gazeta/dias/1811/03/19/pdfs/GMD-1811-78.pdf#page=3","Abrir facsímil")</f>
        <v>Abrir facsímil</v>
      </c>
      <c r="K2974" s="3" t="s">
        <v>150</v>
      </c>
    </row>
    <row r="2975" spans="1:11" ht="42" customHeight="1">
      <c r="A2975" s="2" t="s">
        <v>8479</v>
      </c>
      <c r="B2975" s="2" t="s">
        <v>8479</v>
      </c>
      <c r="C2975" s="2" t="s">
        <v>17</v>
      </c>
      <c r="D2975" s="2" t="s">
        <v>156</v>
      </c>
      <c r="E2975" s="4">
        <v>-32225</v>
      </c>
      <c r="F2975" s="3" t="s">
        <v>390</v>
      </c>
      <c r="G2975" s="3" t="s">
        <v>1368</v>
      </c>
      <c r="H2975" s="2" t="s">
        <v>148</v>
      </c>
      <c r="I2975" s="2" t="s">
        <v>8481</v>
      </c>
      <c r="J2975" s="3" t="str">
        <f>HYPERLINK("https://www.boe.es/gazeta/dias/1811/10/08/pdfs/GEI-1811-129.pdf#page=8","Abrir facsímil")</f>
        <v>Abrir facsímil</v>
      </c>
      <c r="K2975" s="3" t="s">
        <v>150</v>
      </c>
    </row>
    <row r="2976" spans="1:11" ht="42" customHeight="1">
      <c r="A2976" s="2" t="s">
        <v>8479</v>
      </c>
      <c r="B2976" s="2" t="s">
        <v>8479</v>
      </c>
      <c r="C2976" s="2" t="s">
        <v>122</v>
      </c>
      <c r="D2976" s="2" t="s">
        <v>18</v>
      </c>
      <c r="E2976" s="4">
        <v>-32215</v>
      </c>
      <c r="F2976" s="3" t="s">
        <v>6300</v>
      </c>
      <c r="G2976" s="3" t="s">
        <v>4049</v>
      </c>
      <c r="H2976" s="2" t="s">
        <v>148</v>
      </c>
      <c r="I2976" s="2" t="s">
        <v>8482</v>
      </c>
      <c r="J2976" s="3" t="str">
        <f>HYPERLINK("https://www.boe.es/gazeta/dias/1811/10/18/pdfs/GMD-1811-291.pdf#page=4","Abrir facsímil")</f>
        <v>Abrir facsímil</v>
      </c>
      <c r="K2976" s="3" t="s">
        <v>150</v>
      </c>
    </row>
    <row r="2977" spans="1:11" ht="42" customHeight="1">
      <c r="A2977" s="2" t="s">
        <v>8479</v>
      </c>
      <c r="B2977" s="2" t="s">
        <v>8479</v>
      </c>
      <c r="C2977" s="2" t="s">
        <v>26</v>
      </c>
      <c r="D2977" s="2" t="s">
        <v>204</v>
      </c>
      <c r="E2977" s="4">
        <v>-32187</v>
      </c>
      <c r="F2977" s="3" t="s">
        <v>1775</v>
      </c>
      <c r="G2977" s="3" t="s">
        <v>657</v>
      </c>
      <c r="H2977" s="2" t="s">
        <v>148</v>
      </c>
      <c r="I2977" s="2" t="s">
        <v>8483</v>
      </c>
      <c r="J2977" s="3" t="str">
        <f>HYPERLINK("https://www.boe.es/gazeta/dias/1811/11/15/pdfs/GMD-1811-319.pdf#page=4","Abrir facsímil")</f>
        <v>Abrir facsímil</v>
      </c>
      <c r="K2977" s="3" t="s">
        <v>150</v>
      </c>
    </row>
    <row r="2978" spans="1:11" ht="42" customHeight="1">
      <c r="A2978" s="2" t="s">
        <v>8479</v>
      </c>
      <c r="B2978" s="2" t="s">
        <v>8479</v>
      </c>
      <c r="C2978" s="2" t="s">
        <v>26</v>
      </c>
      <c r="D2978" s="2" t="s">
        <v>18</v>
      </c>
      <c r="E2978" s="4">
        <v>-32179</v>
      </c>
      <c r="F2978" s="3" t="s">
        <v>614</v>
      </c>
      <c r="G2978" s="3" t="s">
        <v>47</v>
      </c>
      <c r="H2978" s="2" t="s">
        <v>148</v>
      </c>
      <c r="I2978" s="2" t="s">
        <v>8484</v>
      </c>
      <c r="J2978" s="3" t="str">
        <f>HYPERLINK("https://www.boe.es/gazeta/dias/1811/11/23/pdfs/GEI-1811-153.pdf#page=8","Abrir facsímil")</f>
        <v>Abrir facsímil</v>
      </c>
      <c r="K2978" s="3" t="s">
        <v>150</v>
      </c>
    </row>
    <row r="2979" spans="1:11" ht="42" customHeight="1">
      <c r="A2979" s="2" t="s">
        <v>8479</v>
      </c>
      <c r="B2979" s="2" t="s">
        <v>8479</v>
      </c>
      <c r="C2979" s="2" t="s">
        <v>26</v>
      </c>
      <c r="D2979" s="2" t="s">
        <v>18</v>
      </c>
      <c r="E2979" s="4">
        <v>-32162</v>
      </c>
      <c r="F2979" s="3" t="s">
        <v>317</v>
      </c>
      <c r="G2979" s="3" t="s">
        <v>318</v>
      </c>
      <c r="H2979" s="2" t="s">
        <v>148</v>
      </c>
      <c r="I2979" s="2" t="s">
        <v>8485</v>
      </c>
      <c r="J2979" s="3" t="str">
        <f>HYPERLINK("https://www.boe.es/gazeta/dias/1811/12/10/pdfs/GEI-1811-160.pdf#page=8","Abrir facsímil")</f>
        <v>Abrir facsímil</v>
      </c>
      <c r="K2979" s="3" t="s">
        <v>150</v>
      </c>
    </row>
    <row r="2980" spans="1:11" ht="42" customHeight="1">
      <c r="A2980" s="2" t="s">
        <v>8479</v>
      </c>
      <c r="B2980" s="2" t="s">
        <v>8479</v>
      </c>
      <c r="C2980" s="2" t="s">
        <v>26</v>
      </c>
      <c r="D2980" s="2" t="s">
        <v>18</v>
      </c>
      <c r="E2980" s="4">
        <v>-32153</v>
      </c>
      <c r="F2980" s="3" t="s">
        <v>123</v>
      </c>
      <c r="G2980" s="3" t="s">
        <v>124</v>
      </c>
      <c r="H2980" s="2" t="s">
        <v>148</v>
      </c>
      <c r="I2980" s="2" t="s">
        <v>8486</v>
      </c>
      <c r="J2980" s="3" t="str">
        <f>HYPERLINK("https://www.boe.es/gazeta/dias/1811/12/19/pdfs/GMD-1811-353.pdf#page=6","Abrir facsímil")</f>
        <v>Abrir facsímil</v>
      </c>
      <c r="K2980" s="3" t="s">
        <v>150</v>
      </c>
    </row>
    <row r="2981" spans="1:11" ht="42" customHeight="1">
      <c r="A2981" s="2" t="s">
        <v>8487</v>
      </c>
      <c r="B2981" s="2" t="s">
        <v>8488</v>
      </c>
      <c r="C2981" s="2" t="s">
        <v>26</v>
      </c>
      <c r="D2981" s="2" t="s">
        <v>18</v>
      </c>
      <c r="E2981" s="4">
        <v>-32204</v>
      </c>
      <c r="F2981" s="3" t="s">
        <v>177</v>
      </c>
      <c r="G2981" s="3" t="s">
        <v>178</v>
      </c>
      <c r="H2981" s="2" t="s">
        <v>148</v>
      </c>
      <c r="I2981" s="2" t="s">
        <v>8489</v>
      </c>
      <c r="J2981" s="3" t="str">
        <f>HYPERLINK("https://www.boe.es/gazeta/dias/1811/10/29/pdfs/GMD-1811-302.pdf#page=4","Abrir facsímil")</f>
        <v>Abrir facsímil</v>
      </c>
      <c r="K2981" s="3" t="s">
        <v>150</v>
      </c>
    </row>
    <row r="2982" spans="1:11" ht="42" customHeight="1">
      <c r="A2982" s="2" t="s">
        <v>8490</v>
      </c>
      <c r="B2982" s="2" t="s">
        <v>8491</v>
      </c>
      <c r="C2982" s="2" t="s">
        <v>17</v>
      </c>
      <c r="D2982" s="2" t="s">
        <v>18</v>
      </c>
      <c r="E2982" s="4">
        <v>-32283</v>
      </c>
      <c r="F2982" s="3" t="s">
        <v>90</v>
      </c>
      <c r="G2982" s="3" t="s">
        <v>91</v>
      </c>
      <c r="H2982" s="2" t="s">
        <v>148</v>
      </c>
      <c r="I2982" s="2" t="s">
        <v>8492</v>
      </c>
      <c r="J2982" s="3" t="str">
        <f>HYPERLINK("https://www.boe.es/gazeta/dias/1811/08/11/pdfs/GMD-1811-223.pdf#page=4","Abrir facsímil")</f>
        <v>Abrir facsímil</v>
      </c>
      <c r="K2982" s="3" t="s">
        <v>150</v>
      </c>
    </row>
    <row r="2983" spans="1:11" ht="42" customHeight="1">
      <c r="A2983" s="2" t="s">
        <v>8493</v>
      </c>
      <c r="B2983" s="2" t="s">
        <v>8493</v>
      </c>
      <c r="C2983" s="2" t="s">
        <v>26</v>
      </c>
      <c r="D2983" s="2" t="s">
        <v>18</v>
      </c>
      <c r="E2983" s="4">
        <v>-32153</v>
      </c>
      <c r="F2983" s="3" t="s">
        <v>123</v>
      </c>
      <c r="G2983" s="3" t="s">
        <v>124</v>
      </c>
      <c r="H2983" s="2" t="s">
        <v>148</v>
      </c>
      <c r="I2983" s="2" t="s">
        <v>8494</v>
      </c>
      <c r="J2983" s="3" t="str">
        <f>HYPERLINK("https://www.boe.es/gazeta/dias/1811/12/19/pdfs/GMD-1811-353.pdf#page=6","Abrir facsímil")</f>
        <v>Abrir facsímil</v>
      </c>
      <c r="K2983" s="3" t="s">
        <v>150</v>
      </c>
    </row>
    <row r="2984" spans="1:11" ht="42" customHeight="1">
      <c r="A2984" s="2" t="s">
        <v>8495</v>
      </c>
      <c r="B2984" s="2" t="s">
        <v>8495</v>
      </c>
      <c r="C2984" s="2" t="s">
        <v>26</v>
      </c>
      <c r="D2984" s="2" t="s">
        <v>141</v>
      </c>
      <c r="E2984" s="4">
        <v>-32280</v>
      </c>
      <c r="F2984" s="3" t="s">
        <v>142</v>
      </c>
      <c r="G2984" s="3" t="s">
        <v>47</v>
      </c>
      <c r="H2984" s="2" t="s">
        <v>148</v>
      </c>
      <c r="I2984" s="2" t="s">
        <v>8496</v>
      </c>
      <c r="J2984" s="3" t="str">
        <f>HYPERLINK("https://www.boe.es/gazeta/dias/1811/08/14/pdfs/GMD-C-1811-226.pdf#page=1","Abrir facsímil")</f>
        <v>Abrir facsímil</v>
      </c>
      <c r="K2984" s="3" t="s">
        <v>150</v>
      </c>
    </row>
    <row r="2985" spans="1:11" ht="42" customHeight="1">
      <c r="A2985" s="2" t="s">
        <v>8497</v>
      </c>
      <c r="B2985" s="2" t="s">
        <v>8497</v>
      </c>
      <c r="C2985" s="2" t="s">
        <v>17</v>
      </c>
      <c r="D2985" s="2" t="s">
        <v>18</v>
      </c>
      <c r="E2985" s="4">
        <v>-32487</v>
      </c>
      <c r="F2985" s="3" t="s">
        <v>842</v>
      </c>
      <c r="G2985" s="3" t="s">
        <v>3105</v>
      </c>
      <c r="H2985" s="2" t="s">
        <v>148</v>
      </c>
      <c r="I2985" s="2" t="s">
        <v>8498</v>
      </c>
      <c r="J2985" s="3" t="str">
        <f>HYPERLINK("https://www.boe.es/gazeta/dias/1811/01/19/pdfs/GEI-1811-9.pdf#page=5","Abrir facsímil")</f>
        <v>Abrir facsímil</v>
      </c>
      <c r="K2985" s="3" t="s">
        <v>150</v>
      </c>
    </row>
    <row r="2986" spans="1:11" ht="42" customHeight="1">
      <c r="A2986" s="2" t="s">
        <v>8497</v>
      </c>
      <c r="B2986" s="2" t="s">
        <v>8497</v>
      </c>
      <c r="C2986" s="2" t="s">
        <v>84</v>
      </c>
      <c r="D2986" s="2" t="s">
        <v>18</v>
      </c>
      <c r="E2986" s="4">
        <v>-32321</v>
      </c>
      <c r="F2986" s="3" t="s">
        <v>2344</v>
      </c>
      <c r="G2986" s="3" t="s">
        <v>178</v>
      </c>
      <c r="H2986" s="2" t="s">
        <v>148</v>
      </c>
      <c r="I2986" s="2" t="s">
        <v>8499</v>
      </c>
      <c r="J2986" s="3" t="str">
        <f>HYPERLINK("https://www.boe.es/gazeta/dias/1811/07/04/pdfs/GMD-1811-185.pdf#page=4","Abrir facsímil")</f>
        <v>Abrir facsímil</v>
      </c>
      <c r="K2986" s="3" t="s">
        <v>150</v>
      </c>
    </row>
    <row r="2987" spans="1:11" ht="42" customHeight="1">
      <c r="A2987" s="2" t="s">
        <v>8497</v>
      </c>
      <c r="B2987" s="2" t="s">
        <v>8497</v>
      </c>
      <c r="C2987" s="2" t="s">
        <v>17</v>
      </c>
      <c r="D2987" s="2" t="s">
        <v>156</v>
      </c>
      <c r="E2987" s="4">
        <v>-32235</v>
      </c>
      <c r="F2987" s="3" t="s">
        <v>190</v>
      </c>
      <c r="G2987" s="3" t="s">
        <v>8500</v>
      </c>
      <c r="H2987" s="2" t="s">
        <v>148</v>
      </c>
      <c r="I2987" s="2" t="s">
        <v>8501</v>
      </c>
      <c r="J2987" s="3" t="str">
        <f>HYPERLINK("https://www.boe.es/gazeta/dias/1811/09/28/pdfs/GEI-1811-125.pdf#page=7","Abrir facsímil")</f>
        <v>Abrir facsímil</v>
      </c>
      <c r="K2987" s="3" t="s">
        <v>150</v>
      </c>
    </row>
    <row r="2988" spans="1:11" ht="42" customHeight="1">
      <c r="A2988" s="2" t="s">
        <v>8497</v>
      </c>
      <c r="B2988" s="2" t="s">
        <v>8497</v>
      </c>
      <c r="C2988" s="2" t="s">
        <v>104</v>
      </c>
      <c r="D2988" s="2" t="s">
        <v>105</v>
      </c>
      <c r="E2988" s="4">
        <v>-32219</v>
      </c>
      <c r="F2988" s="3" t="s">
        <v>2681</v>
      </c>
      <c r="G2988" s="3" t="s">
        <v>8502</v>
      </c>
      <c r="H2988" s="2" t="s">
        <v>148</v>
      </c>
      <c r="I2988" s="2" t="s">
        <v>8503</v>
      </c>
      <c r="J2988" s="3" t="str">
        <f>HYPERLINK("https://www.boe.es/gazeta/dias/1811/10/14/pdfs/GMD-1811-287.pdf#page=4","Abrir facsímil")</f>
        <v>Abrir facsímil</v>
      </c>
      <c r="K2988" s="3" t="s">
        <v>150</v>
      </c>
    </row>
    <row r="2989" spans="1:11" ht="42" customHeight="1">
      <c r="A2989" s="2" t="s">
        <v>8497</v>
      </c>
      <c r="B2989" s="2" t="s">
        <v>8497</v>
      </c>
      <c r="C2989" s="2" t="s">
        <v>17</v>
      </c>
      <c r="D2989" s="2" t="s">
        <v>18</v>
      </c>
      <c r="E2989" s="4">
        <v>-32197</v>
      </c>
      <c r="F2989" s="3" t="s">
        <v>2390</v>
      </c>
      <c r="G2989" s="3" t="s">
        <v>178</v>
      </c>
      <c r="H2989" s="2" t="s">
        <v>148</v>
      </c>
      <c r="I2989" s="2" t="s">
        <v>8504</v>
      </c>
      <c r="J2989" s="3" t="str">
        <f>HYPERLINK("https://www.boe.es/gazeta/dias/1811/11/05/pdfs/GMD-1811-309.pdf#page=2","Abrir facsímil")</f>
        <v>Abrir facsímil</v>
      </c>
      <c r="K2989" s="3" t="s">
        <v>150</v>
      </c>
    </row>
    <row r="2990" spans="1:11" ht="42" customHeight="1">
      <c r="A2990" s="2" t="s">
        <v>8497</v>
      </c>
      <c r="B2990" s="2" t="s">
        <v>8497</v>
      </c>
      <c r="C2990" s="2" t="s">
        <v>104</v>
      </c>
      <c r="D2990" s="2" t="s">
        <v>18</v>
      </c>
      <c r="E2990" s="4">
        <v>-32141</v>
      </c>
      <c r="F2990" s="3" t="s">
        <v>327</v>
      </c>
      <c r="G2990" s="3" t="s">
        <v>20</v>
      </c>
      <c r="H2990" s="2" t="s">
        <v>148</v>
      </c>
      <c r="I2990" s="2" t="s">
        <v>8505</v>
      </c>
      <c r="J2990" s="3" t="str">
        <f>HYPERLINK("https://www.boe.es/gazeta/dias/1811/12/31/pdfs/GMD-1811-365.pdf#page=4","Abrir facsímil")</f>
        <v>Abrir facsímil</v>
      </c>
      <c r="K2990" s="3" t="s">
        <v>150</v>
      </c>
    </row>
    <row r="2991" spans="1:11" ht="42" customHeight="1">
      <c r="A2991" s="2" t="s">
        <v>8506</v>
      </c>
      <c r="B2991" s="2" t="s">
        <v>8507</v>
      </c>
      <c r="C2991" s="2" t="s">
        <v>17</v>
      </c>
      <c r="D2991" s="2" t="s">
        <v>156</v>
      </c>
      <c r="E2991" s="4">
        <v>-32235</v>
      </c>
      <c r="F2991" s="3" t="s">
        <v>190</v>
      </c>
      <c r="G2991" s="3" t="s">
        <v>188</v>
      </c>
      <c r="H2991" s="2" t="s">
        <v>148</v>
      </c>
      <c r="I2991" s="2" t="s">
        <v>8508</v>
      </c>
      <c r="J2991" s="3" t="str">
        <f>HYPERLINK("https://www.boe.es/gazeta/dias/1811/09/28/pdfs/GEI-1811-125.pdf#page=8","Abrir facsímil")</f>
        <v>Abrir facsímil</v>
      </c>
      <c r="K2991" s="3" t="s">
        <v>150</v>
      </c>
    </row>
    <row r="2992" spans="1:11" ht="42" customHeight="1">
      <c r="A2992" s="2" t="s">
        <v>8509</v>
      </c>
      <c r="B2992" s="2" t="s">
        <v>8510</v>
      </c>
      <c r="C2992" s="2" t="s">
        <v>17</v>
      </c>
      <c r="D2992" s="2" t="s">
        <v>18</v>
      </c>
      <c r="E2992" s="4">
        <v>-32340</v>
      </c>
      <c r="F2992" s="3" t="s">
        <v>565</v>
      </c>
      <c r="G2992" s="3" t="s">
        <v>566</v>
      </c>
      <c r="H2992" s="2" t="s">
        <v>21</v>
      </c>
      <c r="I2992" s="2" t="s">
        <v>8511</v>
      </c>
      <c r="J2992" s="3" t="str">
        <f>HYPERLINK("https://www.boe.es/gazeta/dias/1811/06/15/pdfs/GEI-1811-80.pdf#page=5","Abrir facsímil")</f>
        <v>Abrir facsímil</v>
      </c>
      <c r="K2992" s="3" t="s">
        <v>23</v>
      </c>
    </row>
    <row r="2993" spans="1:11" ht="42" customHeight="1">
      <c r="A2993" s="2" t="s">
        <v>8512</v>
      </c>
      <c r="B2993" s="2" t="s">
        <v>8513</v>
      </c>
      <c r="C2993" s="2" t="s">
        <v>37</v>
      </c>
      <c r="D2993" s="2" t="s">
        <v>156</v>
      </c>
      <c r="E2993" s="4">
        <v>-32368</v>
      </c>
      <c r="F2993" s="3" t="s">
        <v>2511</v>
      </c>
      <c r="G2993" s="3" t="s">
        <v>214</v>
      </c>
      <c r="H2993" s="2" t="s">
        <v>21</v>
      </c>
      <c r="I2993" s="2" t="s">
        <v>8514</v>
      </c>
      <c r="J2993" s="3" t="str">
        <f>HYPERLINK("https://www.boe.es/gazeta/dias/1811/05/18/pdfs/GEI-1811-65.pdf#page=6","Abrir facsímil")</f>
        <v>Abrir facsímil</v>
      </c>
      <c r="K2993" s="3" t="s">
        <v>23</v>
      </c>
    </row>
    <row r="2994" spans="1:11" ht="42" customHeight="1">
      <c r="A2994" s="2" t="s">
        <v>8515</v>
      </c>
      <c r="B2994" s="2" t="s">
        <v>8515</v>
      </c>
      <c r="C2994" s="2" t="s">
        <v>17</v>
      </c>
      <c r="D2994" s="2" t="s">
        <v>156</v>
      </c>
      <c r="E2994" s="4">
        <v>-32177</v>
      </c>
      <c r="F2994" s="3" t="s">
        <v>402</v>
      </c>
      <c r="G2994" s="3" t="s">
        <v>178</v>
      </c>
      <c r="H2994" s="2" t="s">
        <v>148</v>
      </c>
      <c r="I2994" s="2" t="s">
        <v>8516</v>
      </c>
      <c r="J2994" s="3" t="str">
        <f>HYPERLINK("https://www.boe.es/gazeta/dias/1811/11/25/pdfs/GMD-1811-329.pdf#page=4","Abrir facsímil")</f>
        <v>Abrir facsímil</v>
      </c>
      <c r="K2994" s="3" t="s">
        <v>150</v>
      </c>
    </row>
    <row r="2995" spans="1:11" ht="42" customHeight="1">
      <c r="A2995" s="2" t="s">
        <v>8517</v>
      </c>
      <c r="B2995" s="2" t="s">
        <v>8518</v>
      </c>
      <c r="C2995" s="2" t="s">
        <v>26</v>
      </c>
      <c r="D2995" s="2" t="s">
        <v>18</v>
      </c>
      <c r="E2995" s="4">
        <v>-32260</v>
      </c>
      <c r="F2995" s="3" t="s">
        <v>27</v>
      </c>
      <c r="G2995" s="3" t="s">
        <v>8519</v>
      </c>
      <c r="H2995" s="2" t="s">
        <v>21</v>
      </c>
      <c r="I2995" s="2" t="s">
        <v>8520</v>
      </c>
      <c r="J2995" s="3" t="str">
        <f>HYPERLINK("https://www.boe.es/gazeta/dias/1811/09/03/pdfs/GEI-1811-114.pdf#page=7","Abrir facsímil")</f>
        <v>Abrir facsímil</v>
      </c>
      <c r="K2995" s="3" t="s">
        <v>23</v>
      </c>
    </row>
    <row r="2996" spans="1:11" ht="42" customHeight="1">
      <c r="A2996" s="2" t="s">
        <v>8521</v>
      </c>
      <c r="B2996" s="2" t="s">
        <v>8522</v>
      </c>
      <c r="C2996" s="2" t="s">
        <v>17</v>
      </c>
      <c r="D2996" s="2" t="s">
        <v>18</v>
      </c>
      <c r="E2996" s="4">
        <v>-32246</v>
      </c>
      <c r="F2996" s="3" t="s">
        <v>19</v>
      </c>
      <c r="G2996" s="3" t="s">
        <v>2146</v>
      </c>
      <c r="H2996" s="2" t="s">
        <v>21</v>
      </c>
      <c r="I2996" s="2" t="s">
        <v>8523</v>
      </c>
      <c r="J2996" s="3" t="str">
        <f>HYPERLINK("https://www.boe.es/gazeta/dias/1811/09/17/pdfs/GEI-1811-120.pdf#page=14","Abrir facsímil")</f>
        <v>Abrir facsímil</v>
      </c>
      <c r="K2996" s="3" t="s">
        <v>23</v>
      </c>
    </row>
    <row r="2997" spans="1:11" ht="42" customHeight="1">
      <c r="A2997" s="2" t="s">
        <v>8524</v>
      </c>
      <c r="B2997" s="2" t="s">
        <v>8525</v>
      </c>
      <c r="C2997" s="2" t="s">
        <v>367</v>
      </c>
      <c r="D2997" s="2" t="s">
        <v>18</v>
      </c>
      <c r="E2997" s="4">
        <v>-32141</v>
      </c>
      <c r="F2997" s="3" t="s">
        <v>327</v>
      </c>
      <c r="G2997" s="3" t="s">
        <v>115</v>
      </c>
      <c r="H2997" s="2" t="s">
        <v>148</v>
      </c>
      <c r="I2997" s="2" t="s">
        <v>8526</v>
      </c>
      <c r="J2997" s="3" t="str">
        <f>HYPERLINK("https://www.boe.es/gazeta/dias/1811/12/31/pdfs/GMD-1811-365.pdf#page=3","Abrir facsímil")</f>
        <v>Abrir facsímil</v>
      </c>
      <c r="K2997" s="3" t="s">
        <v>150</v>
      </c>
    </row>
    <row r="2998" spans="1:11" ht="42" customHeight="1">
      <c r="A2998" s="2" t="s">
        <v>8527</v>
      </c>
      <c r="B2998" s="2" t="s">
        <v>8528</v>
      </c>
      <c r="C2998" s="2" t="s">
        <v>17</v>
      </c>
      <c r="D2998" s="2" t="s">
        <v>156</v>
      </c>
      <c r="E2998" s="4">
        <v>-32319</v>
      </c>
      <c r="F2998" s="3" t="s">
        <v>907</v>
      </c>
      <c r="G2998" s="3" t="s">
        <v>8529</v>
      </c>
      <c r="H2998" s="2" t="s">
        <v>148</v>
      </c>
      <c r="I2998" s="2" t="s">
        <v>8530</v>
      </c>
      <c r="J2998" s="3" t="str">
        <f>HYPERLINK("https://www.boe.es/gazeta/dias/1811/07/06/pdfs/GEI-D-1811-89.pdf#page=3","Abrir facsímil")</f>
        <v>Abrir facsímil</v>
      </c>
      <c r="K2998" s="3" t="s">
        <v>150</v>
      </c>
    </row>
    <row r="2999" spans="1:11" ht="42" customHeight="1">
      <c r="A2999" s="2" t="s">
        <v>8531</v>
      </c>
      <c r="B2999" s="2" t="s">
        <v>8531</v>
      </c>
      <c r="C2999" s="2" t="s">
        <v>17</v>
      </c>
      <c r="D2999" s="2" t="s">
        <v>18</v>
      </c>
      <c r="E2999" s="4">
        <v>-32152</v>
      </c>
      <c r="F2999" s="3" t="s">
        <v>1673</v>
      </c>
      <c r="G2999" s="3" t="s">
        <v>57</v>
      </c>
      <c r="H2999" s="2" t="s">
        <v>148</v>
      </c>
      <c r="I2999" s="2" t="s">
        <v>8532</v>
      </c>
      <c r="J2999" s="3" t="str">
        <f>HYPERLINK("https://www.boe.es/gazeta/dias/1811/12/20/pdfs/GMD-1811-354.pdf#page=2","Abrir facsímil")</f>
        <v>Abrir facsímil</v>
      </c>
      <c r="K2999" s="3" t="s">
        <v>150</v>
      </c>
    </row>
    <row r="3000" spans="1:11" ht="42" customHeight="1">
      <c r="A3000" s="2" t="s">
        <v>8533</v>
      </c>
      <c r="B3000" s="2" t="s">
        <v>8534</v>
      </c>
      <c r="C3000" s="2" t="s">
        <v>26</v>
      </c>
      <c r="D3000" s="2" t="s">
        <v>18</v>
      </c>
      <c r="E3000" s="4">
        <v>-32151</v>
      </c>
      <c r="F3000" s="3" t="s">
        <v>313</v>
      </c>
      <c r="G3000" s="3" t="s">
        <v>44</v>
      </c>
      <c r="H3000" s="2" t="s">
        <v>148</v>
      </c>
      <c r="I3000" s="2" t="s">
        <v>8535</v>
      </c>
      <c r="J3000" s="3" t="str">
        <f>HYPERLINK("https://www.boe.es/gazeta/dias/1811/12/21/pdfs/GEI-1811-165.pdf#page=7","Abrir facsímil")</f>
        <v>Abrir facsímil</v>
      </c>
      <c r="K3000" s="3" t="s">
        <v>150</v>
      </c>
    </row>
    <row r="3001" spans="1:11" ht="42" customHeight="1">
      <c r="A3001" s="2" t="s">
        <v>8536</v>
      </c>
      <c r="B3001" s="2" t="s">
        <v>8536</v>
      </c>
      <c r="C3001" s="2" t="s">
        <v>17</v>
      </c>
      <c r="D3001" s="2" t="s">
        <v>18</v>
      </c>
      <c r="E3001" s="4">
        <v>-32141</v>
      </c>
      <c r="F3001" s="3" t="s">
        <v>308</v>
      </c>
      <c r="G3001" s="3" t="s">
        <v>44</v>
      </c>
      <c r="H3001" s="2" t="s">
        <v>148</v>
      </c>
      <c r="I3001" s="2" t="s">
        <v>8537</v>
      </c>
      <c r="J3001" s="3" t="str">
        <f>HYPERLINK("https://www.boe.es/gazeta/dias/1811/12/31/pdfs/GEI-1811-169.pdf#page=4","Abrir facsímil")</f>
        <v>Abrir facsímil</v>
      </c>
      <c r="K3001" s="3" t="s">
        <v>150</v>
      </c>
    </row>
    <row r="3002" spans="1:11" ht="42" customHeight="1">
      <c r="A3002" s="2" t="s">
        <v>8538</v>
      </c>
      <c r="B3002" s="2" t="s">
        <v>8538</v>
      </c>
      <c r="C3002" s="2" t="s">
        <v>17</v>
      </c>
      <c r="D3002" s="2" t="s">
        <v>156</v>
      </c>
      <c r="E3002" s="4">
        <v>-32167</v>
      </c>
      <c r="F3002" s="3" t="s">
        <v>195</v>
      </c>
      <c r="G3002" s="3" t="s">
        <v>198</v>
      </c>
      <c r="H3002" s="2" t="s">
        <v>148</v>
      </c>
      <c r="I3002" s="2" t="s">
        <v>8539</v>
      </c>
      <c r="J3002" s="3" t="str">
        <f>HYPERLINK("https://www.boe.es/gazeta/dias/1811/12/05/pdfs/GEI-1811-158.pdf#page=2","Abrir facsímil")</f>
        <v>Abrir facsímil</v>
      </c>
      <c r="K3002" s="3" t="s">
        <v>150</v>
      </c>
    </row>
    <row r="3003" spans="1:11" ht="42" customHeight="1">
      <c r="A3003" s="2" t="s">
        <v>8540</v>
      </c>
      <c r="B3003" s="2" t="s">
        <v>8540</v>
      </c>
      <c r="C3003" s="2" t="s">
        <v>17</v>
      </c>
      <c r="D3003" s="2" t="s">
        <v>18</v>
      </c>
      <c r="E3003" s="4">
        <v>-32368</v>
      </c>
      <c r="F3003" s="3" t="s">
        <v>1561</v>
      </c>
      <c r="G3003" s="3" t="s">
        <v>57</v>
      </c>
      <c r="H3003" s="2" t="s">
        <v>148</v>
      </c>
      <c r="I3003" s="2" t="s">
        <v>8541</v>
      </c>
      <c r="J3003" s="3" t="str">
        <f>HYPERLINK("https://www.boe.es/gazeta/dias/1811/05/18/pdfs/GMD-1811-138.pdf#page=2","Abrir facsímil")</f>
        <v>Abrir facsímil</v>
      </c>
      <c r="K3003" s="3" t="s">
        <v>150</v>
      </c>
    </row>
    <row r="3004" spans="1:11" ht="42" customHeight="1">
      <c r="A3004" s="2" t="s">
        <v>8540</v>
      </c>
      <c r="B3004" s="2" t="s">
        <v>8540</v>
      </c>
      <c r="C3004" s="2" t="s">
        <v>26</v>
      </c>
      <c r="D3004" s="2" t="s">
        <v>18</v>
      </c>
      <c r="E3004" s="4">
        <v>-32312</v>
      </c>
      <c r="F3004" s="3" t="s">
        <v>8542</v>
      </c>
      <c r="G3004" s="3" t="s">
        <v>91</v>
      </c>
      <c r="H3004" s="2" t="s">
        <v>148</v>
      </c>
      <c r="I3004" s="2" t="s">
        <v>8543</v>
      </c>
      <c r="J3004" s="3" t="str">
        <f>HYPERLINK("https://www.boe.es/gazeta/dias/1811/07/13/pdfs/GMD-1811-194.pdf#page=2","Abrir facsímil")</f>
        <v>Abrir facsímil</v>
      </c>
      <c r="K3004" s="3" t="s">
        <v>150</v>
      </c>
    </row>
    <row r="3005" spans="1:11" ht="42" customHeight="1">
      <c r="A3005" s="2" t="s">
        <v>8540</v>
      </c>
      <c r="B3005" s="2" t="s">
        <v>8540</v>
      </c>
      <c r="C3005" s="2" t="s">
        <v>26</v>
      </c>
      <c r="D3005" s="2" t="s">
        <v>18</v>
      </c>
      <c r="E3005" s="4">
        <v>-32265</v>
      </c>
      <c r="F3005" s="3" t="s">
        <v>2375</v>
      </c>
      <c r="G3005" s="3" t="s">
        <v>476</v>
      </c>
      <c r="H3005" s="2" t="s">
        <v>148</v>
      </c>
      <c r="I3005" s="2" t="s">
        <v>8544</v>
      </c>
      <c r="J3005" s="3" t="str">
        <f>HYPERLINK("https://www.boe.es/gazeta/dias/1811/08/29/pdfs/GEI-1811-112.pdf#page=7","Abrir facsímil")</f>
        <v>Abrir facsímil</v>
      </c>
      <c r="K3005" s="3" t="s">
        <v>150</v>
      </c>
    </row>
    <row r="3006" spans="1:11" ht="42" customHeight="1">
      <c r="A3006" s="2" t="s">
        <v>8540</v>
      </c>
      <c r="B3006" s="2" t="s">
        <v>8540</v>
      </c>
      <c r="C3006" s="2" t="s">
        <v>26</v>
      </c>
      <c r="D3006" s="2" t="s">
        <v>105</v>
      </c>
      <c r="E3006" s="4">
        <v>-32265</v>
      </c>
      <c r="F3006" s="3" t="s">
        <v>2375</v>
      </c>
      <c r="G3006" s="3" t="s">
        <v>3367</v>
      </c>
      <c r="H3006" s="2" t="s">
        <v>148</v>
      </c>
      <c r="I3006" s="2" t="s">
        <v>8545</v>
      </c>
      <c r="J3006" s="3" t="str">
        <f>HYPERLINK("https://www.boe.es/gazeta/dias/1811/08/29/pdfs/GEI-1811-112.pdf#page=8","Abrir facsímil")</f>
        <v>Abrir facsímil</v>
      </c>
      <c r="K3006" s="3" t="s">
        <v>150</v>
      </c>
    </row>
    <row r="3007" spans="1:11" ht="42" customHeight="1">
      <c r="A3007" s="2" t="s">
        <v>8540</v>
      </c>
      <c r="B3007" s="2" t="s">
        <v>8540</v>
      </c>
      <c r="C3007" s="2" t="s">
        <v>17</v>
      </c>
      <c r="D3007" s="2" t="s">
        <v>204</v>
      </c>
      <c r="E3007" s="4">
        <v>-32255</v>
      </c>
      <c r="F3007" s="3" t="s">
        <v>187</v>
      </c>
      <c r="G3007" s="3" t="s">
        <v>188</v>
      </c>
      <c r="H3007" s="2" t="s">
        <v>148</v>
      </c>
      <c r="I3007" s="2" t="s">
        <v>8546</v>
      </c>
      <c r="J3007" s="3" t="str">
        <f>HYPERLINK("https://www.boe.es/gazeta/dias/1811/09/08/pdfs/GMD-1811-251.pdf#page=2","Abrir facsímil")</f>
        <v>Abrir facsímil</v>
      </c>
      <c r="K3007" s="3" t="s">
        <v>150</v>
      </c>
    </row>
    <row r="3008" spans="1:11" ht="42" customHeight="1">
      <c r="A3008" s="2" t="s">
        <v>8540</v>
      </c>
      <c r="B3008" s="2" t="s">
        <v>8540</v>
      </c>
      <c r="C3008" s="2" t="s">
        <v>17</v>
      </c>
      <c r="D3008" s="2" t="s">
        <v>18</v>
      </c>
      <c r="E3008" s="4">
        <v>-32255</v>
      </c>
      <c r="F3008" s="3" t="s">
        <v>187</v>
      </c>
      <c r="G3008" s="3" t="s">
        <v>8547</v>
      </c>
      <c r="H3008" s="2" t="s">
        <v>148</v>
      </c>
      <c r="I3008" s="2" t="s">
        <v>8548</v>
      </c>
      <c r="J3008" s="3" t="str">
        <f>HYPERLINK("https://www.boe.es/gazeta/dias/1811/09/08/pdfs/GMD-1811-251.pdf#page=3","Abrir facsímil")</f>
        <v>Abrir facsímil</v>
      </c>
      <c r="K3008" s="3" t="s">
        <v>150</v>
      </c>
    </row>
    <row r="3009" spans="1:11" ht="42" customHeight="1">
      <c r="A3009" s="2" t="s">
        <v>8540</v>
      </c>
      <c r="B3009" s="2" t="s">
        <v>8540</v>
      </c>
      <c r="C3009" s="2" t="s">
        <v>17</v>
      </c>
      <c r="D3009" s="2" t="s">
        <v>156</v>
      </c>
      <c r="E3009" s="4">
        <v>-32204</v>
      </c>
      <c r="F3009" s="3" t="s">
        <v>1053</v>
      </c>
      <c r="G3009" s="3" t="s">
        <v>8549</v>
      </c>
      <c r="H3009" s="2" t="s">
        <v>148</v>
      </c>
      <c r="I3009" s="2" t="s">
        <v>8550</v>
      </c>
      <c r="J3009" s="3" t="str">
        <f>HYPERLINK("https://www.boe.es/gazeta/dias/1811/10/29/pdfs/GEI-1811-139.pdf#page=1","Abrir facsímil")</f>
        <v>Abrir facsímil</v>
      </c>
      <c r="K3009" s="3" t="s">
        <v>150</v>
      </c>
    </row>
    <row r="3010" spans="1:11" ht="42" customHeight="1">
      <c r="A3010" s="2" t="s">
        <v>8540</v>
      </c>
      <c r="B3010" s="2" t="s">
        <v>8540</v>
      </c>
      <c r="C3010" s="2" t="s">
        <v>17</v>
      </c>
      <c r="D3010" s="2" t="s">
        <v>156</v>
      </c>
      <c r="E3010" s="4">
        <v>-32190</v>
      </c>
      <c r="F3010" s="3" t="s">
        <v>1282</v>
      </c>
      <c r="G3010" s="3" t="s">
        <v>44</v>
      </c>
      <c r="H3010" s="2" t="s">
        <v>148</v>
      </c>
      <c r="I3010" s="2" t="s">
        <v>8551</v>
      </c>
      <c r="J3010" s="3" t="str">
        <f>HYPERLINK("https://www.boe.es/gazeta/dias/1811/11/12/pdfs/GMD-1811-316.pdf#page=2","Abrir facsímil")</f>
        <v>Abrir facsímil</v>
      </c>
      <c r="K3010" s="3" t="s">
        <v>150</v>
      </c>
    </row>
    <row r="3011" spans="1:11" ht="42" customHeight="1">
      <c r="A3011" s="2" t="s">
        <v>8552</v>
      </c>
      <c r="B3011" s="2" t="s">
        <v>8552</v>
      </c>
      <c r="C3011" s="2" t="s">
        <v>17</v>
      </c>
      <c r="D3011" s="2" t="s">
        <v>18</v>
      </c>
      <c r="E3011" s="4">
        <v>-32195</v>
      </c>
      <c r="F3011" s="3" t="s">
        <v>439</v>
      </c>
      <c r="G3011" s="3" t="s">
        <v>8553</v>
      </c>
      <c r="H3011" s="2" t="s">
        <v>148</v>
      </c>
      <c r="I3011" s="2" t="s">
        <v>8554</v>
      </c>
      <c r="J3011" s="3" t="str">
        <f>HYPERLINK("https://www.boe.es/gazeta/dias/1811/11/07/pdfs/GEI-1811-144.pdf#page=6","Abrir facsímil")</f>
        <v>Abrir facsímil</v>
      </c>
      <c r="K3011" s="3" t="s">
        <v>150</v>
      </c>
    </row>
    <row r="3012" spans="1:11" ht="42" customHeight="1">
      <c r="A3012" s="2" t="s">
        <v>8552</v>
      </c>
      <c r="B3012" s="2" t="s">
        <v>8552</v>
      </c>
      <c r="C3012" s="2" t="s">
        <v>17</v>
      </c>
      <c r="D3012" s="2" t="s">
        <v>156</v>
      </c>
      <c r="E3012" s="4">
        <v>-32141</v>
      </c>
      <c r="F3012" s="3" t="s">
        <v>308</v>
      </c>
      <c r="G3012" s="3" t="s">
        <v>8555</v>
      </c>
      <c r="H3012" s="2" t="s">
        <v>148</v>
      </c>
      <c r="I3012" s="2" t="s">
        <v>8556</v>
      </c>
      <c r="J3012" s="3" t="str">
        <f>HYPERLINK("https://www.boe.es/gazeta/dias/1811/12/31/pdfs/GEI-1811-169.pdf#page=5","Abrir facsímil")</f>
        <v>Abrir facsímil</v>
      </c>
      <c r="K3012" s="3" t="s">
        <v>150</v>
      </c>
    </row>
    <row r="3013" spans="1:11" ht="42" customHeight="1">
      <c r="A3013" s="2" t="s">
        <v>8557</v>
      </c>
      <c r="B3013" s="2" t="s">
        <v>8558</v>
      </c>
      <c r="C3013" s="2" t="s">
        <v>26</v>
      </c>
      <c r="D3013" s="2" t="s">
        <v>18</v>
      </c>
      <c r="E3013" s="4">
        <v>-32489</v>
      </c>
      <c r="F3013" s="3" t="s">
        <v>2073</v>
      </c>
      <c r="G3013" s="3" t="s">
        <v>44</v>
      </c>
      <c r="H3013" s="2" t="s">
        <v>148</v>
      </c>
      <c r="I3013" s="2" t="s">
        <v>8559</v>
      </c>
      <c r="J3013" s="3" t="str">
        <f>HYPERLINK("https://www.boe.es/gazeta/dias/1811/01/17/pdfs/GEI-1811-8.pdf#page=8","Abrir facsímil")</f>
        <v>Abrir facsímil</v>
      </c>
      <c r="K3013" s="3" t="s">
        <v>150</v>
      </c>
    </row>
    <row r="3014" spans="1:11" ht="42" customHeight="1">
      <c r="A3014" s="2" t="s">
        <v>8560</v>
      </c>
      <c r="B3014" s="2" t="s">
        <v>8561</v>
      </c>
      <c r="C3014" s="2" t="s">
        <v>26</v>
      </c>
      <c r="D3014" s="2" t="s">
        <v>18</v>
      </c>
      <c r="E3014" s="4">
        <v>-32151</v>
      </c>
      <c r="F3014" s="3" t="s">
        <v>313</v>
      </c>
      <c r="G3014" s="3" t="s">
        <v>515</v>
      </c>
      <c r="H3014" s="2" t="s">
        <v>21</v>
      </c>
      <c r="I3014" s="2" t="s">
        <v>8562</v>
      </c>
      <c r="J3014" s="3" t="str">
        <f>HYPERLINK("https://www.boe.es/gazeta/dias/1811/12/21/pdfs/GEI-1811-165.pdf#page=3","Abrir facsímil")</f>
        <v>Abrir facsímil</v>
      </c>
      <c r="K3014" s="3" t="s">
        <v>23</v>
      </c>
    </row>
    <row r="3015" spans="1:11" ht="42" customHeight="1">
      <c r="A3015" s="2" t="s">
        <v>8563</v>
      </c>
      <c r="B3015" s="2" t="s">
        <v>8564</v>
      </c>
      <c r="C3015" s="2" t="s">
        <v>17</v>
      </c>
      <c r="D3015" s="2" t="s">
        <v>204</v>
      </c>
      <c r="E3015" s="4">
        <v>-32235</v>
      </c>
      <c r="F3015" s="3" t="s">
        <v>376</v>
      </c>
      <c r="G3015" s="3" t="s">
        <v>1280</v>
      </c>
      <c r="H3015" s="2" t="s">
        <v>148</v>
      </c>
      <c r="I3015" s="2" t="s">
        <v>8565</v>
      </c>
      <c r="J3015" s="3" t="str">
        <f>HYPERLINK("https://www.boe.es/gazeta/dias/1811/09/28/pdfs/GMD-1811-271.pdf#page=2","Abrir facsímil")</f>
        <v>Abrir facsímil</v>
      </c>
      <c r="K3015" s="3" t="s">
        <v>150</v>
      </c>
    </row>
    <row r="3016" spans="1:11" ht="42" customHeight="1">
      <c r="A3016" s="2" t="s">
        <v>8566</v>
      </c>
      <c r="B3016" s="2" t="s">
        <v>8566</v>
      </c>
      <c r="C3016" s="2" t="s">
        <v>17</v>
      </c>
      <c r="D3016" s="2" t="s">
        <v>18</v>
      </c>
      <c r="E3016" s="4">
        <v>-32466</v>
      </c>
      <c r="F3016" s="3" t="s">
        <v>1514</v>
      </c>
      <c r="G3016" s="3" t="s">
        <v>115</v>
      </c>
      <c r="H3016" s="2" t="s">
        <v>148</v>
      </c>
      <c r="I3016" s="2" t="s">
        <v>8567</v>
      </c>
      <c r="J3016" s="3" t="str">
        <f>HYPERLINK("https://www.boe.es/gazeta/dias/1811/02/09/pdfs/GEI-1811-18.pdf#page=3","Abrir facsímil")</f>
        <v>Abrir facsímil</v>
      </c>
      <c r="K3016" s="3" t="s">
        <v>150</v>
      </c>
    </row>
    <row r="3017" spans="1:11" ht="42" customHeight="1">
      <c r="A3017" s="2" t="s">
        <v>8568</v>
      </c>
      <c r="B3017" s="2" t="s">
        <v>8568</v>
      </c>
      <c r="C3017" s="2" t="s">
        <v>17</v>
      </c>
      <c r="D3017" s="2" t="s">
        <v>141</v>
      </c>
      <c r="E3017" s="4">
        <v>-32249</v>
      </c>
      <c r="F3017" s="3" t="s">
        <v>5222</v>
      </c>
      <c r="G3017" s="3" t="s">
        <v>8569</v>
      </c>
      <c r="H3017" s="2" t="s">
        <v>148</v>
      </c>
      <c r="I3017" s="2" t="s">
        <v>8570</v>
      </c>
      <c r="J3017" s="3" t="str">
        <f>HYPERLINK("https://www.boe.es/gazeta/dias/1811/09/14/pdfs/GEI-D-1811-119.pdf#page=2","Abrir facsímil")</f>
        <v>Abrir facsímil</v>
      </c>
      <c r="K3017" s="3" t="s">
        <v>150</v>
      </c>
    </row>
    <row r="3018" spans="1:11" ht="42" customHeight="1">
      <c r="A3018" s="2" t="s">
        <v>8571</v>
      </c>
      <c r="B3018" s="2" t="s">
        <v>8572</v>
      </c>
      <c r="C3018" s="2" t="s">
        <v>17</v>
      </c>
      <c r="D3018" s="2" t="s">
        <v>18</v>
      </c>
      <c r="E3018" s="4">
        <v>-32489</v>
      </c>
      <c r="F3018" s="3" t="s">
        <v>2073</v>
      </c>
      <c r="G3018" s="3" t="s">
        <v>8573</v>
      </c>
      <c r="H3018" s="2" t="s">
        <v>148</v>
      </c>
      <c r="I3018" s="2" t="s">
        <v>8574</v>
      </c>
      <c r="J3018" s="3" t="str">
        <f>HYPERLINK("https://www.boe.es/gazeta/dias/1811/01/17/pdfs/GEI-1811-8.pdf#page=4","Abrir facsímil")</f>
        <v>Abrir facsímil</v>
      </c>
      <c r="K3018" s="3" t="s">
        <v>150</v>
      </c>
    </row>
    <row r="3019" spans="1:11" ht="42" customHeight="1">
      <c r="A3019" s="2" t="s">
        <v>8575</v>
      </c>
      <c r="B3019" s="2" t="s">
        <v>8575</v>
      </c>
      <c r="C3019" s="2" t="s">
        <v>17</v>
      </c>
      <c r="D3019" s="2" t="s">
        <v>156</v>
      </c>
      <c r="E3019" s="4">
        <v>-32235</v>
      </c>
      <c r="F3019" s="3" t="s">
        <v>190</v>
      </c>
      <c r="G3019" s="3" t="s">
        <v>2002</v>
      </c>
      <c r="H3019" s="2" t="s">
        <v>148</v>
      </c>
      <c r="I3019" s="2" t="s">
        <v>8576</v>
      </c>
      <c r="J3019" s="3" t="str">
        <f>HYPERLINK("https://www.boe.es/gazeta/dias/1811/09/28/pdfs/GEI-1811-125.pdf#page=2","Abrir facsímil")</f>
        <v>Abrir facsímil</v>
      </c>
      <c r="K3019" s="3" t="s">
        <v>150</v>
      </c>
    </row>
    <row r="3020" spans="1:11" ht="42" customHeight="1">
      <c r="A3020" s="2" t="s">
        <v>8575</v>
      </c>
      <c r="B3020" s="2" t="s">
        <v>8575</v>
      </c>
      <c r="C3020" s="2" t="s">
        <v>17</v>
      </c>
      <c r="D3020" s="2" t="s">
        <v>18</v>
      </c>
      <c r="E3020" s="4">
        <v>-32193</v>
      </c>
      <c r="F3020" s="3" t="s">
        <v>1037</v>
      </c>
      <c r="G3020" s="3" t="s">
        <v>44</v>
      </c>
      <c r="H3020" s="2" t="s">
        <v>148</v>
      </c>
      <c r="I3020" s="2" t="s">
        <v>8577</v>
      </c>
      <c r="J3020" s="3" t="str">
        <f>HYPERLINK("https://www.boe.es/gazeta/dias/1811/11/09/pdfs/GEI-1811-145.pdf#page=4","Abrir facsímil")</f>
        <v>Abrir facsímil</v>
      </c>
      <c r="K3020" s="3" t="s">
        <v>150</v>
      </c>
    </row>
    <row r="3021" spans="1:11" ht="42" customHeight="1">
      <c r="A3021" s="2" t="s">
        <v>8578</v>
      </c>
      <c r="B3021" s="2" t="s">
        <v>8578</v>
      </c>
      <c r="C3021" s="2" t="s">
        <v>17</v>
      </c>
      <c r="D3021" s="2" t="s">
        <v>18</v>
      </c>
      <c r="E3021" s="4">
        <v>-32489</v>
      </c>
      <c r="F3021" s="3" t="s">
        <v>2073</v>
      </c>
      <c r="G3021" s="3" t="s">
        <v>8573</v>
      </c>
      <c r="H3021" s="2" t="s">
        <v>148</v>
      </c>
      <c r="I3021" s="2" t="s">
        <v>8579</v>
      </c>
      <c r="J3021" s="3" t="str">
        <f>HYPERLINK("https://www.boe.es/gazeta/dias/1811/01/17/pdfs/GEI-1811-8.pdf#page=4","Abrir facsímil")</f>
        <v>Abrir facsímil</v>
      </c>
      <c r="K3021" s="3" t="s">
        <v>150</v>
      </c>
    </row>
    <row r="3022" spans="1:11" ht="42" customHeight="1">
      <c r="A3022" s="2" t="s">
        <v>8580</v>
      </c>
      <c r="B3022" s="2" t="s">
        <v>8580</v>
      </c>
      <c r="C3022" s="2" t="s">
        <v>17</v>
      </c>
      <c r="D3022" s="2" t="s">
        <v>141</v>
      </c>
      <c r="E3022" s="4">
        <v>-32249</v>
      </c>
      <c r="F3022" s="3" t="s">
        <v>5222</v>
      </c>
      <c r="G3022" s="3" t="s">
        <v>8569</v>
      </c>
      <c r="H3022" s="2" t="s">
        <v>148</v>
      </c>
      <c r="I3022" s="2" t="s">
        <v>8581</v>
      </c>
      <c r="J3022" s="3" t="str">
        <f>HYPERLINK("https://www.boe.es/gazeta/dias/1811/09/14/pdfs/GEI-D-1811-119.pdf#page=2","Abrir facsímil")</f>
        <v>Abrir facsímil</v>
      </c>
      <c r="K3022" s="3" t="s">
        <v>150</v>
      </c>
    </row>
    <row r="3023" spans="1:11" ht="42" customHeight="1">
      <c r="A3023" s="2" t="s">
        <v>8582</v>
      </c>
      <c r="B3023" s="2" t="s">
        <v>8582</v>
      </c>
      <c r="C3023" s="2" t="s">
        <v>17</v>
      </c>
      <c r="D3023" s="2" t="s">
        <v>18</v>
      </c>
      <c r="E3023" s="4">
        <v>-32335</v>
      </c>
      <c r="F3023" s="3" t="s">
        <v>3776</v>
      </c>
      <c r="G3023" s="3" t="s">
        <v>91</v>
      </c>
      <c r="H3023" s="2" t="s">
        <v>148</v>
      </c>
      <c r="I3023" s="2" t="s">
        <v>8583</v>
      </c>
      <c r="J3023" s="3" t="str">
        <f>HYPERLINK("https://www.boe.es/gazeta/dias/1811/06/20/pdfs/GEI-1811-82.pdf#page=3","Abrir facsímil")</f>
        <v>Abrir facsímil</v>
      </c>
      <c r="K3023" s="3" t="s">
        <v>150</v>
      </c>
    </row>
    <row r="3024" spans="1:11" ht="42" customHeight="1">
      <c r="A3024" s="2" t="s">
        <v>8582</v>
      </c>
      <c r="B3024" s="2" t="s">
        <v>8582</v>
      </c>
      <c r="C3024" s="2" t="s">
        <v>17</v>
      </c>
      <c r="D3024" s="2" t="s">
        <v>18</v>
      </c>
      <c r="E3024" s="4">
        <v>-32232</v>
      </c>
      <c r="F3024" s="3" t="s">
        <v>1816</v>
      </c>
      <c r="G3024" s="3" t="s">
        <v>1143</v>
      </c>
      <c r="H3024" s="2" t="s">
        <v>148</v>
      </c>
      <c r="I3024" s="2" t="s">
        <v>8584</v>
      </c>
      <c r="J3024" s="3" t="str">
        <f>HYPERLINK("https://www.boe.es/gazeta/dias/1811/10/01/pdfs/GEI-1811-126.pdf#page=6","Abrir facsímil")</f>
        <v>Abrir facsímil</v>
      </c>
      <c r="K3024" s="3" t="s">
        <v>150</v>
      </c>
    </row>
    <row r="3025" spans="1:11" ht="42" customHeight="1">
      <c r="A3025" s="2" t="s">
        <v>8585</v>
      </c>
      <c r="B3025" s="2" t="s">
        <v>8585</v>
      </c>
      <c r="C3025" s="2" t="s">
        <v>37</v>
      </c>
      <c r="D3025" s="2" t="s">
        <v>156</v>
      </c>
      <c r="E3025" s="4">
        <v>-32326</v>
      </c>
      <c r="F3025" s="3" t="s">
        <v>43</v>
      </c>
      <c r="G3025" s="3" t="s">
        <v>4791</v>
      </c>
      <c r="H3025" s="2" t="s">
        <v>148</v>
      </c>
      <c r="I3025" s="2" t="s">
        <v>8586</v>
      </c>
      <c r="J3025" s="3" t="str">
        <f>HYPERLINK("https://www.boe.es/gazeta/dias/1811/06/29/pdfs/GEI-1811-86.pdf#page=8","Abrir facsímil")</f>
        <v>Abrir facsímil</v>
      </c>
      <c r="K3025" s="3" t="s">
        <v>150</v>
      </c>
    </row>
    <row r="3026" spans="1:11" ht="42" customHeight="1">
      <c r="A3026" s="2" t="s">
        <v>8587</v>
      </c>
      <c r="B3026" s="2" t="s">
        <v>8587</v>
      </c>
      <c r="C3026" s="2" t="s">
        <v>17</v>
      </c>
      <c r="D3026" s="2" t="s">
        <v>156</v>
      </c>
      <c r="E3026" s="4">
        <v>-32502</v>
      </c>
      <c r="F3026" s="3" t="s">
        <v>6190</v>
      </c>
      <c r="G3026" s="3" t="s">
        <v>846</v>
      </c>
      <c r="H3026" s="2" t="s">
        <v>148</v>
      </c>
      <c r="I3026" s="2" t="s">
        <v>8588</v>
      </c>
      <c r="J3026" s="3" t="str">
        <f>HYPERLINK("https://www.boe.es/gazeta/dias/1811/01/04/pdfs/GMD-1811-4.pdf#page=2","Abrir facsímil")</f>
        <v>Abrir facsímil</v>
      </c>
      <c r="K3026" s="3" t="s">
        <v>150</v>
      </c>
    </row>
    <row r="3027" spans="1:11" ht="42" customHeight="1">
      <c r="A3027" s="2" t="s">
        <v>8587</v>
      </c>
      <c r="B3027" s="2" t="s">
        <v>8587</v>
      </c>
      <c r="C3027" s="2" t="s">
        <v>17</v>
      </c>
      <c r="D3027" s="2" t="s">
        <v>156</v>
      </c>
      <c r="E3027" s="4">
        <v>-32495</v>
      </c>
      <c r="F3027" s="3" t="s">
        <v>1681</v>
      </c>
      <c r="G3027" s="3" t="s">
        <v>8259</v>
      </c>
      <c r="H3027" s="2" t="s">
        <v>148</v>
      </c>
      <c r="I3027" s="2" t="s">
        <v>8589</v>
      </c>
      <c r="J3027" s="3" t="str">
        <f>HYPERLINK("https://www.boe.es/gazeta/dias/1811/01/11/pdfs/GMD-1811-11.pdf#page=3","Abrir facsímil")</f>
        <v>Abrir facsímil</v>
      </c>
      <c r="K3027" s="3" t="s">
        <v>150</v>
      </c>
    </row>
    <row r="3028" spans="1:11" ht="42" customHeight="1">
      <c r="A3028" s="2" t="s">
        <v>8587</v>
      </c>
      <c r="B3028" s="2" t="s">
        <v>8587</v>
      </c>
      <c r="C3028" s="2" t="s">
        <v>17</v>
      </c>
      <c r="D3028" s="2" t="s">
        <v>204</v>
      </c>
      <c r="E3028" s="4">
        <v>-32459</v>
      </c>
      <c r="F3028" s="3" t="s">
        <v>1034</v>
      </c>
      <c r="G3028" s="3" t="s">
        <v>2714</v>
      </c>
      <c r="H3028" s="2" t="s">
        <v>148</v>
      </c>
      <c r="I3028" s="2" t="s">
        <v>8590</v>
      </c>
      <c r="J3028" s="3" t="str">
        <f>HYPERLINK("https://www.boe.es/gazeta/dias/1811/02/16/pdfs/GEI-1811-21.pdf#page=2","Abrir facsímil")</f>
        <v>Abrir facsímil</v>
      </c>
      <c r="K3028" s="3" t="s">
        <v>150</v>
      </c>
    </row>
    <row r="3029" spans="1:11" ht="42" customHeight="1">
      <c r="A3029" s="2" t="s">
        <v>8587</v>
      </c>
      <c r="B3029" s="2" t="s">
        <v>8587</v>
      </c>
      <c r="C3029" s="2" t="s">
        <v>17</v>
      </c>
      <c r="D3029" s="2" t="s">
        <v>156</v>
      </c>
      <c r="E3029" s="4">
        <v>-32438</v>
      </c>
      <c r="F3029" s="3" t="s">
        <v>4284</v>
      </c>
      <c r="G3029" s="3" t="s">
        <v>2379</v>
      </c>
      <c r="H3029" s="2" t="s">
        <v>148</v>
      </c>
      <c r="I3029" s="2" t="s">
        <v>8591</v>
      </c>
      <c r="J3029" s="3" t="str">
        <f>HYPERLINK("https://www.boe.es/gazeta/dias/1811/03/09/pdfs/GMD-1811-68.pdf#page=2","Abrir facsímil")</f>
        <v>Abrir facsímil</v>
      </c>
      <c r="K3029" s="3" t="s">
        <v>150</v>
      </c>
    </row>
    <row r="3030" spans="1:11" ht="42" customHeight="1">
      <c r="A3030" s="2" t="s">
        <v>8587</v>
      </c>
      <c r="B3030" s="2" t="s">
        <v>8587</v>
      </c>
      <c r="C3030" s="2" t="s">
        <v>17</v>
      </c>
      <c r="D3030" s="2" t="s">
        <v>18</v>
      </c>
      <c r="E3030" s="4">
        <v>-32436</v>
      </c>
      <c r="F3030" s="3" t="s">
        <v>1972</v>
      </c>
      <c r="G3030" s="3" t="s">
        <v>20</v>
      </c>
      <c r="H3030" s="2" t="s">
        <v>148</v>
      </c>
      <c r="I3030" s="2" t="s">
        <v>8592</v>
      </c>
      <c r="J3030" s="3" t="str">
        <f>HYPERLINK("https://www.boe.es/gazeta/dias/1811/03/11/pdfs/GMD-1811-70.pdf#page=2","Abrir facsímil")</f>
        <v>Abrir facsímil</v>
      </c>
      <c r="K3030" s="3" t="s">
        <v>150</v>
      </c>
    </row>
    <row r="3031" spans="1:11" ht="42" customHeight="1">
      <c r="A3031" s="2" t="s">
        <v>8587</v>
      </c>
      <c r="B3031" s="2" t="s">
        <v>8587</v>
      </c>
      <c r="C3031" s="2" t="s">
        <v>17</v>
      </c>
      <c r="D3031" s="2" t="s">
        <v>204</v>
      </c>
      <c r="E3031" s="4">
        <v>-32436</v>
      </c>
      <c r="F3031" s="3" t="s">
        <v>1972</v>
      </c>
      <c r="G3031" s="3" t="s">
        <v>178</v>
      </c>
      <c r="H3031" s="2" t="s">
        <v>148</v>
      </c>
      <c r="I3031" s="2" t="s">
        <v>8593</v>
      </c>
      <c r="J3031" s="3" t="str">
        <f>HYPERLINK("https://www.boe.es/gazeta/dias/1811/03/11/pdfs/GMD-1811-70.pdf#page=3","Abrir facsímil")</f>
        <v>Abrir facsímil</v>
      </c>
      <c r="K3031" s="3" t="s">
        <v>150</v>
      </c>
    </row>
    <row r="3032" spans="1:11" ht="42" customHeight="1">
      <c r="A3032" s="2" t="s">
        <v>8587</v>
      </c>
      <c r="B3032" s="2" t="s">
        <v>8587</v>
      </c>
      <c r="C3032" s="2" t="s">
        <v>17</v>
      </c>
      <c r="D3032" s="2" t="s">
        <v>18</v>
      </c>
      <c r="E3032" s="4">
        <v>-32342</v>
      </c>
      <c r="F3032" s="3" t="s">
        <v>1474</v>
      </c>
      <c r="G3032" s="3" t="s">
        <v>586</v>
      </c>
      <c r="H3032" s="2" t="s">
        <v>148</v>
      </c>
      <c r="I3032" s="2" t="s">
        <v>8594</v>
      </c>
      <c r="J3032" s="3" t="str">
        <f>HYPERLINK("https://www.boe.es/gazeta/dias/1811/06/13/pdfs/GEI-1811-79.pdf#page=5","Abrir facsímil")</f>
        <v>Abrir facsímil</v>
      </c>
      <c r="K3032" s="3" t="s">
        <v>150</v>
      </c>
    </row>
    <row r="3033" spans="1:11" ht="42" customHeight="1">
      <c r="A3033" s="2" t="s">
        <v>8587</v>
      </c>
      <c r="B3033" s="2" t="s">
        <v>8587</v>
      </c>
      <c r="C3033" s="2" t="s">
        <v>17</v>
      </c>
      <c r="D3033" s="2" t="s">
        <v>18</v>
      </c>
      <c r="E3033" s="4">
        <v>-32340</v>
      </c>
      <c r="F3033" s="3" t="s">
        <v>565</v>
      </c>
      <c r="G3033" s="3" t="s">
        <v>4857</v>
      </c>
      <c r="H3033" s="2" t="s">
        <v>148</v>
      </c>
      <c r="I3033" s="2" t="s">
        <v>8595</v>
      </c>
      <c r="J3033" s="3" t="str">
        <f>HYPERLINK("https://www.boe.es/gazeta/dias/1811/06/15/pdfs/GEI-1811-80.pdf#page=6","Abrir facsímil")</f>
        <v>Abrir facsímil</v>
      </c>
      <c r="K3033" s="3" t="s">
        <v>150</v>
      </c>
    </row>
    <row r="3034" spans="1:11" ht="42" customHeight="1">
      <c r="A3034" s="2" t="s">
        <v>8587</v>
      </c>
      <c r="B3034" s="2" t="s">
        <v>8587</v>
      </c>
      <c r="C3034" s="2" t="s">
        <v>17</v>
      </c>
      <c r="D3034" s="2" t="s">
        <v>18</v>
      </c>
      <c r="E3034" s="4">
        <v>-32321</v>
      </c>
      <c r="F3034" s="3" t="s">
        <v>1829</v>
      </c>
      <c r="G3034" s="3" t="s">
        <v>8282</v>
      </c>
      <c r="H3034" s="2" t="s">
        <v>148</v>
      </c>
      <c r="I3034" s="2" t="s">
        <v>8596</v>
      </c>
      <c r="J3034" s="3" t="str">
        <f>HYPERLINK("https://www.boe.es/gazeta/dias/1811/07/04/pdfs/GEI-1811-88.pdf#page=2","Abrir facsímil")</f>
        <v>Abrir facsímil</v>
      </c>
      <c r="K3034" s="3" t="s">
        <v>150</v>
      </c>
    </row>
    <row r="3035" spans="1:11" ht="42" customHeight="1">
      <c r="A3035" s="2" t="s">
        <v>8587</v>
      </c>
      <c r="B3035" s="2" t="s">
        <v>8587</v>
      </c>
      <c r="C3035" s="2" t="s">
        <v>17</v>
      </c>
      <c r="D3035" s="2" t="s">
        <v>156</v>
      </c>
      <c r="E3035" s="4">
        <v>-32321</v>
      </c>
      <c r="F3035" s="3" t="s">
        <v>1829</v>
      </c>
      <c r="G3035" s="3" t="s">
        <v>1830</v>
      </c>
      <c r="H3035" s="2" t="s">
        <v>148</v>
      </c>
      <c r="I3035" s="2" t="s">
        <v>8597</v>
      </c>
      <c r="J3035" s="3" t="str">
        <f>HYPERLINK("https://www.boe.es/gazeta/dias/1811/07/04/pdfs/GEI-1811-88.pdf#page=3","Abrir facsímil")</f>
        <v>Abrir facsímil</v>
      </c>
      <c r="K3035" s="3" t="s">
        <v>150</v>
      </c>
    </row>
    <row r="3036" spans="1:11" ht="42" customHeight="1">
      <c r="A3036" s="2" t="s">
        <v>8587</v>
      </c>
      <c r="B3036" s="2" t="s">
        <v>8587</v>
      </c>
      <c r="C3036" s="2" t="s">
        <v>17</v>
      </c>
      <c r="D3036" s="2" t="s">
        <v>156</v>
      </c>
      <c r="E3036" s="4">
        <v>-32319</v>
      </c>
      <c r="F3036" s="3" t="s">
        <v>907</v>
      </c>
      <c r="G3036" s="3" t="s">
        <v>8598</v>
      </c>
      <c r="H3036" s="2" t="s">
        <v>148</v>
      </c>
      <c r="I3036" s="2" t="s">
        <v>8599</v>
      </c>
      <c r="J3036" s="3" t="str">
        <f>HYPERLINK("https://www.boe.es/gazeta/dias/1811/07/06/pdfs/GEI-D-1811-89.pdf#page=1","Abrir facsímil")</f>
        <v>Abrir facsímil</v>
      </c>
      <c r="K3036" s="3" t="s">
        <v>150</v>
      </c>
    </row>
    <row r="3037" spans="1:11" ht="42" customHeight="1">
      <c r="A3037" s="2" t="s">
        <v>8587</v>
      </c>
      <c r="B3037" s="2" t="s">
        <v>8587</v>
      </c>
      <c r="C3037" s="2" t="s">
        <v>17</v>
      </c>
      <c r="D3037" s="2" t="s">
        <v>18</v>
      </c>
      <c r="E3037" s="4">
        <v>-32263</v>
      </c>
      <c r="F3037" s="3" t="s">
        <v>128</v>
      </c>
      <c r="G3037" s="3" t="s">
        <v>129</v>
      </c>
      <c r="H3037" s="2" t="s">
        <v>148</v>
      </c>
      <c r="I3037" s="2" t="s">
        <v>8600</v>
      </c>
      <c r="J3037" s="3" t="str">
        <f>HYPERLINK("https://www.boe.es/gazeta/dias/1811/08/31/pdfs/GEI-1811-113.pdf#page=5","Abrir facsímil")</f>
        <v>Abrir facsímil</v>
      </c>
      <c r="K3037" s="3" t="s">
        <v>150</v>
      </c>
    </row>
    <row r="3038" spans="1:11" ht="42" customHeight="1">
      <c r="A3038" s="2" t="s">
        <v>8601</v>
      </c>
      <c r="B3038" s="2" t="s">
        <v>8601</v>
      </c>
      <c r="C3038" s="2" t="s">
        <v>17</v>
      </c>
      <c r="D3038" s="2" t="s">
        <v>18</v>
      </c>
      <c r="E3038" s="4">
        <v>-32283</v>
      </c>
      <c r="F3038" s="3" t="s">
        <v>90</v>
      </c>
      <c r="G3038" s="3" t="s">
        <v>468</v>
      </c>
      <c r="H3038" s="2" t="s">
        <v>148</v>
      </c>
      <c r="I3038" s="2" t="s">
        <v>8602</v>
      </c>
      <c r="J3038" s="3" t="str">
        <f>HYPERLINK("https://www.boe.es/gazeta/dias/1811/08/11/pdfs/GMD-1811-223.pdf#page=2","Abrir facsímil")</f>
        <v>Abrir facsímil</v>
      </c>
      <c r="K3038" s="3" t="s">
        <v>150</v>
      </c>
    </row>
    <row r="3039" spans="1:11" ht="42" customHeight="1">
      <c r="A3039" s="2" t="s">
        <v>8603</v>
      </c>
      <c r="B3039" s="2" t="s">
        <v>8603</v>
      </c>
      <c r="C3039" s="2" t="s">
        <v>17</v>
      </c>
      <c r="D3039" s="2" t="s">
        <v>204</v>
      </c>
      <c r="E3039" s="4">
        <v>-32186</v>
      </c>
      <c r="F3039" s="3" t="s">
        <v>1425</v>
      </c>
      <c r="G3039" s="3" t="s">
        <v>47</v>
      </c>
      <c r="H3039" s="2" t="s">
        <v>148</v>
      </c>
      <c r="I3039" s="2" t="s">
        <v>8604</v>
      </c>
      <c r="J3039" s="3" t="str">
        <f>HYPERLINK("https://www.boe.es/gazeta/dias/1811/11/16/pdfs/GEI-1811-150.pdf#page=1","Abrir facsímil")</f>
        <v>Abrir facsímil</v>
      </c>
      <c r="K3039" s="3" t="s">
        <v>150</v>
      </c>
    </row>
    <row r="3040" spans="1:11" ht="42" customHeight="1">
      <c r="A3040" s="2" t="s">
        <v>8605</v>
      </c>
      <c r="B3040" s="2" t="s">
        <v>8606</v>
      </c>
      <c r="C3040" s="2" t="s">
        <v>26</v>
      </c>
      <c r="D3040" s="2" t="s">
        <v>18</v>
      </c>
      <c r="E3040" s="4">
        <v>-32143</v>
      </c>
      <c r="F3040" s="3" t="s">
        <v>1455</v>
      </c>
      <c r="G3040" s="3" t="s">
        <v>284</v>
      </c>
      <c r="H3040" s="2" t="s">
        <v>148</v>
      </c>
      <c r="I3040" s="2" t="s">
        <v>8607</v>
      </c>
      <c r="J3040" s="3" t="str">
        <f>HYPERLINK("https://www.boe.es/gazeta/dias/1811/12/29/pdfs/GMD-1811-363.pdf#page=3","Abrir facsímil")</f>
        <v>Abrir facsímil</v>
      </c>
      <c r="K3040" s="3" t="s">
        <v>150</v>
      </c>
    </row>
    <row r="3041" spans="1:11" ht="42" customHeight="1">
      <c r="A3041" s="2" t="s">
        <v>8608</v>
      </c>
      <c r="B3041" s="2" t="s">
        <v>8609</v>
      </c>
      <c r="C3041" s="2" t="s">
        <v>26</v>
      </c>
      <c r="D3041" s="2" t="s">
        <v>18</v>
      </c>
      <c r="E3041" s="4">
        <v>-32172</v>
      </c>
      <c r="F3041" s="3" t="s">
        <v>300</v>
      </c>
      <c r="G3041" s="3" t="s">
        <v>305</v>
      </c>
      <c r="H3041" s="2" t="s">
        <v>148</v>
      </c>
      <c r="I3041" s="2" t="s">
        <v>8610</v>
      </c>
      <c r="J3041" s="3" t="str">
        <f>HYPERLINK("https://www.boe.es/gazeta/dias/1811/11/30/pdfs/GMD-1811-334.pdf#page=3","Abrir facsímil")</f>
        <v>Abrir facsímil</v>
      </c>
      <c r="K3041" s="3" t="s">
        <v>150</v>
      </c>
    </row>
    <row r="3042" spans="1:11" ht="42" customHeight="1">
      <c r="A3042" s="2" t="s">
        <v>8611</v>
      </c>
      <c r="B3042" s="2" t="s">
        <v>8612</v>
      </c>
      <c r="C3042" s="2" t="s">
        <v>17</v>
      </c>
      <c r="D3042" s="2" t="s">
        <v>18</v>
      </c>
      <c r="E3042" s="4">
        <v>-32230</v>
      </c>
      <c r="F3042" s="3" t="s">
        <v>625</v>
      </c>
      <c r="G3042" s="3" t="s">
        <v>1258</v>
      </c>
      <c r="H3042" s="2" t="s">
        <v>148</v>
      </c>
      <c r="I3042" s="2" t="s">
        <v>8613</v>
      </c>
      <c r="J3042" s="3" t="str">
        <f>HYPERLINK("https://www.boe.es/gazeta/dias/1811/10/03/pdfs/GEI-1811-127.pdf#page=8","Abrir facsímil")</f>
        <v>Abrir facsímil</v>
      </c>
      <c r="K3042" s="3" t="s">
        <v>150</v>
      </c>
    </row>
    <row r="3043" spans="1:11" ht="42" customHeight="1">
      <c r="A3043" s="2" t="s">
        <v>8614</v>
      </c>
      <c r="B3043" s="2" t="s">
        <v>8615</v>
      </c>
      <c r="C3043" s="2" t="s">
        <v>26</v>
      </c>
      <c r="D3043" s="2" t="s">
        <v>18</v>
      </c>
      <c r="E3043" s="4">
        <v>-32188</v>
      </c>
      <c r="F3043" s="3" t="s">
        <v>356</v>
      </c>
      <c r="G3043" s="3" t="s">
        <v>248</v>
      </c>
      <c r="H3043" s="2" t="s">
        <v>148</v>
      </c>
      <c r="I3043" s="2" t="s">
        <v>8616</v>
      </c>
      <c r="J3043" s="3" t="str">
        <f>HYPERLINK("https://www.boe.es/gazeta/dias/1811/11/14/pdfs/GMD-1811-318.pdf#page=5","Abrir facsímil")</f>
        <v>Abrir facsímil</v>
      </c>
      <c r="K3043" s="3" t="s">
        <v>150</v>
      </c>
    </row>
    <row r="3044" spans="1:11" ht="42" customHeight="1">
      <c r="A3044" s="2" t="s">
        <v>8614</v>
      </c>
      <c r="B3044" s="2" t="s">
        <v>8615</v>
      </c>
      <c r="C3044" s="2" t="s">
        <v>26</v>
      </c>
      <c r="D3044" s="2" t="s">
        <v>18</v>
      </c>
      <c r="E3044" s="4">
        <v>-32188</v>
      </c>
      <c r="F3044" s="3" t="s">
        <v>356</v>
      </c>
      <c r="G3044" s="3" t="s">
        <v>468</v>
      </c>
      <c r="H3044" s="2" t="s">
        <v>148</v>
      </c>
      <c r="I3044" s="2" t="s">
        <v>8617</v>
      </c>
      <c r="J3044" s="3" t="str">
        <f>HYPERLINK("https://www.boe.es/gazeta/dias/1811/11/14/pdfs/GMD-1811-318.pdf#page=6","Abrir facsímil")</f>
        <v>Abrir facsímil</v>
      </c>
      <c r="K3044" s="3" t="s">
        <v>150</v>
      </c>
    </row>
    <row r="3045" spans="1:11" ht="42" customHeight="1">
      <c r="A3045" s="2" t="s">
        <v>8618</v>
      </c>
      <c r="B3045" s="2" t="s">
        <v>8618</v>
      </c>
      <c r="C3045" s="2" t="s">
        <v>17</v>
      </c>
      <c r="D3045" s="2" t="s">
        <v>18</v>
      </c>
      <c r="E3045" s="4">
        <v>-32383</v>
      </c>
      <c r="F3045" s="3" t="s">
        <v>4500</v>
      </c>
      <c r="G3045" s="3" t="s">
        <v>183</v>
      </c>
      <c r="H3045" s="2" t="s">
        <v>148</v>
      </c>
      <c r="I3045" s="2" t="s">
        <v>8619</v>
      </c>
      <c r="J3045" s="3" t="str">
        <f>HYPERLINK("https://www.boe.es/gazeta/dias/1811/05/03/pdfs/GMD-1811-123.pdf#page=4","Abrir facsímil")</f>
        <v>Abrir facsímil</v>
      </c>
      <c r="K3045" s="3" t="s">
        <v>150</v>
      </c>
    </row>
    <row r="3046" spans="1:11" ht="42" customHeight="1">
      <c r="A3046" s="2" t="s">
        <v>8620</v>
      </c>
      <c r="B3046" s="2" t="s">
        <v>8621</v>
      </c>
      <c r="C3046" s="2" t="s">
        <v>17</v>
      </c>
      <c r="D3046" s="2" t="s">
        <v>18</v>
      </c>
      <c r="E3046" s="4">
        <v>-32470</v>
      </c>
      <c r="F3046" s="3" t="s">
        <v>1432</v>
      </c>
      <c r="G3046" s="3" t="s">
        <v>3543</v>
      </c>
      <c r="H3046" s="2" t="s">
        <v>148</v>
      </c>
      <c r="I3046" s="2" t="s">
        <v>8622</v>
      </c>
      <c r="J3046" s="3" t="str">
        <f>HYPERLINK("https://www.boe.es/gazeta/dias/1811/02/05/pdfs/GEI-1811-16.pdf#page=8","Abrir facsímil")</f>
        <v>Abrir facsímil</v>
      </c>
      <c r="K3046" s="3" t="s">
        <v>150</v>
      </c>
    </row>
    <row r="3047" spans="1:11" ht="42" customHeight="1">
      <c r="A3047" s="2" t="s">
        <v>8623</v>
      </c>
      <c r="B3047" s="2" t="s">
        <v>8624</v>
      </c>
      <c r="C3047" s="2" t="s">
        <v>26</v>
      </c>
      <c r="D3047" s="2" t="s">
        <v>18</v>
      </c>
      <c r="E3047" s="4">
        <v>-32463</v>
      </c>
      <c r="F3047" s="3" t="s">
        <v>734</v>
      </c>
      <c r="G3047" s="3" t="s">
        <v>735</v>
      </c>
      <c r="H3047" s="2" t="s">
        <v>148</v>
      </c>
      <c r="I3047" s="2" t="s">
        <v>8625</v>
      </c>
      <c r="J3047" s="3" t="str">
        <f>HYPERLINK("https://www.boe.es/gazeta/dias/1811/02/12/pdfs/GEI-1811-19.pdf#page=8","Abrir facsímil")</f>
        <v>Abrir facsímil</v>
      </c>
      <c r="K3047" s="3" t="s">
        <v>150</v>
      </c>
    </row>
    <row r="3048" spans="1:11" ht="42" customHeight="1">
      <c r="A3048" s="2" t="s">
        <v>8626</v>
      </c>
      <c r="B3048" s="2" t="s">
        <v>8626</v>
      </c>
      <c r="C3048" s="2" t="s">
        <v>17</v>
      </c>
      <c r="D3048" s="2" t="s">
        <v>18</v>
      </c>
      <c r="E3048" s="4">
        <v>-32251</v>
      </c>
      <c r="F3048" s="3" t="s">
        <v>1089</v>
      </c>
      <c r="G3048" s="3" t="s">
        <v>498</v>
      </c>
      <c r="H3048" s="2" t="s">
        <v>148</v>
      </c>
      <c r="I3048" s="2" t="s">
        <v>8627</v>
      </c>
      <c r="J3048" s="3" t="str">
        <f>HYPERLINK("https://www.boe.es/gazeta/dias/1811/09/12/pdfs/GMD-1811-255.pdf#page=1","Abrir facsímil")</f>
        <v>Abrir facsímil</v>
      </c>
      <c r="K3048" s="3" t="s">
        <v>150</v>
      </c>
    </row>
    <row r="3049" spans="1:11" ht="42" customHeight="1">
      <c r="A3049" s="2" t="s">
        <v>8628</v>
      </c>
      <c r="B3049" s="2" t="s">
        <v>8628</v>
      </c>
      <c r="C3049" s="2" t="s">
        <v>17</v>
      </c>
      <c r="D3049" s="2" t="s">
        <v>156</v>
      </c>
      <c r="E3049" s="4">
        <v>-32323</v>
      </c>
      <c r="F3049" s="3" t="s">
        <v>2289</v>
      </c>
      <c r="G3049" s="3" t="s">
        <v>846</v>
      </c>
      <c r="H3049" s="2" t="s">
        <v>148</v>
      </c>
      <c r="I3049" s="2" t="s">
        <v>8629</v>
      </c>
      <c r="J3049" s="3" t="str">
        <f>HYPERLINK("https://www.boe.es/gazeta/dias/1811/07/02/pdfs/GMD-1811-183.pdf#page=1","Abrir facsímil")</f>
        <v>Abrir facsímil</v>
      </c>
      <c r="K3049" s="3" t="s">
        <v>150</v>
      </c>
    </row>
    <row r="3050" spans="1:11" ht="42" customHeight="1">
      <c r="A3050" s="2" t="s">
        <v>8630</v>
      </c>
      <c r="B3050" s="2" t="s">
        <v>8631</v>
      </c>
      <c r="C3050" s="2" t="s">
        <v>26</v>
      </c>
      <c r="D3050" s="2" t="s">
        <v>18</v>
      </c>
      <c r="E3050" s="4">
        <v>-32472</v>
      </c>
      <c r="F3050" s="3" t="s">
        <v>398</v>
      </c>
      <c r="G3050" s="3" t="s">
        <v>115</v>
      </c>
      <c r="H3050" s="2" t="s">
        <v>148</v>
      </c>
      <c r="I3050" s="2" t="s">
        <v>8632</v>
      </c>
      <c r="J3050" s="3" t="str">
        <f>HYPERLINK("https://www.boe.es/gazeta/dias/1811/02/03/pdfs/GMD-1811-34.pdf#page=3","Abrir facsímil")</f>
        <v>Abrir facsímil</v>
      </c>
      <c r="K3050" s="3" t="s">
        <v>150</v>
      </c>
    </row>
    <row r="3051" spans="1:11" ht="42" customHeight="1">
      <c r="A3051" s="2" t="s">
        <v>8633</v>
      </c>
      <c r="B3051" s="2" t="s">
        <v>8633</v>
      </c>
      <c r="C3051" s="2" t="s">
        <v>26</v>
      </c>
      <c r="D3051" s="2" t="s">
        <v>18</v>
      </c>
      <c r="E3051" s="4">
        <v>-32427</v>
      </c>
      <c r="F3051" s="3" t="s">
        <v>2696</v>
      </c>
      <c r="G3051" s="3" t="s">
        <v>115</v>
      </c>
      <c r="H3051" s="2" t="s">
        <v>148</v>
      </c>
      <c r="I3051" s="2" t="s">
        <v>8634</v>
      </c>
      <c r="J3051" s="3" t="str">
        <f>HYPERLINK("https://www.boe.es/gazeta/dias/1811/03/20/pdfs/GMD-1811-79.pdf#page=3","Abrir facsímil")</f>
        <v>Abrir facsímil</v>
      </c>
      <c r="K3051" s="3" t="s">
        <v>150</v>
      </c>
    </row>
    <row r="3052" spans="1:11" ht="42" customHeight="1">
      <c r="A3052" s="2" t="s">
        <v>8635</v>
      </c>
      <c r="B3052" s="2" t="s">
        <v>8635</v>
      </c>
      <c r="C3052" s="2" t="s">
        <v>17</v>
      </c>
      <c r="D3052" s="2" t="s">
        <v>18</v>
      </c>
      <c r="E3052" s="4">
        <v>-32314</v>
      </c>
      <c r="F3052" s="3" t="s">
        <v>6914</v>
      </c>
      <c r="G3052" s="3" t="s">
        <v>47</v>
      </c>
      <c r="H3052" s="2" t="s">
        <v>148</v>
      </c>
      <c r="I3052" s="2" t="s">
        <v>8636</v>
      </c>
      <c r="J3052" s="3" t="str">
        <f>HYPERLINK("https://www.boe.es/gazeta/dias/1811/07/11/pdfs/GMD-1811-192.pdf#page=2","Abrir facsímil")</f>
        <v>Abrir facsímil</v>
      </c>
      <c r="K3052" s="3" t="s">
        <v>150</v>
      </c>
    </row>
    <row r="3053" spans="1:11" ht="42" customHeight="1">
      <c r="A3053" s="2" t="s">
        <v>8635</v>
      </c>
      <c r="B3053" s="2" t="s">
        <v>8635</v>
      </c>
      <c r="C3053" s="2" t="s">
        <v>26</v>
      </c>
      <c r="D3053" s="2" t="s">
        <v>18</v>
      </c>
      <c r="E3053" s="4">
        <v>-32314</v>
      </c>
      <c r="F3053" s="3" t="s">
        <v>6914</v>
      </c>
      <c r="G3053" s="3" t="s">
        <v>248</v>
      </c>
      <c r="H3053" s="2" t="s">
        <v>148</v>
      </c>
      <c r="I3053" s="2" t="s">
        <v>8637</v>
      </c>
      <c r="J3053" s="3" t="str">
        <f>HYPERLINK("https://www.boe.es/gazeta/dias/1811/07/11/pdfs/GMD-1811-192.pdf#page=3","Abrir facsímil")</f>
        <v>Abrir facsímil</v>
      </c>
      <c r="K3053" s="3" t="s">
        <v>150</v>
      </c>
    </row>
    <row r="3054" spans="1:11" ht="42" customHeight="1">
      <c r="A3054" s="2" t="s">
        <v>8638</v>
      </c>
      <c r="B3054" s="2" t="s">
        <v>8639</v>
      </c>
      <c r="C3054" s="2" t="s">
        <v>17</v>
      </c>
      <c r="D3054" s="2" t="s">
        <v>156</v>
      </c>
      <c r="E3054" s="4">
        <v>-32472</v>
      </c>
      <c r="F3054" s="3" t="s">
        <v>398</v>
      </c>
      <c r="G3054" s="3" t="s">
        <v>115</v>
      </c>
      <c r="H3054" s="2" t="s">
        <v>148</v>
      </c>
      <c r="I3054" s="2" t="s">
        <v>8640</v>
      </c>
      <c r="J3054" s="3" t="str">
        <f>HYPERLINK("https://www.boe.es/gazeta/dias/1811/02/03/pdfs/GMD-1811-34.pdf#page=3","Abrir facsímil")</f>
        <v>Abrir facsímil</v>
      </c>
      <c r="K3054" s="3" t="s">
        <v>150</v>
      </c>
    </row>
    <row r="3055" spans="1:11" ht="42" customHeight="1">
      <c r="A3055" s="2" t="s">
        <v>8641</v>
      </c>
      <c r="B3055" s="2" t="s">
        <v>8641</v>
      </c>
      <c r="C3055" s="2" t="s">
        <v>17</v>
      </c>
      <c r="D3055" s="2" t="s">
        <v>204</v>
      </c>
      <c r="E3055" s="4">
        <v>-32361</v>
      </c>
      <c r="F3055" s="3" t="s">
        <v>1104</v>
      </c>
      <c r="G3055" s="3" t="s">
        <v>8642</v>
      </c>
      <c r="H3055" s="2" t="s">
        <v>148</v>
      </c>
      <c r="I3055" s="2" t="s">
        <v>8643</v>
      </c>
      <c r="J3055" s="3" t="str">
        <f>HYPERLINK("https://www.boe.es/gazeta/dias/1811/05/25/pdfs/GEI-1811-71.pdf#page=2","Abrir facsímil")</f>
        <v>Abrir facsímil</v>
      </c>
      <c r="K3055" s="3" t="s">
        <v>150</v>
      </c>
    </row>
    <row r="3056" spans="1:11" ht="42" customHeight="1">
      <c r="A3056" s="2" t="s">
        <v>8644</v>
      </c>
      <c r="B3056" s="2" t="s">
        <v>8644</v>
      </c>
      <c r="C3056" s="2" t="s">
        <v>17</v>
      </c>
      <c r="D3056" s="2" t="s">
        <v>156</v>
      </c>
      <c r="E3056" s="4">
        <v>-32203</v>
      </c>
      <c r="F3056" s="3" t="s">
        <v>8645</v>
      </c>
      <c r="G3056" s="3" t="s">
        <v>44</v>
      </c>
      <c r="H3056" s="2" t="s">
        <v>148</v>
      </c>
      <c r="I3056" s="2" t="s">
        <v>8646</v>
      </c>
      <c r="J3056" s="3" t="str">
        <f>HYPERLINK("https://www.boe.es/gazeta/dias/1811/10/30/pdfs/GMD-1811-303.pdf#page=4","Abrir facsímil")</f>
        <v>Abrir facsímil</v>
      </c>
      <c r="K3056" s="3" t="s">
        <v>150</v>
      </c>
    </row>
    <row r="3057" spans="1:11" ht="42" customHeight="1">
      <c r="A3057" s="2" t="s">
        <v>8647</v>
      </c>
      <c r="B3057" s="2" t="s">
        <v>8647</v>
      </c>
      <c r="C3057" s="2" t="s">
        <v>17</v>
      </c>
      <c r="D3057" s="2" t="s">
        <v>156</v>
      </c>
      <c r="E3057" s="4">
        <v>-32355</v>
      </c>
      <c r="F3057" s="3" t="s">
        <v>2342</v>
      </c>
      <c r="G3057" s="3" t="s">
        <v>20</v>
      </c>
      <c r="H3057" s="2" t="s">
        <v>148</v>
      </c>
      <c r="I3057" s="2" t="s">
        <v>8648</v>
      </c>
      <c r="J3057" s="3" t="str">
        <f>HYPERLINK("https://www.boe.es/gazeta/dias/1811/05/31/pdfs/GMD-1811-151.pdf#page=4","Abrir facsímil")</f>
        <v>Abrir facsímil</v>
      </c>
      <c r="K3057" s="3" t="s">
        <v>150</v>
      </c>
    </row>
    <row r="3058" spans="1:11" ht="42" customHeight="1">
      <c r="A3058" s="2" t="s">
        <v>8649</v>
      </c>
      <c r="B3058" s="2" t="s">
        <v>8649</v>
      </c>
      <c r="C3058" s="2" t="s">
        <v>17</v>
      </c>
      <c r="D3058" s="2" t="s">
        <v>18</v>
      </c>
      <c r="E3058" s="4">
        <v>-32490</v>
      </c>
      <c r="F3058" s="3" t="s">
        <v>2407</v>
      </c>
      <c r="G3058" s="3" t="s">
        <v>2408</v>
      </c>
      <c r="H3058" s="2" t="s">
        <v>148</v>
      </c>
      <c r="I3058" s="2" t="s">
        <v>8650</v>
      </c>
      <c r="J3058" s="3" t="str">
        <f>HYPERLINK("https://www.boe.es/gazeta/dias/1811/01/16/pdfs/GMD-1811-16.pdf#page=2","Abrir facsímil")</f>
        <v>Abrir facsímil</v>
      </c>
      <c r="K3058" s="3" t="s">
        <v>150</v>
      </c>
    </row>
    <row r="3059" spans="1:11" ht="42" customHeight="1">
      <c r="A3059" s="2" t="s">
        <v>8649</v>
      </c>
      <c r="B3059" s="2" t="s">
        <v>8649</v>
      </c>
      <c r="C3059" s="2" t="s">
        <v>17</v>
      </c>
      <c r="D3059" s="2" t="s">
        <v>18</v>
      </c>
      <c r="E3059" s="4">
        <v>-32490</v>
      </c>
      <c r="F3059" s="3" t="s">
        <v>2407</v>
      </c>
      <c r="G3059" s="3" t="s">
        <v>178</v>
      </c>
      <c r="H3059" s="2" t="s">
        <v>148</v>
      </c>
      <c r="I3059" s="2" t="s">
        <v>8651</v>
      </c>
      <c r="J3059" s="3" t="str">
        <f>HYPERLINK("https://www.boe.es/gazeta/dias/1811/01/16/pdfs/GMD-1811-16.pdf#page=3","Abrir facsímil")</f>
        <v>Abrir facsímil</v>
      </c>
      <c r="K3059" s="3" t="s">
        <v>150</v>
      </c>
    </row>
    <row r="3060" spans="1:11" ht="42" customHeight="1">
      <c r="A3060" s="2" t="s">
        <v>8649</v>
      </c>
      <c r="B3060" s="2" t="s">
        <v>8649</v>
      </c>
      <c r="C3060" s="2" t="s">
        <v>17</v>
      </c>
      <c r="D3060" s="2" t="s">
        <v>18</v>
      </c>
      <c r="E3060" s="4">
        <v>-32490</v>
      </c>
      <c r="F3060" s="3" t="s">
        <v>2407</v>
      </c>
      <c r="G3060" s="3" t="s">
        <v>91</v>
      </c>
      <c r="H3060" s="2" t="s">
        <v>148</v>
      </c>
      <c r="I3060" s="2" t="s">
        <v>8652</v>
      </c>
      <c r="J3060" s="3" t="str">
        <f>HYPERLINK("https://www.boe.es/gazeta/dias/1811/01/16/pdfs/GMD-1811-16.pdf#page=4","Abrir facsímil")</f>
        <v>Abrir facsímil</v>
      </c>
      <c r="K3060" s="3" t="s">
        <v>150</v>
      </c>
    </row>
    <row r="3061" spans="1:11" ht="42" customHeight="1">
      <c r="A3061" s="2" t="s">
        <v>8653</v>
      </c>
      <c r="B3061" s="2" t="s">
        <v>8653</v>
      </c>
      <c r="C3061" s="2" t="s">
        <v>17</v>
      </c>
      <c r="D3061" s="2" t="s">
        <v>18</v>
      </c>
      <c r="E3061" s="4">
        <v>-32215</v>
      </c>
      <c r="F3061" s="3" t="s">
        <v>6300</v>
      </c>
      <c r="G3061" s="3" t="s">
        <v>6301</v>
      </c>
      <c r="H3061" s="2" t="s">
        <v>148</v>
      </c>
      <c r="I3061" s="2" t="s">
        <v>8654</v>
      </c>
      <c r="J3061" s="3" t="str">
        <f>HYPERLINK("https://www.boe.es/gazeta/dias/1811/10/18/pdfs/GMD-1811-291.pdf#page=3","Abrir facsímil")</f>
        <v>Abrir facsímil</v>
      </c>
      <c r="K3061" s="3" t="s">
        <v>150</v>
      </c>
    </row>
    <row r="3062" spans="1:11" ht="42" customHeight="1">
      <c r="A3062" s="2" t="s">
        <v>8655</v>
      </c>
      <c r="B3062" s="2" t="s">
        <v>8655</v>
      </c>
      <c r="C3062" s="2" t="s">
        <v>17</v>
      </c>
      <c r="D3062" s="2" t="s">
        <v>204</v>
      </c>
      <c r="E3062" s="4">
        <v>-32490</v>
      </c>
      <c r="F3062" s="3" t="s">
        <v>2407</v>
      </c>
      <c r="G3062" s="3" t="s">
        <v>44</v>
      </c>
      <c r="H3062" s="2" t="s">
        <v>148</v>
      </c>
      <c r="I3062" s="2" t="s">
        <v>8656</v>
      </c>
      <c r="J3062" s="3" t="str">
        <f>HYPERLINK("https://www.boe.es/gazeta/dias/1811/01/16/pdfs/GMD-1811-16.pdf#page=1","Abrir facsímil")</f>
        <v>Abrir facsímil</v>
      </c>
      <c r="K3062" s="3" t="s">
        <v>150</v>
      </c>
    </row>
    <row r="3063" spans="1:11" ht="42" customHeight="1">
      <c r="A3063" s="2" t="s">
        <v>8657</v>
      </c>
      <c r="B3063" s="2" t="s">
        <v>8658</v>
      </c>
      <c r="C3063" s="2" t="s">
        <v>26</v>
      </c>
      <c r="D3063" s="2" t="s">
        <v>18</v>
      </c>
      <c r="E3063" s="4">
        <v>-32396</v>
      </c>
      <c r="F3063" s="3" t="s">
        <v>1267</v>
      </c>
      <c r="G3063" s="3" t="s">
        <v>1143</v>
      </c>
      <c r="H3063" s="2" t="s">
        <v>148</v>
      </c>
      <c r="I3063" s="2" t="s">
        <v>8659</v>
      </c>
      <c r="J3063" s="3" t="str">
        <f>HYPERLINK("https://www.boe.es/gazeta/dias/1811/04/20/pdfs/GMD-1811-110.pdf#page=3","Abrir facsímil")</f>
        <v>Abrir facsímil</v>
      </c>
      <c r="K3063" s="3" t="s">
        <v>150</v>
      </c>
    </row>
    <row r="3064" spans="1:11" ht="42" customHeight="1">
      <c r="A3064" s="2" t="s">
        <v>8660</v>
      </c>
      <c r="B3064" s="2" t="s">
        <v>8660</v>
      </c>
      <c r="C3064" s="2" t="s">
        <v>17</v>
      </c>
      <c r="D3064" s="2" t="s">
        <v>18</v>
      </c>
      <c r="E3064" s="4">
        <v>-32172</v>
      </c>
      <c r="F3064" s="3" t="s">
        <v>707</v>
      </c>
      <c r="G3064" s="3" t="s">
        <v>305</v>
      </c>
      <c r="H3064" s="2" t="s">
        <v>148</v>
      </c>
      <c r="I3064" s="2" t="s">
        <v>8661</v>
      </c>
      <c r="J3064" s="3" t="str">
        <f>HYPERLINK("https://www.boe.es/gazeta/dias/1811/11/30/pdfs/GEI-1811-156.pdf#page=4","Abrir facsímil")</f>
        <v>Abrir facsímil</v>
      </c>
      <c r="K3064" s="3" t="s">
        <v>150</v>
      </c>
    </row>
    <row r="3065" spans="1:11" ht="42" customHeight="1">
      <c r="A3065" s="2" t="s">
        <v>8660</v>
      </c>
      <c r="B3065" s="2" t="s">
        <v>8660</v>
      </c>
      <c r="C3065" s="2" t="s">
        <v>26</v>
      </c>
      <c r="D3065" s="2" t="s">
        <v>18</v>
      </c>
      <c r="E3065" s="4">
        <v>-32169</v>
      </c>
      <c r="F3065" s="3" t="s">
        <v>1702</v>
      </c>
      <c r="G3065" s="3" t="s">
        <v>2012</v>
      </c>
      <c r="H3065" s="2" t="s">
        <v>148</v>
      </c>
      <c r="I3065" s="2" t="s">
        <v>8662</v>
      </c>
      <c r="J3065" s="3" t="str">
        <f>HYPERLINK("https://www.boe.es/gazeta/dias/1811/12/03/pdfs/GEI-1811-157.pdf#page=6","Abrir facsímil")</f>
        <v>Abrir facsímil</v>
      </c>
      <c r="K3065" s="3" t="s">
        <v>150</v>
      </c>
    </row>
    <row r="3066" spans="1:11" ht="42" customHeight="1">
      <c r="A3066" s="2" t="s">
        <v>8663</v>
      </c>
      <c r="B3066" s="2" t="s">
        <v>8664</v>
      </c>
      <c r="C3066" s="2" t="s">
        <v>84</v>
      </c>
      <c r="D3066" s="2" t="s">
        <v>105</v>
      </c>
      <c r="E3066" s="4">
        <v>-32162</v>
      </c>
      <c r="F3066" s="3" t="s">
        <v>317</v>
      </c>
      <c r="G3066" s="3" t="s">
        <v>318</v>
      </c>
      <c r="H3066" s="2" t="s">
        <v>148</v>
      </c>
      <c r="I3066" s="2" t="s">
        <v>8665</v>
      </c>
      <c r="J3066" s="3" t="str">
        <f>HYPERLINK("https://www.boe.es/gazeta/dias/1811/12/10/pdfs/GEI-1811-160.pdf#page=8","Abrir facsímil")</f>
        <v>Abrir facsímil</v>
      </c>
      <c r="K3066" s="3" t="s">
        <v>150</v>
      </c>
    </row>
    <row r="3067" spans="1:11" ht="42" customHeight="1">
      <c r="A3067" s="2" t="s">
        <v>8666</v>
      </c>
      <c r="B3067" s="2" t="s">
        <v>8667</v>
      </c>
      <c r="C3067" s="2" t="s">
        <v>17</v>
      </c>
      <c r="D3067" s="2" t="s">
        <v>105</v>
      </c>
      <c r="E3067" s="4">
        <v>-32152</v>
      </c>
      <c r="F3067" s="3" t="s">
        <v>1673</v>
      </c>
      <c r="G3067" s="3" t="s">
        <v>183</v>
      </c>
      <c r="H3067" s="2" t="s">
        <v>148</v>
      </c>
      <c r="I3067" s="2" t="s">
        <v>8668</v>
      </c>
      <c r="J3067" s="3" t="str">
        <f>HYPERLINK("https://www.boe.es/gazeta/dias/1811/12/20/pdfs/GMD-1811-354.pdf#page=4","Abrir facsímil")</f>
        <v>Abrir facsímil</v>
      </c>
      <c r="K3067" s="3" t="s">
        <v>150</v>
      </c>
    </row>
    <row r="3068" spans="1:11" ht="42" customHeight="1">
      <c r="A3068" s="2" t="s">
        <v>8669</v>
      </c>
      <c r="B3068" s="2" t="s">
        <v>8670</v>
      </c>
      <c r="C3068" s="2" t="s">
        <v>26</v>
      </c>
      <c r="D3068" s="2" t="s">
        <v>141</v>
      </c>
      <c r="E3068" s="4">
        <v>-32249</v>
      </c>
      <c r="F3068" s="3" t="s">
        <v>743</v>
      </c>
      <c r="G3068" s="3" t="s">
        <v>468</v>
      </c>
      <c r="H3068" s="2" t="s">
        <v>148</v>
      </c>
      <c r="I3068" s="2" t="s">
        <v>8671</v>
      </c>
      <c r="J3068" s="3" t="str">
        <f>HYPERLINK("https://www.boe.es/gazeta/dias/1811/09/14/pdfs/GMD-C-1811-257.pdf#page=1","Abrir facsímil")</f>
        <v>Abrir facsímil</v>
      </c>
      <c r="K3068" s="3" t="s">
        <v>150</v>
      </c>
    </row>
    <row r="3069" spans="1:11" ht="42" customHeight="1">
      <c r="A3069" s="2" t="s">
        <v>8672</v>
      </c>
      <c r="B3069" s="2" t="s">
        <v>8673</v>
      </c>
      <c r="C3069" s="2" t="s">
        <v>17</v>
      </c>
      <c r="D3069" s="2" t="s">
        <v>156</v>
      </c>
      <c r="E3069" s="4">
        <v>-32267</v>
      </c>
      <c r="F3069" s="3" t="s">
        <v>1045</v>
      </c>
      <c r="G3069" s="3" t="s">
        <v>8674</v>
      </c>
      <c r="H3069" s="2" t="s">
        <v>148</v>
      </c>
      <c r="I3069" s="2" t="s">
        <v>8675</v>
      </c>
      <c r="J3069" s="3" t="str">
        <f>HYPERLINK("https://www.boe.es/gazeta/dias/1811/08/27/pdfs/GEI-1811-111.pdf#page=1","Abrir facsímil")</f>
        <v>Abrir facsímil</v>
      </c>
      <c r="K3069" s="3" t="s">
        <v>150</v>
      </c>
    </row>
    <row r="3070" spans="1:11" ht="42" customHeight="1">
      <c r="A3070" s="2" t="s">
        <v>8672</v>
      </c>
      <c r="B3070" s="2" t="s">
        <v>8673</v>
      </c>
      <c r="C3070" s="2" t="s">
        <v>17</v>
      </c>
      <c r="D3070" s="2" t="s">
        <v>156</v>
      </c>
      <c r="E3070" s="4">
        <v>-32214</v>
      </c>
      <c r="F3070" s="3" t="s">
        <v>1753</v>
      </c>
      <c r="G3070" s="3" t="s">
        <v>20</v>
      </c>
      <c r="H3070" s="2" t="s">
        <v>148</v>
      </c>
      <c r="I3070" s="2" t="s">
        <v>8676</v>
      </c>
      <c r="J3070" s="3" t="str">
        <f>HYPERLINK("https://www.boe.es/gazeta/dias/1811/10/19/pdfs/GEI-1811-135.pdf#page=8","Abrir facsímil")</f>
        <v>Abrir facsímil</v>
      </c>
      <c r="K3070" s="3" t="s">
        <v>150</v>
      </c>
    </row>
    <row r="3071" spans="1:11" ht="42" customHeight="1">
      <c r="A3071" s="2" t="s">
        <v>8677</v>
      </c>
      <c r="B3071" s="2" t="s">
        <v>8678</v>
      </c>
      <c r="C3071" s="2" t="s">
        <v>26</v>
      </c>
      <c r="D3071" s="2" t="s">
        <v>18</v>
      </c>
      <c r="E3071" s="4">
        <v>-32200</v>
      </c>
      <c r="F3071" s="3" t="s">
        <v>109</v>
      </c>
      <c r="G3071" s="3" t="s">
        <v>110</v>
      </c>
      <c r="H3071" s="2" t="s">
        <v>148</v>
      </c>
      <c r="I3071" s="2" t="s">
        <v>8679</v>
      </c>
      <c r="J3071" s="3" t="str">
        <f>HYPERLINK("https://www.boe.es/gazeta/dias/1811/11/02/pdfs/GEI-1811-141.pdf#page=6","Abrir facsímil")</f>
        <v>Abrir facsímil</v>
      </c>
      <c r="K3071" s="3" t="s">
        <v>150</v>
      </c>
    </row>
    <row r="3072" spans="1:11" ht="42" customHeight="1">
      <c r="A3072" s="2" t="s">
        <v>8680</v>
      </c>
      <c r="B3072" s="2" t="s">
        <v>8681</v>
      </c>
      <c r="C3072" s="2" t="s">
        <v>26</v>
      </c>
      <c r="D3072" s="2" t="s">
        <v>18</v>
      </c>
      <c r="E3072" s="4">
        <v>-32421</v>
      </c>
      <c r="F3072" s="3" t="s">
        <v>79</v>
      </c>
      <c r="G3072" s="3" t="s">
        <v>8682</v>
      </c>
      <c r="H3072" s="2" t="s">
        <v>148</v>
      </c>
      <c r="I3072" s="2" t="s">
        <v>8683</v>
      </c>
      <c r="J3072" s="3" t="str">
        <f>HYPERLINK("https://www.boe.es/gazeta/dias/1811/03/26/pdfs/GEI-1811-42.pdf#page=4","Abrir facsímil")</f>
        <v>Abrir facsímil</v>
      </c>
      <c r="K3072" s="3" t="s">
        <v>150</v>
      </c>
    </row>
    <row r="3073" spans="1:11" ht="42" customHeight="1">
      <c r="A3073" s="2" t="s">
        <v>8684</v>
      </c>
      <c r="B3073" s="2" t="s">
        <v>8685</v>
      </c>
      <c r="C3073" s="2" t="s">
        <v>26</v>
      </c>
      <c r="D3073" s="2" t="s">
        <v>18</v>
      </c>
      <c r="E3073" s="4">
        <v>-32235</v>
      </c>
      <c r="F3073" s="3" t="s">
        <v>190</v>
      </c>
      <c r="G3073" s="3" t="s">
        <v>188</v>
      </c>
      <c r="H3073" s="2" t="s">
        <v>148</v>
      </c>
      <c r="I3073" s="2" t="s">
        <v>8686</v>
      </c>
      <c r="J3073" s="3" t="str">
        <f>HYPERLINK("https://www.boe.es/gazeta/dias/1811/09/28/pdfs/GEI-1811-125.pdf#page=8","Abrir facsímil")</f>
        <v>Abrir facsímil</v>
      </c>
      <c r="K3073" s="3" t="s">
        <v>150</v>
      </c>
    </row>
    <row r="3074" spans="1:11" ht="42" customHeight="1">
      <c r="A3074" s="2" t="s">
        <v>8687</v>
      </c>
      <c r="B3074" s="2" t="s">
        <v>8687</v>
      </c>
      <c r="C3074" s="2" t="s">
        <v>37</v>
      </c>
      <c r="D3074" s="2" t="s">
        <v>204</v>
      </c>
      <c r="E3074" s="4">
        <v>-32487</v>
      </c>
      <c r="F3074" s="3" t="s">
        <v>3104</v>
      </c>
      <c r="G3074" s="3" t="s">
        <v>3105</v>
      </c>
      <c r="H3074" s="2" t="s">
        <v>148</v>
      </c>
      <c r="I3074" s="2" t="s">
        <v>8688</v>
      </c>
      <c r="J3074" s="3" t="str">
        <f>HYPERLINK("https://www.boe.es/gazeta/dias/1811/01/19/pdfs/GMD-1811-19.pdf#page=1","Abrir facsímil")</f>
        <v>Abrir facsímil</v>
      </c>
      <c r="K3074" s="3" t="s">
        <v>150</v>
      </c>
    </row>
    <row r="3075" spans="1:11" ht="42" customHeight="1">
      <c r="A3075" s="2" t="s">
        <v>8689</v>
      </c>
      <c r="B3075" s="2" t="s">
        <v>8690</v>
      </c>
      <c r="C3075" s="2" t="s">
        <v>26</v>
      </c>
      <c r="D3075" s="2" t="s">
        <v>141</v>
      </c>
      <c r="E3075" s="4">
        <v>-32238</v>
      </c>
      <c r="F3075" s="3" t="s">
        <v>166</v>
      </c>
      <c r="G3075" s="3" t="s">
        <v>129</v>
      </c>
      <c r="H3075" s="2" t="s">
        <v>148</v>
      </c>
      <c r="I3075" s="2" t="s">
        <v>8691</v>
      </c>
      <c r="J3075" s="3" t="str">
        <f>HYPERLINK("https://www.boe.es/gazeta/dias/1811/09/25/pdfs/GMD-C-1811-268.pdf#page=1","Abrir facsímil")</f>
        <v>Abrir facsímil</v>
      </c>
      <c r="K3075" s="3" t="s">
        <v>150</v>
      </c>
    </row>
    <row r="3076" spans="1:11" ht="42" customHeight="1">
      <c r="A3076" s="2" t="s">
        <v>8692</v>
      </c>
      <c r="B3076" s="2" t="s">
        <v>8692</v>
      </c>
      <c r="C3076" s="2" t="s">
        <v>17</v>
      </c>
      <c r="D3076" s="2" t="s">
        <v>156</v>
      </c>
      <c r="E3076" s="4">
        <v>-32228</v>
      </c>
      <c r="F3076" s="3" t="s">
        <v>899</v>
      </c>
      <c r="G3076" s="3" t="s">
        <v>900</v>
      </c>
      <c r="H3076" s="2" t="s">
        <v>148</v>
      </c>
      <c r="I3076" s="2" t="s">
        <v>8693</v>
      </c>
      <c r="J3076" s="3" t="str">
        <f>HYPERLINK("https://www.boe.es/gazeta/dias/1811/10/05/pdfs/GMD-1811-278.pdf#page=2","Abrir facsímil")</f>
        <v>Abrir facsímil</v>
      </c>
      <c r="K3076" s="3" t="s">
        <v>150</v>
      </c>
    </row>
    <row r="3077" spans="1:11" ht="42" customHeight="1">
      <c r="A3077" s="2" t="s">
        <v>8694</v>
      </c>
      <c r="B3077" s="2" t="s">
        <v>8694</v>
      </c>
      <c r="C3077" s="2" t="s">
        <v>17</v>
      </c>
      <c r="D3077" s="2" t="s">
        <v>18</v>
      </c>
      <c r="E3077" s="4">
        <v>-32294</v>
      </c>
      <c r="F3077" s="3" t="s">
        <v>3123</v>
      </c>
      <c r="G3077" s="3" t="s">
        <v>2916</v>
      </c>
      <c r="H3077" s="2" t="s">
        <v>148</v>
      </c>
      <c r="I3077" s="2" t="s">
        <v>8695</v>
      </c>
      <c r="J3077" s="3" t="str">
        <f>HYPERLINK("https://www.boe.es/gazeta/dias/1811/07/31/pdfs/GMD-1811-212.pdf#page=3","Abrir facsímil")</f>
        <v>Abrir facsímil</v>
      </c>
      <c r="K3077" s="3" t="s">
        <v>150</v>
      </c>
    </row>
    <row r="3078" spans="1:11" ht="42" customHeight="1">
      <c r="A3078" s="2" t="s">
        <v>8696</v>
      </c>
      <c r="B3078" s="2" t="s">
        <v>8696</v>
      </c>
      <c r="C3078" s="2" t="s">
        <v>17</v>
      </c>
      <c r="D3078" s="2" t="s">
        <v>156</v>
      </c>
      <c r="E3078" s="4">
        <v>-32386</v>
      </c>
      <c r="F3078" s="3" t="s">
        <v>1934</v>
      </c>
      <c r="G3078" s="3" t="s">
        <v>2384</v>
      </c>
      <c r="H3078" s="2" t="s">
        <v>148</v>
      </c>
      <c r="I3078" s="2" t="s">
        <v>8697</v>
      </c>
      <c r="J3078" s="3" t="str">
        <f>HYPERLINK("https://www.boe.es/gazeta/dias/1811/04/30/pdfs/GEI-1811-57.pdf#page=5","Abrir facsímil")</f>
        <v>Abrir facsímil</v>
      </c>
      <c r="K3078" s="3" t="s">
        <v>150</v>
      </c>
    </row>
    <row r="3079" spans="1:11" ht="42" customHeight="1">
      <c r="A3079" s="2" t="s">
        <v>8698</v>
      </c>
      <c r="B3079" s="2" t="s">
        <v>8698</v>
      </c>
      <c r="C3079" s="2" t="s">
        <v>17</v>
      </c>
      <c r="D3079" s="2" t="s">
        <v>18</v>
      </c>
      <c r="E3079" s="4">
        <v>-32388</v>
      </c>
      <c r="F3079" s="3" t="s">
        <v>2772</v>
      </c>
      <c r="G3079" s="3" t="s">
        <v>976</v>
      </c>
      <c r="H3079" s="2" t="s">
        <v>148</v>
      </c>
      <c r="I3079" s="2" t="s">
        <v>8699</v>
      </c>
      <c r="J3079" s="3" t="str">
        <f>HYPERLINK("https://www.boe.es/gazeta/dias/1811/04/28/pdfs/GMD-1811-118.pdf#page=3","Abrir facsímil")</f>
        <v>Abrir facsímil</v>
      </c>
      <c r="K3079" s="3" t="s">
        <v>150</v>
      </c>
    </row>
    <row r="3080" spans="1:11" ht="42" customHeight="1">
      <c r="A3080" s="2" t="s">
        <v>8700</v>
      </c>
      <c r="B3080" s="2" t="s">
        <v>8700</v>
      </c>
      <c r="C3080" s="2" t="s">
        <v>17</v>
      </c>
      <c r="D3080" s="2" t="s">
        <v>18</v>
      </c>
      <c r="E3080" s="4">
        <v>-32293</v>
      </c>
      <c r="F3080" s="3" t="s">
        <v>2815</v>
      </c>
      <c r="G3080" s="3" t="s">
        <v>3665</v>
      </c>
      <c r="H3080" s="2" t="s">
        <v>148</v>
      </c>
      <c r="I3080" s="2" t="s">
        <v>8701</v>
      </c>
      <c r="J3080" s="3" t="str">
        <f>HYPERLINK("https://www.boe.es/gazeta/dias/1811/08/01/pdfs/GMD-1811-213.pdf#page=3","Abrir facsímil")</f>
        <v>Abrir facsímil</v>
      </c>
      <c r="K3080" s="3" t="s">
        <v>150</v>
      </c>
    </row>
    <row r="3081" spans="1:11" ht="42" customHeight="1">
      <c r="A3081" s="2" t="s">
        <v>8702</v>
      </c>
      <c r="B3081" s="2" t="s">
        <v>8702</v>
      </c>
      <c r="C3081" s="2" t="s">
        <v>26</v>
      </c>
      <c r="D3081" s="2" t="s">
        <v>18</v>
      </c>
      <c r="E3081" s="4">
        <v>-32473</v>
      </c>
      <c r="F3081" s="3" t="s">
        <v>3399</v>
      </c>
      <c r="G3081" s="3" t="s">
        <v>8703</v>
      </c>
      <c r="H3081" s="2" t="s">
        <v>148</v>
      </c>
      <c r="I3081" s="2" t="s">
        <v>8704</v>
      </c>
      <c r="J3081" s="3" t="str">
        <f>HYPERLINK("https://www.boe.es/gazeta/dias/1811/02/02/pdfs/GEI-1811-15.pdf#page=1","Abrir facsímil")</f>
        <v>Abrir facsímil</v>
      </c>
      <c r="K3081" s="3" t="s">
        <v>150</v>
      </c>
    </row>
    <row r="3082" spans="1:11" ht="42" customHeight="1">
      <c r="A3082" s="2" t="s">
        <v>8705</v>
      </c>
      <c r="B3082" s="2" t="s">
        <v>8706</v>
      </c>
      <c r="C3082" s="2" t="s">
        <v>26</v>
      </c>
      <c r="D3082" s="2" t="s">
        <v>18</v>
      </c>
      <c r="E3082" s="4">
        <v>-32155</v>
      </c>
      <c r="F3082" s="3" t="s">
        <v>263</v>
      </c>
      <c r="G3082" s="3" t="s">
        <v>1800</v>
      </c>
      <c r="H3082" s="2" t="s">
        <v>21</v>
      </c>
      <c r="I3082" s="2" t="s">
        <v>8707</v>
      </c>
      <c r="J3082" s="3" t="str">
        <f>HYPERLINK("https://www.boe.es/gazeta/dias/1811/12/17/pdfs/GEI-1811-163.pdf#page=7","Abrir facsímil")</f>
        <v>Abrir facsímil</v>
      </c>
      <c r="K3082" s="3" t="s">
        <v>23</v>
      </c>
    </row>
    <row r="3083" spans="1:11" ht="42" customHeight="1">
      <c r="A3083" s="2" t="s">
        <v>8708</v>
      </c>
      <c r="B3083" s="2" t="s">
        <v>8709</v>
      </c>
      <c r="C3083" s="2" t="s">
        <v>17</v>
      </c>
      <c r="D3083" s="2" t="s">
        <v>18</v>
      </c>
      <c r="E3083" s="4">
        <v>-32300</v>
      </c>
      <c r="F3083" s="3" t="s">
        <v>61</v>
      </c>
      <c r="G3083" s="3" t="s">
        <v>221</v>
      </c>
      <c r="H3083" s="2" t="s">
        <v>21</v>
      </c>
      <c r="I3083" s="2" t="s">
        <v>8710</v>
      </c>
      <c r="J3083" s="3" t="str">
        <f>HYPERLINK("https://www.boe.es/gazeta/dias/1811/07/25/pdfs/GEI-1811-97.pdf#page=4","Abrir facsímil")</f>
        <v>Abrir facsímil</v>
      </c>
      <c r="K3083" s="3" t="s">
        <v>23</v>
      </c>
    </row>
    <row r="3084" spans="1:11" ht="42" customHeight="1">
      <c r="A3084" s="2" t="s">
        <v>8711</v>
      </c>
      <c r="B3084" s="2" t="s">
        <v>8712</v>
      </c>
      <c r="C3084" s="2" t="s">
        <v>26</v>
      </c>
      <c r="D3084" s="2" t="s">
        <v>18</v>
      </c>
      <c r="E3084" s="4">
        <v>-32379</v>
      </c>
      <c r="F3084" s="3" t="s">
        <v>462</v>
      </c>
      <c r="G3084" s="3" t="s">
        <v>4609</v>
      </c>
      <c r="H3084" s="2" t="s">
        <v>21</v>
      </c>
      <c r="I3084" s="2" t="s">
        <v>8713</v>
      </c>
      <c r="J3084" s="3" t="str">
        <f>HYPERLINK("https://www.boe.es/gazeta/dias/1811/05/07/pdfs/GEI-1811-60.pdf#page=2","Abrir facsímil")</f>
        <v>Abrir facsímil</v>
      </c>
      <c r="K3084" s="3" t="s">
        <v>23</v>
      </c>
    </row>
    <row r="3085" spans="1:11" ht="42" customHeight="1">
      <c r="A3085" s="2" t="s">
        <v>8714</v>
      </c>
      <c r="B3085" s="2" t="s">
        <v>8715</v>
      </c>
      <c r="C3085" s="2" t="s">
        <v>17</v>
      </c>
      <c r="D3085" s="2" t="s">
        <v>18</v>
      </c>
      <c r="E3085" s="4">
        <v>-32319</v>
      </c>
      <c r="F3085" s="3" t="s">
        <v>975</v>
      </c>
      <c r="G3085" s="3" t="s">
        <v>2705</v>
      </c>
      <c r="H3085" s="2" t="s">
        <v>21</v>
      </c>
      <c r="I3085" s="2" t="s">
        <v>8716</v>
      </c>
      <c r="J3085" s="3" t="str">
        <f>HYPERLINK("https://www.boe.es/gazeta/dias/1811/07/06/pdfs/GEI-1811-89.pdf#page=8","Abrir facsímil")</f>
        <v>Abrir facsímil</v>
      </c>
      <c r="K3085" s="3" t="s">
        <v>23</v>
      </c>
    </row>
    <row r="3086" spans="1:11" ht="42" customHeight="1">
      <c r="A3086" s="2" t="s">
        <v>8717</v>
      </c>
      <c r="B3086" s="2" t="s">
        <v>8718</v>
      </c>
      <c r="C3086" s="2" t="s">
        <v>37</v>
      </c>
      <c r="D3086" s="2" t="s">
        <v>18</v>
      </c>
      <c r="E3086" s="4">
        <v>-32463</v>
      </c>
      <c r="F3086" s="3" t="s">
        <v>734</v>
      </c>
      <c r="G3086" s="3" t="s">
        <v>735</v>
      </c>
      <c r="H3086" s="2" t="s">
        <v>21</v>
      </c>
      <c r="I3086" s="2" t="s">
        <v>8719</v>
      </c>
      <c r="J3086" s="3" t="str">
        <f>HYPERLINK("https://www.boe.es/gazeta/dias/1811/02/12/pdfs/GEI-1811-19.pdf#page=8","Abrir facsímil")</f>
        <v>Abrir facsímil</v>
      </c>
      <c r="K3086" s="3" t="s">
        <v>23</v>
      </c>
    </row>
    <row r="3087" spans="1:11" ht="42" customHeight="1">
      <c r="A3087" s="2" t="s">
        <v>8720</v>
      </c>
      <c r="B3087" s="2" t="s">
        <v>8721</v>
      </c>
      <c r="C3087" s="2" t="s">
        <v>26</v>
      </c>
      <c r="D3087" s="2" t="s">
        <v>18</v>
      </c>
      <c r="E3087" s="4">
        <v>-32319</v>
      </c>
      <c r="F3087" s="3" t="s">
        <v>975</v>
      </c>
      <c r="G3087" s="3" t="s">
        <v>2246</v>
      </c>
      <c r="H3087" s="2" t="s">
        <v>21</v>
      </c>
      <c r="I3087" s="2" t="s">
        <v>8722</v>
      </c>
      <c r="J3087" s="3" t="str">
        <f>HYPERLINK("https://www.boe.es/gazeta/dias/1811/07/06/pdfs/GEI-1811-89.pdf#page=5","Abrir facsímil")</f>
        <v>Abrir facsímil</v>
      </c>
      <c r="K3087" s="3" t="s">
        <v>23</v>
      </c>
    </row>
    <row r="3088" spans="1:11" ht="42" customHeight="1">
      <c r="A3088" s="2" t="s">
        <v>8723</v>
      </c>
      <c r="B3088" s="2" t="s">
        <v>8724</v>
      </c>
      <c r="C3088" s="2" t="s">
        <v>26</v>
      </c>
      <c r="D3088" s="2" t="s">
        <v>18</v>
      </c>
      <c r="E3088" s="4">
        <v>-32358</v>
      </c>
      <c r="F3088" s="3" t="s">
        <v>2971</v>
      </c>
      <c r="G3088" s="3" t="s">
        <v>343</v>
      </c>
      <c r="H3088" s="2" t="s">
        <v>21</v>
      </c>
      <c r="I3088" s="2" t="s">
        <v>8725</v>
      </c>
      <c r="J3088" s="3" t="str">
        <f>HYPERLINK("https://www.boe.es/gazeta/dias/1811/05/28/pdfs/GEI-1811-72.pdf#page=6","Abrir facsímil")</f>
        <v>Abrir facsímil</v>
      </c>
      <c r="K3088" s="3" t="s">
        <v>23</v>
      </c>
    </row>
    <row r="3089" spans="1:11" ht="42" customHeight="1">
      <c r="A3089" s="2" t="s">
        <v>8726</v>
      </c>
      <c r="B3089" s="2" t="s">
        <v>8727</v>
      </c>
      <c r="C3089" s="2" t="s">
        <v>17</v>
      </c>
      <c r="D3089" s="2" t="s">
        <v>156</v>
      </c>
      <c r="E3089" s="4">
        <v>-32333</v>
      </c>
      <c r="F3089" s="3" t="s">
        <v>292</v>
      </c>
      <c r="G3089" s="3" t="s">
        <v>293</v>
      </c>
      <c r="H3089" s="2" t="s">
        <v>21</v>
      </c>
      <c r="I3089" s="2" t="s">
        <v>8728</v>
      </c>
      <c r="J3089" s="3" t="str">
        <f>HYPERLINK("https://www.boe.es/gazeta/dias/1811/06/22/pdfs/GEI-1811-83.pdf#page=8","Abrir facsímil")</f>
        <v>Abrir facsímil</v>
      </c>
      <c r="K3089" s="3" t="s">
        <v>23</v>
      </c>
    </row>
    <row r="3090" spans="1:11" ht="42" customHeight="1">
      <c r="A3090" s="2" t="s">
        <v>8729</v>
      </c>
      <c r="B3090" s="2" t="s">
        <v>8730</v>
      </c>
      <c r="C3090" s="2" t="s">
        <v>17</v>
      </c>
      <c r="D3090" s="2" t="s">
        <v>156</v>
      </c>
      <c r="E3090" s="4">
        <v>-32179</v>
      </c>
      <c r="F3090" s="3" t="s">
        <v>2924</v>
      </c>
      <c r="G3090" s="3" t="s">
        <v>39</v>
      </c>
      <c r="H3090" s="2" t="s">
        <v>21</v>
      </c>
      <c r="I3090" s="2" t="s">
        <v>8731</v>
      </c>
      <c r="J3090" s="3" t="str">
        <f>HYPERLINK("https://www.boe.es/gazeta/dias/1811/11/23/pdfs/GEI-D-1811-153.pdf#page=1","Abrir facsímil")</f>
        <v>Abrir facsímil</v>
      </c>
      <c r="K3090" s="3" t="s">
        <v>23</v>
      </c>
    </row>
    <row r="3091" spans="1:11" ht="42" customHeight="1">
      <c r="A3091" s="2" t="s">
        <v>8732</v>
      </c>
      <c r="B3091" s="2" t="s">
        <v>8733</v>
      </c>
      <c r="C3091" s="2" t="s">
        <v>17</v>
      </c>
      <c r="D3091" s="2" t="s">
        <v>18</v>
      </c>
      <c r="E3091" s="4">
        <v>-32407</v>
      </c>
      <c r="F3091" s="3" t="s">
        <v>38</v>
      </c>
      <c r="G3091" s="3" t="s">
        <v>480</v>
      </c>
      <c r="H3091" s="2" t="s">
        <v>21</v>
      </c>
      <c r="I3091" s="2" t="s">
        <v>8734</v>
      </c>
      <c r="J3091" s="3" t="str">
        <f>HYPERLINK("https://www.boe.es/gazeta/dias/1811/04/09/pdfs/GEI-1811-48.pdf#page=4","Abrir facsímil")</f>
        <v>Abrir facsímil</v>
      </c>
      <c r="K3091" s="3" t="s">
        <v>23</v>
      </c>
    </row>
    <row r="3092" spans="1:11" ht="42" customHeight="1">
      <c r="A3092" s="2" t="s">
        <v>8735</v>
      </c>
      <c r="B3092" s="2" t="s">
        <v>8736</v>
      </c>
      <c r="C3092" s="2" t="s">
        <v>26</v>
      </c>
      <c r="D3092" s="2" t="s">
        <v>105</v>
      </c>
      <c r="E3092" s="4">
        <v>-32230</v>
      </c>
      <c r="F3092" s="3" t="s">
        <v>625</v>
      </c>
      <c r="G3092" s="3" t="s">
        <v>162</v>
      </c>
      <c r="H3092" s="2" t="s">
        <v>21</v>
      </c>
      <c r="I3092" s="2" t="s">
        <v>8737</v>
      </c>
      <c r="J3092" s="3" t="str">
        <f>HYPERLINK("https://www.boe.es/gazeta/dias/1811/10/03/pdfs/GEI-1811-127.pdf#page=7","Abrir facsímil")</f>
        <v>Abrir facsímil</v>
      </c>
      <c r="K3092" s="3" t="s">
        <v>23</v>
      </c>
    </row>
    <row r="3093" spans="1:11" ht="42" customHeight="1">
      <c r="A3093" s="2" t="s">
        <v>8738</v>
      </c>
      <c r="B3093" s="2" t="s">
        <v>8739</v>
      </c>
      <c r="C3093" s="2" t="s">
        <v>26</v>
      </c>
      <c r="D3093" s="2" t="s">
        <v>18</v>
      </c>
      <c r="E3093" s="4">
        <v>-32197</v>
      </c>
      <c r="F3093" s="3" t="s">
        <v>687</v>
      </c>
      <c r="G3093" s="3" t="s">
        <v>1240</v>
      </c>
      <c r="H3093" s="2" t="s">
        <v>21</v>
      </c>
      <c r="I3093" s="2" t="s">
        <v>8740</v>
      </c>
      <c r="J3093" s="3" t="str">
        <f>HYPERLINK("https://www.boe.es/gazeta/dias/1811/11/05/pdfs/GEI-1811-143.pdf#page=8","Abrir facsímil")</f>
        <v>Abrir facsímil</v>
      </c>
      <c r="K3093" s="3" t="s">
        <v>23</v>
      </c>
    </row>
    <row r="3094" spans="1:11" ht="42" customHeight="1">
      <c r="A3094" s="2" t="s">
        <v>8741</v>
      </c>
      <c r="B3094" s="2" t="s">
        <v>8742</v>
      </c>
      <c r="C3094" s="2" t="s">
        <v>17</v>
      </c>
      <c r="D3094" s="2" t="s">
        <v>18</v>
      </c>
      <c r="E3094" s="4">
        <v>-32354</v>
      </c>
      <c r="F3094" s="3" t="s">
        <v>2914</v>
      </c>
      <c r="G3094" s="3" t="s">
        <v>8743</v>
      </c>
      <c r="H3094" s="2" t="s">
        <v>21</v>
      </c>
      <c r="I3094" s="2" t="s">
        <v>8744</v>
      </c>
      <c r="J3094" s="3" t="str">
        <f>HYPERLINK("https://www.boe.es/gazeta/dias/1811/06/01/pdfs/GEI-1811-74.pdf#page=5","Abrir facsímil")</f>
        <v>Abrir facsímil</v>
      </c>
      <c r="K3094" s="3" t="s">
        <v>23</v>
      </c>
    </row>
    <row r="3095" spans="1:11" ht="42" customHeight="1">
      <c r="A3095" s="2" t="s">
        <v>8745</v>
      </c>
      <c r="B3095" s="2" t="s">
        <v>8746</v>
      </c>
      <c r="C3095" s="2" t="s">
        <v>26</v>
      </c>
      <c r="D3095" s="2" t="s">
        <v>18</v>
      </c>
      <c r="E3095" s="4">
        <v>-32144</v>
      </c>
      <c r="F3095" s="3" t="s">
        <v>1097</v>
      </c>
      <c r="G3095" s="3" t="s">
        <v>1098</v>
      </c>
      <c r="H3095" s="2" t="s">
        <v>148</v>
      </c>
      <c r="I3095" s="2" t="s">
        <v>8747</v>
      </c>
      <c r="J3095" s="3" t="str">
        <f>HYPERLINK("https://www.boe.es/gazeta/dias/1811/12/28/pdfs/GEI-1811-168.pdf#page=8","Abrir facsímil")</f>
        <v>Abrir facsímil</v>
      </c>
      <c r="K3095" s="3" t="s">
        <v>150</v>
      </c>
    </row>
    <row r="3096" spans="1:11" ht="42" customHeight="1">
      <c r="A3096" s="2" t="s">
        <v>8748</v>
      </c>
      <c r="B3096" s="2" t="s">
        <v>8749</v>
      </c>
      <c r="C3096" s="2" t="s">
        <v>26</v>
      </c>
      <c r="D3096" s="2" t="s">
        <v>18</v>
      </c>
      <c r="E3096" s="4">
        <v>-32193</v>
      </c>
      <c r="F3096" s="3" t="s">
        <v>1037</v>
      </c>
      <c r="G3096" s="3" t="s">
        <v>4628</v>
      </c>
      <c r="H3096" s="2" t="s">
        <v>148</v>
      </c>
      <c r="I3096" s="2" t="s">
        <v>8750</v>
      </c>
      <c r="J3096" s="3" t="str">
        <f>HYPERLINK("https://www.boe.es/gazeta/dias/1811/11/09/pdfs/GEI-1811-145.pdf#page=7","Abrir facsímil")</f>
        <v>Abrir facsímil</v>
      </c>
      <c r="K3096" s="3" t="s">
        <v>150</v>
      </c>
    </row>
    <row r="3097" spans="1:11" ht="42" customHeight="1">
      <c r="A3097" s="2" t="s">
        <v>8751</v>
      </c>
      <c r="B3097" s="2" t="s">
        <v>8751</v>
      </c>
      <c r="C3097" s="2" t="s">
        <v>17</v>
      </c>
      <c r="D3097" s="2" t="s">
        <v>18</v>
      </c>
      <c r="E3097" s="4">
        <v>-32351</v>
      </c>
      <c r="F3097" s="3" t="s">
        <v>2332</v>
      </c>
      <c r="G3097" s="3" t="s">
        <v>553</v>
      </c>
      <c r="H3097" s="2" t="s">
        <v>148</v>
      </c>
      <c r="I3097" s="2" t="s">
        <v>8752</v>
      </c>
      <c r="J3097" s="3" t="str">
        <f>HYPERLINK("https://www.boe.es/gazeta/dias/1811/06/04/pdfs/GMD-1811-155.pdf#page=1","Abrir facsímil")</f>
        <v>Abrir facsímil</v>
      </c>
      <c r="K3097" s="3" t="s">
        <v>150</v>
      </c>
    </row>
    <row r="3098" spans="1:11" ht="42" customHeight="1">
      <c r="A3098" s="2" t="s">
        <v>8753</v>
      </c>
      <c r="B3098" s="2" t="s">
        <v>8753</v>
      </c>
      <c r="C3098" s="2" t="s">
        <v>17</v>
      </c>
      <c r="D3098" s="2" t="s">
        <v>18</v>
      </c>
      <c r="E3098" s="4">
        <v>-32271</v>
      </c>
      <c r="F3098" s="3" t="s">
        <v>2902</v>
      </c>
      <c r="G3098" s="3" t="s">
        <v>162</v>
      </c>
      <c r="H3098" s="2" t="s">
        <v>148</v>
      </c>
      <c r="I3098" s="2" t="s">
        <v>8754</v>
      </c>
      <c r="J3098" s="3" t="str">
        <f>HYPERLINK("https://www.boe.es/gazeta/dias/1811/08/23/pdfs/GMD-1811-235.pdf#page=3","Abrir facsímil")</f>
        <v>Abrir facsímil</v>
      </c>
      <c r="K3098" s="3" t="s">
        <v>150</v>
      </c>
    </row>
    <row r="3099" spans="1:11" ht="42" customHeight="1">
      <c r="A3099" s="2" t="s">
        <v>8755</v>
      </c>
      <c r="B3099" s="2" t="s">
        <v>8756</v>
      </c>
      <c r="C3099" s="2" t="s">
        <v>17</v>
      </c>
      <c r="D3099" s="2" t="s">
        <v>528</v>
      </c>
      <c r="E3099" s="4">
        <v>-32191</v>
      </c>
      <c r="F3099" s="3" t="s">
        <v>2538</v>
      </c>
      <c r="G3099" s="3" t="s">
        <v>5643</v>
      </c>
      <c r="H3099" s="2" t="s">
        <v>148</v>
      </c>
      <c r="I3099" s="2" t="s">
        <v>8757</v>
      </c>
      <c r="J3099" s="3" t="str">
        <f>HYPERLINK("https://www.boe.es/gazeta/dias/1811/11/11/pdfs/GEI-1811-147E.pdf#page=4","Abrir facsímil")</f>
        <v>Abrir facsímil</v>
      </c>
      <c r="K3099" s="3" t="s">
        <v>150</v>
      </c>
    </row>
    <row r="3100" spans="1:11" ht="42" customHeight="1">
      <c r="A3100" s="2" t="s">
        <v>8758</v>
      </c>
      <c r="B3100" s="2" t="s">
        <v>8758</v>
      </c>
      <c r="C3100" s="2" t="s">
        <v>17</v>
      </c>
      <c r="D3100" s="2" t="s">
        <v>18</v>
      </c>
      <c r="E3100" s="4">
        <v>-32387</v>
      </c>
      <c r="F3100" s="3" t="s">
        <v>7400</v>
      </c>
      <c r="G3100" s="3" t="s">
        <v>3400</v>
      </c>
      <c r="H3100" s="2" t="s">
        <v>148</v>
      </c>
      <c r="I3100" s="2" t="s">
        <v>8759</v>
      </c>
      <c r="J3100" s="3" t="str">
        <f>HYPERLINK("https://www.boe.es/gazeta/dias/1811/04/29/pdfs/GMD-1811-119.pdf#page=3","Abrir facsímil")</f>
        <v>Abrir facsímil</v>
      </c>
      <c r="K3100" s="3" t="s">
        <v>150</v>
      </c>
    </row>
    <row r="3101" spans="1:11" ht="42" customHeight="1">
      <c r="A3101" s="2" t="s">
        <v>8760</v>
      </c>
      <c r="B3101" s="2" t="s">
        <v>8761</v>
      </c>
      <c r="C3101" s="2" t="s">
        <v>17</v>
      </c>
      <c r="D3101" s="2" t="s">
        <v>18</v>
      </c>
      <c r="E3101" s="4">
        <v>-32281</v>
      </c>
      <c r="F3101" s="3" t="s">
        <v>982</v>
      </c>
      <c r="G3101" s="3" t="s">
        <v>5662</v>
      </c>
      <c r="H3101" s="2" t="s">
        <v>148</v>
      </c>
      <c r="I3101" s="2" t="s">
        <v>8762</v>
      </c>
      <c r="J3101" s="3" t="str">
        <f>HYPERLINK("https://www.boe.es/gazeta/dias/1811/08/13/pdfs/GEI-1811-105.pdf#page=6","Abrir facsímil")</f>
        <v>Abrir facsímil</v>
      </c>
      <c r="K3101" s="3" t="s">
        <v>150</v>
      </c>
    </row>
    <row r="3102" spans="1:11" ht="42" customHeight="1">
      <c r="A3102" s="2" t="s">
        <v>8763</v>
      </c>
      <c r="B3102" s="2" t="s">
        <v>8764</v>
      </c>
      <c r="C3102" s="2" t="s">
        <v>26</v>
      </c>
      <c r="D3102" s="2" t="s">
        <v>18</v>
      </c>
      <c r="E3102" s="4">
        <v>-32200</v>
      </c>
      <c r="F3102" s="3" t="s">
        <v>109</v>
      </c>
      <c r="G3102" s="3" t="s">
        <v>110</v>
      </c>
      <c r="H3102" s="2" t="s">
        <v>148</v>
      </c>
      <c r="I3102" s="2" t="s">
        <v>8765</v>
      </c>
      <c r="J3102" s="3" t="str">
        <f>HYPERLINK("https://www.boe.es/gazeta/dias/1811/11/02/pdfs/GEI-1811-141.pdf#page=6","Abrir facsímil")</f>
        <v>Abrir facsímil</v>
      </c>
      <c r="K3102" s="3" t="s">
        <v>150</v>
      </c>
    </row>
    <row r="3103" spans="1:11" ht="42" customHeight="1">
      <c r="A3103" s="2" t="s">
        <v>8766</v>
      </c>
      <c r="B3103" s="2" t="s">
        <v>8767</v>
      </c>
      <c r="C3103" s="2" t="s">
        <v>17</v>
      </c>
      <c r="D3103" s="2" t="s">
        <v>18</v>
      </c>
      <c r="E3103" s="4">
        <v>-32300</v>
      </c>
      <c r="F3103" s="3" t="s">
        <v>61</v>
      </c>
      <c r="G3103" s="3" t="s">
        <v>62</v>
      </c>
      <c r="H3103" s="2" t="s">
        <v>21</v>
      </c>
      <c r="I3103" s="2" t="s">
        <v>8768</v>
      </c>
      <c r="J3103" s="3" t="str">
        <f>HYPERLINK("https://www.boe.es/gazeta/dias/1811/07/25/pdfs/GEI-1811-97.pdf#page=5","Abrir facsímil")</f>
        <v>Abrir facsímil</v>
      </c>
      <c r="K3103" s="3" t="s">
        <v>23</v>
      </c>
    </row>
    <row r="3104" spans="1:11" ht="42" customHeight="1">
      <c r="A3104" s="2" t="s">
        <v>8769</v>
      </c>
      <c r="B3104" s="2" t="s">
        <v>8770</v>
      </c>
      <c r="C3104" s="2" t="s">
        <v>17</v>
      </c>
      <c r="D3104" s="2" t="s">
        <v>18</v>
      </c>
      <c r="E3104" s="4">
        <v>-32300</v>
      </c>
      <c r="F3104" s="3" t="s">
        <v>61</v>
      </c>
      <c r="G3104" s="3" t="s">
        <v>62</v>
      </c>
      <c r="H3104" s="2" t="s">
        <v>148</v>
      </c>
      <c r="I3104" s="2" t="s">
        <v>8771</v>
      </c>
      <c r="J3104" s="3" t="str">
        <f>HYPERLINK("https://www.boe.es/gazeta/dias/1811/07/25/pdfs/GEI-1811-97.pdf#page=5","Abrir facsímil")</f>
        <v>Abrir facsímil</v>
      </c>
      <c r="K3104" s="3" t="s">
        <v>150</v>
      </c>
    </row>
    <row r="3105" spans="1:11" ht="42" customHeight="1">
      <c r="A3105" s="2" t="s">
        <v>8772</v>
      </c>
      <c r="B3105" s="2" t="s">
        <v>8773</v>
      </c>
      <c r="C3105" s="2" t="s">
        <v>26</v>
      </c>
      <c r="D3105" s="2" t="s">
        <v>18</v>
      </c>
      <c r="E3105" s="4">
        <v>-32421</v>
      </c>
      <c r="F3105" s="3" t="s">
        <v>79</v>
      </c>
      <c r="G3105" s="3" t="s">
        <v>488</v>
      </c>
      <c r="H3105" s="2" t="s">
        <v>148</v>
      </c>
      <c r="I3105" s="2" t="s">
        <v>8774</v>
      </c>
      <c r="J3105" s="3" t="str">
        <f>HYPERLINK("https://www.boe.es/gazeta/dias/1811/03/26/pdfs/GEI-1811-42.pdf#page=8","Abrir facsímil")</f>
        <v>Abrir facsímil</v>
      </c>
      <c r="K3105" s="3" t="s">
        <v>150</v>
      </c>
    </row>
    <row r="3106" spans="1:11" ht="42" customHeight="1">
      <c r="A3106" s="2" t="s">
        <v>8775</v>
      </c>
      <c r="B3106" s="2" t="s">
        <v>8776</v>
      </c>
      <c r="C3106" s="2" t="s">
        <v>26</v>
      </c>
      <c r="D3106" s="2" t="s">
        <v>18</v>
      </c>
      <c r="E3106" s="4">
        <v>-32300</v>
      </c>
      <c r="F3106" s="3" t="s">
        <v>492</v>
      </c>
      <c r="G3106" s="3" t="s">
        <v>20</v>
      </c>
      <c r="H3106" s="2" t="s">
        <v>148</v>
      </c>
      <c r="I3106" s="2" t="s">
        <v>8777</v>
      </c>
      <c r="J3106" s="3" t="str">
        <f>HYPERLINK("https://www.boe.es/gazeta/dias/1811/07/25/pdfs/GMD-1811-206.pdf#page=3","Abrir facsímil")</f>
        <v>Abrir facsímil</v>
      </c>
      <c r="K3106" s="3" t="s">
        <v>150</v>
      </c>
    </row>
    <row r="3107" spans="1:11" ht="42" customHeight="1">
      <c r="A3107" s="2" t="s">
        <v>8778</v>
      </c>
      <c r="B3107" s="2" t="s">
        <v>8779</v>
      </c>
      <c r="C3107" s="2" t="s">
        <v>26</v>
      </c>
      <c r="D3107" s="2" t="s">
        <v>18</v>
      </c>
      <c r="E3107" s="4">
        <v>-32379</v>
      </c>
      <c r="F3107" s="3" t="s">
        <v>462</v>
      </c>
      <c r="G3107" s="3" t="s">
        <v>4609</v>
      </c>
      <c r="H3107" s="2" t="s">
        <v>148</v>
      </c>
      <c r="I3107" s="2" t="s">
        <v>8780</v>
      </c>
      <c r="J3107" s="3" t="str">
        <f>HYPERLINK("https://www.boe.es/gazeta/dias/1811/05/07/pdfs/GEI-1811-60.pdf#page=2","Abrir facsímil")</f>
        <v>Abrir facsímil</v>
      </c>
      <c r="K3107" s="3" t="s">
        <v>150</v>
      </c>
    </row>
    <row r="3108" spans="1:11" ht="42" customHeight="1">
      <c r="A3108" s="2" t="s">
        <v>8778</v>
      </c>
      <c r="B3108" s="2" t="s">
        <v>8779</v>
      </c>
      <c r="C3108" s="2" t="s">
        <v>17</v>
      </c>
      <c r="D3108" s="2" t="s">
        <v>18</v>
      </c>
      <c r="E3108" s="4">
        <v>-32379</v>
      </c>
      <c r="F3108" s="3" t="s">
        <v>462</v>
      </c>
      <c r="G3108" s="3" t="s">
        <v>228</v>
      </c>
      <c r="H3108" s="2" t="s">
        <v>148</v>
      </c>
      <c r="I3108" s="2" t="s">
        <v>8781</v>
      </c>
      <c r="J3108" s="3" t="str">
        <f>HYPERLINK("https://www.boe.es/gazeta/dias/1811/05/07/pdfs/GEI-1811-60.pdf#page=3","Abrir facsímil")</f>
        <v>Abrir facsímil</v>
      </c>
      <c r="K3108" s="3" t="s">
        <v>150</v>
      </c>
    </row>
    <row r="3109" spans="1:11" ht="42" customHeight="1">
      <c r="A3109" s="2" t="s">
        <v>8782</v>
      </c>
      <c r="B3109" s="2" t="s">
        <v>8783</v>
      </c>
      <c r="C3109" s="2" t="s">
        <v>17</v>
      </c>
      <c r="D3109" s="2" t="s">
        <v>18</v>
      </c>
      <c r="E3109" s="4">
        <v>-32309</v>
      </c>
      <c r="F3109" s="3" t="s">
        <v>2496</v>
      </c>
      <c r="G3109" s="3" t="s">
        <v>47</v>
      </c>
      <c r="H3109" s="2" t="s">
        <v>148</v>
      </c>
      <c r="I3109" s="2" t="s">
        <v>8784</v>
      </c>
      <c r="J3109" s="3" t="str">
        <f>HYPERLINK("https://www.boe.es/gazeta/dias/1811/07/16/pdfs/GEI-1811-93.pdf#page=8","Abrir facsímil")</f>
        <v>Abrir facsímil</v>
      </c>
      <c r="K3109" s="3" t="s">
        <v>150</v>
      </c>
    </row>
    <row r="3110" spans="1:11" ht="42" customHeight="1">
      <c r="A3110" s="2" t="s">
        <v>8785</v>
      </c>
      <c r="B3110" s="2" t="s">
        <v>8786</v>
      </c>
      <c r="C3110" s="2" t="s">
        <v>37</v>
      </c>
      <c r="D3110" s="2" t="s">
        <v>18</v>
      </c>
      <c r="E3110" s="4">
        <v>-32216</v>
      </c>
      <c r="F3110" s="3" t="s">
        <v>2739</v>
      </c>
      <c r="G3110" s="3" t="s">
        <v>8787</v>
      </c>
      <c r="H3110" s="2" t="s">
        <v>148</v>
      </c>
      <c r="I3110" s="2" t="s">
        <v>8788</v>
      </c>
      <c r="J3110" s="3" t="str">
        <f>HYPERLINK("https://www.boe.es/gazeta/dias/1811/10/17/pdfs/GEI-1811-134.pdf#page=5","Abrir facsímil")</f>
        <v>Abrir facsímil</v>
      </c>
      <c r="K3110" s="3" t="s">
        <v>150</v>
      </c>
    </row>
    <row r="3111" spans="1:11" ht="42" customHeight="1">
      <c r="A3111" s="2" t="s">
        <v>8789</v>
      </c>
      <c r="B3111" s="2" t="s">
        <v>8790</v>
      </c>
      <c r="C3111" s="2" t="s">
        <v>26</v>
      </c>
      <c r="D3111" s="2" t="s">
        <v>18</v>
      </c>
      <c r="E3111" s="4">
        <v>-32398</v>
      </c>
      <c r="F3111" s="3" t="s">
        <v>946</v>
      </c>
      <c r="G3111" s="3" t="s">
        <v>947</v>
      </c>
      <c r="H3111" s="2" t="s">
        <v>148</v>
      </c>
      <c r="I3111" s="2" t="s">
        <v>8791</v>
      </c>
      <c r="J3111" s="3" t="str">
        <f>HYPERLINK("https://www.boe.es/gazeta/dias/1811/04/18/pdfs/GEI-1811-52.pdf#page=6","Abrir facsímil")</f>
        <v>Abrir facsímil</v>
      </c>
      <c r="K3111" s="3" t="s">
        <v>150</v>
      </c>
    </row>
    <row r="3112" spans="1:11" ht="42" customHeight="1">
      <c r="A3112" s="2" t="s">
        <v>8792</v>
      </c>
      <c r="B3112" s="2" t="s">
        <v>8793</v>
      </c>
      <c r="C3112" s="2" t="s">
        <v>26</v>
      </c>
      <c r="D3112" s="2" t="s">
        <v>18</v>
      </c>
      <c r="E3112" s="4">
        <v>-32256</v>
      </c>
      <c r="F3112" s="3" t="s">
        <v>161</v>
      </c>
      <c r="G3112" s="3" t="s">
        <v>115</v>
      </c>
      <c r="H3112" s="2" t="s">
        <v>148</v>
      </c>
      <c r="I3112" s="2" t="s">
        <v>8794</v>
      </c>
      <c r="J3112" s="3" t="str">
        <f>HYPERLINK("https://www.boe.es/gazeta/dias/1811/09/07/pdfs/GEI-1811-116.pdf#page=3","Abrir facsímil")</f>
        <v>Abrir facsímil</v>
      </c>
      <c r="K3112" s="3" t="s">
        <v>150</v>
      </c>
    </row>
    <row r="3113" spans="1:11" ht="42" customHeight="1">
      <c r="A3113" s="2" t="s">
        <v>8795</v>
      </c>
      <c r="B3113" s="2" t="s">
        <v>8796</v>
      </c>
      <c r="C3113" s="2" t="s">
        <v>84</v>
      </c>
      <c r="D3113" s="2" t="s">
        <v>18</v>
      </c>
      <c r="E3113" s="4">
        <v>-32365</v>
      </c>
      <c r="F3113" s="3" t="s">
        <v>119</v>
      </c>
      <c r="G3113" s="3" t="s">
        <v>1143</v>
      </c>
      <c r="H3113" s="2" t="s">
        <v>148</v>
      </c>
      <c r="I3113" s="2" t="s">
        <v>8797</v>
      </c>
      <c r="J3113" s="3" t="str">
        <f>HYPERLINK("https://www.boe.es/gazeta/dias/1811/05/21/pdfs/GEI-1811-67.pdf#page=4","Abrir facsímil")</f>
        <v>Abrir facsímil</v>
      </c>
      <c r="K3113" s="3" t="s">
        <v>150</v>
      </c>
    </row>
    <row r="3114" spans="1:11" ht="42" customHeight="1">
      <c r="A3114" s="2" t="s">
        <v>8798</v>
      </c>
      <c r="B3114" s="2" t="s">
        <v>8798</v>
      </c>
      <c r="C3114" s="2" t="s">
        <v>17</v>
      </c>
      <c r="D3114" s="2" t="s">
        <v>204</v>
      </c>
      <c r="E3114" s="4">
        <v>-32275</v>
      </c>
      <c r="F3114" s="3" t="s">
        <v>1277</v>
      </c>
      <c r="G3114" s="3" t="s">
        <v>2805</v>
      </c>
      <c r="H3114" s="2" t="s">
        <v>148</v>
      </c>
      <c r="I3114" s="2" t="s">
        <v>8799</v>
      </c>
      <c r="J3114" s="3" t="str">
        <f>HYPERLINK("https://www.boe.es/gazeta/dias/1811/08/19/pdfs/GMD-1811-231.pdf#page=1","Abrir facsímil")</f>
        <v>Abrir facsímil</v>
      </c>
      <c r="K3114" s="3" t="s">
        <v>150</v>
      </c>
    </row>
    <row r="3115" spans="1:11" ht="42" customHeight="1">
      <c r="A3115" s="2" t="s">
        <v>8800</v>
      </c>
      <c r="B3115" s="2" t="s">
        <v>8800</v>
      </c>
      <c r="C3115" s="2" t="s">
        <v>37</v>
      </c>
      <c r="D3115" s="2" t="s">
        <v>156</v>
      </c>
      <c r="E3115" s="4">
        <v>-32326</v>
      </c>
      <c r="F3115" s="3" t="s">
        <v>43</v>
      </c>
      <c r="G3115" s="3" t="s">
        <v>4791</v>
      </c>
      <c r="H3115" s="2" t="s">
        <v>148</v>
      </c>
      <c r="I3115" s="2" t="s">
        <v>8801</v>
      </c>
      <c r="J3115" s="3" t="str">
        <f>HYPERLINK("https://www.boe.es/gazeta/dias/1811/06/29/pdfs/GEI-1811-86.pdf#page=8","Abrir facsímil")</f>
        <v>Abrir facsímil</v>
      </c>
      <c r="K3115" s="3" t="s">
        <v>150</v>
      </c>
    </row>
    <row r="3116" spans="1:11" ht="42" customHeight="1">
      <c r="A3116" s="2" t="s">
        <v>8802</v>
      </c>
      <c r="B3116" s="2" t="s">
        <v>8802</v>
      </c>
      <c r="C3116" s="2" t="s">
        <v>17</v>
      </c>
      <c r="D3116" s="2" t="s">
        <v>18</v>
      </c>
      <c r="E3116" s="4">
        <v>-32197</v>
      </c>
      <c r="F3116" s="3" t="s">
        <v>687</v>
      </c>
      <c r="G3116" s="3" t="s">
        <v>5707</v>
      </c>
      <c r="H3116" s="2" t="s">
        <v>148</v>
      </c>
      <c r="I3116" s="2" t="s">
        <v>8803</v>
      </c>
      <c r="J3116" s="3" t="str">
        <f>HYPERLINK("https://www.boe.es/gazeta/dias/1811/11/05/pdfs/GEI-1811-143.pdf#page=3","Abrir facsímil")</f>
        <v>Abrir facsímil</v>
      </c>
      <c r="K3116" s="3" t="s">
        <v>150</v>
      </c>
    </row>
    <row r="3117" spans="1:11" ht="42" customHeight="1">
      <c r="A3117" s="2" t="s">
        <v>8804</v>
      </c>
      <c r="B3117" s="2" t="s">
        <v>8804</v>
      </c>
      <c r="C3117" s="2" t="s">
        <v>26</v>
      </c>
      <c r="D3117" s="2" t="s">
        <v>18</v>
      </c>
      <c r="E3117" s="4">
        <v>-32428</v>
      </c>
      <c r="F3117" s="3" t="s">
        <v>351</v>
      </c>
      <c r="G3117" s="3" t="s">
        <v>57</v>
      </c>
      <c r="H3117" s="2" t="s">
        <v>148</v>
      </c>
      <c r="I3117" s="2" t="s">
        <v>8805</v>
      </c>
      <c r="J3117" s="3" t="str">
        <f>HYPERLINK("https://www.boe.es/gazeta/dias/1811/03/19/pdfs/GMD-1811-78.pdf#page=2","Abrir facsímil")</f>
        <v>Abrir facsímil</v>
      </c>
      <c r="K3117" s="3" t="s">
        <v>150</v>
      </c>
    </row>
    <row r="3118" spans="1:11" ht="42" customHeight="1">
      <c r="A3118" s="2" t="s">
        <v>8806</v>
      </c>
      <c r="B3118" s="2" t="s">
        <v>8806</v>
      </c>
      <c r="C3118" s="2" t="s">
        <v>26</v>
      </c>
      <c r="D3118" s="2" t="s">
        <v>18</v>
      </c>
      <c r="E3118" s="4">
        <v>-32200</v>
      </c>
      <c r="F3118" s="3" t="s">
        <v>8807</v>
      </c>
      <c r="G3118" s="3" t="s">
        <v>8808</v>
      </c>
      <c r="H3118" s="2" t="s">
        <v>148</v>
      </c>
      <c r="I3118" s="2" t="s">
        <v>8809</v>
      </c>
      <c r="J3118" s="3" t="str">
        <f>HYPERLINK("https://www.boe.es/gazeta/dias/1811/11/02/pdfs/GMD-1811-306.pdf#page=4","Abrir facsímil")</f>
        <v>Abrir facsímil</v>
      </c>
      <c r="K3118" s="3" t="s">
        <v>150</v>
      </c>
    </row>
    <row r="3119" spans="1:11" ht="42" customHeight="1">
      <c r="A3119" s="2" t="s">
        <v>8810</v>
      </c>
      <c r="B3119" s="2" t="s">
        <v>8810</v>
      </c>
      <c r="C3119" s="2" t="s">
        <v>84</v>
      </c>
      <c r="D3119" s="2" t="s">
        <v>18</v>
      </c>
      <c r="E3119" s="4">
        <v>-32286</v>
      </c>
      <c r="F3119" s="3" t="s">
        <v>1420</v>
      </c>
      <c r="G3119" s="3" t="s">
        <v>1421</v>
      </c>
      <c r="H3119" s="2" t="s">
        <v>148</v>
      </c>
      <c r="I3119" s="2" t="s">
        <v>8811</v>
      </c>
      <c r="J3119" s="3" t="str">
        <f>HYPERLINK("https://www.boe.es/gazeta/dias/1811/08/08/pdfs/GMD-1811-220.pdf#page=4","Abrir facsímil")</f>
        <v>Abrir facsímil</v>
      </c>
      <c r="K3119" s="3" t="s">
        <v>150</v>
      </c>
    </row>
    <row r="3120" spans="1:11" ht="42" customHeight="1">
      <c r="A3120" s="2" t="s">
        <v>8810</v>
      </c>
      <c r="B3120" s="2" t="s">
        <v>8810</v>
      </c>
      <c r="C3120" s="2" t="s">
        <v>17</v>
      </c>
      <c r="D3120" s="2" t="s">
        <v>18</v>
      </c>
      <c r="E3120" s="4">
        <v>-32267</v>
      </c>
      <c r="F3120" s="3" t="s">
        <v>8812</v>
      </c>
      <c r="G3120" s="3" t="s">
        <v>178</v>
      </c>
      <c r="H3120" s="2" t="s">
        <v>148</v>
      </c>
      <c r="I3120" s="2" t="s">
        <v>8813</v>
      </c>
      <c r="J3120" s="3" t="str">
        <f>HYPERLINK("https://www.boe.es/gazeta/dias/1811/08/27/pdfs/GMD-1811-239.pdf#page=4","Abrir facsímil")</f>
        <v>Abrir facsímil</v>
      </c>
      <c r="K3120" s="3" t="s">
        <v>150</v>
      </c>
    </row>
    <row r="3121" spans="1:11" ht="42" customHeight="1">
      <c r="A3121" s="2" t="s">
        <v>8814</v>
      </c>
      <c r="B3121" s="2" t="s">
        <v>8815</v>
      </c>
      <c r="C3121" s="2" t="s">
        <v>26</v>
      </c>
      <c r="D3121" s="2" t="s">
        <v>18</v>
      </c>
      <c r="E3121" s="4">
        <v>-32155</v>
      </c>
      <c r="F3121" s="3" t="s">
        <v>99</v>
      </c>
      <c r="G3121" s="3" t="s">
        <v>100</v>
      </c>
      <c r="H3121" s="2" t="s">
        <v>21</v>
      </c>
      <c r="I3121" s="2" t="s">
        <v>8816</v>
      </c>
      <c r="J3121" s="3" t="str">
        <f>HYPERLINK("https://www.boe.es/gazeta/dias/1811/12/17/pdfs/GMD-1811-351.pdf#page=4","Abrir facsímil")</f>
        <v>Abrir facsímil</v>
      </c>
      <c r="K3121" s="3" t="s">
        <v>23</v>
      </c>
    </row>
    <row r="3122" spans="1:11" ht="42" customHeight="1">
      <c r="A3122" s="2" t="s">
        <v>8817</v>
      </c>
      <c r="B3122" s="2" t="s">
        <v>8818</v>
      </c>
      <c r="C3122" s="2" t="s">
        <v>84</v>
      </c>
      <c r="D3122" s="2" t="s">
        <v>18</v>
      </c>
      <c r="E3122" s="4">
        <v>-32335</v>
      </c>
      <c r="F3122" s="3" t="s">
        <v>3776</v>
      </c>
      <c r="G3122" s="3" t="s">
        <v>488</v>
      </c>
      <c r="H3122" s="2" t="s">
        <v>148</v>
      </c>
      <c r="I3122" s="2" t="s">
        <v>8819</v>
      </c>
      <c r="J3122" s="3" t="str">
        <f>HYPERLINK("https://www.boe.es/gazeta/dias/1811/06/20/pdfs/GEI-1811-82.pdf#page=8","Abrir facsímil")</f>
        <v>Abrir facsímil</v>
      </c>
      <c r="K3122" s="3" t="s">
        <v>150</v>
      </c>
    </row>
    <row r="3123" spans="1:11" ht="42" customHeight="1">
      <c r="A3123" s="2" t="s">
        <v>8820</v>
      </c>
      <c r="B3123" s="2" t="s">
        <v>8821</v>
      </c>
      <c r="C3123" s="2" t="s">
        <v>104</v>
      </c>
      <c r="D3123" s="2" t="s">
        <v>18</v>
      </c>
      <c r="E3123" s="4">
        <v>-32335</v>
      </c>
      <c r="F3123" s="3" t="s">
        <v>3776</v>
      </c>
      <c r="G3123" s="3" t="s">
        <v>1179</v>
      </c>
      <c r="H3123" s="2" t="s">
        <v>148</v>
      </c>
      <c r="I3123" s="2" t="s">
        <v>8822</v>
      </c>
      <c r="J3123" s="3" t="str">
        <f>HYPERLINK("https://www.boe.es/gazeta/dias/1811/06/20/pdfs/GEI-1811-82.pdf#page=7","Abrir facsímil")</f>
        <v>Abrir facsímil</v>
      </c>
      <c r="K3123" s="3" t="s">
        <v>150</v>
      </c>
    </row>
    <row r="3124" spans="1:11" ht="42" customHeight="1">
      <c r="A3124" s="2" t="s">
        <v>8823</v>
      </c>
      <c r="B3124" s="2" t="s">
        <v>8824</v>
      </c>
      <c r="C3124" s="2" t="s">
        <v>17</v>
      </c>
      <c r="D3124" s="2" t="s">
        <v>156</v>
      </c>
      <c r="E3124" s="4">
        <v>-32281</v>
      </c>
      <c r="F3124" s="3" t="s">
        <v>982</v>
      </c>
      <c r="G3124" s="3" t="s">
        <v>305</v>
      </c>
      <c r="H3124" s="2" t="s">
        <v>148</v>
      </c>
      <c r="I3124" s="2" t="s">
        <v>8825</v>
      </c>
      <c r="J3124" s="3" t="str">
        <f>HYPERLINK("https://www.boe.es/gazeta/dias/1811/08/13/pdfs/GEI-1811-105.pdf#page=3","Abrir facsímil")</f>
        <v>Abrir facsímil</v>
      </c>
      <c r="K3124" s="3" t="s">
        <v>150</v>
      </c>
    </row>
    <row r="3125" spans="1:11" ht="42" customHeight="1">
      <c r="A3125" s="2" t="s">
        <v>8826</v>
      </c>
      <c r="B3125" s="2" t="s">
        <v>8827</v>
      </c>
      <c r="C3125" s="2" t="s">
        <v>26</v>
      </c>
      <c r="D3125" s="2" t="s">
        <v>18</v>
      </c>
      <c r="E3125" s="4">
        <v>-32288</v>
      </c>
      <c r="F3125" s="3" t="s">
        <v>95</v>
      </c>
      <c r="G3125" s="3" t="s">
        <v>47</v>
      </c>
      <c r="H3125" s="2" t="s">
        <v>148</v>
      </c>
      <c r="I3125" s="2" t="s">
        <v>8828</v>
      </c>
      <c r="J3125" s="3" t="str">
        <f>HYPERLINK("https://www.boe.es/gazeta/dias/1811/08/06/pdfs/GEI-1811-102.pdf#page=8","Abrir facsímil")</f>
        <v>Abrir facsímil</v>
      </c>
      <c r="K3125" s="3" t="s">
        <v>150</v>
      </c>
    </row>
    <row r="3126" spans="1:11" ht="42" customHeight="1">
      <c r="A3126" s="2" t="s">
        <v>8829</v>
      </c>
      <c r="B3126" s="2" t="s">
        <v>8830</v>
      </c>
      <c r="C3126" s="2" t="s">
        <v>26</v>
      </c>
      <c r="D3126" s="2" t="s">
        <v>18</v>
      </c>
      <c r="E3126" s="4">
        <v>-32440</v>
      </c>
      <c r="F3126" s="3" t="s">
        <v>1254</v>
      </c>
      <c r="G3126" s="3" t="s">
        <v>8831</v>
      </c>
      <c r="H3126" s="2" t="s">
        <v>148</v>
      </c>
      <c r="I3126" s="2" t="s">
        <v>8832</v>
      </c>
      <c r="J3126" s="3" t="str">
        <f>HYPERLINK("https://www.boe.es/gazeta/dias/1811/03/07/pdfs/GEI-1811-32.pdf#page=1","Abrir facsímil")</f>
        <v>Abrir facsímil</v>
      </c>
      <c r="K3126" s="3" t="s">
        <v>150</v>
      </c>
    </row>
    <row r="3127" spans="1:11" ht="42" customHeight="1">
      <c r="A3127" s="2" t="s">
        <v>8833</v>
      </c>
      <c r="B3127" s="2" t="s">
        <v>8833</v>
      </c>
      <c r="C3127" s="2" t="s">
        <v>17</v>
      </c>
      <c r="D3127" s="2" t="s">
        <v>18</v>
      </c>
      <c r="E3127" s="4">
        <v>-32405</v>
      </c>
      <c r="F3127" s="3" t="s">
        <v>1413</v>
      </c>
      <c r="G3127" s="3" t="s">
        <v>8834</v>
      </c>
      <c r="H3127" s="2" t="s">
        <v>148</v>
      </c>
      <c r="I3127" s="2" t="s">
        <v>8835</v>
      </c>
      <c r="J3127" s="3" t="str">
        <f>HYPERLINK("https://www.boe.es/gazeta/dias/1811/04/11/pdfs/GEI-1811-49.pdf#page=4","Abrir facsímil")</f>
        <v>Abrir facsímil</v>
      </c>
      <c r="K3127" s="3" t="s">
        <v>150</v>
      </c>
    </row>
    <row r="3128" spans="1:11" ht="42" customHeight="1">
      <c r="A3128" s="2" t="s">
        <v>8833</v>
      </c>
      <c r="B3128" s="2" t="s">
        <v>8833</v>
      </c>
      <c r="C3128" s="2" t="s">
        <v>17</v>
      </c>
      <c r="D3128" s="2" t="s">
        <v>156</v>
      </c>
      <c r="E3128" s="4">
        <v>-32386</v>
      </c>
      <c r="F3128" s="3" t="s">
        <v>1934</v>
      </c>
      <c r="G3128" s="3" t="s">
        <v>2445</v>
      </c>
      <c r="H3128" s="2" t="s">
        <v>148</v>
      </c>
      <c r="I3128" s="2" t="s">
        <v>8836</v>
      </c>
      <c r="J3128" s="3" t="str">
        <f>HYPERLINK("https://www.boe.es/gazeta/dias/1811/04/30/pdfs/GEI-1811-57.pdf#page=3","Abrir facsímil")</f>
        <v>Abrir facsímil</v>
      </c>
      <c r="K3128" s="3" t="s">
        <v>150</v>
      </c>
    </row>
    <row r="3129" spans="1:11" ht="42" customHeight="1">
      <c r="A3129" s="2" t="s">
        <v>8833</v>
      </c>
      <c r="B3129" s="2" t="s">
        <v>8833</v>
      </c>
      <c r="C3129" s="2" t="s">
        <v>17</v>
      </c>
      <c r="D3129" s="2" t="s">
        <v>156</v>
      </c>
      <c r="E3129" s="4">
        <v>-32386</v>
      </c>
      <c r="F3129" s="3" t="s">
        <v>1934</v>
      </c>
      <c r="G3129" s="3" t="s">
        <v>2442</v>
      </c>
      <c r="H3129" s="2" t="s">
        <v>148</v>
      </c>
      <c r="I3129" s="2" t="s">
        <v>8837</v>
      </c>
      <c r="J3129" s="3" t="str">
        <f>HYPERLINK("https://www.boe.es/gazeta/dias/1811/04/30/pdfs/GEI-1811-57.pdf#page=4","Abrir facsímil")</f>
        <v>Abrir facsímil</v>
      </c>
      <c r="K3129" s="3" t="s">
        <v>150</v>
      </c>
    </row>
    <row r="3130" spans="1:11" ht="42" customHeight="1">
      <c r="A3130" s="2" t="s">
        <v>8838</v>
      </c>
      <c r="B3130" s="2" t="s">
        <v>8838</v>
      </c>
      <c r="C3130" s="2" t="s">
        <v>17</v>
      </c>
      <c r="D3130" s="2" t="s">
        <v>18</v>
      </c>
      <c r="E3130" s="4">
        <v>-32197</v>
      </c>
      <c r="F3130" s="3" t="s">
        <v>687</v>
      </c>
      <c r="G3130" s="3" t="s">
        <v>8839</v>
      </c>
      <c r="H3130" s="2" t="s">
        <v>148</v>
      </c>
      <c r="I3130" s="2" t="s">
        <v>8840</v>
      </c>
      <c r="J3130" s="3" t="str">
        <f>HYPERLINK("https://www.boe.es/gazeta/dias/1811/11/05/pdfs/GEI-1811-143.pdf#page=5","Abrir facsímil")</f>
        <v>Abrir facsímil</v>
      </c>
      <c r="K3130" s="3" t="s">
        <v>150</v>
      </c>
    </row>
    <row r="3131" spans="1:11" ht="42" customHeight="1">
      <c r="A3131" s="2" t="s">
        <v>8841</v>
      </c>
      <c r="B3131" s="2" t="s">
        <v>8842</v>
      </c>
      <c r="C3131" s="2" t="s">
        <v>104</v>
      </c>
      <c r="D3131" s="2" t="s">
        <v>18</v>
      </c>
      <c r="E3131" s="4">
        <v>-32249</v>
      </c>
      <c r="F3131" s="3" t="s">
        <v>824</v>
      </c>
      <c r="G3131" s="3" t="s">
        <v>8843</v>
      </c>
      <c r="H3131" s="2" t="s">
        <v>148</v>
      </c>
      <c r="I3131" s="2" t="s">
        <v>8844</v>
      </c>
      <c r="J3131" s="3" t="str">
        <f>HYPERLINK("https://www.boe.es/gazeta/dias/1811/09/14/pdfs/GEI-1811-119.pdf#page=3","Abrir facsímil")</f>
        <v>Abrir facsímil</v>
      </c>
      <c r="K3131" s="3" t="s">
        <v>150</v>
      </c>
    </row>
    <row r="3132" spans="1:11" ht="42" customHeight="1">
      <c r="A3132" s="2" t="s">
        <v>8845</v>
      </c>
      <c r="B3132" s="2" t="s">
        <v>8846</v>
      </c>
      <c r="C3132" s="2" t="s">
        <v>367</v>
      </c>
      <c r="D3132" s="2" t="s">
        <v>18</v>
      </c>
      <c r="E3132" s="4">
        <v>-32153</v>
      </c>
      <c r="F3132" s="3" t="s">
        <v>123</v>
      </c>
      <c r="G3132" s="3" t="s">
        <v>1067</v>
      </c>
      <c r="H3132" s="2" t="s">
        <v>148</v>
      </c>
      <c r="I3132" s="2" t="s">
        <v>8847</v>
      </c>
      <c r="J3132" s="3" t="str">
        <f>HYPERLINK("https://www.boe.es/gazeta/dias/1811/12/19/pdfs/GMD-1811-353.pdf#page=5","Abrir facsímil")</f>
        <v>Abrir facsímil</v>
      </c>
      <c r="K3132" s="3" t="s">
        <v>150</v>
      </c>
    </row>
    <row r="3133" spans="1:11" ht="42" customHeight="1">
      <c r="A3133" s="2" t="s">
        <v>8848</v>
      </c>
      <c r="B3133" s="2" t="s">
        <v>8848</v>
      </c>
      <c r="C3133" s="2" t="s">
        <v>17</v>
      </c>
      <c r="D3133" s="2" t="s">
        <v>18</v>
      </c>
      <c r="E3133" s="4">
        <v>-32469</v>
      </c>
      <c r="F3133" s="3" t="s">
        <v>3448</v>
      </c>
      <c r="G3133" s="3" t="s">
        <v>115</v>
      </c>
      <c r="H3133" s="2" t="s">
        <v>148</v>
      </c>
      <c r="I3133" s="2" t="s">
        <v>8849</v>
      </c>
      <c r="J3133" s="3" t="str">
        <f>HYPERLINK("https://www.boe.es/gazeta/dias/1811/02/06/pdfs/GMD-1811-37.pdf#page=3","Abrir facsímil")</f>
        <v>Abrir facsímil</v>
      </c>
      <c r="K3133" s="3" t="s">
        <v>150</v>
      </c>
    </row>
    <row r="3134" spans="1:11" ht="42" customHeight="1">
      <c r="A3134" s="2" t="s">
        <v>8850</v>
      </c>
      <c r="B3134" s="2" t="s">
        <v>8850</v>
      </c>
      <c r="C3134" s="2" t="s">
        <v>26</v>
      </c>
      <c r="D3134" s="2" t="s">
        <v>18</v>
      </c>
      <c r="E3134" s="4">
        <v>-32330</v>
      </c>
      <c r="F3134" s="3" t="s">
        <v>1997</v>
      </c>
      <c r="G3134" s="3" t="s">
        <v>468</v>
      </c>
      <c r="H3134" s="2" t="s">
        <v>148</v>
      </c>
      <c r="I3134" s="2" t="s">
        <v>8851</v>
      </c>
      <c r="J3134" s="3" t="str">
        <f>HYPERLINK("https://www.boe.es/gazeta/dias/1811/06/25/pdfs/GMD-1811-176.pdf#page=2","Abrir facsímil")</f>
        <v>Abrir facsímil</v>
      </c>
      <c r="K3134" s="3" t="s">
        <v>150</v>
      </c>
    </row>
    <row r="3135" spans="1:11" ht="42" customHeight="1">
      <c r="A3135" s="2" t="s">
        <v>8852</v>
      </c>
      <c r="B3135" s="2" t="s">
        <v>8853</v>
      </c>
      <c r="C3135" s="2" t="s">
        <v>26</v>
      </c>
      <c r="D3135" s="2" t="s">
        <v>18</v>
      </c>
      <c r="E3135" s="4">
        <v>-32267</v>
      </c>
      <c r="F3135" s="3" t="s">
        <v>1045</v>
      </c>
      <c r="G3135" s="3" t="s">
        <v>52</v>
      </c>
      <c r="H3135" s="2" t="s">
        <v>148</v>
      </c>
      <c r="I3135" s="2" t="s">
        <v>8854</v>
      </c>
      <c r="J3135" s="3" t="str">
        <f>HYPERLINK("https://www.boe.es/gazeta/dias/1811/08/27/pdfs/GEI-1811-111.pdf#page=2","Abrir facsímil")</f>
        <v>Abrir facsímil</v>
      </c>
      <c r="K3135" s="3" t="s">
        <v>150</v>
      </c>
    </row>
    <row r="3136" spans="1:11" ht="42" customHeight="1">
      <c r="A3136" s="2" t="s">
        <v>8855</v>
      </c>
      <c r="B3136" s="2" t="s">
        <v>8856</v>
      </c>
      <c r="C3136" s="2" t="s">
        <v>84</v>
      </c>
      <c r="D3136" s="2" t="s">
        <v>105</v>
      </c>
      <c r="E3136" s="4">
        <v>-32339</v>
      </c>
      <c r="F3136" s="3" t="s">
        <v>1853</v>
      </c>
      <c r="G3136" s="3" t="s">
        <v>8857</v>
      </c>
      <c r="H3136" s="2" t="s">
        <v>148</v>
      </c>
      <c r="I3136" s="2" t="s">
        <v>8858</v>
      </c>
      <c r="J3136" s="3" t="str">
        <f>HYPERLINK("https://www.boe.es/gazeta/dias/1811/06/16/pdfs/GMD-1811-167.pdf#page=3","Abrir facsímil")</f>
        <v>Abrir facsímil</v>
      </c>
      <c r="K3136" s="3" t="s">
        <v>150</v>
      </c>
    </row>
    <row r="3137" spans="1:11" ht="42" customHeight="1">
      <c r="A3137" s="2" t="s">
        <v>8859</v>
      </c>
      <c r="B3137" s="2" t="s">
        <v>8860</v>
      </c>
      <c r="C3137" s="2" t="s">
        <v>841</v>
      </c>
      <c r="D3137" s="2" t="s">
        <v>18</v>
      </c>
      <c r="E3137" s="4">
        <v>-32489</v>
      </c>
      <c r="F3137" s="3" t="s">
        <v>2073</v>
      </c>
      <c r="G3137" s="3" t="s">
        <v>4857</v>
      </c>
      <c r="H3137" s="2" t="s">
        <v>148</v>
      </c>
      <c r="I3137" s="2" t="s">
        <v>8861</v>
      </c>
      <c r="J3137" s="3" t="str">
        <f>HYPERLINK("https://www.boe.es/gazeta/dias/1811/01/17/pdfs/GEI-1811-8.pdf#page=3","Abrir facsímil")</f>
        <v>Abrir facsímil</v>
      </c>
      <c r="K3137" s="3" t="s">
        <v>150</v>
      </c>
    </row>
    <row r="3138" spans="1:11" ht="42" customHeight="1">
      <c r="A3138" s="2" t="s">
        <v>8859</v>
      </c>
      <c r="B3138" s="2" t="s">
        <v>8860</v>
      </c>
      <c r="C3138" s="2" t="s">
        <v>84</v>
      </c>
      <c r="D3138" s="2" t="s">
        <v>528</v>
      </c>
      <c r="E3138" s="4">
        <v>-32219</v>
      </c>
      <c r="F3138" s="3" t="s">
        <v>529</v>
      </c>
      <c r="G3138" s="3" t="s">
        <v>91</v>
      </c>
      <c r="H3138" s="2" t="s">
        <v>148</v>
      </c>
      <c r="I3138" s="2" t="s">
        <v>8862</v>
      </c>
      <c r="J3138" s="3" t="str">
        <f>HYPERLINK("https://www.boe.es/gazeta/dias/1811/10/14/pdfs/GEI-1811-132E.pdf#page=2","Abrir facsímil")</f>
        <v>Abrir facsímil</v>
      </c>
      <c r="K3138" s="3" t="s">
        <v>150</v>
      </c>
    </row>
    <row r="3139" spans="1:11" ht="42" customHeight="1">
      <c r="A3139" s="2" t="s">
        <v>8859</v>
      </c>
      <c r="B3139" s="2" t="s">
        <v>8860</v>
      </c>
      <c r="C3139" s="2" t="s">
        <v>26</v>
      </c>
      <c r="D3139" s="2" t="s">
        <v>18</v>
      </c>
      <c r="E3139" s="4">
        <v>-32186</v>
      </c>
      <c r="F3139" s="3" t="s">
        <v>1425</v>
      </c>
      <c r="G3139" s="3" t="s">
        <v>256</v>
      </c>
      <c r="H3139" s="2" t="s">
        <v>148</v>
      </c>
      <c r="I3139" s="2" t="s">
        <v>8863</v>
      </c>
      <c r="J3139" s="3" t="str">
        <f>HYPERLINK("https://www.boe.es/gazeta/dias/1811/11/16/pdfs/GEI-1811-150.pdf#page=3","Abrir facsímil")</f>
        <v>Abrir facsímil</v>
      </c>
      <c r="K3139" s="3" t="s">
        <v>150</v>
      </c>
    </row>
    <row r="3140" spans="1:11" ht="42" customHeight="1">
      <c r="A3140" s="2" t="s">
        <v>8864</v>
      </c>
      <c r="B3140" s="2" t="s">
        <v>8865</v>
      </c>
      <c r="C3140" s="2" t="s">
        <v>17</v>
      </c>
      <c r="D3140" s="2" t="s">
        <v>18</v>
      </c>
      <c r="E3140" s="4">
        <v>-32152</v>
      </c>
      <c r="F3140" s="3" t="s">
        <v>1673</v>
      </c>
      <c r="G3140" s="3" t="s">
        <v>57</v>
      </c>
      <c r="H3140" s="2" t="s">
        <v>21</v>
      </c>
      <c r="I3140" s="2" t="s">
        <v>8866</v>
      </c>
      <c r="J3140" s="3" t="str">
        <f>HYPERLINK("https://www.boe.es/gazeta/dias/1811/12/20/pdfs/GMD-1811-354.pdf#page=2","Abrir facsímil")</f>
        <v>Abrir facsímil</v>
      </c>
      <c r="K3140" s="3" t="s">
        <v>23</v>
      </c>
    </row>
    <row r="3141" spans="1:11" ht="42" customHeight="1">
      <c r="A3141" s="2" t="s">
        <v>8867</v>
      </c>
      <c r="B3141" s="2" t="s">
        <v>8868</v>
      </c>
      <c r="C3141" s="2" t="s">
        <v>26</v>
      </c>
      <c r="D3141" s="2" t="s">
        <v>18</v>
      </c>
      <c r="E3141" s="4">
        <v>-32179</v>
      </c>
      <c r="F3141" s="3" t="s">
        <v>614</v>
      </c>
      <c r="G3141" s="3" t="s">
        <v>468</v>
      </c>
      <c r="H3141" s="2" t="s">
        <v>21</v>
      </c>
      <c r="I3141" s="2" t="s">
        <v>8869</v>
      </c>
      <c r="J3141" s="3" t="str">
        <f>HYPERLINK("https://www.boe.es/gazeta/dias/1811/11/23/pdfs/GEI-1811-153.pdf#page=6","Abrir facsímil")</f>
        <v>Abrir facsímil</v>
      </c>
      <c r="K3141" s="3" t="s">
        <v>23</v>
      </c>
    </row>
    <row r="3142" spans="1:11" ht="42" customHeight="1">
      <c r="A3142" s="2" t="s">
        <v>8870</v>
      </c>
      <c r="B3142" s="2" t="s">
        <v>8871</v>
      </c>
      <c r="C3142" s="2" t="s">
        <v>17</v>
      </c>
      <c r="D3142" s="2" t="s">
        <v>18</v>
      </c>
      <c r="E3142" s="4">
        <v>-32357</v>
      </c>
      <c r="F3142" s="3" t="s">
        <v>2775</v>
      </c>
      <c r="G3142" s="3" t="s">
        <v>282</v>
      </c>
      <c r="H3142" s="2" t="s">
        <v>21</v>
      </c>
      <c r="I3142" s="2" t="s">
        <v>8872</v>
      </c>
      <c r="J3142" s="3" t="str">
        <f>HYPERLINK("https://www.boe.es/gazeta/dias/1811/05/29/pdfs/GMD-1811-149.pdf#page=4","Abrir facsímil")</f>
        <v>Abrir facsímil</v>
      </c>
      <c r="K3142" s="3" t="s">
        <v>23</v>
      </c>
    </row>
    <row r="3143" spans="1:11" ht="42" customHeight="1">
      <c r="A3143" s="2" t="s">
        <v>8873</v>
      </c>
      <c r="B3143" s="2" t="s">
        <v>8874</v>
      </c>
      <c r="C3143" s="2" t="s">
        <v>84</v>
      </c>
      <c r="D3143" s="2" t="s">
        <v>18</v>
      </c>
      <c r="E3143" s="4">
        <v>-32230</v>
      </c>
      <c r="F3143" s="3" t="s">
        <v>856</v>
      </c>
      <c r="G3143" s="3" t="s">
        <v>178</v>
      </c>
      <c r="H3143" s="2" t="s">
        <v>148</v>
      </c>
      <c r="I3143" s="2" t="s">
        <v>8875</v>
      </c>
      <c r="J3143" s="3" t="str">
        <f>HYPERLINK("https://www.boe.es/gazeta/dias/1811/10/03/pdfs/GMD-1811-276.pdf#page=4","Abrir facsímil")</f>
        <v>Abrir facsímil</v>
      </c>
      <c r="K3143" s="3" t="s">
        <v>150</v>
      </c>
    </row>
    <row r="3144" spans="1:11" ht="42" customHeight="1">
      <c r="A3144" s="2" t="s">
        <v>8876</v>
      </c>
      <c r="B3144" s="2" t="s">
        <v>8877</v>
      </c>
      <c r="C3144" s="2" t="s">
        <v>26</v>
      </c>
      <c r="D3144" s="2" t="s">
        <v>18</v>
      </c>
      <c r="E3144" s="4">
        <v>-32248</v>
      </c>
      <c r="F3144" s="3" t="s">
        <v>622</v>
      </c>
      <c r="G3144" s="3" t="s">
        <v>115</v>
      </c>
      <c r="H3144" s="2" t="s">
        <v>148</v>
      </c>
      <c r="I3144" s="2" t="s">
        <v>8878</v>
      </c>
      <c r="J3144" s="3" t="str">
        <f>HYPERLINK("https://www.boe.es/gazeta/dias/1811/09/15/pdfs/GMD-1811-258.pdf#page=3","Abrir facsímil")</f>
        <v>Abrir facsímil</v>
      </c>
      <c r="K3144" s="3" t="s">
        <v>150</v>
      </c>
    </row>
    <row r="3145" spans="1:11" ht="42" customHeight="1">
      <c r="A3145" s="2" t="s">
        <v>8879</v>
      </c>
      <c r="B3145" s="2" t="s">
        <v>8879</v>
      </c>
      <c r="C3145" s="2" t="s">
        <v>26</v>
      </c>
      <c r="D3145" s="2" t="s">
        <v>18</v>
      </c>
      <c r="E3145" s="4">
        <v>-32426</v>
      </c>
      <c r="F3145" s="3" t="s">
        <v>2729</v>
      </c>
      <c r="G3145" s="3" t="s">
        <v>2730</v>
      </c>
      <c r="H3145" s="2" t="s">
        <v>148</v>
      </c>
      <c r="I3145" s="2" t="s">
        <v>8880</v>
      </c>
      <c r="J3145" s="3" t="str">
        <f>HYPERLINK("https://www.boe.es/gazeta/dias/1811/03/21/pdfs/GEI-1811-40.pdf#page=6","Abrir facsímil")</f>
        <v>Abrir facsímil</v>
      </c>
      <c r="K3145" s="3" t="s">
        <v>150</v>
      </c>
    </row>
    <row r="3146" spans="1:11" ht="42" customHeight="1">
      <c r="A3146" s="2" t="s">
        <v>8881</v>
      </c>
      <c r="B3146" s="2" t="s">
        <v>8882</v>
      </c>
      <c r="C3146" s="2" t="s">
        <v>17</v>
      </c>
      <c r="D3146" s="2" t="s">
        <v>18</v>
      </c>
      <c r="E3146" s="4">
        <v>-32151</v>
      </c>
      <c r="F3146" s="3" t="s">
        <v>313</v>
      </c>
      <c r="G3146" s="3" t="s">
        <v>4240</v>
      </c>
      <c r="H3146" s="2" t="s">
        <v>148</v>
      </c>
      <c r="I3146" s="2" t="s">
        <v>8883</v>
      </c>
      <c r="J3146" s="3" t="str">
        <f>HYPERLINK("https://www.boe.es/gazeta/dias/1811/12/21/pdfs/GEI-1811-165.pdf#page=5","Abrir facsímil")</f>
        <v>Abrir facsímil</v>
      </c>
      <c r="K3146" s="3" t="s">
        <v>150</v>
      </c>
    </row>
    <row r="3147" spans="1:11" ht="42" customHeight="1">
      <c r="A3147" s="2" t="s">
        <v>8881</v>
      </c>
      <c r="B3147" s="2" t="s">
        <v>8882</v>
      </c>
      <c r="C3147" s="2" t="s">
        <v>84</v>
      </c>
      <c r="D3147" s="2" t="s">
        <v>18</v>
      </c>
      <c r="E3147" s="4">
        <v>-32144</v>
      </c>
      <c r="F3147" s="3" t="s">
        <v>1097</v>
      </c>
      <c r="G3147" s="3" t="s">
        <v>1098</v>
      </c>
      <c r="H3147" s="2" t="s">
        <v>148</v>
      </c>
      <c r="I3147" s="2" t="s">
        <v>8884</v>
      </c>
      <c r="J3147" s="3" t="str">
        <f>HYPERLINK("https://www.boe.es/gazeta/dias/1811/12/28/pdfs/GEI-1811-168.pdf#page=8","Abrir facsímil")</f>
        <v>Abrir facsímil</v>
      </c>
      <c r="K3147" s="3" t="s">
        <v>150</v>
      </c>
    </row>
    <row r="3148" spans="1:11" ht="42" customHeight="1">
      <c r="A3148" s="2" t="s">
        <v>8885</v>
      </c>
      <c r="B3148" s="2" t="s">
        <v>8885</v>
      </c>
      <c r="C3148" s="2" t="s">
        <v>17</v>
      </c>
      <c r="D3148" s="2" t="s">
        <v>204</v>
      </c>
      <c r="E3148" s="4">
        <v>-32295</v>
      </c>
      <c r="F3148" s="3" t="s">
        <v>279</v>
      </c>
      <c r="G3148" s="3" t="s">
        <v>280</v>
      </c>
      <c r="H3148" s="2" t="s">
        <v>148</v>
      </c>
      <c r="I3148" s="2" t="s">
        <v>8886</v>
      </c>
      <c r="J3148" s="3" t="str">
        <f>HYPERLINK("https://www.boe.es/gazeta/dias/1811/07/30/pdfs/GEI-1811-99.pdf#page=4","Abrir facsímil")</f>
        <v>Abrir facsímil</v>
      </c>
      <c r="K3148" s="3" t="s">
        <v>150</v>
      </c>
    </row>
    <row r="3149" spans="1:11" ht="42" customHeight="1">
      <c r="A3149" s="2" t="s">
        <v>8887</v>
      </c>
      <c r="B3149" s="2" t="s">
        <v>8887</v>
      </c>
      <c r="C3149" s="2" t="s">
        <v>17</v>
      </c>
      <c r="D3149" s="2" t="s">
        <v>18</v>
      </c>
      <c r="E3149" s="4">
        <v>-32240</v>
      </c>
      <c r="F3149" s="3" t="s">
        <v>2753</v>
      </c>
      <c r="G3149" s="3" t="s">
        <v>4151</v>
      </c>
      <c r="H3149" s="2" t="s">
        <v>148</v>
      </c>
      <c r="I3149" s="2" t="s">
        <v>8888</v>
      </c>
      <c r="J3149" s="3" t="str">
        <f>HYPERLINK("https://www.boe.es/gazeta/dias/1811/09/23/pdfs/GMD-1811-266.pdf#page=3","Abrir facsímil")</f>
        <v>Abrir facsímil</v>
      </c>
      <c r="K3149" s="3" t="s">
        <v>150</v>
      </c>
    </row>
    <row r="3150" spans="1:11" ht="42" customHeight="1">
      <c r="A3150" s="2" t="s">
        <v>8887</v>
      </c>
      <c r="B3150" s="2" t="s">
        <v>8887</v>
      </c>
      <c r="C3150" s="2" t="s">
        <v>26</v>
      </c>
      <c r="D3150" s="2" t="s">
        <v>18</v>
      </c>
      <c r="E3150" s="4">
        <v>-32197</v>
      </c>
      <c r="F3150" s="3" t="s">
        <v>2390</v>
      </c>
      <c r="G3150" s="3" t="s">
        <v>8889</v>
      </c>
      <c r="H3150" s="2" t="s">
        <v>148</v>
      </c>
      <c r="I3150" s="2" t="s">
        <v>8890</v>
      </c>
      <c r="J3150" s="3" t="str">
        <f>HYPERLINK("https://www.boe.es/gazeta/dias/1811/11/05/pdfs/GMD-1811-309.pdf#page=1","Abrir facsímil")</f>
        <v>Abrir facsímil</v>
      </c>
      <c r="K3150" s="3" t="s">
        <v>150</v>
      </c>
    </row>
    <row r="3151" spans="1:11" ht="42" customHeight="1">
      <c r="A3151" s="2" t="s">
        <v>8891</v>
      </c>
      <c r="B3151" s="2" t="s">
        <v>8891</v>
      </c>
      <c r="C3151" s="2" t="s">
        <v>17</v>
      </c>
      <c r="D3151" s="2" t="s">
        <v>18</v>
      </c>
      <c r="E3151" s="4">
        <v>-32196</v>
      </c>
      <c r="F3151" s="3" t="s">
        <v>8418</v>
      </c>
      <c r="G3151" s="3" t="s">
        <v>8892</v>
      </c>
      <c r="H3151" s="2" t="s">
        <v>148</v>
      </c>
      <c r="I3151" s="2" t="s">
        <v>8893</v>
      </c>
      <c r="J3151" s="3" t="str">
        <f>HYPERLINK("https://www.boe.es/gazeta/dias/1811/11/06/pdfs/GMD-1811-310.pdf#page=4","Abrir facsímil")</f>
        <v>Abrir facsímil</v>
      </c>
      <c r="K3151" s="3" t="s">
        <v>150</v>
      </c>
    </row>
    <row r="3152" spans="1:11" ht="42" customHeight="1">
      <c r="A3152" s="2" t="s">
        <v>8887</v>
      </c>
      <c r="B3152" s="2" t="s">
        <v>8887</v>
      </c>
      <c r="C3152" s="2" t="s">
        <v>17</v>
      </c>
      <c r="D3152" s="2" t="s">
        <v>156</v>
      </c>
      <c r="E3152" s="4">
        <v>-32179</v>
      </c>
      <c r="F3152" s="3" t="s">
        <v>3269</v>
      </c>
      <c r="G3152" s="3" t="s">
        <v>47</v>
      </c>
      <c r="H3152" s="2" t="s">
        <v>148</v>
      </c>
      <c r="I3152" s="2" t="s">
        <v>8894</v>
      </c>
      <c r="J3152" s="3" t="str">
        <f>HYPERLINK("https://www.boe.es/gazeta/dias/1811/11/23/pdfs/GMD-1811-327.pdf#page=1","Abrir facsímil")</f>
        <v>Abrir facsímil</v>
      </c>
      <c r="K3152" s="3" t="s">
        <v>150</v>
      </c>
    </row>
    <row r="3153" spans="1:11" ht="42" customHeight="1">
      <c r="A3153" s="2" t="s">
        <v>8895</v>
      </c>
      <c r="B3153" s="2" t="s">
        <v>8896</v>
      </c>
      <c r="C3153" s="2" t="s">
        <v>122</v>
      </c>
      <c r="D3153" s="2" t="s">
        <v>18</v>
      </c>
      <c r="E3153" s="4">
        <v>-32291</v>
      </c>
      <c r="F3153" s="3" t="s">
        <v>712</v>
      </c>
      <c r="G3153" s="3" t="s">
        <v>1757</v>
      </c>
      <c r="H3153" s="2" t="s">
        <v>148</v>
      </c>
      <c r="I3153" s="2" t="s">
        <v>8897</v>
      </c>
      <c r="J3153" s="3" t="str">
        <f>HYPERLINK("https://www.boe.es/gazeta/dias/1811/08/03/pdfs/GEI-1811-101.pdf#page=7","Abrir facsímil")</f>
        <v>Abrir facsímil</v>
      </c>
      <c r="K3153" s="3" t="s">
        <v>150</v>
      </c>
    </row>
    <row r="3154" spans="1:11" ht="42" customHeight="1">
      <c r="A3154" s="2" t="s">
        <v>8898</v>
      </c>
      <c r="B3154" s="2" t="s">
        <v>8899</v>
      </c>
      <c r="C3154" s="2" t="s">
        <v>17</v>
      </c>
      <c r="D3154" s="2" t="s">
        <v>18</v>
      </c>
      <c r="E3154" s="4">
        <v>-32249</v>
      </c>
      <c r="F3154" s="3" t="s">
        <v>824</v>
      </c>
      <c r="G3154" s="3" t="s">
        <v>57</v>
      </c>
      <c r="H3154" s="2" t="s">
        <v>148</v>
      </c>
      <c r="I3154" s="2" t="s">
        <v>8900</v>
      </c>
      <c r="J3154" s="3" t="str">
        <f>HYPERLINK("https://www.boe.es/gazeta/dias/1811/09/14/pdfs/GEI-1811-119.pdf#page=2","Abrir facsímil")</f>
        <v>Abrir facsímil</v>
      </c>
      <c r="K3154" s="3" t="s">
        <v>150</v>
      </c>
    </row>
    <row r="3155" spans="1:11" ht="42" customHeight="1">
      <c r="A3155" s="2" t="s">
        <v>8901</v>
      </c>
      <c r="B3155" s="2" t="s">
        <v>8902</v>
      </c>
      <c r="C3155" s="2" t="s">
        <v>26</v>
      </c>
      <c r="D3155" s="2" t="s">
        <v>18</v>
      </c>
      <c r="E3155" s="4">
        <v>-32421</v>
      </c>
      <c r="F3155" s="3" t="s">
        <v>79</v>
      </c>
      <c r="G3155" s="3" t="s">
        <v>488</v>
      </c>
      <c r="H3155" s="2" t="s">
        <v>148</v>
      </c>
      <c r="I3155" s="2" t="s">
        <v>8903</v>
      </c>
      <c r="J3155" s="3" t="str">
        <f>HYPERLINK("https://www.boe.es/gazeta/dias/1811/03/26/pdfs/GEI-1811-42.pdf#page=8","Abrir facsímil")</f>
        <v>Abrir facsímil</v>
      </c>
      <c r="K3155" s="3" t="s">
        <v>150</v>
      </c>
    </row>
    <row r="3156" spans="1:11" ht="42" customHeight="1">
      <c r="A3156" s="2" t="s">
        <v>8904</v>
      </c>
      <c r="B3156" s="2" t="s">
        <v>8905</v>
      </c>
      <c r="C3156" s="2" t="s">
        <v>367</v>
      </c>
      <c r="D3156" s="2" t="s">
        <v>156</v>
      </c>
      <c r="E3156" s="4">
        <v>-32223</v>
      </c>
      <c r="F3156" s="3" t="s">
        <v>5139</v>
      </c>
      <c r="G3156" s="3" t="s">
        <v>178</v>
      </c>
      <c r="H3156" s="2" t="s">
        <v>148</v>
      </c>
      <c r="I3156" s="2" t="s">
        <v>8906</v>
      </c>
      <c r="J3156" s="3" t="str">
        <f>HYPERLINK("https://www.boe.es/gazeta/dias/1811/10/10/pdfs/GMD-1811-283.pdf#page=4","Abrir facsímil")</f>
        <v>Abrir facsímil</v>
      </c>
      <c r="K3156" s="3" t="s">
        <v>150</v>
      </c>
    </row>
    <row r="3157" spans="1:11" ht="42" customHeight="1">
      <c r="A3157" s="2" t="s">
        <v>8907</v>
      </c>
      <c r="B3157" s="2" t="s">
        <v>8908</v>
      </c>
      <c r="C3157" s="2" t="s">
        <v>26</v>
      </c>
      <c r="D3157" s="2" t="s">
        <v>18</v>
      </c>
      <c r="E3157" s="4">
        <v>-32505</v>
      </c>
      <c r="F3157" s="3" t="s">
        <v>475</v>
      </c>
      <c r="G3157" s="3" t="s">
        <v>755</v>
      </c>
      <c r="H3157" s="2" t="s">
        <v>148</v>
      </c>
      <c r="I3157" s="2" t="s">
        <v>8909</v>
      </c>
      <c r="J3157" s="3" t="str">
        <f>HYPERLINK("https://www.boe.es/gazeta/dias/1811/01/01/pdfs/GEI-1811-1.pdf#page=8","Abrir facsímil")</f>
        <v>Abrir facsímil</v>
      </c>
      <c r="K3157" s="3" t="s">
        <v>150</v>
      </c>
    </row>
    <row r="3158" spans="1:11" ht="42" customHeight="1">
      <c r="A3158" s="2" t="s">
        <v>8910</v>
      </c>
      <c r="B3158" s="2" t="s">
        <v>8911</v>
      </c>
      <c r="C3158" s="2" t="s">
        <v>26</v>
      </c>
      <c r="D3158" s="2" t="s">
        <v>18</v>
      </c>
      <c r="E3158" s="4">
        <v>-32505</v>
      </c>
      <c r="F3158" s="3" t="s">
        <v>475</v>
      </c>
      <c r="G3158" s="3" t="s">
        <v>755</v>
      </c>
      <c r="H3158" s="2" t="s">
        <v>148</v>
      </c>
      <c r="I3158" s="2" t="s">
        <v>8912</v>
      </c>
      <c r="J3158" s="3" t="str">
        <f>HYPERLINK("https://www.boe.es/gazeta/dias/1811/01/01/pdfs/GEI-1811-1.pdf#page=8","Abrir facsímil")</f>
        <v>Abrir facsímil</v>
      </c>
      <c r="K3158" s="3" t="s">
        <v>150</v>
      </c>
    </row>
    <row r="3159" spans="1:11" ht="42" customHeight="1">
      <c r="A3159" s="2" t="s">
        <v>8913</v>
      </c>
      <c r="B3159" s="2" t="s">
        <v>8914</v>
      </c>
      <c r="C3159" s="2" t="s">
        <v>26</v>
      </c>
      <c r="D3159" s="2" t="s">
        <v>18</v>
      </c>
      <c r="E3159" s="4">
        <v>-32155</v>
      </c>
      <c r="F3159" s="3" t="s">
        <v>99</v>
      </c>
      <c r="G3159" s="3" t="s">
        <v>100</v>
      </c>
      <c r="H3159" s="2" t="s">
        <v>148</v>
      </c>
      <c r="I3159" s="2" t="s">
        <v>8915</v>
      </c>
      <c r="J3159" s="3" t="str">
        <f>HYPERLINK("https://www.boe.es/gazeta/dias/1811/12/17/pdfs/GMD-1811-351.pdf#page=4","Abrir facsímil")</f>
        <v>Abrir facsímil</v>
      </c>
      <c r="K3159" s="3" t="s">
        <v>150</v>
      </c>
    </row>
    <row r="3160" spans="1:11" ht="42" customHeight="1">
      <c r="A3160" s="2" t="s">
        <v>8916</v>
      </c>
      <c r="B3160" s="2" t="s">
        <v>8916</v>
      </c>
      <c r="C3160" s="2" t="s">
        <v>37</v>
      </c>
      <c r="D3160" s="2" t="s">
        <v>18</v>
      </c>
      <c r="E3160" s="4">
        <v>-32300</v>
      </c>
      <c r="F3160" s="3" t="s">
        <v>61</v>
      </c>
      <c r="G3160" s="3" t="s">
        <v>846</v>
      </c>
      <c r="H3160" s="2" t="s">
        <v>148</v>
      </c>
      <c r="I3160" s="2" t="s">
        <v>8917</v>
      </c>
      <c r="J3160" s="3" t="str">
        <f>HYPERLINK("https://www.boe.es/gazeta/dias/1811/07/25/pdfs/GEI-1811-97.pdf#page=3","Abrir facsímil")</f>
        <v>Abrir facsímil</v>
      </c>
      <c r="K3160" s="3" t="s">
        <v>150</v>
      </c>
    </row>
    <row r="3161" spans="1:11" ht="42" customHeight="1">
      <c r="A3161" s="2" t="s">
        <v>8918</v>
      </c>
      <c r="B3161" s="2" t="s">
        <v>8919</v>
      </c>
      <c r="C3161" s="2" t="s">
        <v>26</v>
      </c>
      <c r="D3161" s="2" t="s">
        <v>18</v>
      </c>
      <c r="E3161" s="4">
        <v>-32501</v>
      </c>
      <c r="F3161" s="3" t="s">
        <v>509</v>
      </c>
      <c r="G3161" s="3" t="s">
        <v>510</v>
      </c>
      <c r="H3161" s="2" t="s">
        <v>148</v>
      </c>
      <c r="I3161" s="2" t="s">
        <v>8920</v>
      </c>
      <c r="J3161" s="3" t="str">
        <f>HYPERLINK("https://www.boe.es/gazeta/dias/1811/01/05/pdfs/GEI-1811-3.pdf#page=8","Abrir facsímil")</f>
        <v>Abrir facsímil</v>
      </c>
      <c r="K3161" s="3" t="s">
        <v>150</v>
      </c>
    </row>
    <row r="3162" spans="1:11" ht="42" customHeight="1">
      <c r="A3162" s="2" t="s">
        <v>8921</v>
      </c>
      <c r="B3162" s="2" t="s">
        <v>8922</v>
      </c>
      <c r="C3162" s="2" t="s">
        <v>26</v>
      </c>
      <c r="D3162" s="2" t="s">
        <v>18</v>
      </c>
      <c r="E3162" s="4">
        <v>-32501</v>
      </c>
      <c r="F3162" s="3" t="s">
        <v>509</v>
      </c>
      <c r="G3162" s="3" t="s">
        <v>510</v>
      </c>
      <c r="H3162" s="2" t="s">
        <v>148</v>
      </c>
      <c r="I3162" s="2" t="s">
        <v>8923</v>
      </c>
      <c r="J3162" s="3" t="str">
        <f>HYPERLINK("https://www.boe.es/gazeta/dias/1811/01/05/pdfs/GEI-1811-3.pdf#page=8","Abrir facsímil")</f>
        <v>Abrir facsímil</v>
      </c>
      <c r="K3162" s="3" t="s">
        <v>150</v>
      </c>
    </row>
    <row r="3163" spans="1:11" ht="42" customHeight="1">
      <c r="A3163" s="2" t="s">
        <v>8924</v>
      </c>
      <c r="B3163" s="2" t="s">
        <v>8924</v>
      </c>
      <c r="C3163" s="2" t="s">
        <v>17</v>
      </c>
      <c r="D3163" s="2" t="s">
        <v>18</v>
      </c>
      <c r="E3163" s="4">
        <v>-32486</v>
      </c>
      <c r="F3163" s="3" t="s">
        <v>556</v>
      </c>
      <c r="G3163" s="3" t="s">
        <v>248</v>
      </c>
      <c r="H3163" s="2" t="s">
        <v>148</v>
      </c>
      <c r="I3163" s="2" t="s">
        <v>8925</v>
      </c>
      <c r="J3163" s="3" t="str">
        <f>HYPERLINK("https://www.boe.es/gazeta/dias/1811/01/20/pdfs/GMD-1811-20.pdf#page=2","Abrir facsímil")</f>
        <v>Abrir facsímil</v>
      </c>
      <c r="K3163" s="3" t="s">
        <v>150</v>
      </c>
    </row>
    <row r="3164" spans="1:11" ht="42" customHeight="1">
      <c r="A3164" s="2" t="s">
        <v>8926</v>
      </c>
      <c r="B3164" s="2" t="s">
        <v>8926</v>
      </c>
      <c r="C3164" s="2" t="s">
        <v>37</v>
      </c>
      <c r="D3164" s="2" t="s">
        <v>18</v>
      </c>
      <c r="E3164" s="4">
        <v>-32467</v>
      </c>
      <c r="F3164" s="3" t="s">
        <v>768</v>
      </c>
      <c r="G3164" s="3" t="s">
        <v>382</v>
      </c>
      <c r="H3164" s="2" t="s">
        <v>148</v>
      </c>
      <c r="I3164" s="2" t="s">
        <v>8927</v>
      </c>
      <c r="J3164" s="3" t="str">
        <f>HYPERLINK("https://www.boe.es/gazeta/dias/1811/02/08/pdfs/GMD-1811-39.pdf#page=3","Abrir facsímil")</f>
        <v>Abrir facsímil</v>
      </c>
      <c r="K3164" s="3" t="s">
        <v>150</v>
      </c>
    </row>
    <row r="3165" spans="1:11" ht="42" customHeight="1">
      <c r="A3165" s="2" t="s">
        <v>8928</v>
      </c>
      <c r="B3165" s="2" t="s">
        <v>8928</v>
      </c>
      <c r="C3165" s="2" t="s">
        <v>17</v>
      </c>
      <c r="D3165" s="2" t="s">
        <v>156</v>
      </c>
      <c r="E3165" s="4">
        <v>-32146</v>
      </c>
      <c r="F3165" s="3" t="s">
        <v>777</v>
      </c>
      <c r="G3165" s="3" t="s">
        <v>846</v>
      </c>
      <c r="H3165" s="2" t="s">
        <v>148</v>
      </c>
      <c r="I3165" s="2" t="s">
        <v>8929</v>
      </c>
      <c r="J3165" s="3" t="str">
        <f>HYPERLINK("https://www.boe.es/gazeta/dias/1811/12/26/pdfs/GEI-1811-167.pdf#page=4","Abrir facsímil")</f>
        <v>Abrir facsímil</v>
      </c>
      <c r="K3165" s="3" t="s">
        <v>150</v>
      </c>
    </row>
    <row r="3166" spans="1:11" ht="42" customHeight="1">
      <c r="A3166" s="2" t="s">
        <v>8930</v>
      </c>
      <c r="B3166" s="2" t="s">
        <v>8930</v>
      </c>
      <c r="C3166" s="2" t="s">
        <v>17</v>
      </c>
      <c r="D3166" s="2" t="s">
        <v>18</v>
      </c>
      <c r="E3166" s="4">
        <v>-32456</v>
      </c>
      <c r="F3166" s="3" t="s">
        <v>4785</v>
      </c>
      <c r="G3166" s="3" t="s">
        <v>468</v>
      </c>
      <c r="H3166" s="2" t="s">
        <v>148</v>
      </c>
      <c r="I3166" s="2" t="s">
        <v>8931</v>
      </c>
      <c r="J3166" s="3" t="str">
        <f>HYPERLINK("https://www.boe.es/gazeta/dias/1811/02/19/pdfs/GMD-1811-50.pdf#page=4","Abrir facsímil")</f>
        <v>Abrir facsímil</v>
      </c>
      <c r="K3166" s="3" t="s">
        <v>150</v>
      </c>
    </row>
    <row r="3167" spans="1:11" ht="42" customHeight="1">
      <c r="A3167" s="2" t="s">
        <v>8932</v>
      </c>
      <c r="B3167" s="2" t="s">
        <v>8932</v>
      </c>
      <c r="C3167" s="2" t="s">
        <v>26</v>
      </c>
      <c r="D3167" s="2" t="s">
        <v>18</v>
      </c>
      <c r="E3167" s="4">
        <v>-32229</v>
      </c>
      <c r="F3167" s="3" t="s">
        <v>2523</v>
      </c>
      <c r="G3167" s="3" t="s">
        <v>1179</v>
      </c>
      <c r="H3167" s="2" t="s">
        <v>148</v>
      </c>
      <c r="I3167" s="2" t="s">
        <v>8933</v>
      </c>
      <c r="J3167" s="3" t="str">
        <f>HYPERLINK("https://www.boe.es/gazeta/dias/1811/10/04/pdfs/GMD-1811-277.pdf#page=3","Abrir facsímil")</f>
        <v>Abrir facsímil</v>
      </c>
      <c r="K3167" s="3" t="s">
        <v>150</v>
      </c>
    </row>
    <row r="3168" spans="1:11" ht="42" customHeight="1">
      <c r="A3168" s="2" t="s">
        <v>8934</v>
      </c>
      <c r="B3168" s="2" t="s">
        <v>8934</v>
      </c>
      <c r="C3168" s="2" t="s">
        <v>17</v>
      </c>
      <c r="D3168" s="2" t="s">
        <v>18</v>
      </c>
      <c r="E3168" s="4">
        <v>-32189</v>
      </c>
      <c r="F3168" s="3" t="s">
        <v>8935</v>
      </c>
      <c r="G3168" s="3" t="s">
        <v>115</v>
      </c>
      <c r="H3168" s="2" t="s">
        <v>148</v>
      </c>
      <c r="I3168" s="2" t="s">
        <v>8936</v>
      </c>
      <c r="J3168" s="3" t="str">
        <f>HYPERLINK("https://www.boe.es/gazeta/dias/1811/11/13/pdfs/GMD-1811-317.pdf#page=3","Abrir facsímil")</f>
        <v>Abrir facsímil</v>
      </c>
      <c r="K3168" s="3" t="s">
        <v>150</v>
      </c>
    </row>
    <row r="3169" spans="1:11" ht="42" customHeight="1">
      <c r="A3169" s="2" t="s">
        <v>8937</v>
      </c>
      <c r="B3169" s="2" t="s">
        <v>8938</v>
      </c>
      <c r="C3169" s="2" t="s">
        <v>26</v>
      </c>
      <c r="D3169" s="2" t="s">
        <v>18</v>
      </c>
      <c r="E3169" s="4">
        <v>-32447</v>
      </c>
      <c r="F3169" s="3" t="s">
        <v>3655</v>
      </c>
      <c r="G3169" s="3" t="s">
        <v>248</v>
      </c>
      <c r="H3169" s="2" t="s">
        <v>148</v>
      </c>
      <c r="I3169" s="2" t="s">
        <v>8939</v>
      </c>
      <c r="J3169" s="3" t="str">
        <f>HYPERLINK("https://www.boe.es/gazeta/dias/1811/02/28/pdfs/GEI-1811-26.pdf#page=5","Abrir facsímil")</f>
        <v>Abrir facsímil</v>
      </c>
      <c r="K3169" s="3" t="s">
        <v>150</v>
      </c>
    </row>
    <row r="3170" spans="1:11" ht="42" customHeight="1">
      <c r="A3170" s="2" t="s">
        <v>8940</v>
      </c>
      <c r="B3170" s="2" t="s">
        <v>8940</v>
      </c>
      <c r="C3170" s="2" t="s">
        <v>26</v>
      </c>
      <c r="D3170" s="2" t="s">
        <v>18</v>
      </c>
      <c r="E3170" s="4">
        <v>-32174</v>
      </c>
      <c r="F3170" s="3" t="s">
        <v>172</v>
      </c>
      <c r="G3170" s="3" t="s">
        <v>20</v>
      </c>
      <c r="H3170" s="2" t="s">
        <v>148</v>
      </c>
      <c r="I3170" s="2" t="s">
        <v>8941</v>
      </c>
      <c r="J3170" s="3" t="str">
        <f>HYPERLINK("https://www.boe.es/gazeta/dias/1811/11/28/pdfs/GEI-1811-155.pdf#page=3","Abrir facsímil")</f>
        <v>Abrir facsímil</v>
      </c>
      <c r="K3170" s="3" t="s">
        <v>150</v>
      </c>
    </row>
    <row r="3171" spans="1:11" ht="42" customHeight="1">
      <c r="A3171" s="2" t="s">
        <v>8942</v>
      </c>
      <c r="B3171" s="2" t="s">
        <v>8942</v>
      </c>
      <c r="C3171" s="2" t="s">
        <v>37</v>
      </c>
      <c r="D3171" s="2" t="s">
        <v>18</v>
      </c>
      <c r="E3171" s="4">
        <v>-32443</v>
      </c>
      <c r="F3171" s="3" t="s">
        <v>1522</v>
      </c>
      <c r="G3171" s="3" t="s">
        <v>91</v>
      </c>
      <c r="H3171" s="2" t="s">
        <v>148</v>
      </c>
      <c r="I3171" s="2" t="s">
        <v>8943</v>
      </c>
      <c r="J3171" s="3" t="str">
        <f>HYPERLINK("https://www.boe.es/gazeta/dias/1811/03/04/pdfs/GMD-1811-63.pdf#page=2","Abrir facsímil")</f>
        <v>Abrir facsímil</v>
      </c>
      <c r="K3171" s="3" t="s">
        <v>150</v>
      </c>
    </row>
    <row r="3172" spans="1:11" ht="42" customHeight="1">
      <c r="A3172" s="2" t="s">
        <v>8944</v>
      </c>
      <c r="B3172" s="2" t="s">
        <v>8945</v>
      </c>
      <c r="C3172" s="2" t="s">
        <v>37</v>
      </c>
      <c r="D3172" s="2" t="s">
        <v>18</v>
      </c>
      <c r="E3172" s="4">
        <v>-32145</v>
      </c>
      <c r="F3172" s="3" t="s">
        <v>417</v>
      </c>
      <c r="G3172" s="3" t="s">
        <v>418</v>
      </c>
      <c r="H3172" s="2" t="s">
        <v>148</v>
      </c>
      <c r="I3172" s="2" t="s">
        <v>8946</v>
      </c>
      <c r="J3172" s="3" t="str">
        <f>HYPERLINK("https://www.boe.es/gazeta/dias/1811/12/27/pdfs/GMD-1811-361.pdf#page=4","Abrir facsímil")</f>
        <v>Abrir facsímil</v>
      </c>
      <c r="K3172" s="3" t="s">
        <v>150</v>
      </c>
    </row>
    <row r="3173" spans="1:11" ht="42" customHeight="1">
      <c r="A3173" s="2" t="s">
        <v>8947</v>
      </c>
      <c r="B3173" s="2" t="s">
        <v>8948</v>
      </c>
      <c r="C3173" s="2" t="s">
        <v>26</v>
      </c>
      <c r="D3173" s="2" t="s">
        <v>105</v>
      </c>
      <c r="E3173" s="4">
        <v>-32396</v>
      </c>
      <c r="F3173" s="3" t="s">
        <v>1267</v>
      </c>
      <c r="G3173" s="3" t="s">
        <v>382</v>
      </c>
      <c r="H3173" s="2" t="s">
        <v>148</v>
      </c>
      <c r="I3173" s="2" t="s">
        <v>8949</v>
      </c>
      <c r="J3173" s="3" t="str">
        <f>HYPERLINK("https://www.boe.es/gazeta/dias/1811/04/20/pdfs/GMD-1811-110.pdf#page=2","Abrir facsímil")</f>
        <v>Abrir facsímil</v>
      </c>
      <c r="K3173" s="3" t="s">
        <v>150</v>
      </c>
    </row>
    <row r="3174" spans="1:11" ht="42" customHeight="1">
      <c r="A3174" s="2" t="s">
        <v>8947</v>
      </c>
      <c r="B3174" s="2" t="s">
        <v>8948</v>
      </c>
      <c r="C3174" s="2" t="s">
        <v>122</v>
      </c>
      <c r="D3174" s="2" t="s">
        <v>18</v>
      </c>
      <c r="E3174" s="4">
        <v>-32141</v>
      </c>
      <c r="F3174" s="3" t="s">
        <v>327</v>
      </c>
      <c r="G3174" s="3" t="s">
        <v>20</v>
      </c>
      <c r="H3174" s="2" t="s">
        <v>148</v>
      </c>
      <c r="I3174" s="2" t="s">
        <v>8950</v>
      </c>
      <c r="J3174" s="3" t="str">
        <f>HYPERLINK("https://www.boe.es/gazeta/dias/1811/12/31/pdfs/GMD-1811-365.pdf#page=4","Abrir facsímil")</f>
        <v>Abrir facsímil</v>
      </c>
      <c r="K3174" s="3" t="s">
        <v>150</v>
      </c>
    </row>
    <row r="3175" spans="1:11" ht="42" customHeight="1">
      <c r="A3175" s="2" t="s">
        <v>8951</v>
      </c>
      <c r="B3175" s="2" t="s">
        <v>8952</v>
      </c>
      <c r="C3175" s="2" t="s">
        <v>26</v>
      </c>
      <c r="D3175" s="2" t="s">
        <v>105</v>
      </c>
      <c r="E3175" s="4">
        <v>-32153</v>
      </c>
      <c r="F3175" s="3" t="s">
        <v>123</v>
      </c>
      <c r="G3175" s="3" t="s">
        <v>288</v>
      </c>
      <c r="H3175" s="2" t="s">
        <v>148</v>
      </c>
      <c r="I3175" s="2" t="s">
        <v>8953</v>
      </c>
      <c r="J3175" s="3" t="str">
        <f>HYPERLINK("https://www.boe.es/gazeta/dias/1811/12/19/pdfs/GMD-1811-353.pdf#page=4","Abrir facsímil")</f>
        <v>Abrir facsímil</v>
      </c>
      <c r="K3175" s="3" t="s">
        <v>150</v>
      </c>
    </row>
    <row r="3176" spans="1:11" ht="42" customHeight="1">
      <c r="A3176" s="2" t="s">
        <v>8954</v>
      </c>
      <c r="B3176" s="2" t="s">
        <v>8955</v>
      </c>
      <c r="C3176" s="2" t="s">
        <v>26</v>
      </c>
      <c r="D3176" s="2" t="s">
        <v>18</v>
      </c>
      <c r="E3176" s="4">
        <v>-32204</v>
      </c>
      <c r="F3176" s="3" t="s">
        <v>177</v>
      </c>
      <c r="G3176" s="3" t="s">
        <v>178</v>
      </c>
      <c r="H3176" s="2" t="s">
        <v>148</v>
      </c>
      <c r="I3176" s="2" t="s">
        <v>8956</v>
      </c>
      <c r="J3176" s="3" t="str">
        <f>HYPERLINK("https://www.boe.es/gazeta/dias/1811/10/29/pdfs/GMD-1811-302.pdf#page=4","Abrir facsímil")</f>
        <v>Abrir facsímil</v>
      </c>
      <c r="K3176" s="3" t="s">
        <v>150</v>
      </c>
    </row>
    <row r="3177" spans="1:11" ht="42" customHeight="1">
      <c r="A3177" s="2" t="s">
        <v>8957</v>
      </c>
      <c r="B3177" s="2" t="s">
        <v>8958</v>
      </c>
      <c r="C3177" s="2" t="s">
        <v>37</v>
      </c>
      <c r="D3177" s="2" t="s">
        <v>18</v>
      </c>
      <c r="E3177" s="4">
        <v>-32455</v>
      </c>
      <c r="F3177" s="3" t="s">
        <v>8959</v>
      </c>
      <c r="G3177" s="3" t="s">
        <v>8960</v>
      </c>
      <c r="H3177" s="2" t="s">
        <v>148</v>
      </c>
      <c r="I3177" s="2" t="s">
        <v>8961</v>
      </c>
      <c r="J3177" s="3" t="str">
        <f>HYPERLINK("https://www.boe.es/gazeta/dias/1811/02/20/pdfs/GMD-1811-51.pdf#page=2","Abrir facsímil")</f>
        <v>Abrir facsímil</v>
      </c>
      <c r="K3177" s="3" t="s">
        <v>150</v>
      </c>
    </row>
    <row r="3178" spans="1:11" ht="42" customHeight="1">
      <c r="A3178" s="2" t="s">
        <v>8962</v>
      </c>
      <c r="B3178" s="2" t="s">
        <v>8963</v>
      </c>
      <c r="C3178" s="2" t="s">
        <v>17</v>
      </c>
      <c r="D3178" s="2" t="s">
        <v>18</v>
      </c>
      <c r="E3178" s="4">
        <v>-32284</v>
      </c>
      <c r="F3178" s="3" t="s">
        <v>170</v>
      </c>
      <c r="G3178" s="3" t="s">
        <v>162</v>
      </c>
      <c r="H3178" s="2" t="s">
        <v>148</v>
      </c>
      <c r="I3178" s="2" t="s">
        <v>8964</v>
      </c>
      <c r="J3178" s="3" t="str">
        <f>HYPERLINK("https://www.boe.es/gazeta/dias/1811/08/10/pdfs/GEI-1811-104.pdf#page=1","Abrir facsímil")</f>
        <v>Abrir facsímil</v>
      </c>
      <c r="K3178" s="3" t="s">
        <v>150</v>
      </c>
    </row>
    <row r="3179" spans="1:11" ht="42" customHeight="1">
      <c r="A3179" s="2" t="s">
        <v>8965</v>
      </c>
      <c r="B3179" s="2" t="s">
        <v>8966</v>
      </c>
      <c r="C3179" s="2" t="s">
        <v>17</v>
      </c>
      <c r="D3179" s="2" t="s">
        <v>156</v>
      </c>
      <c r="E3179" s="4">
        <v>-32237</v>
      </c>
      <c r="F3179" s="3" t="s">
        <v>717</v>
      </c>
      <c r="G3179" s="3" t="s">
        <v>1128</v>
      </c>
      <c r="H3179" s="2" t="s">
        <v>148</v>
      </c>
      <c r="I3179" s="2" t="s">
        <v>8967</v>
      </c>
      <c r="J3179" s="3" t="str">
        <f>HYPERLINK("https://www.boe.es/gazeta/dias/1811/09/26/pdfs/GEI-1811-124.pdf#page=8","Abrir facsímil")</f>
        <v>Abrir facsímil</v>
      </c>
      <c r="K3179" s="3" t="s">
        <v>150</v>
      </c>
    </row>
    <row r="3180" spans="1:11" ht="42" customHeight="1">
      <c r="A3180" s="2" t="s">
        <v>8968</v>
      </c>
      <c r="B3180" s="2" t="s">
        <v>8968</v>
      </c>
      <c r="C3180" s="2" t="s">
        <v>17</v>
      </c>
      <c r="D3180" s="2" t="s">
        <v>18</v>
      </c>
      <c r="E3180" s="4">
        <v>-32356</v>
      </c>
      <c r="F3180" s="3" t="s">
        <v>1992</v>
      </c>
      <c r="G3180" s="3" t="s">
        <v>20</v>
      </c>
      <c r="H3180" s="2" t="s">
        <v>148</v>
      </c>
      <c r="I3180" s="2" t="s">
        <v>8969</v>
      </c>
      <c r="J3180" s="3" t="str">
        <f>HYPERLINK("https://www.boe.es/gazeta/dias/1811/05/30/pdfs/GEI-1811-73.pdf#page=3","Abrir facsímil")</f>
        <v>Abrir facsímil</v>
      </c>
      <c r="K3180" s="3" t="s">
        <v>150</v>
      </c>
    </row>
    <row r="3181" spans="1:11" ht="42" customHeight="1">
      <c r="A3181" s="2" t="s">
        <v>8970</v>
      </c>
      <c r="B3181" s="2" t="s">
        <v>8970</v>
      </c>
      <c r="C3181" s="2" t="s">
        <v>17</v>
      </c>
      <c r="D3181" s="2" t="s">
        <v>18</v>
      </c>
      <c r="E3181" s="4">
        <v>-32157</v>
      </c>
      <c r="F3181" s="3" t="s">
        <v>200</v>
      </c>
      <c r="G3181" s="3" t="s">
        <v>39</v>
      </c>
      <c r="H3181" s="2" t="s">
        <v>148</v>
      </c>
      <c r="I3181" s="2" t="s">
        <v>8971</v>
      </c>
      <c r="J3181" s="3" t="str">
        <f>HYPERLINK("https://www.boe.es/gazeta/dias/1811/12/15/pdfs/GMD-1811-349.pdf#page=1","Abrir facsímil")</f>
        <v>Abrir facsímil</v>
      </c>
      <c r="K3181" s="3" t="s">
        <v>150</v>
      </c>
    </row>
    <row r="3182" spans="1:11" ht="42" customHeight="1">
      <c r="A3182" s="2" t="s">
        <v>8972</v>
      </c>
      <c r="B3182" s="2" t="s">
        <v>8972</v>
      </c>
      <c r="C3182" s="2" t="s">
        <v>17</v>
      </c>
      <c r="D3182" s="2" t="s">
        <v>156</v>
      </c>
      <c r="E3182" s="4">
        <v>-32236</v>
      </c>
      <c r="F3182" s="3" t="s">
        <v>8973</v>
      </c>
      <c r="G3182" s="3" t="s">
        <v>162</v>
      </c>
      <c r="H3182" s="2" t="s">
        <v>148</v>
      </c>
      <c r="I3182" s="2" t="s">
        <v>8974</v>
      </c>
      <c r="J3182" s="3" t="str">
        <f>HYPERLINK("https://www.boe.es/gazeta/dias/1811/09/27/pdfs/GMD-1811-270.pdf#page=2","Abrir facsímil")</f>
        <v>Abrir facsímil</v>
      </c>
      <c r="K3182" s="3" t="s">
        <v>150</v>
      </c>
    </row>
    <row r="3183" spans="1:11" ht="42" customHeight="1">
      <c r="A3183" s="2" t="s">
        <v>8975</v>
      </c>
      <c r="B3183" s="2" t="s">
        <v>8975</v>
      </c>
      <c r="C3183" s="2" t="s">
        <v>17</v>
      </c>
      <c r="D3183" s="2" t="s">
        <v>18</v>
      </c>
      <c r="E3183" s="4">
        <v>-32496</v>
      </c>
      <c r="F3183" s="3" t="s">
        <v>1927</v>
      </c>
      <c r="G3183" s="3" t="s">
        <v>39</v>
      </c>
      <c r="H3183" s="2" t="s">
        <v>148</v>
      </c>
      <c r="I3183" s="2" t="s">
        <v>8976</v>
      </c>
      <c r="J3183" s="3" t="str">
        <f>HYPERLINK("https://www.boe.es/gazeta/dias/1811/01/10/pdfs/GEI-1811-5.pdf#page=1","Abrir facsímil")</f>
        <v>Abrir facsímil</v>
      </c>
      <c r="K3183" s="3" t="s">
        <v>150</v>
      </c>
    </row>
    <row r="3184" spans="1:11" ht="42" customHeight="1">
      <c r="A3184" s="2" t="s">
        <v>8977</v>
      </c>
      <c r="B3184" s="2" t="s">
        <v>8977</v>
      </c>
      <c r="C3184" s="2" t="s">
        <v>26</v>
      </c>
      <c r="D3184" s="2" t="s">
        <v>18</v>
      </c>
      <c r="E3184" s="4">
        <v>-32335</v>
      </c>
      <c r="F3184" s="3" t="s">
        <v>7373</v>
      </c>
      <c r="G3184" s="3" t="s">
        <v>8978</v>
      </c>
      <c r="H3184" s="2" t="s">
        <v>148</v>
      </c>
      <c r="I3184" s="2" t="s">
        <v>8979</v>
      </c>
      <c r="J3184" s="3" t="str">
        <f>HYPERLINK("https://www.boe.es/gazeta/dias/1811/06/20/pdfs/GMD-1811-171.pdf#page=2","Abrir facsímil")</f>
        <v>Abrir facsímil</v>
      </c>
      <c r="K3184" s="3" t="s">
        <v>150</v>
      </c>
    </row>
    <row r="3185" spans="1:11" ht="42" customHeight="1">
      <c r="A3185" s="2" t="s">
        <v>8980</v>
      </c>
      <c r="B3185" s="2" t="s">
        <v>8980</v>
      </c>
      <c r="C3185" s="2" t="s">
        <v>26</v>
      </c>
      <c r="D3185" s="2" t="s">
        <v>18</v>
      </c>
      <c r="E3185" s="4">
        <v>-32270</v>
      </c>
      <c r="F3185" s="3" t="s">
        <v>431</v>
      </c>
      <c r="G3185" s="3" t="s">
        <v>2080</v>
      </c>
      <c r="H3185" s="2" t="s">
        <v>148</v>
      </c>
      <c r="I3185" s="2" t="s">
        <v>8981</v>
      </c>
      <c r="J3185" s="3" t="str">
        <f>HYPERLINK("https://www.boe.es/gazeta/dias/1811/08/24/pdfs/GEI-1811-110.pdf#page=5","Abrir facsímil")</f>
        <v>Abrir facsímil</v>
      </c>
      <c r="K3185" s="3" t="s">
        <v>150</v>
      </c>
    </row>
    <row r="3186" spans="1:11" ht="42" customHeight="1">
      <c r="A3186" s="2" t="s">
        <v>8982</v>
      </c>
      <c r="B3186" s="2" t="s">
        <v>8982</v>
      </c>
      <c r="C3186" s="2" t="s">
        <v>17</v>
      </c>
      <c r="D3186" s="2" t="s">
        <v>18</v>
      </c>
      <c r="E3186" s="4">
        <v>-32496</v>
      </c>
      <c r="F3186" s="3" t="s">
        <v>1927</v>
      </c>
      <c r="G3186" s="3" t="s">
        <v>20</v>
      </c>
      <c r="H3186" s="2" t="s">
        <v>148</v>
      </c>
      <c r="I3186" s="2" t="s">
        <v>8983</v>
      </c>
      <c r="J3186" s="3" t="str">
        <f>HYPERLINK("https://www.boe.es/gazeta/dias/1811/01/10/pdfs/GEI-1811-5.pdf#page=8","Abrir facsímil")</f>
        <v>Abrir facsímil</v>
      </c>
      <c r="K3186" s="3" t="s">
        <v>150</v>
      </c>
    </row>
    <row r="3187" spans="1:11" ht="42" customHeight="1">
      <c r="A3187" s="2" t="s">
        <v>8984</v>
      </c>
      <c r="B3187" s="2" t="s">
        <v>8984</v>
      </c>
      <c r="C3187" s="2" t="s">
        <v>104</v>
      </c>
      <c r="D3187" s="2" t="s">
        <v>204</v>
      </c>
      <c r="E3187" s="4">
        <v>-32328</v>
      </c>
      <c r="F3187" s="3" t="s">
        <v>2055</v>
      </c>
      <c r="G3187" s="3" t="s">
        <v>2056</v>
      </c>
      <c r="H3187" s="2" t="s">
        <v>148</v>
      </c>
      <c r="I3187" s="2" t="s">
        <v>8985</v>
      </c>
      <c r="J3187" s="3" t="str">
        <f>HYPERLINK("https://www.boe.es/gazeta/dias/1811/06/27/pdfs/GMD-1811-178.pdf#page=1","Abrir facsímil")</f>
        <v>Abrir facsímil</v>
      </c>
      <c r="K3187" s="3" t="s">
        <v>150</v>
      </c>
    </row>
    <row r="3188" spans="1:11" ht="42" customHeight="1">
      <c r="A3188" s="2" t="s">
        <v>8984</v>
      </c>
      <c r="B3188" s="2" t="s">
        <v>8984</v>
      </c>
      <c r="C3188" s="2" t="s">
        <v>104</v>
      </c>
      <c r="D3188" s="2" t="s">
        <v>18</v>
      </c>
      <c r="E3188" s="4">
        <v>-32296</v>
      </c>
      <c r="F3188" s="3" t="s">
        <v>8352</v>
      </c>
      <c r="G3188" s="3" t="s">
        <v>553</v>
      </c>
      <c r="H3188" s="2" t="s">
        <v>148</v>
      </c>
      <c r="I3188" s="2" t="s">
        <v>8986</v>
      </c>
      <c r="J3188" s="3" t="str">
        <f>HYPERLINK("https://www.boe.es/gazeta/dias/1811/07/29/pdfs/GMD-1811-210.pdf#page=1","Abrir facsímil")</f>
        <v>Abrir facsímil</v>
      </c>
      <c r="K3188" s="3" t="s">
        <v>150</v>
      </c>
    </row>
    <row r="3189" spans="1:11" ht="42" customHeight="1">
      <c r="A3189" s="2" t="s">
        <v>8987</v>
      </c>
      <c r="B3189" s="2" t="s">
        <v>8987</v>
      </c>
      <c r="C3189" s="2" t="s">
        <v>26</v>
      </c>
      <c r="D3189" s="2" t="s">
        <v>18</v>
      </c>
      <c r="E3189" s="4">
        <v>-32318</v>
      </c>
      <c r="F3189" s="3" t="s">
        <v>1193</v>
      </c>
      <c r="G3189" s="3" t="s">
        <v>2612</v>
      </c>
      <c r="H3189" s="2" t="s">
        <v>148</v>
      </c>
      <c r="I3189" s="2" t="s">
        <v>8988</v>
      </c>
      <c r="J3189" s="3" t="str">
        <f>HYPERLINK("https://www.boe.es/gazeta/dias/1811/07/07/pdfs/GMD-1811-188.pdf#page=1","Abrir facsímil")</f>
        <v>Abrir facsímil</v>
      </c>
      <c r="K3189" s="3" t="s">
        <v>150</v>
      </c>
    </row>
    <row r="3190" spans="1:11" ht="42" customHeight="1">
      <c r="A3190" s="2" t="s">
        <v>8989</v>
      </c>
      <c r="B3190" s="2" t="s">
        <v>8990</v>
      </c>
      <c r="C3190" s="2" t="s">
        <v>17</v>
      </c>
      <c r="D3190" s="2" t="s">
        <v>156</v>
      </c>
      <c r="E3190" s="4">
        <v>-32447</v>
      </c>
      <c r="F3190" s="3" t="s">
        <v>3655</v>
      </c>
      <c r="G3190" s="3" t="s">
        <v>8991</v>
      </c>
      <c r="H3190" s="2" t="s">
        <v>148</v>
      </c>
      <c r="I3190" s="2" t="s">
        <v>8992</v>
      </c>
      <c r="J3190" s="3" t="str">
        <f>HYPERLINK("https://www.boe.es/gazeta/dias/1811/02/28/pdfs/GEI-1811-26.pdf#page=8","Abrir facsímil")</f>
        <v>Abrir facsímil</v>
      </c>
      <c r="K3190" s="3" t="s">
        <v>150</v>
      </c>
    </row>
    <row r="3191" spans="1:11" ht="42" customHeight="1">
      <c r="A3191" s="2" t="s">
        <v>8993</v>
      </c>
      <c r="B3191" s="2" t="s">
        <v>8993</v>
      </c>
      <c r="C3191" s="2" t="s">
        <v>17</v>
      </c>
      <c r="D3191" s="2" t="s">
        <v>156</v>
      </c>
      <c r="E3191" s="4">
        <v>-32432</v>
      </c>
      <c r="F3191" s="3" t="s">
        <v>8994</v>
      </c>
      <c r="G3191" s="3" t="s">
        <v>20</v>
      </c>
      <c r="H3191" s="2" t="s">
        <v>148</v>
      </c>
      <c r="I3191" s="2" t="s">
        <v>8995</v>
      </c>
      <c r="J3191" s="3" t="str">
        <f>HYPERLINK("https://www.boe.es/gazeta/dias/1811/03/15/pdfs/GMD-1811-74.pdf#page=2","Abrir facsímil")</f>
        <v>Abrir facsímil</v>
      </c>
      <c r="K3191" s="3" t="s">
        <v>150</v>
      </c>
    </row>
    <row r="3192" spans="1:11" ht="42" customHeight="1">
      <c r="A3192" s="2" t="s">
        <v>8996</v>
      </c>
      <c r="B3192" s="2" t="s">
        <v>8997</v>
      </c>
      <c r="C3192" s="2" t="s">
        <v>26</v>
      </c>
      <c r="D3192" s="2" t="s">
        <v>18</v>
      </c>
      <c r="E3192" s="4">
        <v>-32377</v>
      </c>
      <c r="F3192" s="3" t="s">
        <v>6097</v>
      </c>
      <c r="G3192" s="3" t="s">
        <v>1688</v>
      </c>
      <c r="H3192" s="2" t="s">
        <v>148</v>
      </c>
      <c r="I3192" s="2" t="s">
        <v>8998</v>
      </c>
      <c r="J3192" s="3" t="str">
        <f>HYPERLINK("https://www.boe.es/gazeta/dias/1811/05/09/pdfs/GEI-1811-61.pdf#page=7","Abrir facsímil")</f>
        <v>Abrir facsímil</v>
      </c>
      <c r="K3192" s="3" t="s">
        <v>150</v>
      </c>
    </row>
    <row r="3193" spans="1:11" ht="42" customHeight="1">
      <c r="A3193" s="2" t="s">
        <v>8999</v>
      </c>
      <c r="B3193" s="2" t="s">
        <v>8999</v>
      </c>
      <c r="C3193" s="2" t="s">
        <v>17</v>
      </c>
      <c r="D3193" s="2" t="s">
        <v>156</v>
      </c>
      <c r="E3193" s="4">
        <v>-32405</v>
      </c>
      <c r="F3193" s="3" t="s">
        <v>1413</v>
      </c>
      <c r="G3193" s="3" t="s">
        <v>3218</v>
      </c>
      <c r="H3193" s="2" t="s">
        <v>148</v>
      </c>
      <c r="I3193" s="2" t="s">
        <v>9000</v>
      </c>
      <c r="J3193" s="3" t="str">
        <f>HYPERLINK("https://www.boe.es/gazeta/dias/1811/04/11/pdfs/GEI-1811-49.pdf#page=2","Abrir facsímil")</f>
        <v>Abrir facsímil</v>
      </c>
      <c r="K3193" s="3" t="s">
        <v>150</v>
      </c>
    </row>
    <row r="3194" spans="1:11" ht="42" customHeight="1">
      <c r="A3194" s="2" t="s">
        <v>9001</v>
      </c>
      <c r="B3194" s="2" t="s">
        <v>9002</v>
      </c>
      <c r="C3194" s="2" t="s">
        <v>367</v>
      </c>
      <c r="D3194" s="2" t="s">
        <v>18</v>
      </c>
      <c r="E3194" s="4">
        <v>-32396</v>
      </c>
      <c r="F3194" s="3" t="s">
        <v>1267</v>
      </c>
      <c r="G3194" s="3" t="s">
        <v>6010</v>
      </c>
      <c r="H3194" s="2" t="s">
        <v>148</v>
      </c>
      <c r="I3194" s="2" t="s">
        <v>9003</v>
      </c>
      <c r="J3194" s="3" t="str">
        <f>HYPERLINK("https://www.boe.es/gazeta/dias/1811/04/20/pdfs/GMD-1811-110.pdf#page=1","Abrir facsímil")</f>
        <v>Abrir facsímil</v>
      </c>
      <c r="K3194" s="3" t="s">
        <v>150</v>
      </c>
    </row>
    <row r="3195" spans="1:11" ht="42" customHeight="1">
      <c r="A3195" s="2" t="s">
        <v>9004</v>
      </c>
      <c r="B3195" s="2" t="s">
        <v>9005</v>
      </c>
      <c r="C3195" s="2" t="s">
        <v>17</v>
      </c>
      <c r="D3195" s="2" t="s">
        <v>156</v>
      </c>
      <c r="E3195" s="4">
        <v>-32405</v>
      </c>
      <c r="F3195" s="3" t="s">
        <v>1413</v>
      </c>
      <c r="G3195" s="3" t="s">
        <v>248</v>
      </c>
      <c r="H3195" s="2" t="s">
        <v>148</v>
      </c>
      <c r="I3195" s="2" t="s">
        <v>9006</v>
      </c>
      <c r="J3195" s="3" t="str">
        <f>HYPERLINK("https://www.boe.es/gazeta/dias/1811/04/11/pdfs/GEI-1811-49.pdf#page=7","Abrir facsímil")</f>
        <v>Abrir facsímil</v>
      </c>
      <c r="K3195" s="3" t="s">
        <v>150</v>
      </c>
    </row>
    <row r="3196" spans="1:11" ht="42" customHeight="1">
      <c r="A3196" s="2" t="s">
        <v>9007</v>
      </c>
      <c r="B3196" s="2" t="s">
        <v>9008</v>
      </c>
      <c r="C3196" s="2" t="s">
        <v>17</v>
      </c>
      <c r="D3196" s="2" t="s">
        <v>18</v>
      </c>
      <c r="E3196" s="4">
        <v>-32431</v>
      </c>
      <c r="F3196" s="3" t="s">
        <v>342</v>
      </c>
      <c r="G3196" s="3" t="s">
        <v>91</v>
      </c>
      <c r="H3196" s="2" t="s">
        <v>148</v>
      </c>
      <c r="I3196" s="2" t="s">
        <v>9009</v>
      </c>
      <c r="J3196" s="3" t="str">
        <f>HYPERLINK("https://www.boe.es/gazeta/dias/1811/03/16/pdfs/GEI-1811-38.pdf#page=1","Abrir facsímil")</f>
        <v>Abrir facsímil</v>
      </c>
      <c r="K3196" s="3" t="s">
        <v>150</v>
      </c>
    </row>
    <row r="3197" spans="1:11" ht="42" customHeight="1">
      <c r="A3197" s="2" t="s">
        <v>9007</v>
      </c>
      <c r="B3197" s="2" t="s">
        <v>9008</v>
      </c>
      <c r="C3197" s="2" t="s">
        <v>17</v>
      </c>
      <c r="D3197" s="2" t="s">
        <v>156</v>
      </c>
      <c r="E3197" s="4">
        <v>-32347</v>
      </c>
      <c r="F3197" s="3" t="s">
        <v>1911</v>
      </c>
      <c r="G3197" s="3" t="s">
        <v>57</v>
      </c>
      <c r="H3197" s="2" t="s">
        <v>148</v>
      </c>
      <c r="I3197" s="2" t="s">
        <v>9010</v>
      </c>
      <c r="J3197" s="3" t="str">
        <f>HYPERLINK("https://www.boe.es/gazeta/dias/1811/06/08/pdfs/GEI-1811-77.pdf#page=2","Abrir facsímil")</f>
        <v>Abrir facsímil</v>
      </c>
      <c r="K3197" s="3" t="s">
        <v>150</v>
      </c>
    </row>
    <row r="3198" spans="1:11" ht="42" customHeight="1">
      <c r="A3198" s="2" t="s">
        <v>9011</v>
      </c>
      <c r="B3198" s="2" t="s">
        <v>9011</v>
      </c>
      <c r="C3198" s="2" t="s">
        <v>17</v>
      </c>
      <c r="D3198" s="2" t="s">
        <v>18</v>
      </c>
      <c r="E3198" s="4">
        <v>-32431</v>
      </c>
      <c r="F3198" s="3" t="s">
        <v>342</v>
      </c>
      <c r="G3198" s="3" t="s">
        <v>162</v>
      </c>
      <c r="H3198" s="2" t="s">
        <v>148</v>
      </c>
      <c r="I3198" s="2" t="s">
        <v>9012</v>
      </c>
      <c r="J3198" s="3" t="str">
        <f>HYPERLINK("https://www.boe.es/gazeta/dias/1811/03/16/pdfs/GEI-1811-38.pdf#page=2","Abrir facsímil")</f>
        <v>Abrir facsímil</v>
      </c>
      <c r="K3198" s="3" t="s">
        <v>150</v>
      </c>
    </row>
    <row r="3199" spans="1:11" ht="42" customHeight="1">
      <c r="A3199" s="2" t="s">
        <v>9013</v>
      </c>
      <c r="B3199" s="2" t="s">
        <v>9014</v>
      </c>
      <c r="C3199" s="2" t="s">
        <v>17</v>
      </c>
      <c r="D3199" s="2" t="s">
        <v>18</v>
      </c>
      <c r="E3199" s="4">
        <v>-32347</v>
      </c>
      <c r="F3199" s="3" t="s">
        <v>1911</v>
      </c>
      <c r="G3199" s="3" t="s">
        <v>57</v>
      </c>
      <c r="H3199" s="2" t="s">
        <v>148</v>
      </c>
      <c r="I3199" s="2" t="s">
        <v>9015</v>
      </c>
      <c r="J3199" s="3" t="str">
        <f>HYPERLINK("https://www.boe.es/gazeta/dias/1811/06/08/pdfs/GEI-1811-77.pdf#page=2","Abrir facsímil")</f>
        <v>Abrir facsímil</v>
      </c>
      <c r="K3199" s="3" t="s">
        <v>150</v>
      </c>
    </row>
    <row r="3200" spans="1:11" ht="42" customHeight="1">
      <c r="A3200" s="2" t="s">
        <v>9016</v>
      </c>
      <c r="B3200" s="2" t="s">
        <v>9017</v>
      </c>
      <c r="C3200" s="2" t="s">
        <v>17</v>
      </c>
      <c r="D3200" s="2" t="s">
        <v>156</v>
      </c>
      <c r="E3200" s="4">
        <v>-32396</v>
      </c>
      <c r="F3200" s="3" t="s">
        <v>2393</v>
      </c>
      <c r="G3200" s="3" t="s">
        <v>9018</v>
      </c>
      <c r="H3200" s="2" t="s">
        <v>148</v>
      </c>
      <c r="I3200" s="2" t="s">
        <v>9019</v>
      </c>
      <c r="J3200" s="3" t="str">
        <f>HYPERLINK("https://www.boe.es/gazeta/dias/1811/04/20/pdfs/GEI-1811-53.pdf#page=3","Abrir facsímil")</f>
        <v>Abrir facsímil</v>
      </c>
      <c r="K3200" s="3" t="s">
        <v>150</v>
      </c>
    </row>
    <row r="3201" spans="1:11" ht="42" customHeight="1">
      <c r="A3201" s="2" t="s">
        <v>9020</v>
      </c>
      <c r="B3201" s="2" t="s">
        <v>9020</v>
      </c>
      <c r="C3201" s="2" t="s">
        <v>17</v>
      </c>
      <c r="D3201" s="2" t="s">
        <v>18</v>
      </c>
      <c r="E3201" s="4">
        <v>-32207</v>
      </c>
      <c r="F3201" s="3" t="s">
        <v>2761</v>
      </c>
      <c r="G3201" s="3" t="s">
        <v>9021</v>
      </c>
      <c r="H3201" s="2" t="s">
        <v>148</v>
      </c>
      <c r="I3201" s="2" t="s">
        <v>9022</v>
      </c>
      <c r="J3201" s="3" t="str">
        <f>HYPERLINK("https://www.boe.es/gazeta/dias/1811/10/26/pdfs/GMD-1811-299.pdf#page=3","Abrir facsímil")</f>
        <v>Abrir facsímil</v>
      </c>
      <c r="K3201" s="3" t="s">
        <v>150</v>
      </c>
    </row>
    <row r="3202" spans="1:11" ht="42" customHeight="1">
      <c r="A3202" s="2" t="s">
        <v>9023</v>
      </c>
      <c r="B3202" s="2" t="s">
        <v>9024</v>
      </c>
      <c r="C3202" s="2" t="s">
        <v>17</v>
      </c>
      <c r="D3202" s="2" t="s">
        <v>18</v>
      </c>
      <c r="E3202" s="4">
        <v>-32330</v>
      </c>
      <c r="F3202" s="3" t="s">
        <v>1824</v>
      </c>
      <c r="G3202" s="3" t="s">
        <v>1825</v>
      </c>
      <c r="H3202" s="2" t="s">
        <v>148</v>
      </c>
      <c r="I3202" s="2" t="s">
        <v>9025</v>
      </c>
      <c r="J3202" s="3" t="str">
        <f>HYPERLINK("https://www.boe.es/gazeta/dias/1811/06/25/pdfs/GEI-1811-84.pdf#page=6","Abrir facsímil")</f>
        <v>Abrir facsímil</v>
      </c>
      <c r="K3202" s="3" t="s">
        <v>150</v>
      </c>
    </row>
    <row r="3203" spans="1:11" ht="42" customHeight="1">
      <c r="A3203" s="2" t="s">
        <v>9026</v>
      </c>
      <c r="B3203" s="2" t="s">
        <v>9027</v>
      </c>
      <c r="C3203" s="2" t="s">
        <v>26</v>
      </c>
      <c r="D3203" s="2" t="s">
        <v>18</v>
      </c>
      <c r="E3203" s="4">
        <v>-32442</v>
      </c>
      <c r="F3203" s="3" t="s">
        <v>634</v>
      </c>
      <c r="G3203" s="3" t="s">
        <v>2213</v>
      </c>
      <c r="H3203" s="2" t="s">
        <v>148</v>
      </c>
      <c r="I3203" s="2" t="s">
        <v>9028</v>
      </c>
      <c r="J3203" s="3" t="str">
        <f>HYPERLINK("https://www.boe.es/gazeta/dias/1811/03/05/pdfs/GEI-1811-29.pdf#page=7","Abrir facsímil")</f>
        <v>Abrir facsímil</v>
      </c>
      <c r="K3203" s="3" t="s">
        <v>150</v>
      </c>
    </row>
    <row r="3204" spans="1:11" ht="42" customHeight="1">
      <c r="A3204" s="2" t="s">
        <v>9026</v>
      </c>
      <c r="B3204" s="2" t="s">
        <v>9027</v>
      </c>
      <c r="C3204" s="2" t="s">
        <v>26</v>
      </c>
      <c r="D3204" s="2" t="s">
        <v>18</v>
      </c>
      <c r="E3204" s="4">
        <v>-32431</v>
      </c>
      <c r="F3204" s="3" t="s">
        <v>342</v>
      </c>
      <c r="G3204" s="3" t="s">
        <v>476</v>
      </c>
      <c r="H3204" s="2" t="s">
        <v>148</v>
      </c>
      <c r="I3204" s="2" t="s">
        <v>9029</v>
      </c>
      <c r="J3204" s="3" t="str">
        <f>HYPERLINK("https://www.boe.es/gazeta/dias/1811/03/16/pdfs/GEI-1811-38.pdf#page=7","Abrir facsímil")</f>
        <v>Abrir facsímil</v>
      </c>
      <c r="K3204" s="3" t="s">
        <v>150</v>
      </c>
    </row>
    <row r="3205" spans="1:11" ht="42" customHeight="1">
      <c r="A3205" s="2" t="s">
        <v>9026</v>
      </c>
      <c r="B3205" s="2" t="s">
        <v>9027</v>
      </c>
      <c r="C3205" s="2" t="s">
        <v>26</v>
      </c>
      <c r="D3205" s="2" t="s">
        <v>18</v>
      </c>
      <c r="E3205" s="4">
        <v>-32424</v>
      </c>
      <c r="F3205" s="3" t="s">
        <v>1028</v>
      </c>
      <c r="G3205" s="3" t="s">
        <v>9030</v>
      </c>
      <c r="H3205" s="2" t="s">
        <v>148</v>
      </c>
      <c r="I3205" s="2" t="s">
        <v>9031</v>
      </c>
      <c r="J3205" s="3" t="str">
        <f>HYPERLINK("https://www.boe.es/gazeta/dias/1811/03/23/pdfs/GEI-1811-41.pdf#page=6","Abrir facsímil")</f>
        <v>Abrir facsímil</v>
      </c>
      <c r="K3205" s="3" t="s">
        <v>150</v>
      </c>
    </row>
    <row r="3206" spans="1:11" ht="42" customHeight="1">
      <c r="A3206" s="2" t="s">
        <v>9026</v>
      </c>
      <c r="B3206" s="2" t="s">
        <v>9027</v>
      </c>
      <c r="C3206" s="2" t="s">
        <v>17</v>
      </c>
      <c r="D3206" s="2" t="s">
        <v>18</v>
      </c>
      <c r="E3206" s="4">
        <v>-32298</v>
      </c>
      <c r="F3206" s="3" t="s">
        <v>133</v>
      </c>
      <c r="G3206" s="3" t="s">
        <v>20</v>
      </c>
      <c r="H3206" s="2" t="s">
        <v>148</v>
      </c>
      <c r="I3206" s="2" t="s">
        <v>9032</v>
      </c>
      <c r="J3206" s="3" t="str">
        <f>HYPERLINK("https://www.boe.es/gazeta/dias/1811/07/27/pdfs/GEI-1811-98.pdf#page=4","Abrir facsímil")</f>
        <v>Abrir facsímil</v>
      </c>
      <c r="K3206" s="3" t="s">
        <v>150</v>
      </c>
    </row>
    <row r="3207" spans="1:11" ht="42" customHeight="1">
      <c r="A3207" s="2" t="s">
        <v>9033</v>
      </c>
      <c r="B3207" s="2" t="s">
        <v>9034</v>
      </c>
      <c r="C3207" s="2" t="s">
        <v>26</v>
      </c>
      <c r="D3207" s="2" t="s">
        <v>18</v>
      </c>
      <c r="E3207" s="4">
        <v>-32210</v>
      </c>
      <c r="F3207" s="3" t="s">
        <v>1737</v>
      </c>
      <c r="G3207" s="3" t="s">
        <v>248</v>
      </c>
      <c r="H3207" s="2" t="s">
        <v>148</v>
      </c>
      <c r="I3207" s="2" t="s">
        <v>9035</v>
      </c>
      <c r="J3207" s="3" t="str">
        <f>HYPERLINK("https://www.boe.es/gazeta/dias/1811/10/23/pdfs/GMD-1811-296.pdf#page=5","Abrir facsímil")</f>
        <v>Abrir facsímil</v>
      </c>
      <c r="K3207" s="3" t="s">
        <v>150</v>
      </c>
    </row>
    <row r="3208" spans="1:11" ht="42" customHeight="1">
      <c r="A3208" s="2" t="s">
        <v>9036</v>
      </c>
      <c r="B3208" s="2" t="s">
        <v>9037</v>
      </c>
      <c r="C3208" s="2" t="s">
        <v>26</v>
      </c>
      <c r="D3208" s="2" t="s">
        <v>18</v>
      </c>
      <c r="E3208" s="4">
        <v>-32466</v>
      </c>
      <c r="F3208" s="3" t="s">
        <v>1514</v>
      </c>
      <c r="G3208" s="3" t="s">
        <v>418</v>
      </c>
      <c r="H3208" s="2" t="s">
        <v>148</v>
      </c>
      <c r="I3208" s="2" t="s">
        <v>9038</v>
      </c>
      <c r="J3208" s="3" t="str">
        <f>HYPERLINK("https://www.boe.es/gazeta/dias/1811/02/09/pdfs/GEI-1811-18.pdf#page=7","Abrir facsímil")</f>
        <v>Abrir facsímil</v>
      </c>
      <c r="K3208" s="3" t="s">
        <v>150</v>
      </c>
    </row>
    <row r="3209" spans="1:11" ht="42" customHeight="1">
      <c r="A3209" s="2" t="s">
        <v>9039</v>
      </c>
      <c r="B3209" s="2" t="s">
        <v>9040</v>
      </c>
      <c r="C3209" s="2" t="s">
        <v>26</v>
      </c>
      <c r="D3209" s="2" t="s">
        <v>18</v>
      </c>
      <c r="E3209" s="4">
        <v>-32237</v>
      </c>
      <c r="F3209" s="3" t="s">
        <v>717</v>
      </c>
      <c r="G3209" s="3" t="s">
        <v>47</v>
      </c>
      <c r="H3209" s="2" t="s">
        <v>148</v>
      </c>
      <c r="I3209" s="2" t="s">
        <v>9041</v>
      </c>
      <c r="J3209" s="3" t="str">
        <f>HYPERLINK("https://www.boe.es/gazeta/dias/1811/09/26/pdfs/GEI-1811-124.pdf#page=4","Abrir facsímil")</f>
        <v>Abrir facsímil</v>
      </c>
      <c r="K3209" s="3" t="s">
        <v>150</v>
      </c>
    </row>
    <row r="3210" spans="1:11" ht="42" customHeight="1">
      <c r="A3210" s="2" t="s">
        <v>9042</v>
      </c>
      <c r="B3210" s="2" t="s">
        <v>9043</v>
      </c>
      <c r="C3210" s="2" t="s">
        <v>26</v>
      </c>
      <c r="D3210" s="2" t="s">
        <v>18</v>
      </c>
      <c r="E3210" s="4">
        <v>-32433</v>
      </c>
      <c r="F3210" s="3" t="s">
        <v>209</v>
      </c>
      <c r="G3210" s="3" t="s">
        <v>488</v>
      </c>
      <c r="H3210" s="2" t="s">
        <v>148</v>
      </c>
      <c r="I3210" s="2" t="s">
        <v>9044</v>
      </c>
      <c r="J3210" s="3" t="str">
        <f>HYPERLINK("https://www.boe.es/gazeta/dias/1811/03/14/pdfs/GMD-1811-73.pdf#page=2","Abrir facsímil")</f>
        <v>Abrir facsímil</v>
      </c>
      <c r="K3210" s="3" t="s">
        <v>150</v>
      </c>
    </row>
    <row r="3211" spans="1:11" ht="42" customHeight="1">
      <c r="A3211" s="2" t="s">
        <v>9045</v>
      </c>
      <c r="B3211" s="2" t="s">
        <v>9046</v>
      </c>
      <c r="C3211" s="2" t="s">
        <v>37</v>
      </c>
      <c r="D3211" s="2" t="s">
        <v>204</v>
      </c>
      <c r="E3211" s="4">
        <v>-32433</v>
      </c>
      <c r="F3211" s="3" t="s">
        <v>209</v>
      </c>
      <c r="G3211" s="3" t="s">
        <v>488</v>
      </c>
      <c r="H3211" s="2" t="s">
        <v>148</v>
      </c>
      <c r="I3211" s="2" t="s">
        <v>9047</v>
      </c>
      <c r="J3211" s="3" t="str">
        <f>HYPERLINK("https://www.boe.es/gazeta/dias/1811/03/14/pdfs/GMD-1811-73.pdf#page=2","Abrir facsímil")</f>
        <v>Abrir facsímil</v>
      </c>
      <c r="K3211" s="3" t="s">
        <v>150</v>
      </c>
    </row>
    <row r="3212" spans="1:11" ht="42" customHeight="1">
      <c r="A3212" s="2" t="s">
        <v>9048</v>
      </c>
      <c r="B3212" s="2" t="s">
        <v>9049</v>
      </c>
      <c r="C3212" s="2" t="s">
        <v>26</v>
      </c>
      <c r="D3212" s="2" t="s">
        <v>18</v>
      </c>
      <c r="E3212" s="4">
        <v>-32226</v>
      </c>
      <c r="F3212" s="3" t="s">
        <v>618</v>
      </c>
      <c r="G3212" s="3" t="s">
        <v>1565</v>
      </c>
      <c r="H3212" s="2" t="s">
        <v>148</v>
      </c>
      <c r="I3212" s="2" t="s">
        <v>9050</v>
      </c>
      <c r="J3212" s="3" t="str">
        <f>HYPERLINK("https://www.boe.es/gazeta/dias/1811/10/07/pdfs/GMD-1811-280.pdf#page=4","Abrir facsímil")</f>
        <v>Abrir facsímil</v>
      </c>
      <c r="K3212" s="3" t="s">
        <v>150</v>
      </c>
    </row>
    <row r="3213" spans="1:11" ht="42" customHeight="1">
      <c r="A3213" s="2" t="s">
        <v>9051</v>
      </c>
      <c r="B3213" s="2" t="s">
        <v>9052</v>
      </c>
      <c r="C3213" s="2" t="s">
        <v>17</v>
      </c>
      <c r="D3213" s="2" t="s">
        <v>204</v>
      </c>
      <c r="E3213" s="4">
        <v>-32433</v>
      </c>
      <c r="F3213" s="3" t="s">
        <v>209</v>
      </c>
      <c r="G3213" s="3" t="s">
        <v>488</v>
      </c>
      <c r="H3213" s="2" t="s">
        <v>148</v>
      </c>
      <c r="I3213" s="2" t="s">
        <v>9053</v>
      </c>
      <c r="J3213" s="3" t="str">
        <f>HYPERLINK("https://www.boe.es/gazeta/dias/1811/03/14/pdfs/GMD-1811-73.pdf#page=2","Abrir facsímil")</f>
        <v>Abrir facsímil</v>
      </c>
      <c r="K3213" s="3" t="s">
        <v>150</v>
      </c>
    </row>
    <row r="3214" spans="1:11" ht="42" customHeight="1">
      <c r="A3214" s="2" t="s">
        <v>9051</v>
      </c>
      <c r="B3214" s="2" t="s">
        <v>9052</v>
      </c>
      <c r="C3214" s="2" t="s">
        <v>26</v>
      </c>
      <c r="D3214" s="2" t="s">
        <v>141</v>
      </c>
      <c r="E3214" s="4">
        <v>-32249</v>
      </c>
      <c r="F3214" s="3" t="s">
        <v>743</v>
      </c>
      <c r="G3214" s="3" t="s">
        <v>468</v>
      </c>
      <c r="H3214" s="2" t="s">
        <v>148</v>
      </c>
      <c r="I3214" s="2" t="s">
        <v>9054</v>
      </c>
      <c r="J3214" s="3" t="str">
        <f>HYPERLINK("https://www.boe.es/gazeta/dias/1811/09/14/pdfs/GMD-C-1811-257.pdf#page=1","Abrir facsímil")</f>
        <v>Abrir facsímil</v>
      </c>
      <c r="K3214" s="3" t="s">
        <v>150</v>
      </c>
    </row>
    <row r="3215" spans="1:11" ht="42" customHeight="1">
      <c r="A3215" s="2" t="s">
        <v>9051</v>
      </c>
      <c r="B3215" s="2" t="s">
        <v>9052</v>
      </c>
      <c r="C3215" s="2" t="s">
        <v>104</v>
      </c>
      <c r="D3215" s="2" t="s">
        <v>18</v>
      </c>
      <c r="E3215" s="4">
        <v>-32188</v>
      </c>
      <c r="F3215" s="3" t="s">
        <v>356</v>
      </c>
      <c r="G3215" s="3" t="s">
        <v>248</v>
      </c>
      <c r="H3215" s="2" t="s">
        <v>148</v>
      </c>
      <c r="I3215" s="2" t="s">
        <v>9055</v>
      </c>
      <c r="J3215" s="3" t="str">
        <f>HYPERLINK("https://www.boe.es/gazeta/dias/1811/11/14/pdfs/GMD-1811-318.pdf#page=5","Abrir facsímil")</f>
        <v>Abrir facsímil</v>
      </c>
      <c r="K3215" s="3" t="s">
        <v>150</v>
      </c>
    </row>
    <row r="3216" spans="1:11" ht="42" customHeight="1">
      <c r="A3216" s="2" t="s">
        <v>9056</v>
      </c>
      <c r="B3216" s="2" t="s">
        <v>9057</v>
      </c>
      <c r="C3216" s="2" t="s">
        <v>104</v>
      </c>
      <c r="D3216" s="2" t="s">
        <v>528</v>
      </c>
      <c r="E3216" s="4">
        <v>-32219</v>
      </c>
      <c r="F3216" s="3" t="s">
        <v>529</v>
      </c>
      <c r="G3216" s="3" t="s">
        <v>530</v>
      </c>
      <c r="H3216" s="2" t="s">
        <v>148</v>
      </c>
      <c r="I3216" s="2" t="s">
        <v>9058</v>
      </c>
      <c r="J3216" s="3" t="str">
        <f>HYPERLINK("https://www.boe.es/gazeta/dias/1811/10/14/pdfs/GEI-1811-132E.pdf#page=4","Abrir facsímil")</f>
        <v>Abrir facsímil</v>
      </c>
      <c r="K3216" s="3" t="s">
        <v>150</v>
      </c>
    </row>
    <row r="3217" spans="1:11" ht="42" customHeight="1">
      <c r="A3217" s="2" t="s">
        <v>9059</v>
      </c>
      <c r="B3217" s="2" t="s">
        <v>9060</v>
      </c>
      <c r="C3217" s="2" t="s">
        <v>26</v>
      </c>
      <c r="D3217" s="2" t="s">
        <v>18</v>
      </c>
      <c r="E3217" s="4">
        <v>-32179</v>
      </c>
      <c r="F3217" s="3" t="s">
        <v>614</v>
      </c>
      <c r="G3217" s="3" t="s">
        <v>47</v>
      </c>
      <c r="H3217" s="2" t="s">
        <v>148</v>
      </c>
      <c r="I3217" s="2" t="s">
        <v>9061</v>
      </c>
      <c r="J3217" s="3" t="str">
        <f>HYPERLINK("https://www.boe.es/gazeta/dias/1811/11/23/pdfs/GEI-1811-153.pdf#page=8","Abrir facsímil")</f>
        <v>Abrir facsímil</v>
      </c>
      <c r="K3217" s="3" t="s">
        <v>150</v>
      </c>
    </row>
    <row r="3218" spans="1:11" ht="42" customHeight="1">
      <c r="A3218" s="2" t="s">
        <v>9062</v>
      </c>
      <c r="B3218" s="2" t="s">
        <v>9063</v>
      </c>
      <c r="C3218" s="2" t="s">
        <v>26</v>
      </c>
      <c r="D3218" s="2" t="s">
        <v>18</v>
      </c>
      <c r="E3218" s="4">
        <v>-32288</v>
      </c>
      <c r="F3218" s="3" t="s">
        <v>95</v>
      </c>
      <c r="G3218" s="3" t="s">
        <v>47</v>
      </c>
      <c r="H3218" s="2" t="s">
        <v>148</v>
      </c>
      <c r="I3218" s="2" t="s">
        <v>9064</v>
      </c>
      <c r="J3218" s="3" t="str">
        <f>HYPERLINK("https://www.boe.es/gazeta/dias/1811/08/06/pdfs/GEI-1811-102.pdf#page=8","Abrir facsímil")</f>
        <v>Abrir facsímil</v>
      </c>
      <c r="K3218" s="3" t="s">
        <v>150</v>
      </c>
    </row>
    <row r="3219" spans="1:11" ht="42" customHeight="1">
      <c r="A3219" s="2" t="s">
        <v>9065</v>
      </c>
      <c r="B3219" s="2" t="s">
        <v>9066</v>
      </c>
      <c r="C3219" s="2" t="s">
        <v>26</v>
      </c>
      <c r="D3219" s="2" t="s">
        <v>18</v>
      </c>
      <c r="E3219" s="4">
        <v>-32237</v>
      </c>
      <c r="F3219" s="3" t="s">
        <v>717</v>
      </c>
      <c r="G3219" s="3" t="s">
        <v>47</v>
      </c>
      <c r="H3219" s="2" t="s">
        <v>148</v>
      </c>
      <c r="I3219" s="2" t="s">
        <v>9067</v>
      </c>
      <c r="J3219" s="3" t="str">
        <f>HYPERLINK("https://www.boe.es/gazeta/dias/1811/09/26/pdfs/GEI-1811-124.pdf#page=4","Abrir facsímil")</f>
        <v>Abrir facsímil</v>
      </c>
      <c r="K3219" s="3" t="s">
        <v>150</v>
      </c>
    </row>
    <row r="3220" spans="1:11" ht="42" customHeight="1">
      <c r="A3220" s="2" t="s">
        <v>9068</v>
      </c>
      <c r="B3220" s="2" t="s">
        <v>9069</v>
      </c>
      <c r="C3220" s="2" t="s">
        <v>26</v>
      </c>
      <c r="D3220" s="2" t="s">
        <v>18</v>
      </c>
      <c r="E3220" s="4">
        <v>-32158</v>
      </c>
      <c r="F3220" s="3" t="s">
        <v>46</v>
      </c>
      <c r="G3220" s="3" t="s">
        <v>47</v>
      </c>
      <c r="H3220" s="2" t="s">
        <v>148</v>
      </c>
      <c r="I3220" s="2" t="s">
        <v>9070</v>
      </c>
      <c r="J3220" s="3" t="str">
        <f>HYPERLINK("https://www.boe.es/gazeta/dias/1811/12/14/pdfs/GEI-1811-162.pdf#page=7","Abrir facsímil")</f>
        <v>Abrir facsímil</v>
      </c>
      <c r="K3220" s="3" t="s">
        <v>150</v>
      </c>
    </row>
    <row r="3221" spans="1:11" ht="42" customHeight="1">
      <c r="A3221" s="2" t="s">
        <v>9071</v>
      </c>
      <c r="B3221" s="2" t="s">
        <v>9072</v>
      </c>
      <c r="C3221" s="2" t="s">
        <v>26</v>
      </c>
      <c r="D3221" s="2" t="s">
        <v>18</v>
      </c>
      <c r="E3221" s="4">
        <v>-32197</v>
      </c>
      <c r="F3221" s="3" t="s">
        <v>687</v>
      </c>
      <c r="G3221" s="3" t="s">
        <v>688</v>
      </c>
      <c r="H3221" s="2" t="s">
        <v>21</v>
      </c>
      <c r="I3221" s="2" t="s">
        <v>9073</v>
      </c>
      <c r="J3221" s="3" t="str">
        <f>HYPERLINK("https://www.boe.es/gazeta/dias/1811/11/05/pdfs/GEI-1811-143.pdf#page=7","Abrir facsímil")</f>
        <v>Abrir facsímil</v>
      </c>
      <c r="K3221" s="3" t="s">
        <v>23</v>
      </c>
    </row>
    <row r="3222" spans="1:11" ht="42" customHeight="1">
      <c r="A3222" s="2" t="s">
        <v>9074</v>
      </c>
      <c r="B3222" s="2" t="s">
        <v>9075</v>
      </c>
      <c r="C3222" s="2" t="s">
        <v>26</v>
      </c>
      <c r="D3222" s="2" t="s">
        <v>18</v>
      </c>
      <c r="E3222" s="4">
        <v>-32505</v>
      </c>
      <c r="F3222" s="3" t="s">
        <v>475</v>
      </c>
      <c r="G3222" s="3" t="s">
        <v>476</v>
      </c>
      <c r="H3222" s="2" t="s">
        <v>148</v>
      </c>
      <c r="I3222" s="2" t="s">
        <v>9076</v>
      </c>
      <c r="J3222" s="3" t="str">
        <f>HYPERLINK("https://www.boe.es/gazeta/dias/1811/01/01/pdfs/GEI-1811-1.pdf#page=7","Abrir facsímil")</f>
        <v>Abrir facsímil</v>
      </c>
      <c r="K3222" s="3" t="s">
        <v>150</v>
      </c>
    </row>
    <row r="3223" spans="1:11" ht="42" customHeight="1">
      <c r="A3223" s="2" t="s">
        <v>9074</v>
      </c>
      <c r="B3223" s="2" t="s">
        <v>9075</v>
      </c>
      <c r="C3223" s="2" t="s">
        <v>26</v>
      </c>
      <c r="D3223" s="2" t="s">
        <v>18</v>
      </c>
      <c r="E3223" s="4">
        <v>-32505</v>
      </c>
      <c r="F3223" s="3" t="s">
        <v>475</v>
      </c>
      <c r="G3223" s="3" t="s">
        <v>755</v>
      </c>
      <c r="H3223" s="2" t="s">
        <v>148</v>
      </c>
      <c r="I3223" s="2" t="s">
        <v>9077</v>
      </c>
      <c r="J3223" s="3" t="str">
        <f>HYPERLINK("https://www.boe.es/gazeta/dias/1811/01/01/pdfs/GEI-1811-1.pdf#page=8","Abrir facsímil")</f>
        <v>Abrir facsímil</v>
      </c>
      <c r="K3223" s="3" t="s">
        <v>150</v>
      </c>
    </row>
    <row r="3224" spans="1:11" ht="42" customHeight="1">
      <c r="A3224" s="2" t="s">
        <v>9078</v>
      </c>
      <c r="B3224" s="2" t="s">
        <v>9079</v>
      </c>
      <c r="C3224" s="2" t="s">
        <v>37</v>
      </c>
      <c r="D3224" s="2" t="s">
        <v>18</v>
      </c>
      <c r="E3224" s="4">
        <v>-32361</v>
      </c>
      <c r="F3224" s="3" t="s">
        <v>1104</v>
      </c>
      <c r="G3224" s="3" t="s">
        <v>2213</v>
      </c>
      <c r="H3224" s="2" t="s">
        <v>148</v>
      </c>
      <c r="I3224" s="2" t="s">
        <v>9080</v>
      </c>
      <c r="J3224" s="3" t="str">
        <f>HYPERLINK("https://www.boe.es/gazeta/dias/1811/05/25/pdfs/GEI-1811-71.pdf#page=8","Abrir facsímil")</f>
        <v>Abrir facsímil</v>
      </c>
      <c r="K3224" s="3" t="s">
        <v>150</v>
      </c>
    </row>
    <row r="3225" spans="1:11" ht="42" customHeight="1">
      <c r="A3225" s="2" t="s">
        <v>9081</v>
      </c>
      <c r="B3225" s="2" t="s">
        <v>9082</v>
      </c>
      <c r="C3225" s="2" t="s">
        <v>26</v>
      </c>
      <c r="D3225" s="2" t="s">
        <v>18</v>
      </c>
      <c r="E3225" s="4">
        <v>-32505</v>
      </c>
      <c r="F3225" s="3" t="s">
        <v>475</v>
      </c>
      <c r="G3225" s="3" t="s">
        <v>476</v>
      </c>
      <c r="H3225" s="2" t="s">
        <v>148</v>
      </c>
      <c r="I3225" s="2" t="s">
        <v>9083</v>
      </c>
      <c r="J3225" s="3" t="str">
        <f>HYPERLINK("https://www.boe.es/gazeta/dias/1811/01/01/pdfs/GEI-1811-1.pdf#page=7","Abrir facsímil")</f>
        <v>Abrir facsímil</v>
      </c>
      <c r="K3225" s="3" t="s">
        <v>150</v>
      </c>
    </row>
    <row r="3226" spans="1:11" ht="42" customHeight="1">
      <c r="A3226" s="2" t="s">
        <v>9084</v>
      </c>
      <c r="B3226" s="2" t="s">
        <v>9085</v>
      </c>
      <c r="C3226" s="2" t="s">
        <v>26</v>
      </c>
      <c r="D3226" s="2" t="s">
        <v>18</v>
      </c>
      <c r="E3226" s="4">
        <v>-32204</v>
      </c>
      <c r="F3226" s="3" t="s">
        <v>177</v>
      </c>
      <c r="G3226" s="3" t="s">
        <v>178</v>
      </c>
      <c r="H3226" s="2" t="s">
        <v>148</v>
      </c>
      <c r="I3226" s="2" t="s">
        <v>9086</v>
      </c>
      <c r="J3226" s="3" t="str">
        <f>HYPERLINK("https://www.boe.es/gazeta/dias/1811/10/29/pdfs/GMD-1811-302.pdf#page=4","Abrir facsímil")</f>
        <v>Abrir facsímil</v>
      </c>
      <c r="K3226" s="3" t="s">
        <v>150</v>
      </c>
    </row>
    <row r="3227" spans="1:11" ht="42" customHeight="1">
      <c r="A3227" s="2" t="s">
        <v>9087</v>
      </c>
      <c r="B3227" s="2" t="s">
        <v>9088</v>
      </c>
      <c r="C3227" s="2" t="s">
        <v>37</v>
      </c>
      <c r="D3227" s="2" t="s">
        <v>18</v>
      </c>
      <c r="E3227" s="4">
        <v>-32187</v>
      </c>
      <c r="F3227" s="3" t="s">
        <v>1775</v>
      </c>
      <c r="G3227" s="3" t="s">
        <v>657</v>
      </c>
      <c r="H3227" s="2" t="s">
        <v>148</v>
      </c>
      <c r="I3227" s="2" t="s">
        <v>9089</v>
      </c>
      <c r="J3227" s="3" t="str">
        <f>HYPERLINK("https://www.boe.es/gazeta/dias/1811/11/15/pdfs/GMD-1811-319.pdf#page=4","Abrir facsímil")</f>
        <v>Abrir facsímil</v>
      </c>
      <c r="K3227" s="3" t="s">
        <v>150</v>
      </c>
    </row>
    <row r="3228" spans="1:11" ht="42" customHeight="1">
      <c r="A3228" s="2" t="s">
        <v>9090</v>
      </c>
      <c r="B3228" s="2" t="s">
        <v>9091</v>
      </c>
      <c r="C3228" s="2" t="s">
        <v>26</v>
      </c>
      <c r="D3228" s="2" t="s">
        <v>18</v>
      </c>
      <c r="E3228" s="4">
        <v>-32179</v>
      </c>
      <c r="F3228" s="3" t="s">
        <v>614</v>
      </c>
      <c r="G3228" s="3" t="s">
        <v>47</v>
      </c>
      <c r="H3228" s="2" t="s">
        <v>148</v>
      </c>
      <c r="I3228" s="2" t="s">
        <v>9092</v>
      </c>
      <c r="J3228" s="3" t="str">
        <f>HYPERLINK("https://www.boe.es/gazeta/dias/1811/11/23/pdfs/GEI-1811-153.pdf#page=8","Abrir facsímil")</f>
        <v>Abrir facsímil</v>
      </c>
      <c r="K3228" s="3" t="s">
        <v>150</v>
      </c>
    </row>
    <row r="3229" spans="1:11" ht="42" customHeight="1">
      <c r="A3229" s="2" t="s">
        <v>9093</v>
      </c>
      <c r="B3229" s="2" t="s">
        <v>9093</v>
      </c>
      <c r="C3229" s="2" t="s">
        <v>26</v>
      </c>
      <c r="D3229" s="2" t="s">
        <v>18</v>
      </c>
      <c r="E3229" s="4">
        <v>-32443</v>
      </c>
      <c r="F3229" s="3" t="s">
        <v>1522</v>
      </c>
      <c r="G3229" s="3" t="s">
        <v>248</v>
      </c>
      <c r="H3229" s="2" t="s">
        <v>148</v>
      </c>
      <c r="I3229" s="2" t="s">
        <v>9094</v>
      </c>
      <c r="J3229" s="3" t="str">
        <f>HYPERLINK("https://www.boe.es/gazeta/dias/1811/03/04/pdfs/GMD-1811-63.pdf#page=1","Abrir facsímil")</f>
        <v>Abrir facsímil</v>
      </c>
      <c r="K3229" s="3" t="s">
        <v>150</v>
      </c>
    </row>
    <row r="3230" spans="1:11" ht="42" customHeight="1">
      <c r="A3230" s="2" t="s">
        <v>9095</v>
      </c>
      <c r="B3230" s="2" t="s">
        <v>9095</v>
      </c>
      <c r="C3230" s="2" t="s">
        <v>26</v>
      </c>
      <c r="D3230" s="2" t="s">
        <v>204</v>
      </c>
      <c r="E3230" s="4">
        <v>-32180</v>
      </c>
      <c r="F3230" s="3" t="s">
        <v>9096</v>
      </c>
      <c r="G3230" s="3" t="s">
        <v>1179</v>
      </c>
      <c r="H3230" s="2" t="s">
        <v>148</v>
      </c>
      <c r="I3230" s="2" t="s">
        <v>9097</v>
      </c>
      <c r="J3230" s="3" t="str">
        <f>HYPERLINK("https://www.boe.es/gazeta/dias/1811/11/22/pdfs/GMD-1811-326.pdf#page=1","Abrir facsímil")</f>
        <v>Abrir facsímil</v>
      </c>
      <c r="K3230" s="3" t="s">
        <v>150</v>
      </c>
    </row>
    <row r="3231" spans="1:11" ht="42" customHeight="1">
      <c r="A3231" s="2" t="s">
        <v>9098</v>
      </c>
      <c r="B3231" s="2" t="s">
        <v>9099</v>
      </c>
      <c r="C3231" s="2" t="s">
        <v>17</v>
      </c>
      <c r="D3231" s="2" t="s">
        <v>156</v>
      </c>
      <c r="E3231" s="4">
        <v>-32463</v>
      </c>
      <c r="F3231" s="3" t="s">
        <v>734</v>
      </c>
      <c r="G3231" s="3" t="s">
        <v>9100</v>
      </c>
      <c r="H3231" s="2" t="s">
        <v>148</v>
      </c>
      <c r="I3231" s="2" t="s">
        <v>9101</v>
      </c>
      <c r="J3231" s="3" t="str">
        <f>HYPERLINK("https://www.boe.es/gazeta/dias/1811/02/12/pdfs/GEI-1811-19.pdf#page=3","Abrir facsímil")</f>
        <v>Abrir facsímil</v>
      </c>
      <c r="K3231" s="3" t="s">
        <v>150</v>
      </c>
    </row>
    <row r="3232" spans="1:11" ht="42" customHeight="1">
      <c r="A3232" s="2" t="s">
        <v>9102</v>
      </c>
      <c r="B3232" s="2" t="s">
        <v>9103</v>
      </c>
      <c r="C3232" s="2" t="s">
        <v>26</v>
      </c>
      <c r="D3232" s="2" t="s">
        <v>141</v>
      </c>
      <c r="E3232" s="4">
        <v>-32272</v>
      </c>
      <c r="F3232" s="3" t="s">
        <v>1150</v>
      </c>
      <c r="G3232" s="3" t="s">
        <v>468</v>
      </c>
      <c r="H3232" s="2" t="s">
        <v>148</v>
      </c>
      <c r="I3232" s="2" t="s">
        <v>9104</v>
      </c>
      <c r="J3232" s="3" t="str">
        <f>HYPERLINK("https://www.boe.es/gazeta/dias/1811/08/22/pdfs/GMD-C-1811-234.pdf#page=2","Abrir facsímil")</f>
        <v>Abrir facsímil</v>
      </c>
      <c r="K3232" s="3" t="s">
        <v>150</v>
      </c>
    </row>
    <row r="3233" spans="1:11" ht="42" customHeight="1">
      <c r="A3233" s="2" t="s">
        <v>9105</v>
      </c>
      <c r="B3233" s="2" t="s">
        <v>9106</v>
      </c>
      <c r="C3233" s="2" t="s">
        <v>84</v>
      </c>
      <c r="D3233" s="2" t="s">
        <v>105</v>
      </c>
      <c r="E3233" s="4">
        <v>-32396</v>
      </c>
      <c r="F3233" s="3" t="s">
        <v>804</v>
      </c>
      <c r="G3233" s="3" t="s">
        <v>805</v>
      </c>
      <c r="H3233" s="2" t="s">
        <v>148</v>
      </c>
      <c r="I3233" s="2" t="s">
        <v>9107</v>
      </c>
      <c r="J3233" s="3" t="str">
        <f>HYPERLINK("https://www.boe.es/gazeta/dias/1811/04/20/pdfs/GEI-D-1811-53.pdf#page=4","Abrir facsímil")</f>
        <v>Abrir facsímil</v>
      </c>
      <c r="K3233" s="3" t="s">
        <v>150</v>
      </c>
    </row>
    <row r="3234" spans="1:11" ht="42" customHeight="1">
      <c r="A3234" s="2" t="s">
        <v>9108</v>
      </c>
      <c r="B3234" s="2" t="s">
        <v>9108</v>
      </c>
      <c r="C3234" s="2" t="s">
        <v>17</v>
      </c>
      <c r="D3234" s="2" t="s">
        <v>18</v>
      </c>
      <c r="E3234" s="4">
        <v>-32426</v>
      </c>
      <c r="F3234" s="3" t="s">
        <v>2729</v>
      </c>
      <c r="G3234" s="3" t="s">
        <v>1784</v>
      </c>
      <c r="H3234" s="2" t="s">
        <v>148</v>
      </c>
      <c r="I3234" s="2" t="s">
        <v>9109</v>
      </c>
      <c r="J3234" s="3" t="str">
        <f>HYPERLINK("https://www.boe.es/gazeta/dias/1811/03/21/pdfs/GEI-1811-40.pdf#page=7","Abrir facsímil")</f>
        <v>Abrir facsímil</v>
      </c>
      <c r="K3234" s="3" t="s">
        <v>150</v>
      </c>
    </row>
    <row r="3235" spans="1:11" ht="42" customHeight="1">
      <c r="A3235" s="2" t="s">
        <v>9110</v>
      </c>
      <c r="B3235" s="2" t="s">
        <v>9111</v>
      </c>
      <c r="C3235" s="2" t="s">
        <v>26</v>
      </c>
      <c r="D3235" s="2" t="s">
        <v>18</v>
      </c>
      <c r="E3235" s="4">
        <v>-32249</v>
      </c>
      <c r="F3235" s="3" t="s">
        <v>182</v>
      </c>
      <c r="G3235" s="3" t="s">
        <v>183</v>
      </c>
      <c r="H3235" s="2" t="s">
        <v>148</v>
      </c>
      <c r="I3235" s="2" t="s">
        <v>9112</v>
      </c>
      <c r="J3235" s="3" t="str">
        <f>HYPERLINK("https://www.boe.es/gazeta/dias/1811/09/14/pdfs/GMD-1811-257.pdf#page=4","Abrir facsímil")</f>
        <v>Abrir facsímil</v>
      </c>
      <c r="K3235" s="3" t="s">
        <v>150</v>
      </c>
    </row>
    <row r="3236" spans="1:11" ht="42" customHeight="1">
      <c r="A3236" s="2" t="s">
        <v>9113</v>
      </c>
      <c r="B3236" s="2" t="s">
        <v>9113</v>
      </c>
      <c r="C3236" s="2" t="s">
        <v>17</v>
      </c>
      <c r="D3236" s="2" t="s">
        <v>156</v>
      </c>
      <c r="E3236" s="4">
        <v>-32227</v>
      </c>
      <c r="F3236" s="3" t="s">
        <v>4688</v>
      </c>
      <c r="G3236" s="3" t="s">
        <v>44</v>
      </c>
      <c r="H3236" s="2" t="s">
        <v>148</v>
      </c>
      <c r="I3236" s="2" t="s">
        <v>9114</v>
      </c>
      <c r="J3236" s="3" t="str">
        <f>HYPERLINK("https://www.boe.es/gazeta/dias/1811/10/06/pdfs/GMD-1811-279.pdf#page=4","Abrir facsímil")</f>
        <v>Abrir facsímil</v>
      </c>
      <c r="K3236" s="3" t="s">
        <v>150</v>
      </c>
    </row>
    <row r="3237" spans="1:11" ht="42" customHeight="1">
      <c r="A3237" s="2" t="s">
        <v>9113</v>
      </c>
      <c r="B3237" s="2" t="s">
        <v>9113</v>
      </c>
      <c r="C3237" s="2" t="s">
        <v>17</v>
      </c>
      <c r="D3237" s="2" t="s">
        <v>18</v>
      </c>
      <c r="E3237" s="4">
        <v>-32203</v>
      </c>
      <c r="F3237" s="3" t="s">
        <v>8645</v>
      </c>
      <c r="G3237" s="3" t="s">
        <v>44</v>
      </c>
      <c r="H3237" s="2" t="s">
        <v>148</v>
      </c>
      <c r="I3237" s="2" t="s">
        <v>9115</v>
      </c>
      <c r="J3237" s="3" t="str">
        <f>HYPERLINK("https://www.boe.es/gazeta/dias/1811/10/30/pdfs/GMD-1811-303.pdf#page=4","Abrir facsímil")</f>
        <v>Abrir facsímil</v>
      </c>
      <c r="K3237" s="3" t="s">
        <v>150</v>
      </c>
    </row>
    <row r="3238" spans="1:11" ht="42" customHeight="1">
      <c r="A3238" s="2" t="s">
        <v>9116</v>
      </c>
      <c r="B3238" s="2" t="s">
        <v>9117</v>
      </c>
      <c r="C3238" s="2" t="s">
        <v>122</v>
      </c>
      <c r="D3238" s="2" t="s">
        <v>204</v>
      </c>
      <c r="E3238" s="4">
        <v>-32359</v>
      </c>
      <c r="F3238" s="3" t="s">
        <v>7795</v>
      </c>
      <c r="G3238" s="3" t="s">
        <v>515</v>
      </c>
      <c r="H3238" s="2" t="s">
        <v>148</v>
      </c>
      <c r="I3238" s="2" t="s">
        <v>9118</v>
      </c>
      <c r="J3238" s="3" t="str">
        <f>HYPERLINK("https://www.boe.es/gazeta/dias/1811/05/27/pdfs/GMD-1811-147.pdf#page=2","Abrir facsímil")</f>
        <v>Abrir facsímil</v>
      </c>
      <c r="K3238" s="3" t="s">
        <v>150</v>
      </c>
    </row>
    <row r="3239" spans="1:11" ht="42" customHeight="1">
      <c r="A3239" s="2" t="s">
        <v>9119</v>
      </c>
      <c r="B3239" s="2" t="s">
        <v>9120</v>
      </c>
      <c r="C3239" s="2" t="s">
        <v>26</v>
      </c>
      <c r="D3239" s="2" t="s">
        <v>204</v>
      </c>
      <c r="E3239" s="4">
        <v>-32433</v>
      </c>
      <c r="F3239" s="3" t="s">
        <v>209</v>
      </c>
      <c r="G3239" s="3" t="s">
        <v>115</v>
      </c>
      <c r="H3239" s="2" t="s">
        <v>148</v>
      </c>
      <c r="I3239" s="2" t="s">
        <v>9121</v>
      </c>
      <c r="J3239" s="3" t="str">
        <f>HYPERLINK("https://www.boe.es/gazeta/dias/1811/03/14/pdfs/GMD-1811-73.pdf#page=3","Abrir facsímil")</f>
        <v>Abrir facsímil</v>
      </c>
      <c r="K3239" s="3" t="s">
        <v>150</v>
      </c>
    </row>
    <row r="3240" spans="1:11" ht="42" customHeight="1">
      <c r="A3240" s="2" t="s">
        <v>9122</v>
      </c>
      <c r="B3240" s="2" t="s">
        <v>9123</v>
      </c>
      <c r="C3240" s="2" t="s">
        <v>26</v>
      </c>
      <c r="D3240" s="2" t="s">
        <v>18</v>
      </c>
      <c r="E3240" s="4">
        <v>-32143</v>
      </c>
      <c r="F3240" s="3" t="s">
        <v>1455</v>
      </c>
      <c r="G3240" s="3" t="s">
        <v>284</v>
      </c>
      <c r="H3240" s="2" t="s">
        <v>148</v>
      </c>
      <c r="I3240" s="2" t="s">
        <v>9124</v>
      </c>
      <c r="J3240" s="3" t="str">
        <f>HYPERLINK("https://www.boe.es/gazeta/dias/1811/12/29/pdfs/GMD-1811-363.pdf#page=3","Abrir facsímil")</f>
        <v>Abrir facsímil</v>
      </c>
      <c r="K3240" s="3" t="s">
        <v>150</v>
      </c>
    </row>
    <row r="3241" spans="1:11" ht="42" customHeight="1">
      <c r="A3241" s="2" t="s">
        <v>9125</v>
      </c>
      <c r="B3241" s="2" t="s">
        <v>9125</v>
      </c>
      <c r="C3241" s="2" t="s">
        <v>17</v>
      </c>
      <c r="D3241" s="2" t="s">
        <v>528</v>
      </c>
      <c r="E3241" s="4">
        <v>-32191</v>
      </c>
      <c r="F3241" s="3" t="s">
        <v>2538</v>
      </c>
      <c r="G3241" s="3" t="s">
        <v>2539</v>
      </c>
      <c r="H3241" s="2" t="s">
        <v>148</v>
      </c>
      <c r="I3241" s="2" t="s">
        <v>9126</v>
      </c>
      <c r="J3241" s="3" t="str">
        <f>HYPERLINK("https://www.boe.es/gazeta/dias/1811/11/11/pdfs/GEI-1811-147E.pdf#page=7","Abrir facsímil")</f>
        <v>Abrir facsímil</v>
      </c>
      <c r="K3241" s="3" t="s">
        <v>150</v>
      </c>
    </row>
    <row r="3242" spans="1:11" ht="42" customHeight="1">
      <c r="A3242" s="2" t="s">
        <v>9127</v>
      </c>
      <c r="B3242" s="2" t="s">
        <v>9128</v>
      </c>
      <c r="C3242" s="2" t="s">
        <v>17</v>
      </c>
      <c r="D3242" s="2" t="s">
        <v>18</v>
      </c>
      <c r="E3242" s="4">
        <v>-32277</v>
      </c>
      <c r="F3242" s="3" t="s">
        <v>1765</v>
      </c>
      <c r="G3242" s="3" t="s">
        <v>248</v>
      </c>
      <c r="H3242" s="2" t="s">
        <v>148</v>
      </c>
      <c r="I3242" s="2" t="s">
        <v>9129</v>
      </c>
      <c r="J3242" s="3" t="str">
        <f>HYPERLINK("https://www.boe.es/gazeta/dias/1811/08/17/pdfs/GEI-1811-107.pdf#page=5","Abrir facsímil")</f>
        <v>Abrir facsímil</v>
      </c>
      <c r="K3242" s="3" t="s">
        <v>150</v>
      </c>
    </row>
    <row r="3243" spans="1:11" ht="42" customHeight="1">
      <c r="A3243" s="2" t="s">
        <v>9130</v>
      </c>
      <c r="B3243" s="2" t="s">
        <v>9131</v>
      </c>
      <c r="C3243" s="2" t="s">
        <v>26</v>
      </c>
      <c r="D3243" s="2" t="s">
        <v>18</v>
      </c>
      <c r="E3243" s="4">
        <v>-32277</v>
      </c>
      <c r="F3243" s="3" t="s">
        <v>1765</v>
      </c>
      <c r="G3243" s="3" t="s">
        <v>515</v>
      </c>
      <c r="H3243" s="2" t="s">
        <v>148</v>
      </c>
      <c r="I3243" s="2" t="s">
        <v>9132</v>
      </c>
      <c r="J3243" s="3" t="str">
        <f>HYPERLINK("https://www.boe.es/gazeta/dias/1811/08/17/pdfs/GEI-1811-107.pdf#page=4","Abrir facsímil")</f>
        <v>Abrir facsímil</v>
      </c>
      <c r="K3243" s="3" t="s">
        <v>150</v>
      </c>
    </row>
    <row r="3244" spans="1:11" ht="42" customHeight="1">
      <c r="A3244" s="2" t="s">
        <v>9133</v>
      </c>
      <c r="B3244" s="2" t="s">
        <v>9134</v>
      </c>
      <c r="C3244" s="2" t="s">
        <v>367</v>
      </c>
      <c r="D3244" s="2" t="s">
        <v>18</v>
      </c>
      <c r="E3244" s="4">
        <v>-32141</v>
      </c>
      <c r="F3244" s="3" t="s">
        <v>327</v>
      </c>
      <c r="G3244" s="3" t="s">
        <v>20</v>
      </c>
      <c r="H3244" s="2" t="s">
        <v>148</v>
      </c>
      <c r="I3244" s="2" t="s">
        <v>9135</v>
      </c>
      <c r="J3244" s="3" t="str">
        <f>HYPERLINK("https://www.boe.es/gazeta/dias/1811/12/31/pdfs/GMD-1811-365.pdf#page=4","Abrir facsímil")</f>
        <v>Abrir facsímil</v>
      </c>
      <c r="K3244" s="3" t="s">
        <v>150</v>
      </c>
    </row>
    <row r="3245" spans="1:11" ht="42" customHeight="1">
      <c r="A3245" s="2" t="s">
        <v>9136</v>
      </c>
      <c r="B3245" s="2" t="s">
        <v>9137</v>
      </c>
      <c r="C3245" s="2" t="s">
        <v>17</v>
      </c>
      <c r="D3245" s="2" t="s">
        <v>18</v>
      </c>
      <c r="E3245" s="4">
        <v>-32211</v>
      </c>
      <c r="F3245" s="3" t="s">
        <v>1074</v>
      </c>
      <c r="G3245" s="3" t="s">
        <v>248</v>
      </c>
      <c r="H3245" s="2" t="s">
        <v>148</v>
      </c>
      <c r="I3245" s="2" t="s">
        <v>9138</v>
      </c>
      <c r="J3245" s="3" t="str">
        <f>HYPERLINK("https://www.boe.es/gazeta/dias/1811/10/22/pdfs/GEI-1811-136.pdf#page=8","Abrir facsímil")</f>
        <v>Abrir facsímil</v>
      </c>
      <c r="K3245" s="3" t="s">
        <v>150</v>
      </c>
    </row>
    <row r="3246" spans="1:11" ht="42" customHeight="1">
      <c r="A3246" s="2" t="s">
        <v>9139</v>
      </c>
      <c r="B3246" s="2" t="s">
        <v>9140</v>
      </c>
      <c r="C3246" s="2" t="s">
        <v>26</v>
      </c>
      <c r="D3246" s="2" t="s">
        <v>18</v>
      </c>
      <c r="E3246" s="4">
        <v>-32379</v>
      </c>
      <c r="F3246" s="3" t="s">
        <v>462</v>
      </c>
      <c r="G3246" s="3" t="s">
        <v>463</v>
      </c>
      <c r="H3246" s="2" t="s">
        <v>148</v>
      </c>
      <c r="I3246" s="2" t="s">
        <v>9141</v>
      </c>
      <c r="J3246" s="3" t="str">
        <f>HYPERLINK("https://www.boe.es/gazeta/dias/1811/05/07/pdfs/GEI-1811-60.pdf#page=8","Abrir facsímil")</f>
        <v>Abrir facsímil</v>
      </c>
      <c r="K3246" s="3" t="s">
        <v>150</v>
      </c>
    </row>
    <row r="3247" spans="1:11" ht="42" customHeight="1">
      <c r="A3247" s="2" t="s">
        <v>9142</v>
      </c>
      <c r="B3247" s="2" t="s">
        <v>9143</v>
      </c>
      <c r="C3247" s="2" t="s">
        <v>26</v>
      </c>
      <c r="D3247" s="2" t="s">
        <v>141</v>
      </c>
      <c r="E3247" s="4">
        <v>-32249</v>
      </c>
      <c r="F3247" s="3" t="s">
        <v>743</v>
      </c>
      <c r="G3247" s="3" t="s">
        <v>1021</v>
      </c>
      <c r="H3247" s="2" t="s">
        <v>148</v>
      </c>
      <c r="I3247" s="2" t="s">
        <v>9144</v>
      </c>
      <c r="J3247" s="3" t="str">
        <f>HYPERLINK("https://www.boe.es/gazeta/dias/1811/09/14/pdfs/GMD-C-1811-257.pdf#page=2","Abrir facsímil")</f>
        <v>Abrir facsímil</v>
      </c>
      <c r="K3247" s="3" t="s">
        <v>150</v>
      </c>
    </row>
    <row r="3248" spans="1:11" ht="42" customHeight="1">
      <c r="A3248" s="2" t="s">
        <v>9145</v>
      </c>
      <c r="B3248" s="2" t="s">
        <v>9146</v>
      </c>
      <c r="C3248" s="2" t="s">
        <v>26</v>
      </c>
      <c r="D3248" s="2" t="s">
        <v>141</v>
      </c>
      <c r="E3248" s="4">
        <v>-32238</v>
      </c>
      <c r="F3248" s="3" t="s">
        <v>166</v>
      </c>
      <c r="G3248" s="3" t="s">
        <v>39</v>
      </c>
      <c r="H3248" s="2" t="s">
        <v>148</v>
      </c>
      <c r="I3248" s="2" t="s">
        <v>9147</v>
      </c>
      <c r="J3248" s="3" t="str">
        <f>HYPERLINK("https://www.boe.es/gazeta/dias/1811/09/25/pdfs/GMD-C-1811-268.pdf#page=2","Abrir facsímil")</f>
        <v>Abrir facsímil</v>
      </c>
      <c r="K3248" s="3" t="s">
        <v>150</v>
      </c>
    </row>
    <row r="3249" spans="1:11" ht="42" customHeight="1">
      <c r="A3249" s="2" t="s">
        <v>9148</v>
      </c>
      <c r="B3249" s="2" t="s">
        <v>9149</v>
      </c>
      <c r="C3249" s="2" t="s">
        <v>17</v>
      </c>
      <c r="D3249" s="2" t="s">
        <v>156</v>
      </c>
      <c r="E3249" s="4">
        <v>-32447</v>
      </c>
      <c r="F3249" s="3" t="s">
        <v>3655</v>
      </c>
      <c r="G3249" s="3" t="s">
        <v>248</v>
      </c>
      <c r="H3249" s="2" t="s">
        <v>148</v>
      </c>
      <c r="I3249" s="2" t="s">
        <v>9150</v>
      </c>
      <c r="J3249" s="3" t="str">
        <f>HYPERLINK("https://www.boe.es/gazeta/dias/1811/02/28/pdfs/GEI-1811-26.pdf#page=5","Abrir facsímil")</f>
        <v>Abrir facsímil</v>
      </c>
      <c r="K3249" s="3" t="s">
        <v>150</v>
      </c>
    </row>
    <row r="3250" spans="1:11" ht="42" customHeight="1">
      <c r="A3250" s="2" t="s">
        <v>9148</v>
      </c>
      <c r="B3250" s="2" t="s">
        <v>9149</v>
      </c>
      <c r="C3250" s="2" t="s">
        <v>26</v>
      </c>
      <c r="D3250" s="2" t="s">
        <v>105</v>
      </c>
      <c r="E3250" s="4">
        <v>-32238</v>
      </c>
      <c r="F3250" s="3" t="s">
        <v>166</v>
      </c>
      <c r="G3250" s="3" t="s">
        <v>178</v>
      </c>
      <c r="H3250" s="2" t="s">
        <v>148</v>
      </c>
      <c r="I3250" s="2" t="s">
        <v>9151</v>
      </c>
      <c r="J3250" s="3" t="str">
        <f>HYPERLINK("https://www.boe.es/gazeta/dias/1811/09/25/pdfs/GMD-C-1811-268.pdf#page=4","Abrir facsímil")</f>
        <v>Abrir facsímil</v>
      </c>
      <c r="K3250" s="3" t="s">
        <v>150</v>
      </c>
    </row>
    <row r="3251" spans="1:11" ht="42" customHeight="1">
      <c r="A3251" s="2" t="s">
        <v>9152</v>
      </c>
      <c r="B3251" s="2" t="s">
        <v>9153</v>
      </c>
      <c r="C3251" s="2" t="s">
        <v>26</v>
      </c>
      <c r="D3251" s="2" t="s">
        <v>18</v>
      </c>
      <c r="E3251" s="4">
        <v>-32153</v>
      </c>
      <c r="F3251" s="3" t="s">
        <v>123</v>
      </c>
      <c r="G3251" s="3" t="s">
        <v>124</v>
      </c>
      <c r="H3251" s="2" t="s">
        <v>148</v>
      </c>
      <c r="I3251" s="2" t="s">
        <v>9154</v>
      </c>
      <c r="J3251" s="3" t="str">
        <f>HYPERLINK("https://www.boe.es/gazeta/dias/1811/12/19/pdfs/GMD-1811-353.pdf#page=6","Abrir facsímil")</f>
        <v>Abrir facsímil</v>
      </c>
      <c r="K3251" s="3" t="s">
        <v>150</v>
      </c>
    </row>
    <row r="3252" spans="1:11" ht="42" customHeight="1">
      <c r="A3252" s="2" t="s">
        <v>9155</v>
      </c>
      <c r="B3252" s="2" t="s">
        <v>9156</v>
      </c>
      <c r="C3252" s="2" t="s">
        <v>17</v>
      </c>
      <c r="D3252" s="2" t="s">
        <v>528</v>
      </c>
      <c r="E3252" s="4">
        <v>-32191</v>
      </c>
      <c r="F3252" s="3" t="s">
        <v>2538</v>
      </c>
      <c r="G3252" s="3" t="s">
        <v>5643</v>
      </c>
      <c r="H3252" s="2" t="s">
        <v>148</v>
      </c>
      <c r="I3252" s="2" t="s">
        <v>9157</v>
      </c>
      <c r="J3252" s="3" t="str">
        <f>HYPERLINK("https://www.boe.es/gazeta/dias/1811/11/11/pdfs/GEI-1811-147E.pdf#page=4","Abrir facsímil")</f>
        <v>Abrir facsímil</v>
      </c>
      <c r="K3252" s="3" t="s">
        <v>150</v>
      </c>
    </row>
    <row r="3253" spans="1:11" ht="42" customHeight="1">
      <c r="A3253" s="2" t="s">
        <v>9158</v>
      </c>
      <c r="B3253" s="2" t="s">
        <v>9158</v>
      </c>
      <c r="C3253" s="2" t="s">
        <v>17</v>
      </c>
      <c r="D3253" s="2" t="s">
        <v>18</v>
      </c>
      <c r="E3253" s="4">
        <v>-32442</v>
      </c>
      <c r="F3253" s="3" t="s">
        <v>634</v>
      </c>
      <c r="G3253" s="3" t="s">
        <v>20</v>
      </c>
      <c r="H3253" s="2" t="s">
        <v>148</v>
      </c>
      <c r="I3253" s="2" t="s">
        <v>9159</v>
      </c>
      <c r="J3253" s="3" t="str">
        <f>HYPERLINK("https://www.boe.es/gazeta/dias/1811/03/05/pdfs/GEI-1811-29.pdf#page=8","Abrir facsímil")</f>
        <v>Abrir facsímil</v>
      </c>
      <c r="K3253" s="3" t="s">
        <v>150</v>
      </c>
    </row>
    <row r="3254" spans="1:11" ht="42" customHeight="1">
      <c r="A3254" s="2" t="s">
        <v>9158</v>
      </c>
      <c r="B3254" s="2" t="s">
        <v>9158</v>
      </c>
      <c r="C3254" s="2" t="s">
        <v>17</v>
      </c>
      <c r="D3254" s="2" t="s">
        <v>156</v>
      </c>
      <c r="E3254" s="4">
        <v>-32377</v>
      </c>
      <c r="F3254" s="3" t="s">
        <v>6097</v>
      </c>
      <c r="G3254" s="3" t="s">
        <v>1688</v>
      </c>
      <c r="H3254" s="2" t="s">
        <v>148</v>
      </c>
      <c r="I3254" s="2" t="s">
        <v>9160</v>
      </c>
      <c r="J3254" s="3" t="str">
        <f>HYPERLINK("https://www.boe.es/gazeta/dias/1811/05/09/pdfs/GEI-1811-61.pdf#page=7","Abrir facsímil")</f>
        <v>Abrir facsímil</v>
      </c>
      <c r="K3254" s="3" t="s">
        <v>150</v>
      </c>
    </row>
    <row r="3255" spans="1:11" ht="42" customHeight="1">
      <c r="A3255" s="2" t="s">
        <v>9158</v>
      </c>
      <c r="B3255" s="2" t="s">
        <v>9158</v>
      </c>
      <c r="C3255" s="2" t="s">
        <v>17</v>
      </c>
      <c r="D3255" s="2" t="s">
        <v>156</v>
      </c>
      <c r="E3255" s="4">
        <v>-32365</v>
      </c>
      <c r="F3255" s="3" t="s">
        <v>119</v>
      </c>
      <c r="G3255" s="3" t="s">
        <v>91</v>
      </c>
      <c r="H3255" s="2" t="s">
        <v>148</v>
      </c>
      <c r="I3255" s="2" t="s">
        <v>9161</v>
      </c>
      <c r="J3255" s="3" t="str">
        <f>HYPERLINK("https://www.boe.es/gazeta/dias/1811/05/21/pdfs/GEI-1811-67.pdf#page=6","Abrir facsímil")</f>
        <v>Abrir facsímil</v>
      </c>
      <c r="K3255" s="3" t="s">
        <v>150</v>
      </c>
    </row>
    <row r="3256" spans="1:11" ht="42" customHeight="1">
      <c r="A3256" s="2" t="s">
        <v>9158</v>
      </c>
      <c r="B3256" s="2" t="s">
        <v>9158</v>
      </c>
      <c r="C3256" s="2" t="s">
        <v>17</v>
      </c>
      <c r="D3256" s="2" t="s">
        <v>18</v>
      </c>
      <c r="E3256" s="4">
        <v>-32347</v>
      </c>
      <c r="F3256" s="3" t="s">
        <v>1911</v>
      </c>
      <c r="G3256" s="3" t="s">
        <v>9162</v>
      </c>
      <c r="H3256" s="2" t="s">
        <v>148</v>
      </c>
      <c r="I3256" s="2" t="s">
        <v>9163</v>
      </c>
      <c r="J3256" s="3" t="str">
        <f>HYPERLINK("https://www.boe.es/gazeta/dias/1811/06/08/pdfs/GEI-1811-77.pdf#page=6","Abrir facsímil")</f>
        <v>Abrir facsímil</v>
      </c>
      <c r="K3256" s="3" t="s">
        <v>150</v>
      </c>
    </row>
    <row r="3257" spans="1:11" ht="42" customHeight="1">
      <c r="A3257" s="2" t="s">
        <v>9158</v>
      </c>
      <c r="B3257" s="2" t="s">
        <v>9158</v>
      </c>
      <c r="C3257" s="2" t="s">
        <v>17</v>
      </c>
      <c r="D3257" s="2" t="s">
        <v>18</v>
      </c>
      <c r="E3257" s="4">
        <v>-32267</v>
      </c>
      <c r="F3257" s="3" t="s">
        <v>1045</v>
      </c>
      <c r="G3257" s="3" t="s">
        <v>178</v>
      </c>
      <c r="H3257" s="2" t="s">
        <v>148</v>
      </c>
      <c r="I3257" s="2" t="s">
        <v>9164</v>
      </c>
      <c r="J3257" s="3" t="str">
        <f>HYPERLINK("https://www.boe.es/gazeta/dias/1811/08/27/pdfs/GEI-1811-111.pdf#page=5","Abrir facsímil")</f>
        <v>Abrir facsímil</v>
      </c>
      <c r="K3257" s="3" t="s">
        <v>150</v>
      </c>
    </row>
    <row r="3258" spans="1:11" ht="42" customHeight="1">
      <c r="A3258" s="2" t="s">
        <v>9158</v>
      </c>
      <c r="B3258" s="2" t="s">
        <v>9158</v>
      </c>
      <c r="C3258" s="2" t="s">
        <v>17</v>
      </c>
      <c r="D3258" s="2" t="s">
        <v>18</v>
      </c>
      <c r="E3258" s="4">
        <v>-32253</v>
      </c>
      <c r="F3258" s="3" t="s">
        <v>581</v>
      </c>
      <c r="G3258" s="3" t="s">
        <v>120</v>
      </c>
      <c r="H3258" s="2" t="s">
        <v>148</v>
      </c>
      <c r="I3258" s="2" t="s">
        <v>9165</v>
      </c>
      <c r="J3258" s="3" t="str">
        <f>HYPERLINK("https://www.boe.es/gazeta/dias/1811/09/10/pdfs/GEI-1811-117.pdf#page=6","Abrir facsímil")</f>
        <v>Abrir facsímil</v>
      </c>
      <c r="K3258" s="3" t="s">
        <v>150</v>
      </c>
    </row>
    <row r="3259" spans="1:11" ht="42" customHeight="1">
      <c r="A3259" s="2" t="s">
        <v>9166</v>
      </c>
      <c r="B3259" s="2" t="s">
        <v>9167</v>
      </c>
      <c r="C3259" s="2" t="s">
        <v>26</v>
      </c>
      <c r="D3259" s="2" t="s">
        <v>18</v>
      </c>
      <c r="E3259" s="4">
        <v>-32210</v>
      </c>
      <c r="F3259" s="3" t="s">
        <v>1737</v>
      </c>
      <c r="G3259" s="3" t="s">
        <v>115</v>
      </c>
      <c r="H3259" s="2" t="s">
        <v>148</v>
      </c>
      <c r="I3259" s="2" t="s">
        <v>9168</v>
      </c>
      <c r="J3259" s="3" t="str">
        <f>HYPERLINK("https://www.boe.es/gazeta/dias/1811/10/23/pdfs/GMD-1811-296.pdf#page=3","Abrir facsímil")</f>
        <v>Abrir facsímil</v>
      </c>
      <c r="K3259" s="3" t="s">
        <v>150</v>
      </c>
    </row>
    <row r="3260" spans="1:11" ht="42" customHeight="1">
      <c r="A3260" s="2" t="s">
        <v>9166</v>
      </c>
      <c r="B3260" s="2" t="s">
        <v>9167</v>
      </c>
      <c r="C3260" s="2" t="s">
        <v>26</v>
      </c>
      <c r="D3260" s="2" t="s">
        <v>18</v>
      </c>
      <c r="E3260" s="4">
        <v>-32210</v>
      </c>
      <c r="F3260" s="3" t="s">
        <v>1737</v>
      </c>
      <c r="G3260" s="3" t="s">
        <v>9169</v>
      </c>
      <c r="H3260" s="2" t="s">
        <v>148</v>
      </c>
      <c r="I3260" s="2" t="s">
        <v>9170</v>
      </c>
      <c r="J3260" s="3" t="str">
        <f>HYPERLINK("https://www.boe.es/gazeta/dias/1811/10/23/pdfs/GMD-1811-296.pdf#page=4","Abrir facsímil")</f>
        <v>Abrir facsímil</v>
      </c>
      <c r="K3260" s="3" t="s">
        <v>150</v>
      </c>
    </row>
    <row r="3261" spans="1:11" ht="42" customHeight="1">
      <c r="A3261" s="2" t="s">
        <v>9166</v>
      </c>
      <c r="B3261" s="2" t="s">
        <v>9167</v>
      </c>
      <c r="C3261" s="2" t="s">
        <v>26</v>
      </c>
      <c r="D3261" s="2" t="s">
        <v>105</v>
      </c>
      <c r="E3261" s="4">
        <v>-32210</v>
      </c>
      <c r="F3261" s="3" t="s">
        <v>1737</v>
      </c>
      <c r="G3261" s="3" t="s">
        <v>8273</v>
      </c>
      <c r="H3261" s="2" t="s">
        <v>148</v>
      </c>
      <c r="I3261" s="2" t="s">
        <v>9171</v>
      </c>
      <c r="J3261" s="3" t="str">
        <f>HYPERLINK("https://www.boe.es/gazeta/dias/1811/10/23/pdfs/GMD-1811-296.pdf#page=6","Abrir facsímil")</f>
        <v>Abrir facsímil</v>
      </c>
      <c r="K3261" s="3" t="s">
        <v>150</v>
      </c>
    </row>
    <row r="3262" spans="1:11" ht="42" customHeight="1">
      <c r="A3262" s="2" t="s">
        <v>9172</v>
      </c>
      <c r="B3262" s="2" t="s">
        <v>9172</v>
      </c>
      <c r="C3262" s="2" t="s">
        <v>37</v>
      </c>
      <c r="D3262" s="2" t="s">
        <v>18</v>
      </c>
      <c r="E3262" s="4">
        <v>-32363</v>
      </c>
      <c r="F3262" s="3" t="s">
        <v>4788</v>
      </c>
      <c r="G3262" s="3" t="s">
        <v>4789</v>
      </c>
      <c r="H3262" s="2" t="s">
        <v>148</v>
      </c>
      <c r="I3262" s="2" t="s">
        <v>9173</v>
      </c>
      <c r="J3262" s="3" t="str">
        <f>HYPERLINK("https://www.boe.es/gazeta/dias/1811/05/23/pdfs/GMD-1811-143.pdf#page=1","Abrir facsímil")</f>
        <v>Abrir facsímil</v>
      </c>
      <c r="K3262" s="3" t="s">
        <v>150</v>
      </c>
    </row>
    <row r="3263" spans="1:11" ht="42" customHeight="1">
      <c r="A3263" s="2" t="s">
        <v>9174</v>
      </c>
      <c r="B3263" s="2" t="s">
        <v>9174</v>
      </c>
      <c r="C3263" s="2" t="s">
        <v>17</v>
      </c>
      <c r="D3263" s="2" t="s">
        <v>156</v>
      </c>
      <c r="E3263" s="4">
        <v>-32231</v>
      </c>
      <c r="F3263" s="3" t="s">
        <v>2755</v>
      </c>
      <c r="G3263" s="3" t="s">
        <v>1184</v>
      </c>
      <c r="H3263" s="2" t="s">
        <v>148</v>
      </c>
      <c r="I3263" s="2" t="s">
        <v>9175</v>
      </c>
      <c r="J3263" s="3" t="str">
        <f>HYPERLINK("https://www.boe.es/gazeta/dias/1811/10/02/pdfs/GMD-1811-275.pdf#page=1","Abrir facsímil")</f>
        <v>Abrir facsímil</v>
      </c>
      <c r="K3263" s="3" t="s">
        <v>150</v>
      </c>
    </row>
    <row r="3264" spans="1:11" ht="42" customHeight="1">
      <c r="A3264" s="2" t="s">
        <v>9174</v>
      </c>
      <c r="B3264" s="2" t="s">
        <v>9174</v>
      </c>
      <c r="C3264" s="2" t="s">
        <v>17</v>
      </c>
      <c r="D3264" s="2" t="s">
        <v>18</v>
      </c>
      <c r="E3264" s="4">
        <v>-32177</v>
      </c>
      <c r="F3264" s="3" t="s">
        <v>402</v>
      </c>
      <c r="G3264" s="3" t="s">
        <v>47</v>
      </c>
      <c r="H3264" s="2" t="s">
        <v>148</v>
      </c>
      <c r="I3264" s="2" t="s">
        <v>9176</v>
      </c>
      <c r="J3264" s="3" t="str">
        <f>HYPERLINK("https://www.boe.es/gazeta/dias/1811/11/25/pdfs/GMD-1811-329.pdf#page=2","Abrir facsímil")</f>
        <v>Abrir facsímil</v>
      </c>
      <c r="K3264" s="3" t="s">
        <v>150</v>
      </c>
    </row>
    <row r="3265" spans="1:11" ht="42" customHeight="1">
      <c r="A3265" s="2" t="s">
        <v>9177</v>
      </c>
      <c r="B3265" s="2" t="s">
        <v>9178</v>
      </c>
      <c r="C3265" s="2" t="s">
        <v>26</v>
      </c>
      <c r="D3265" s="2" t="s">
        <v>18</v>
      </c>
      <c r="E3265" s="4">
        <v>-32358</v>
      </c>
      <c r="F3265" s="3" t="s">
        <v>2971</v>
      </c>
      <c r="G3265" s="3" t="s">
        <v>2056</v>
      </c>
      <c r="H3265" s="2" t="s">
        <v>148</v>
      </c>
      <c r="I3265" s="2" t="s">
        <v>9179</v>
      </c>
      <c r="J3265" s="3" t="str">
        <f>HYPERLINK("https://www.boe.es/gazeta/dias/1811/05/28/pdfs/GEI-1811-72.pdf#page=8","Abrir facsímil")</f>
        <v>Abrir facsímil</v>
      </c>
      <c r="K3265" s="3" t="s">
        <v>150</v>
      </c>
    </row>
    <row r="3266" spans="1:11" ht="42" customHeight="1">
      <c r="A3266" s="2" t="s">
        <v>9180</v>
      </c>
      <c r="B3266" s="2" t="s">
        <v>9180</v>
      </c>
      <c r="C3266" s="2" t="s">
        <v>26</v>
      </c>
      <c r="D3266" s="2" t="s">
        <v>18</v>
      </c>
      <c r="E3266" s="4">
        <v>-32418</v>
      </c>
      <c r="F3266" s="3" t="s">
        <v>9181</v>
      </c>
      <c r="G3266" s="3" t="s">
        <v>468</v>
      </c>
      <c r="H3266" s="2" t="s">
        <v>148</v>
      </c>
      <c r="I3266" s="2" t="s">
        <v>9182</v>
      </c>
      <c r="J3266" s="3" t="str">
        <f>HYPERLINK("https://www.boe.es/gazeta/dias/1811/03/29/pdfs/GMD-1811-88.pdf#page=4","Abrir facsímil")</f>
        <v>Abrir facsímil</v>
      </c>
      <c r="K3266" s="3" t="s">
        <v>150</v>
      </c>
    </row>
    <row r="3267" spans="1:11" ht="42" customHeight="1">
      <c r="A3267" s="2" t="s">
        <v>9183</v>
      </c>
      <c r="B3267" s="2" t="s">
        <v>9184</v>
      </c>
      <c r="C3267" s="2" t="s">
        <v>104</v>
      </c>
      <c r="D3267" s="2" t="s">
        <v>18</v>
      </c>
      <c r="E3267" s="4">
        <v>-32368</v>
      </c>
      <c r="F3267" s="3" t="s">
        <v>1561</v>
      </c>
      <c r="G3267" s="3" t="s">
        <v>515</v>
      </c>
      <c r="H3267" s="2" t="s">
        <v>148</v>
      </c>
      <c r="I3267" s="2" t="s">
        <v>9185</v>
      </c>
      <c r="J3267" s="3" t="str">
        <f>HYPERLINK("https://www.boe.es/gazeta/dias/1811/05/18/pdfs/GMD-1811-138.pdf#page=4","Abrir facsímil")</f>
        <v>Abrir facsímil</v>
      </c>
      <c r="K3267" s="3" t="s">
        <v>150</v>
      </c>
    </row>
    <row r="3268" spans="1:11" ht="42" customHeight="1">
      <c r="A3268" s="2" t="s">
        <v>9186</v>
      </c>
      <c r="B3268" s="2" t="s">
        <v>9187</v>
      </c>
      <c r="C3268" s="2" t="s">
        <v>26</v>
      </c>
      <c r="D3268" s="2" t="s">
        <v>18</v>
      </c>
      <c r="E3268" s="4">
        <v>-32337</v>
      </c>
      <c r="F3268" s="3" t="s">
        <v>5266</v>
      </c>
      <c r="G3268" s="3" t="s">
        <v>39</v>
      </c>
      <c r="H3268" s="2" t="s">
        <v>148</v>
      </c>
      <c r="I3268" s="2" t="s">
        <v>9188</v>
      </c>
      <c r="J3268" s="3" t="str">
        <f>HYPERLINK("https://www.boe.es/gazeta/dias/1811/06/18/pdfs/GEI-1811-81.pdf#page=1","Abrir facsímil")</f>
        <v>Abrir facsímil</v>
      </c>
      <c r="K3268" s="3" t="s">
        <v>150</v>
      </c>
    </row>
    <row r="3269" spans="1:11" ht="42" customHeight="1">
      <c r="A3269" s="2" t="s">
        <v>9189</v>
      </c>
      <c r="B3269" s="2" t="s">
        <v>9189</v>
      </c>
      <c r="C3269" s="2" t="s">
        <v>17</v>
      </c>
      <c r="D3269" s="2" t="s">
        <v>18</v>
      </c>
      <c r="E3269" s="4">
        <v>-32494</v>
      </c>
      <c r="F3269" s="3" t="s">
        <v>585</v>
      </c>
      <c r="G3269" s="3" t="s">
        <v>586</v>
      </c>
      <c r="H3269" s="2" t="s">
        <v>148</v>
      </c>
      <c r="I3269" s="2" t="s">
        <v>9190</v>
      </c>
      <c r="J3269" s="3" t="str">
        <f>HYPERLINK("https://www.boe.es/gazeta/dias/1811/01/12/pdfs/GMD-1811-12.pdf#page=4","Abrir facsímil")</f>
        <v>Abrir facsímil</v>
      </c>
      <c r="K3269" s="3" t="s">
        <v>150</v>
      </c>
    </row>
    <row r="3270" spans="1:11" ht="42" customHeight="1">
      <c r="A3270" s="2" t="s">
        <v>9191</v>
      </c>
      <c r="B3270" s="2" t="s">
        <v>9192</v>
      </c>
      <c r="C3270" s="2" t="s">
        <v>26</v>
      </c>
      <c r="D3270" s="2" t="s">
        <v>18</v>
      </c>
      <c r="E3270" s="4">
        <v>-32179</v>
      </c>
      <c r="F3270" s="3" t="s">
        <v>614</v>
      </c>
      <c r="G3270" s="3" t="s">
        <v>47</v>
      </c>
      <c r="H3270" s="2" t="s">
        <v>148</v>
      </c>
      <c r="I3270" s="2" t="s">
        <v>9193</v>
      </c>
      <c r="J3270" s="3" t="str">
        <f>HYPERLINK("https://www.boe.es/gazeta/dias/1811/11/23/pdfs/GEI-1811-153.pdf#page=8","Abrir facsímil")</f>
        <v>Abrir facsímil</v>
      </c>
      <c r="K3270" s="3" t="s">
        <v>150</v>
      </c>
    </row>
    <row r="3271" spans="1:11" ht="42" customHeight="1">
      <c r="A3271" s="2" t="s">
        <v>9194</v>
      </c>
      <c r="B3271" s="2" t="s">
        <v>9194</v>
      </c>
      <c r="C3271" s="2" t="s">
        <v>26</v>
      </c>
      <c r="D3271" s="2" t="s">
        <v>18</v>
      </c>
      <c r="E3271" s="4">
        <v>-32461</v>
      </c>
      <c r="F3271" s="3" t="s">
        <v>2429</v>
      </c>
      <c r="G3271" s="3" t="s">
        <v>2101</v>
      </c>
      <c r="H3271" s="2" t="s">
        <v>148</v>
      </c>
      <c r="I3271" s="2" t="s">
        <v>9195</v>
      </c>
      <c r="J3271" s="3" t="str">
        <f>HYPERLINK("https://www.boe.es/gazeta/dias/1811/02/14/pdfs/GEI-1811-20.pdf#page=2","Abrir facsímil")</f>
        <v>Abrir facsímil</v>
      </c>
      <c r="K3271" s="3" t="s">
        <v>150</v>
      </c>
    </row>
    <row r="3272" spans="1:11" ht="42" customHeight="1">
      <c r="A3272" s="2" t="s">
        <v>9196</v>
      </c>
      <c r="B3272" s="2" t="s">
        <v>9196</v>
      </c>
      <c r="C3272" s="2" t="s">
        <v>26</v>
      </c>
      <c r="D3272" s="2" t="s">
        <v>18</v>
      </c>
      <c r="E3272" s="4">
        <v>-32428</v>
      </c>
      <c r="F3272" s="3" t="s">
        <v>351</v>
      </c>
      <c r="G3272" s="3" t="s">
        <v>115</v>
      </c>
      <c r="H3272" s="2" t="s">
        <v>148</v>
      </c>
      <c r="I3272" s="2" t="s">
        <v>9197</v>
      </c>
      <c r="J3272" s="3" t="str">
        <f>HYPERLINK("https://www.boe.es/gazeta/dias/1811/03/19/pdfs/GMD-1811-78.pdf#page=3","Abrir facsímil")</f>
        <v>Abrir facsímil</v>
      </c>
      <c r="K3272" s="3" t="s">
        <v>150</v>
      </c>
    </row>
    <row r="3273" spans="1:11" ht="42" customHeight="1">
      <c r="A3273" s="2" t="s">
        <v>9194</v>
      </c>
      <c r="B3273" s="2" t="s">
        <v>9194</v>
      </c>
      <c r="C3273" s="2" t="s">
        <v>26</v>
      </c>
      <c r="D3273" s="2" t="s">
        <v>18</v>
      </c>
      <c r="E3273" s="4">
        <v>-32171</v>
      </c>
      <c r="F3273" s="3" t="s">
        <v>157</v>
      </c>
      <c r="G3273" s="3" t="s">
        <v>44</v>
      </c>
      <c r="H3273" s="2" t="s">
        <v>148</v>
      </c>
      <c r="I3273" s="2" t="s">
        <v>9198</v>
      </c>
      <c r="J3273" s="3" t="str">
        <f>HYPERLINK("https://www.boe.es/gazeta/dias/1811/12/01/pdfs/GMD-1811-335.pdf#page=4","Abrir facsímil")</f>
        <v>Abrir facsímil</v>
      </c>
      <c r="K3273" s="3" t="s">
        <v>150</v>
      </c>
    </row>
    <row r="3274" spans="1:11" ht="42" customHeight="1">
      <c r="A3274" s="2" t="s">
        <v>9194</v>
      </c>
      <c r="B3274" s="2" t="s">
        <v>9194</v>
      </c>
      <c r="C3274" s="2" t="s">
        <v>26</v>
      </c>
      <c r="D3274" s="2" t="s">
        <v>18</v>
      </c>
      <c r="E3274" s="4">
        <v>-32167</v>
      </c>
      <c r="F3274" s="3" t="s">
        <v>195</v>
      </c>
      <c r="G3274" s="3" t="s">
        <v>3543</v>
      </c>
      <c r="H3274" s="2" t="s">
        <v>148</v>
      </c>
      <c r="I3274" s="2" t="s">
        <v>9199</v>
      </c>
      <c r="J3274" s="3" t="str">
        <f>HYPERLINK("https://www.boe.es/gazeta/dias/1811/12/05/pdfs/GEI-1811-158.pdf#page=4","Abrir facsímil")</f>
        <v>Abrir facsímil</v>
      </c>
      <c r="K3274" s="3" t="s">
        <v>150</v>
      </c>
    </row>
    <row r="3275" spans="1:11" ht="42" customHeight="1">
      <c r="A3275" s="2" t="s">
        <v>9200</v>
      </c>
      <c r="B3275" s="2" t="s">
        <v>9201</v>
      </c>
      <c r="C3275" s="2" t="s">
        <v>104</v>
      </c>
      <c r="D3275" s="2" t="s">
        <v>204</v>
      </c>
      <c r="E3275" s="4">
        <v>-32489</v>
      </c>
      <c r="F3275" s="3" t="s">
        <v>722</v>
      </c>
      <c r="G3275" s="3" t="s">
        <v>468</v>
      </c>
      <c r="H3275" s="2" t="s">
        <v>148</v>
      </c>
      <c r="I3275" s="2" t="s">
        <v>9202</v>
      </c>
      <c r="J3275" s="3" t="str">
        <f>HYPERLINK("https://www.boe.es/gazeta/dias/1811/01/17/pdfs/GMD-1811-17.pdf#page=4","Abrir facsímil")</f>
        <v>Abrir facsímil</v>
      </c>
      <c r="K3275" s="3" t="s">
        <v>150</v>
      </c>
    </row>
    <row r="3276" spans="1:11" ht="42" customHeight="1">
      <c r="A3276" s="2" t="s">
        <v>9203</v>
      </c>
      <c r="B3276" s="2" t="s">
        <v>9204</v>
      </c>
      <c r="C3276" s="2" t="s">
        <v>26</v>
      </c>
      <c r="D3276" s="2" t="s">
        <v>141</v>
      </c>
      <c r="E3276" s="4">
        <v>-32280</v>
      </c>
      <c r="F3276" s="3" t="s">
        <v>142</v>
      </c>
      <c r="G3276" s="3" t="s">
        <v>597</v>
      </c>
      <c r="H3276" s="2" t="s">
        <v>148</v>
      </c>
      <c r="I3276" s="2" t="s">
        <v>9205</v>
      </c>
      <c r="J3276" s="3" t="str">
        <f>HYPERLINK("https://www.boe.es/gazeta/dias/1811/08/14/pdfs/GMD-C-1811-226.pdf#page=2","Abrir facsímil")</f>
        <v>Abrir facsímil</v>
      </c>
      <c r="K3276" s="3" t="s">
        <v>150</v>
      </c>
    </row>
    <row r="3277" spans="1:11" ht="42" customHeight="1">
      <c r="A3277" s="2" t="s">
        <v>9206</v>
      </c>
      <c r="B3277" s="2" t="s">
        <v>9206</v>
      </c>
      <c r="C3277" s="2" t="s">
        <v>104</v>
      </c>
      <c r="D3277" s="2" t="s">
        <v>204</v>
      </c>
      <c r="E3277" s="4">
        <v>-32402</v>
      </c>
      <c r="F3277" s="3" t="s">
        <v>9207</v>
      </c>
      <c r="G3277" s="3" t="s">
        <v>47</v>
      </c>
      <c r="H3277" s="2" t="s">
        <v>148</v>
      </c>
      <c r="I3277" s="2" t="s">
        <v>9208</v>
      </c>
      <c r="J3277" s="3" t="str">
        <f>HYPERLINK("https://www.boe.es/gazeta/dias/1811/04/14/pdfs/GMD-1811-104.pdf#page=2","Abrir facsímil")</f>
        <v>Abrir facsímil</v>
      </c>
      <c r="K3277" s="3" t="s">
        <v>150</v>
      </c>
    </row>
    <row r="3278" spans="1:11" ht="42" customHeight="1">
      <c r="A3278" s="2" t="s">
        <v>9206</v>
      </c>
      <c r="B3278" s="2" t="s">
        <v>9206</v>
      </c>
      <c r="C3278" s="2" t="s">
        <v>104</v>
      </c>
      <c r="D3278" s="2" t="s">
        <v>18</v>
      </c>
      <c r="E3278" s="4">
        <v>-32386</v>
      </c>
      <c r="F3278" s="3" t="s">
        <v>6053</v>
      </c>
      <c r="G3278" s="3" t="s">
        <v>6054</v>
      </c>
      <c r="H3278" s="2" t="s">
        <v>148</v>
      </c>
      <c r="I3278" s="2" t="s">
        <v>9209</v>
      </c>
      <c r="J3278" s="3" t="str">
        <f>HYPERLINK("https://www.boe.es/gazeta/dias/1811/04/30/pdfs/GMD-1811-120.pdf#page=2","Abrir facsímil")</f>
        <v>Abrir facsímil</v>
      </c>
      <c r="K3278" s="3" t="s">
        <v>150</v>
      </c>
    </row>
    <row r="3279" spans="1:11" ht="42" customHeight="1">
      <c r="A3279" s="2" t="s">
        <v>9210</v>
      </c>
      <c r="B3279" s="2" t="s">
        <v>9210</v>
      </c>
      <c r="C3279" s="2" t="s">
        <v>26</v>
      </c>
      <c r="D3279" s="2" t="s">
        <v>204</v>
      </c>
      <c r="E3279" s="4">
        <v>-32376</v>
      </c>
      <c r="F3279" s="3" t="s">
        <v>5460</v>
      </c>
      <c r="G3279" s="3" t="s">
        <v>39</v>
      </c>
      <c r="H3279" s="2" t="s">
        <v>148</v>
      </c>
      <c r="I3279" s="2" t="s">
        <v>9211</v>
      </c>
      <c r="J3279" s="3" t="str">
        <f>HYPERLINK("https://www.boe.es/gazeta/dias/1811/05/10/pdfs/GMD-1811-130.pdf#page=1","Abrir facsímil")</f>
        <v>Abrir facsímil</v>
      </c>
      <c r="K3279" s="3" t="s">
        <v>150</v>
      </c>
    </row>
    <row r="3280" spans="1:11" ht="42" customHeight="1">
      <c r="A3280" s="2" t="s">
        <v>9212</v>
      </c>
      <c r="B3280" s="2" t="s">
        <v>9212</v>
      </c>
      <c r="C3280" s="2" t="s">
        <v>84</v>
      </c>
      <c r="D3280" s="2" t="s">
        <v>18</v>
      </c>
      <c r="E3280" s="4">
        <v>-32255</v>
      </c>
      <c r="F3280" s="3" t="s">
        <v>187</v>
      </c>
      <c r="G3280" s="3" t="s">
        <v>91</v>
      </c>
      <c r="H3280" s="2" t="s">
        <v>148</v>
      </c>
      <c r="I3280" s="2" t="s">
        <v>9213</v>
      </c>
      <c r="J3280" s="3" t="str">
        <f>HYPERLINK("https://www.boe.es/gazeta/dias/1811/09/08/pdfs/GMD-1811-251.pdf#page=4","Abrir facsímil")</f>
        <v>Abrir facsímil</v>
      </c>
      <c r="K3280" s="3" t="s">
        <v>150</v>
      </c>
    </row>
    <row r="3281" spans="1:11" ht="42" customHeight="1">
      <c r="A3281" s="2" t="s">
        <v>9214</v>
      </c>
      <c r="B3281" s="2" t="s">
        <v>9214</v>
      </c>
      <c r="C3281" s="2" t="s">
        <v>17</v>
      </c>
      <c r="D3281" s="2" t="s">
        <v>204</v>
      </c>
      <c r="E3281" s="4">
        <v>-32472</v>
      </c>
      <c r="F3281" s="3" t="s">
        <v>398</v>
      </c>
      <c r="G3281" s="3" t="s">
        <v>553</v>
      </c>
      <c r="H3281" s="2" t="s">
        <v>148</v>
      </c>
      <c r="I3281" s="2" t="s">
        <v>9215</v>
      </c>
      <c r="J3281" s="3" t="str">
        <f>HYPERLINK("https://www.boe.es/gazeta/dias/1811/02/03/pdfs/GMD-1811-34.pdf#page=1","Abrir facsímil")</f>
        <v>Abrir facsímil</v>
      </c>
      <c r="K3281" s="3" t="s">
        <v>150</v>
      </c>
    </row>
    <row r="3282" spans="1:11" ht="42" customHeight="1">
      <c r="A3282" s="2" t="s">
        <v>9214</v>
      </c>
      <c r="B3282" s="2" t="s">
        <v>9214</v>
      </c>
      <c r="C3282" s="2" t="s">
        <v>26</v>
      </c>
      <c r="D3282" s="2" t="s">
        <v>204</v>
      </c>
      <c r="E3282" s="4">
        <v>-32327</v>
      </c>
      <c r="F3282" s="3" t="s">
        <v>9216</v>
      </c>
      <c r="G3282" s="3" t="s">
        <v>162</v>
      </c>
      <c r="H3282" s="2" t="s">
        <v>148</v>
      </c>
      <c r="I3282" s="2" t="s">
        <v>9217</v>
      </c>
      <c r="J3282" s="3" t="str">
        <f>HYPERLINK("https://www.boe.es/gazeta/dias/1811/06/28/pdfs/GMD-1811-179.pdf#page=1","Abrir facsímil")</f>
        <v>Abrir facsímil</v>
      </c>
      <c r="K3282" s="3" t="s">
        <v>150</v>
      </c>
    </row>
    <row r="3283" spans="1:11" ht="42" customHeight="1">
      <c r="A3283" s="2" t="s">
        <v>9218</v>
      </c>
      <c r="B3283" s="2" t="s">
        <v>9219</v>
      </c>
      <c r="C3283" s="2" t="s">
        <v>26</v>
      </c>
      <c r="D3283" s="2" t="s">
        <v>528</v>
      </c>
      <c r="E3283" s="4">
        <v>-32443</v>
      </c>
      <c r="F3283" s="3" t="s">
        <v>9220</v>
      </c>
      <c r="G3283" s="3" t="s">
        <v>178</v>
      </c>
      <c r="H3283" s="2" t="s">
        <v>148</v>
      </c>
      <c r="I3283" s="2" t="s">
        <v>9221</v>
      </c>
      <c r="J3283" s="3" t="str">
        <f>HYPERLINK("https://www.boe.es/gazeta/dias/1811/03/04/pdfs/GEI-1811-28E.pdf#page=3","Abrir facsímil")</f>
        <v>Abrir facsímil</v>
      </c>
      <c r="K3283" s="3" t="s">
        <v>150</v>
      </c>
    </row>
    <row r="3284" spans="1:11" ht="42" customHeight="1">
      <c r="A3284" s="2" t="s">
        <v>9222</v>
      </c>
      <c r="B3284" s="2" t="s">
        <v>9222</v>
      </c>
      <c r="C3284" s="2" t="s">
        <v>17</v>
      </c>
      <c r="D3284" s="2" t="s">
        <v>18</v>
      </c>
      <c r="E3284" s="4">
        <v>-32494</v>
      </c>
      <c r="F3284" s="3" t="s">
        <v>585</v>
      </c>
      <c r="G3284" s="3" t="s">
        <v>586</v>
      </c>
      <c r="H3284" s="2" t="s">
        <v>148</v>
      </c>
      <c r="I3284" s="2" t="s">
        <v>9223</v>
      </c>
      <c r="J3284" s="3" t="str">
        <f>HYPERLINK("https://www.boe.es/gazeta/dias/1811/01/12/pdfs/GMD-1811-12.pdf#page=4","Abrir facsímil")</f>
        <v>Abrir facsímil</v>
      </c>
      <c r="K3284" s="3" t="s">
        <v>150</v>
      </c>
    </row>
    <row r="3285" spans="1:11" ht="42" customHeight="1">
      <c r="A3285" s="2" t="s">
        <v>9224</v>
      </c>
      <c r="B3285" s="2" t="s">
        <v>9224</v>
      </c>
      <c r="C3285" s="2" t="s">
        <v>37</v>
      </c>
      <c r="D3285" s="2" t="s">
        <v>18</v>
      </c>
      <c r="E3285" s="4">
        <v>-32377</v>
      </c>
      <c r="F3285" s="3" t="s">
        <v>2461</v>
      </c>
      <c r="G3285" s="3" t="s">
        <v>162</v>
      </c>
      <c r="H3285" s="2" t="s">
        <v>148</v>
      </c>
      <c r="I3285" s="2" t="s">
        <v>9225</v>
      </c>
      <c r="J3285" s="3" t="str">
        <f>HYPERLINK("https://www.boe.es/gazeta/dias/1811/05/09/pdfs/GMD-1811-129.pdf#page=1","Abrir facsímil")</f>
        <v>Abrir facsímil</v>
      </c>
      <c r="K3285" s="3" t="s">
        <v>150</v>
      </c>
    </row>
    <row r="3286" spans="1:11" ht="42" customHeight="1">
      <c r="A3286" s="2" t="s">
        <v>9226</v>
      </c>
      <c r="B3286" s="2" t="s">
        <v>9227</v>
      </c>
      <c r="C3286" s="2" t="s">
        <v>26</v>
      </c>
      <c r="D3286" s="2" t="s">
        <v>18</v>
      </c>
      <c r="E3286" s="4">
        <v>-32230</v>
      </c>
      <c r="F3286" s="3" t="s">
        <v>625</v>
      </c>
      <c r="G3286" s="3" t="s">
        <v>1258</v>
      </c>
      <c r="H3286" s="2" t="s">
        <v>148</v>
      </c>
      <c r="I3286" s="2" t="s">
        <v>9228</v>
      </c>
      <c r="J3286" s="3" t="str">
        <f>HYPERLINK("https://www.boe.es/gazeta/dias/1811/10/03/pdfs/GEI-1811-127.pdf#page=8","Abrir facsímil")</f>
        <v>Abrir facsímil</v>
      </c>
      <c r="K3286" s="3" t="s">
        <v>150</v>
      </c>
    </row>
    <row r="3287" spans="1:11" ht="42" customHeight="1">
      <c r="A3287" s="2" t="s">
        <v>9229</v>
      </c>
      <c r="B3287" s="2" t="s">
        <v>9230</v>
      </c>
      <c r="C3287" s="2" t="s">
        <v>26</v>
      </c>
      <c r="D3287" s="2" t="s">
        <v>18</v>
      </c>
      <c r="E3287" s="4">
        <v>-32489</v>
      </c>
      <c r="F3287" s="3" t="s">
        <v>2073</v>
      </c>
      <c r="G3287" s="3" t="s">
        <v>44</v>
      </c>
      <c r="H3287" s="2" t="s">
        <v>148</v>
      </c>
      <c r="I3287" s="2" t="s">
        <v>9231</v>
      </c>
      <c r="J3287" s="3" t="str">
        <f>HYPERLINK("https://www.boe.es/gazeta/dias/1811/01/17/pdfs/GEI-1811-8.pdf#page=8","Abrir facsímil")</f>
        <v>Abrir facsímil</v>
      </c>
      <c r="K3287" s="3" t="s">
        <v>150</v>
      </c>
    </row>
    <row r="3288" spans="1:11" ht="42" customHeight="1">
      <c r="A3288" s="2" t="s">
        <v>9232</v>
      </c>
      <c r="B3288" s="2" t="s">
        <v>9233</v>
      </c>
      <c r="C3288" s="2" t="s">
        <v>26</v>
      </c>
      <c r="D3288" s="2" t="s">
        <v>18</v>
      </c>
      <c r="E3288" s="4">
        <v>-32162</v>
      </c>
      <c r="F3288" s="3" t="s">
        <v>317</v>
      </c>
      <c r="G3288" s="3" t="s">
        <v>318</v>
      </c>
      <c r="H3288" s="2" t="s">
        <v>148</v>
      </c>
      <c r="I3288" s="2" t="s">
        <v>9234</v>
      </c>
      <c r="J3288" s="3" t="str">
        <f>HYPERLINK("https://www.boe.es/gazeta/dias/1811/12/10/pdfs/GEI-1811-160.pdf#page=8","Abrir facsímil")</f>
        <v>Abrir facsímil</v>
      </c>
      <c r="K3288" s="3" t="s">
        <v>150</v>
      </c>
    </row>
    <row r="3289" spans="1:11" ht="42" customHeight="1">
      <c r="A3289" s="2" t="s">
        <v>9235</v>
      </c>
      <c r="B3289" s="2" t="s">
        <v>9236</v>
      </c>
      <c r="C3289" s="2" t="s">
        <v>104</v>
      </c>
      <c r="D3289" s="2" t="s">
        <v>528</v>
      </c>
      <c r="E3289" s="4">
        <v>-32219</v>
      </c>
      <c r="F3289" s="3" t="s">
        <v>529</v>
      </c>
      <c r="G3289" s="3" t="s">
        <v>530</v>
      </c>
      <c r="H3289" s="2" t="s">
        <v>148</v>
      </c>
      <c r="I3289" s="2" t="s">
        <v>9237</v>
      </c>
      <c r="J3289" s="3" t="str">
        <f>HYPERLINK("https://www.boe.es/gazeta/dias/1811/10/14/pdfs/GEI-1811-132E.pdf#page=4","Abrir facsímil")</f>
        <v>Abrir facsímil</v>
      </c>
      <c r="K3289" s="3" t="s">
        <v>150</v>
      </c>
    </row>
    <row r="3290" spans="1:11" ht="42" customHeight="1">
      <c r="A3290" s="2" t="s">
        <v>9238</v>
      </c>
      <c r="B3290" s="2" t="s">
        <v>9239</v>
      </c>
      <c r="C3290" s="2" t="s">
        <v>26</v>
      </c>
      <c r="D3290" s="2" t="s">
        <v>204</v>
      </c>
      <c r="E3290" s="4">
        <v>-32167</v>
      </c>
      <c r="F3290" s="3" t="s">
        <v>195</v>
      </c>
      <c r="G3290" s="3" t="s">
        <v>9240</v>
      </c>
      <c r="H3290" s="2" t="s">
        <v>148</v>
      </c>
      <c r="I3290" s="2" t="s">
        <v>9241</v>
      </c>
      <c r="J3290" s="3" t="str">
        <f>HYPERLINK("https://www.boe.es/gazeta/dias/1811/12/05/pdfs/GEI-1811-158.pdf#page=3","Abrir facsímil")</f>
        <v>Abrir facsímil</v>
      </c>
      <c r="K3290" s="3" t="s">
        <v>150</v>
      </c>
    </row>
    <row r="3291" spans="1:11" ht="42" customHeight="1">
      <c r="A3291" s="2" t="s">
        <v>9242</v>
      </c>
      <c r="B3291" s="2" t="s">
        <v>9242</v>
      </c>
      <c r="C3291" s="2" t="s">
        <v>17</v>
      </c>
      <c r="D3291" s="2" t="s">
        <v>18</v>
      </c>
      <c r="E3291" s="4">
        <v>-32477</v>
      </c>
      <c r="F3291" s="3" t="s">
        <v>6777</v>
      </c>
      <c r="G3291" s="3" t="s">
        <v>510</v>
      </c>
      <c r="H3291" s="2" t="s">
        <v>148</v>
      </c>
      <c r="I3291" s="2" t="s">
        <v>9243</v>
      </c>
      <c r="J3291" s="3" t="str">
        <f>HYPERLINK("https://www.boe.es/gazeta/dias/1811/01/29/pdfs/GEI-1811-13.pdf#page=8","Abrir facsímil")</f>
        <v>Abrir facsímil</v>
      </c>
      <c r="K3291" s="3" t="s">
        <v>150</v>
      </c>
    </row>
    <row r="3292" spans="1:11" ht="42" customHeight="1">
      <c r="A3292" s="2" t="s">
        <v>9244</v>
      </c>
      <c r="B3292" s="2" t="s">
        <v>9244</v>
      </c>
      <c r="C3292" s="2" t="s">
        <v>26</v>
      </c>
      <c r="D3292" s="2" t="s">
        <v>204</v>
      </c>
      <c r="E3292" s="4">
        <v>-32403</v>
      </c>
      <c r="F3292" s="3" t="s">
        <v>4861</v>
      </c>
      <c r="G3292" s="3" t="s">
        <v>57</v>
      </c>
      <c r="H3292" s="2" t="s">
        <v>148</v>
      </c>
      <c r="I3292" s="2" t="s">
        <v>9245</v>
      </c>
      <c r="J3292" s="3" t="str">
        <f>HYPERLINK("https://www.boe.es/gazeta/dias/1811/04/13/pdfs/GMD-1811-103.pdf#page=2","Abrir facsímil")</f>
        <v>Abrir facsímil</v>
      </c>
      <c r="K3292" s="3" t="s">
        <v>150</v>
      </c>
    </row>
    <row r="3293" spans="1:11" ht="42" customHeight="1">
      <c r="A3293" s="2" t="s">
        <v>9246</v>
      </c>
      <c r="B3293" s="2" t="s">
        <v>9246</v>
      </c>
      <c r="C3293" s="2" t="s">
        <v>17</v>
      </c>
      <c r="D3293" s="2" t="s">
        <v>105</v>
      </c>
      <c r="E3293" s="4">
        <v>-32155</v>
      </c>
      <c r="F3293" s="3" t="s">
        <v>263</v>
      </c>
      <c r="G3293" s="3" t="s">
        <v>264</v>
      </c>
      <c r="H3293" s="2" t="s">
        <v>148</v>
      </c>
      <c r="I3293" s="2" t="s">
        <v>9247</v>
      </c>
      <c r="J3293" s="3" t="str">
        <f>HYPERLINK("https://www.boe.es/gazeta/dias/1811/12/17/pdfs/GEI-1811-163.pdf#page=8","Abrir facsímil")</f>
        <v>Abrir facsímil</v>
      </c>
      <c r="K3293" s="3" t="s">
        <v>150</v>
      </c>
    </row>
    <row r="3294" spans="1:11" ht="42" customHeight="1">
      <c r="A3294" s="2" t="s">
        <v>9248</v>
      </c>
      <c r="B3294" s="2" t="s">
        <v>9248</v>
      </c>
      <c r="C3294" s="2" t="s">
        <v>17</v>
      </c>
      <c r="D3294" s="2" t="s">
        <v>156</v>
      </c>
      <c r="E3294" s="4">
        <v>-32356</v>
      </c>
      <c r="F3294" s="3" t="s">
        <v>1992</v>
      </c>
      <c r="G3294" s="3" t="s">
        <v>2396</v>
      </c>
      <c r="H3294" s="2" t="s">
        <v>148</v>
      </c>
      <c r="I3294" s="2" t="s">
        <v>9249</v>
      </c>
      <c r="J3294" s="3" t="str">
        <f>HYPERLINK("https://www.boe.es/gazeta/dias/1811/05/30/pdfs/GEI-1811-73.pdf#page=6","Abrir facsímil")</f>
        <v>Abrir facsímil</v>
      </c>
      <c r="K3294" s="3" t="s">
        <v>150</v>
      </c>
    </row>
    <row r="3295" spans="1:11" ht="42" customHeight="1">
      <c r="A3295" s="2" t="s">
        <v>9250</v>
      </c>
      <c r="B3295" s="2" t="s">
        <v>9250</v>
      </c>
      <c r="C3295" s="2" t="s">
        <v>26</v>
      </c>
      <c r="D3295" s="2" t="s">
        <v>18</v>
      </c>
      <c r="E3295" s="4">
        <v>-32171</v>
      </c>
      <c r="F3295" s="3" t="s">
        <v>157</v>
      </c>
      <c r="G3295" s="3" t="s">
        <v>44</v>
      </c>
      <c r="H3295" s="2" t="s">
        <v>148</v>
      </c>
      <c r="I3295" s="2" t="s">
        <v>9251</v>
      </c>
      <c r="J3295" s="3" t="str">
        <f>HYPERLINK("https://www.boe.es/gazeta/dias/1811/12/01/pdfs/GMD-1811-335.pdf#page=4","Abrir facsímil")</f>
        <v>Abrir facsímil</v>
      </c>
      <c r="K3295" s="3" t="s">
        <v>150</v>
      </c>
    </row>
    <row r="3296" spans="1:11" ht="42" customHeight="1">
      <c r="A3296" s="2" t="s">
        <v>9252</v>
      </c>
      <c r="B3296" s="2" t="s">
        <v>9252</v>
      </c>
      <c r="C3296" s="2" t="s">
        <v>17</v>
      </c>
      <c r="D3296" s="2" t="s">
        <v>204</v>
      </c>
      <c r="E3296" s="4">
        <v>-32229</v>
      </c>
      <c r="F3296" s="3" t="s">
        <v>2523</v>
      </c>
      <c r="G3296" s="3" t="s">
        <v>4068</v>
      </c>
      <c r="H3296" s="2" t="s">
        <v>148</v>
      </c>
      <c r="I3296" s="2" t="s">
        <v>9253</v>
      </c>
      <c r="J3296" s="3" t="str">
        <f>HYPERLINK("https://www.boe.es/gazeta/dias/1811/10/04/pdfs/GMD-1811-277.pdf#page=2","Abrir facsímil")</f>
        <v>Abrir facsímil</v>
      </c>
      <c r="K3296" s="3" t="s">
        <v>150</v>
      </c>
    </row>
    <row r="3297" spans="1:11" ht="42" customHeight="1">
      <c r="A3297" s="2" t="s">
        <v>9254</v>
      </c>
      <c r="B3297" s="2" t="s">
        <v>9254</v>
      </c>
      <c r="C3297" s="2" t="s">
        <v>37</v>
      </c>
      <c r="D3297" s="2" t="s">
        <v>18</v>
      </c>
      <c r="E3297" s="4">
        <v>-32142</v>
      </c>
      <c r="F3297" s="3" t="s">
        <v>3022</v>
      </c>
      <c r="G3297" s="3" t="s">
        <v>91</v>
      </c>
      <c r="H3297" s="2" t="s">
        <v>148</v>
      </c>
      <c r="I3297" s="2" t="s">
        <v>9255</v>
      </c>
      <c r="J3297" s="3" t="str">
        <f>HYPERLINK("https://www.boe.es/gazeta/dias/1811/12/30/pdfs/GMD-1811-364.pdf#page=1","Abrir facsímil")</f>
        <v>Abrir facsímil</v>
      </c>
      <c r="K3297" s="3" t="s">
        <v>150</v>
      </c>
    </row>
    <row r="3298" spans="1:11" ht="42" customHeight="1">
      <c r="A3298" s="2" t="s">
        <v>9256</v>
      </c>
      <c r="B3298" s="2" t="s">
        <v>9256</v>
      </c>
      <c r="C3298" s="2" t="s">
        <v>841</v>
      </c>
      <c r="D3298" s="2" t="s">
        <v>18</v>
      </c>
      <c r="E3298" s="4">
        <v>-32389</v>
      </c>
      <c r="F3298" s="3" t="s">
        <v>5334</v>
      </c>
      <c r="G3298" s="3" t="s">
        <v>2384</v>
      </c>
      <c r="H3298" s="2" t="s">
        <v>148</v>
      </c>
      <c r="I3298" s="2" t="s">
        <v>9257</v>
      </c>
      <c r="J3298" s="3" t="str">
        <f>HYPERLINK("https://www.boe.es/gazeta/dias/1811/04/27/pdfs/GEI-1811-56.pdf#page=8","Abrir facsímil")</f>
        <v>Abrir facsímil</v>
      </c>
      <c r="K3298" s="3" t="s">
        <v>150</v>
      </c>
    </row>
    <row r="3299" spans="1:11" ht="42" customHeight="1">
      <c r="A3299" s="2" t="s">
        <v>9258</v>
      </c>
      <c r="B3299" s="2" t="s">
        <v>9259</v>
      </c>
      <c r="C3299" s="2" t="s">
        <v>17</v>
      </c>
      <c r="D3299" s="2" t="s">
        <v>156</v>
      </c>
      <c r="E3299" s="4">
        <v>-32435</v>
      </c>
      <c r="F3299" s="3" t="s">
        <v>224</v>
      </c>
      <c r="G3299" s="3" t="s">
        <v>3803</v>
      </c>
      <c r="H3299" s="2" t="s">
        <v>148</v>
      </c>
      <c r="I3299" s="2" t="s">
        <v>9260</v>
      </c>
      <c r="J3299" s="3" t="str">
        <f>HYPERLINK("https://www.boe.es/gazeta/dias/1811/03/12/pdfs/GEI-1811-35.pdf#page=7","Abrir facsímil")</f>
        <v>Abrir facsímil</v>
      </c>
      <c r="K3299" s="3" t="s">
        <v>150</v>
      </c>
    </row>
    <row r="3300" spans="1:11" ht="42" customHeight="1">
      <c r="A3300" s="2" t="s">
        <v>9261</v>
      </c>
      <c r="B3300" s="2" t="s">
        <v>9261</v>
      </c>
      <c r="C3300" s="2" t="s">
        <v>17</v>
      </c>
      <c r="D3300" s="2" t="s">
        <v>18</v>
      </c>
      <c r="E3300" s="4">
        <v>-32185</v>
      </c>
      <c r="F3300" s="3" t="s">
        <v>1329</v>
      </c>
      <c r="G3300" s="3" t="s">
        <v>120</v>
      </c>
      <c r="H3300" s="2" t="s">
        <v>148</v>
      </c>
      <c r="I3300" s="2" t="s">
        <v>9262</v>
      </c>
      <c r="J3300" s="3" t="str">
        <f>HYPERLINK("https://www.boe.es/gazeta/dias/1811/11/17/pdfs/GMD-1811-321.pdf#page=4","Abrir facsímil")</f>
        <v>Abrir facsímil</v>
      </c>
      <c r="K3300" s="3" t="s">
        <v>150</v>
      </c>
    </row>
    <row r="3301" spans="1:11" ht="42" customHeight="1">
      <c r="A3301" s="2" t="s">
        <v>9263</v>
      </c>
      <c r="B3301" s="2" t="s">
        <v>9263</v>
      </c>
      <c r="C3301" s="2" t="s">
        <v>104</v>
      </c>
      <c r="D3301" s="2" t="s">
        <v>18</v>
      </c>
      <c r="E3301" s="4">
        <v>-32443</v>
      </c>
      <c r="F3301" s="3" t="s">
        <v>1522</v>
      </c>
      <c r="G3301" s="3" t="s">
        <v>91</v>
      </c>
      <c r="H3301" s="2" t="s">
        <v>148</v>
      </c>
      <c r="I3301" s="2" t="s">
        <v>9264</v>
      </c>
      <c r="J3301" s="3" t="str">
        <f>HYPERLINK("https://www.boe.es/gazeta/dias/1811/03/04/pdfs/GMD-1811-63.pdf#page=2","Abrir facsímil")</f>
        <v>Abrir facsímil</v>
      </c>
      <c r="K3301" s="3" t="s">
        <v>150</v>
      </c>
    </row>
    <row r="3302" spans="1:11" ht="42" customHeight="1">
      <c r="A3302" s="2" t="s">
        <v>9265</v>
      </c>
      <c r="B3302" s="2" t="s">
        <v>9266</v>
      </c>
      <c r="C3302" s="2" t="s">
        <v>26</v>
      </c>
      <c r="D3302" s="2" t="s">
        <v>141</v>
      </c>
      <c r="E3302" s="4">
        <v>-32238</v>
      </c>
      <c r="F3302" s="3" t="s">
        <v>166</v>
      </c>
      <c r="G3302" s="3" t="s">
        <v>129</v>
      </c>
      <c r="H3302" s="2" t="s">
        <v>148</v>
      </c>
      <c r="I3302" s="2" t="s">
        <v>9267</v>
      </c>
      <c r="J3302" s="3" t="str">
        <f>HYPERLINK("https://www.boe.es/gazeta/dias/1811/09/25/pdfs/GMD-C-1811-268.pdf#page=1","Abrir facsímil")</f>
        <v>Abrir facsímil</v>
      </c>
      <c r="K3302" s="3" t="s">
        <v>150</v>
      </c>
    </row>
    <row r="3303" spans="1:11" ht="42" customHeight="1">
      <c r="A3303" s="2" t="s">
        <v>9268</v>
      </c>
      <c r="B3303" s="2" t="s">
        <v>9269</v>
      </c>
      <c r="C3303" s="2" t="s">
        <v>122</v>
      </c>
      <c r="D3303" s="2" t="s">
        <v>18</v>
      </c>
      <c r="E3303" s="4">
        <v>-32276</v>
      </c>
      <c r="F3303" s="3" t="s">
        <v>1361</v>
      </c>
      <c r="G3303" s="3" t="s">
        <v>183</v>
      </c>
      <c r="H3303" s="2" t="s">
        <v>148</v>
      </c>
      <c r="I3303" s="2" t="s">
        <v>9270</v>
      </c>
      <c r="J3303" s="3" t="str">
        <f>HYPERLINK("https://www.boe.es/gazeta/dias/1811/08/18/pdfs/GMD-1811-230.pdf#page=4","Abrir facsímil")</f>
        <v>Abrir facsímil</v>
      </c>
      <c r="K3303" s="3" t="s">
        <v>150</v>
      </c>
    </row>
    <row r="3304" spans="1:11" ht="42" customHeight="1">
      <c r="A3304" s="2" t="s">
        <v>9271</v>
      </c>
      <c r="B3304" s="2" t="s">
        <v>9271</v>
      </c>
      <c r="C3304" s="2" t="s">
        <v>17</v>
      </c>
      <c r="D3304" s="2" t="s">
        <v>18</v>
      </c>
      <c r="E3304" s="4">
        <v>-32174</v>
      </c>
      <c r="F3304" s="3" t="s">
        <v>172</v>
      </c>
      <c r="G3304" s="3" t="s">
        <v>173</v>
      </c>
      <c r="H3304" s="2" t="s">
        <v>148</v>
      </c>
      <c r="I3304" s="2" t="s">
        <v>9272</v>
      </c>
      <c r="J3304" s="3" t="str">
        <f>HYPERLINK("https://www.boe.es/gazeta/dias/1811/11/28/pdfs/GEI-1811-155.pdf#page=5","Abrir facsímil")</f>
        <v>Abrir facsímil</v>
      </c>
      <c r="K3304" s="3" t="s">
        <v>150</v>
      </c>
    </row>
    <row r="3305" spans="1:11" ht="42" customHeight="1">
      <c r="A3305" s="2" t="s">
        <v>9273</v>
      </c>
      <c r="B3305" s="2" t="s">
        <v>9273</v>
      </c>
      <c r="C3305" s="2" t="s">
        <v>17</v>
      </c>
      <c r="D3305" s="2" t="s">
        <v>156</v>
      </c>
      <c r="E3305" s="4">
        <v>-32292</v>
      </c>
      <c r="F3305" s="3" t="s">
        <v>408</v>
      </c>
      <c r="G3305" s="3" t="s">
        <v>409</v>
      </c>
      <c r="H3305" s="2" t="s">
        <v>148</v>
      </c>
      <c r="I3305" s="2" t="s">
        <v>9274</v>
      </c>
      <c r="J3305" s="3" t="str">
        <f>HYPERLINK("https://www.boe.es/gazeta/dias/1811/08/02/pdfs/GMD-1811-214.pdf#page=4","Abrir facsímil")</f>
        <v>Abrir facsímil</v>
      </c>
      <c r="K3305" s="3" t="s">
        <v>150</v>
      </c>
    </row>
    <row r="3306" spans="1:11" ht="42" customHeight="1">
      <c r="A3306" s="2" t="s">
        <v>9275</v>
      </c>
      <c r="B3306" s="2" t="s">
        <v>9276</v>
      </c>
      <c r="C3306" s="2" t="s">
        <v>37</v>
      </c>
      <c r="D3306" s="2" t="s">
        <v>156</v>
      </c>
      <c r="E3306" s="4">
        <v>-32151</v>
      </c>
      <c r="F3306" s="3" t="s">
        <v>2160</v>
      </c>
      <c r="G3306" s="3" t="s">
        <v>1710</v>
      </c>
      <c r="H3306" s="2" t="s">
        <v>148</v>
      </c>
      <c r="I3306" s="2" t="s">
        <v>9277</v>
      </c>
      <c r="J3306" s="3" t="str">
        <f>HYPERLINK("https://www.boe.es/gazeta/dias/1811/12/21/pdfs/GMD-1811-355.pdf#page=4","Abrir facsímil")</f>
        <v>Abrir facsímil</v>
      </c>
      <c r="K3306" s="3" t="s">
        <v>150</v>
      </c>
    </row>
    <row r="3307" spans="1:11" ht="42" customHeight="1">
      <c r="A3307" s="2" t="s">
        <v>9278</v>
      </c>
      <c r="B3307" s="2" t="s">
        <v>9279</v>
      </c>
      <c r="C3307" s="2" t="s">
        <v>17</v>
      </c>
      <c r="D3307" s="2" t="s">
        <v>18</v>
      </c>
      <c r="E3307" s="4">
        <v>-32231</v>
      </c>
      <c r="F3307" s="3" t="s">
        <v>2755</v>
      </c>
      <c r="G3307" s="3" t="s">
        <v>530</v>
      </c>
      <c r="H3307" s="2" t="s">
        <v>148</v>
      </c>
      <c r="I3307" s="2" t="s">
        <v>9280</v>
      </c>
      <c r="J3307" s="3" t="str">
        <f>HYPERLINK("https://www.boe.es/gazeta/dias/1811/10/02/pdfs/GMD-1811-275.pdf#page=4","Abrir facsímil")</f>
        <v>Abrir facsímil</v>
      </c>
      <c r="K3307" s="3" t="s">
        <v>150</v>
      </c>
    </row>
    <row r="3308" spans="1:11" ht="42" customHeight="1">
      <c r="A3308" s="2" t="s">
        <v>9281</v>
      </c>
      <c r="B3308" s="2" t="s">
        <v>9281</v>
      </c>
      <c r="C3308" s="2" t="s">
        <v>26</v>
      </c>
      <c r="D3308" s="2" t="s">
        <v>18</v>
      </c>
      <c r="E3308" s="4">
        <v>-32155</v>
      </c>
      <c r="F3308" s="3" t="s">
        <v>263</v>
      </c>
      <c r="G3308" s="3" t="s">
        <v>264</v>
      </c>
      <c r="H3308" s="2" t="s">
        <v>148</v>
      </c>
      <c r="I3308" s="2" t="s">
        <v>9282</v>
      </c>
      <c r="J3308" s="3" t="str">
        <f>HYPERLINK("https://www.boe.es/gazeta/dias/1811/12/17/pdfs/GEI-1811-163.pdf#page=8","Abrir facsímil")</f>
        <v>Abrir facsímil</v>
      </c>
      <c r="K3308" s="3" t="s">
        <v>150</v>
      </c>
    </row>
    <row r="3309" spans="1:11" ht="42" customHeight="1">
      <c r="A3309" s="2" t="s">
        <v>9283</v>
      </c>
      <c r="B3309" s="2" t="s">
        <v>9284</v>
      </c>
      <c r="C3309" s="2" t="s">
        <v>367</v>
      </c>
      <c r="D3309" s="2" t="s">
        <v>18</v>
      </c>
      <c r="E3309" s="4">
        <v>-32295</v>
      </c>
      <c r="F3309" s="3" t="s">
        <v>6168</v>
      </c>
      <c r="G3309" s="3" t="s">
        <v>9285</v>
      </c>
      <c r="H3309" s="2" t="s">
        <v>21</v>
      </c>
      <c r="I3309" s="2" t="s">
        <v>9286</v>
      </c>
      <c r="J3309" s="3" t="str">
        <f>HYPERLINK("https://www.boe.es/gazeta/dias/1811/07/30/pdfs/GMD-1811-211.pdf#page=1","Abrir facsímil")</f>
        <v>Abrir facsímil</v>
      </c>
      <c r="K3309" s="3" t="s">
        <v>23</v>
      </c>
    </row>
    <row r="3310" spans="1:11" ht="42" customHeight="1">
      <c r="A3310" s="2" t="s">
        <v>9287</v>
      </c>
      <c r="B3310" s="2" t="s">
        <v>9288</v>
      </c>
      <c r="C3310" s="2" t="s">
        <v>104</v>
      </c>
      <c r="D3310" s="2" t="s">
        <v>528</v>
      </c>
      <c r="E3310" s="4">
        <v>-32219</v>
      </c>
      <c r="F3310" s="3" t="s">
        <v>529</v>
      </c>
      <c r="G3310" s="3" t="s">
        <v>530</v>
      </c>
      <c r="H3310" s="2" t="s">
        <v>21</v>
      </c>
      <c r="I3310" s="2" t="s">
        <v>9289</v>
      </c>
      <c r="J3310" s="3" t="str">
        <f>HYPERLINK("https://www.boe.es/gazeta/dias/1811/10/14/pdfs/GEI-1811-132E.pdf#page=4","Abrir facsímil")</f>
        <v>Abrir facsímil</v>
      </c>
      <c r="K3310" s="3" t="s">
        <v>23</v>
      </c>
    </row>
    <row r="3311" spans="1:11" ht="42" customHeight="1">
      <c r="A3311" s="2" t="s">
        <v>9290</v>
      </c>
      <c r="B3311" s="2" t="s">
        <v>9291</v>
      </c>
      <c r="C3311" s="2" t="s">
        <v>26</v>
      </c>
      <c r="D3311" s="2" t="s">
        <v>18</v>
      </c>
      <c r="E3311" s="4">
        <v>-32210</v>
      </c>
      <c r="F3311" s="3" t="s">
        <v>1737</v>
      </c>
      <c r="G3311" s="3" t="s">
        <v>248</v>
      </c>
      <c r="H3311" s="2" t="s">
        <v>21</v>
      </c>
      <c r="I3311" s="2" t="s">
        <v>9292</v>
      </c>
      <c r="J3311" s="3" t="str">
        <f>HYPERLINK("https://www.boe.es/gazeta/dias/1811/10/23/pdfs/GMD-1811-296.pdf#page=5","Abrir facsímil")</f>
        <v>Abrir facsímil</v>
      </c>
      <c r="K3311" s="3" t="s">
        <v>23</v>
      </c>
    </row>
    <row r="3312" spans="1:11" ht="42" customHeight="1">
      <c r="A3312" s="2" t="s">
        <v>9293</v>
      </c>
      <c r="B3312" s="2" t="s">
        <v>9294</v>
      </c>
      <c r="C3312" s="2" t="s">
        <v>26</v>
      </c>
      <c r="D3312" s="2" t="s">
        <v>18</v>
      </c>
      <c r="E3312" s="4">
        <v>-32326</v>
      </c>
      <c r="F3312" s="3" t="s">
        <v>43</v>
      </c>
      <c r="G3312" s="3" t="s">
        <v>4089</v>
      </c>
      <c r="H3312" s="2" t="s">
        <v>21</v>
      </c>
      <c r="I3312" s="2" t="s">
        <v>9295</v>
      </c>
      <c r="J3312" s="3" t="str">
        <f>HYPERLINK("https://www.boe.es/gazeta/dias/1811/06/29/pdfs/GEI-1811-86.pdf#page=5","Abrir facsímil")</f>
        <v>Abrir facsímil</v>
      </c>
      <c r="K3312" s="3" t="s">
        <v>23</v>
      </c>
    </row>
    <row r="3313" spans="1:11" ht="42" customHeight="1">
      <c r="A3313" s="2" t="s">
        <v>9296</v>
      </c>
      <c r="B3313" s="2" t="s">
        <v>9297</v>
      </c>
      <c r="C3313" s="2" t="s">
        <v>17</v>
      </c>
      <c r="D3313" s="2" t="s">
        <v>156</v>
      </c>
      <c r="E3313" s="4">
        <v>-32150</v>
      </c>
      <c r="F3313" s="3" t="s">
        <v>1174</v>
      </c>
      <c r="G3313" s="3" t="s">
        <v>20</v>
      </c>
      <c r="H3313" s="2" t="s">
        <v>21</v>
      </c>
      <c r="I3313" s="2" t="s">
        <v>9298</v>
      </c>
      <c r="J3313" s="3" t="str">
        <f>HYPERLINK("https://www.boe.es/gazeta/dias/1811/12/22/pdfs/GMD-1811-356.pdf#page=4","Abrir facsímil")</f>
        <v>Abrir facsímil</v>
      </c>
      <c r="K3313" s="3" t="s">
        <v>23</v>
      </c>
    </row>
    <row r="3314" spans="1:11" ht="42" customHeight="1">
      <c r="A3314" s="2" t="s">
        <v>9299</v>
      </c>
      <c r="B3314" s="2" t="s">
        <v>9300</v>
      </c>
      <c r="C3314" s="2" t="s">
        <v>841</v>
      </c>
      <c r="D3314" s="2" t="s">
        <v>105</v>
      </c>
      <c r="E3314" s="4">
        <v>-32195</v>
      </c>
      <c r="F3314" s="3" t="s">
        <v>439</v>
      </c>
      <c r="G3314" s="3" t="s">
        <v>2092</v>
      </c>
      <c r="H3314" s="2" t="s">
        <v>148</v>
      </c>
      <c r="I3314" s="2" t="s">
        <v>9301</v>
      </c>
      <c r="J3314" s="3" t="str">
        <f>HYPERLINK("https://www.boe.es/gazeta/dias/1811/11/07/pdfs/GEI-1811-144.pdf#page=7","Abrir facsímil")</f>
        <v>Abrir facsímil</v>
      </c>
      <c r="K3314" s="3" t="s">
        <v>150</v>
      </c>
    </row>
    <row r="3315" spans="1:11" ht="42" customHeight="1">
      <c r="A3315" s="2" t="s">
        <v>9302</v>
      </c>
      <c r="B3315" s="2" t="s">
        <v>9302</v>
      </c>
      <c r="C3315" s="2" t="s">
        <v>26</v>
      </c>
      <c r="D3315" s="2" t="s">
        <v>18</v>
      </c>
      <c r="E3315" s="4">
        <v>-32209</v>
      </c>
      <c r="F3315" s="3" t="s">
        <v>9303</v>
      </c>
      <c r="G3315" s="3" t="s">
        <v>9304</v>
      </c>
      <c r="H3315" s="2" t="s">
        <v>148</v>
      </c>
      <c r="I3315" s="2" t="s">
        <v>9305</v>
      </c>
      <c r="J3315" s="3" t="str">
        <f>HYPERLINK("https://www.boe.es/gazeta/dias/1811/10/24/pdfs/GEI-1811-137.pdf#page=2","Abrir facsímil")</f>
        <v>Abrir facsímil</v>
      </c>
      <c r="K3315" s="3" t="s">
        <v>150</v>
      </c>
    </row>
    <row r="3316" spans="1:11" ht="42" customHeight="1">
      <c r="A3316" s="2" t="s">
        <v>9306</v>
      </c>
      <c r="B3316" s="2" t="s">
        <v>9307</v>
      </c>
      <c r="C3316" s="2" t="s">
        <v>17</v>
      </c>
      <c r="D3316" s="2" t="s">
        <v>18</v>
      </c>
      <c r="E3316" s="4">
        <v>-32230</v>
      </c>
      <c r="F3316" s="3" t="s">
        <v>625</v>
      </c>
      <c r="G3316" s="3" t="s">
        <v>1258</v>
      </c>
      <c r="H3316" s="2" t="s">
        <v>148</v>
      </c>
      <c r="I3316" s="2" t="s">
        <v>9308</v>
      </c>
      <c r="J3316" s="3" t="str">
        <f>HYPERLINK("https://www.boe.es/gazeta/dias/1811/10/03/pdfs/GEI-1811-127.pdf#page=8","Abrir facsímil")</f>
        <v>Abrir facsímil</v>
      </c>
      <c r="K3316" s="3" t="s">
        <v>150</v>
      </c>
    </row>
    <row r="3317" spans="1:11" ht="42" customHeight="1">
      <c r="A3317" s="2" t="s">
        <v>9309</v>
      </c>
      <c r="B3317" s="2" t="s">
        <v>9310</v>
      </c>
      <c r="C3317" s="2" t="s">
        <v>17</v>
      </c>
      <c r="D3317" s="2" t="s">
        <v>105</v>
      </c>
      <c r="E3317" s="4">
        <v>-32204</v>
      </c>
      <c r="F3317" s="3" t="s">
        <v>177</v>
      </c>
      <c r="G3317" s="3" t="s">
        <v>178</v>
      </c>
      <c r="H3317" s="2" t="s">
        <v>148</v>
      </c>
      <c r="I3317" s="2" t="s">
        <v>9311</v>
      </c>
      <c r="J3317" s="3" t="str">
        <f>HYPERLINK("https://www.boe.es/gazeta/dias/1811/10/29/pdfs/GMD-1811-302.pdf#page=4","Abrir facsímil")</f>
        <v>Abrir facsímil</v>
      </c>
      <c r="K3317" s="3" t="s">
        <v>150</v>
      </c>
    </row>
    <row r="3318" spans="1:11" ht="42" customHeight="1">
      <c r="A3318" s="2" t="s">
        <v>9312</v>
      </c>
      <c r="B3318" s="2" t="s">
        <v>9312</v>
      </c>
      <c r="C3318" s="2" t="s">
        <v>17</v>
      </c>
      <c r="D3318" s="2" t="s">
        <v>18</v>
      </c>
      <c r="E3318" s="4">
        <v>-32302</v>
      </c>
      <c r="F3318" s="3" t="s">
        <v>864</v>
      </c>
      <c r="G3318" s="3" t="s">
        <v>9313</v>
      </c>
      <c r="H3318" s="2" t="s">
        <v>148</v>
      </c>
      <c r="I3318" s="2" t="s">
        <v>9314</v>
      </c>
      <c r="J3318" s="3" t="str">
        <f>HYPERLINK("https://www.boe.es/gazeta/dias/1811/07/23/pdfs/GEI-1811-96.pdf#page=6","Abrir facsímil")</f>
        <v>Abrir facsímil</v>
      </c>
      <c r="K3318" s="3" t="s">
        <v>150</v>
      </c>
    </row>
    <row r="3319" spans="1:11" ht="42" customHeight="1">
      <c r="A3319" s="2" t="s">
        <v>9315</v>
      </c>
      <c r="B3319" s="2" t="s">
        <v>9316</v>
      </c>
      <c r="C3319" s="2" t="s">
        <v>26</v>
      </c>
      <c r="D3319" s="2" t="s">
        <v>18</v>
      </c>
      <c r="E3319" s="4">
        <v>-32242</v>
      </c>
      <c r="F3319" s="3" t="s">
        <v>1295</v>
      </c>
      <c r="G3319" s="3" t="s">
        <v>9317</v>
      </c>
      <c r="H3319" s="2" t="s">
        <v>148</v>
      </c>
      <c r="I3319" s="2" t="s">
        <v>9318</v>
      </c>
      <c r="J3319" s="3" t="str">
        <f>HYPERLINK("https://www.boe.es/gazeta/dias/1811/09/21/pdfs/GEI-1811-122.pdf#page=4","Abrir facsímil")</f>
        <v>Abrir facsímil</v>
      </c>
      <c r="K3319" s="3" t="s">
        <v>150</v>
      </c>
    </row>
    <row r="3320" spans="1:11" ht="42" customHeight="1">
      <c r="A3320" s="2" t="s">
        <v>9319</v>
      </c>
      <c r="B3320" s="2" t="s">
        <v>9320</v>
      </c>
      <c r="C3320" s="2" t="s">
        <v>17</v>
      </c>
      <c r="D3320" s="2" t="s">
        <v>156</v>
      </c>
      <c r="E3320" s="4">
        <v>-32158</v>
      </c>
      <c r="F3320" s="3" t="s">
        <v>46</v>
      </c>
      <c r="G3320" s="3" t="s">
        <v>9321</v>
      </c>
      <c r="H3320" s="2" t="s">
        <v>148</v>
      </c>
      <c r="I3320" s="2" t="s">
        <v>9322</v>
      </c>
      <c r="J3320" s="3" t="str">
        <f>HYPERLINK("https://www.boe.es/gazeta/dias/1811/12/14/pdfs/GEI-1811-162.pdf#page=1","Abrir facsímil")</f>
        <v>Abrir facsímil</v>
      </c>
      <c r="K3320" s="3" t="s">
        <v>150</v>
      </c>
    </row>
    <row r="3321" spans="1:11" ht="42" customHeight="1">
      <c r="A3321" s="2" t="s">
        <v>9323</v>
      </c>
      <c r="B3321" s="2" t="s">
        <v>9324</v>
      </c>
      <c r="C3321" s="2" t="s">
        <v>17</v>
      </c>
      <c r="D3321" s="2" t="s">
        <v>18</v>
      </c>
      <c r="E3321" s="4">
        <v>-32480</v>
      </c>
      <c r="F3321" s="3" t="s">
        <v>2421</v>
      </c>
      <c r="G3321" s="3" t="s">
        <v>20</v>
      </c>
      <c r="H3321" s="2" t="s">
        <v>148</v>
      </c>
      <c r="I3321" s="2" t="s">
        <v>9325</v>
      </c>
      <c r="J3321" s="3" t="str">
        <f>HYPERLINK("https://www.boe.es/gazeta/dias/1811/01/26/pdfs/GMD-1811-26.pdf#page=4","Abrir facsímil")</f>
        <v>Abrir facsímil</v>
      </c>
      <c r="K3321" s="3" t="s">
        <v>150</v>
      </c>
    </row>
    <row r="3322" spans="1:11" ht="42" customHeight="1">
      <c r="A3322" s="2" t="s">
        <v>9326</v>
      </c>
      <c r="B3322" s="2" t="s">
        <v>9326</v>
      </c>
      <c r="C3322" s="2" t="s">
        <v>17</v>
      </c>
      <c r="D3322" s="2" t="s">
        <v>156</v>
      </c>
      <c r="E3322" s="4">
        <v>-32209</v>
      </c>
      <c r="F3322" s="3" t="s">
        <v>9303</v>
      </c>
      <c r="G3322" s="3" t="s">
        <v>9304</v>
      </c>
      <c r="H3322" s="2" t="s">
        <v>148</v>
      </c>
      <c r="I3322" s="2" t="s">
        <v>9327</v>
      </c>
      <c r="J3322" s="3" t="str">
        <f>HYPERLINK("https://www.boe.es/gazeta/dias/1811/10/24/pdfs/GEI-1811-137.pdf#page=2","Abrir facsímil")</f>
        <v>Abrir facsímil</v>
      </c>
      <c r="K3322" s="3" t="s">
        <v>150</v>
      </c>
    </row>
    <row r="3323" spans="1:11" ht="42" customHeight="1">
      <c r="A3323" s="2" t="s">
        <v>9326</v>
      </c>
      <c r="B3323" s="2" t="s">
        <v>9326</v>
      </c>
      <c r="C3323" s="2" t="s">
        <v>17</v>
      </c>
      <c r="D3323" s="2" t="s">
        <v>156</v>
      </c>
      <c r="E3323" s="4">
        <v>-32209</v>
      </c>
      <c r="F3323" s="3" t="s">
        <v>9303</v>
      </c>
      <c r="G3323" s="3" t="s">
        <v>9328</v>
      </c>
      <c r="H3323" s="2" t="s">
        <v>148</v>
      </c>
      <c r="I3323" s="2" t="s">
        <v>9329</v>
      </c>
      <c r="J3323" s="3" t="str">
        <f>HYPERLINK("https://www.boe.es/gazeta/dias/1811/10/24/pdfs/GEI-1811-137.pdf#page=3","Abrir facsímil")</f>
        <v>Abrir facsímil</v>
      </c>
      <c r="K3323" s="3" t="s">
        <v>150</v>
      </c>
    </row>
    <row r="3324" spans="1:11" ht="42" customHeight="1">
      <c r="A3324" s="2" t="s">
        <v>9330</v>
      </c>
      <c r="B3324" s="2" t="s">
        <v>9330</v>
      </c>
      <c r="C3324" s="2" t="s">
        <v>26</v>
      </c>
      <c r="D3324" s="2" t="s">
        <v>204</v>
      </c>
      <c r="E3324" s="4">
        <v>-32388</v>
      </c>
      <c r="F3324" s="3" t="s">
        <v>2772</v>
      </c>
      <c r="G3324" s="3" t="s">
        <v>9331</v>
      </c>
      <c r="H3324" s="2" t="s">
        <v>148</v>
      </c>
      <c r="I3324" s="2" t="s">
        <v>9332</v>
      </c>
      <c r="J3324" s="3" t="str">
        <f>HYPERLINK("https://www.boe.es/gazeta/dias/1811/04/28/pdfs/GMD-1811-118.pdf#page=1","Abrir facsímil")</f>
        <v>Abrir facsímil</v>
      </c>
      <c r="K3324" s="3" t="s">
        <v>150</v>
      </c>
    </row>
    <row r="3325" spans="1:11" ht="42" customHeight="1">
      <c r="A3325" s="2" t="s">
        <v>9333</v>
      </c>
      <c r="B3325" s="2" t="s">
        <v>9334</v>
      </c>
      <c r="C3325" s="2" t="s">
        <v>37</v>
      </c>
      <c r="D3325" s="2" t="s">
        <v>156</v>
      </c>
      <c r="E3325" s="4">
        <v>-32323</v>
      </c>
      <c r="F3325" s="3" t="s">
        <v>322</v>
      </c>
      <c r="G3325" s="3" t="s">
        <v>2164</v>
      </c>
      <c r="H3325" s="2" t="s">
        <v>148</v>
      </c>
      <c r="I3325" s="2" t="s">
        <v>9335</v>
      </c>
      <c r="J3325" s="3" t="str">
        <f>HYPERLINK("https://www.boe.es/gazeta/dias/1811/07/02/pdfs/GEI-1811-87.pdf#page=7","Abrir facsímil")</f>
        <v>Abrir facsímil</v>
      </c>
      <c r="K3325" s="3" t="s">
        <v>150</v>
      </c>
    </row>
    <row r="3326" spans="1:11" ht="42" customHeight="1">
      <c r="A3326" s="2" t="s">
        <v>9336</v>
      </c>
      <c r="B3326" s="2" t="s">
        <v>9336</v>
      </c>
      <c r="C3326" s="2" t="s">
        <v>17</v>
      </c>
      <c r="D3326" s="2" t="s">
        <v>105</v>
      </c>
      <c r="E3326" s="4">
        <v>-32431</v>
      </c>
      <c r="F3326" s="3" t="s">
        <v>668</v>
      </c>
      <c r="G3326" s="3" t="s">
        <v>669</v>
      </c>
      <c r="H3326" s="2" t="s">
        <v>148</v>
      </c>
      <c r="I3326" s="2" t="s">
        <v>9337</v>
      </c>
      <c r="J3326" s="3" t="str">
        <f>HYPERLINK("https://www.boe.es/gazeta/dias/1811/03/16/pdfs/GMD-1811-75.pdf#page=1","Abrir facsímil")</f>
        <v>Abrir facsímil</v>
      </c>
      <c r="K3326" s="3" t="s">
        <v>150</v>
      </c>
    </row>
    <row r="3327" spans="1:11" ht="42" customHeight="1">
      <c r="A3327" s="2" t="s">
        <v>9338</v>
      </c>
      <c r="B3327" s="2" t="s">
        <v>9339</v>
      </c>
      <c r="C3327" s="2" t="s">
        <v>26</v>
      </c>
      <c r="D3327" s="2" t="s">
        <v>18</v>
      </c>
      <c r="E3327" s="4">
        <v>-32501</v>
      </c>
      <c r="F3327" s="3" t="s">
        <v>509</v>
      </c>
      <c r="G3327" s="3" t="s">
        <v>510</v>
      </c>
      <c r="H3327" s="2" t="s">
        <v>148</v>
      </c>
      <c r="I3327" s="2" t="s">
        <v>9340</v>
      </c>
      <c r="J3327" s="3" t="str">
        <f>HYPERLINK("https://www.boe.es/gazeta/dias/1811/01/05/pdfs/GEI-1811-3.pdf#page=8","Abrir facsímil")</f>
        <v>Abrir facsímil</v>
      </c>
      <c r="K3327" s="3" t="s">
        <v>150</v>
      </c>
    </row>
    <row r="3328" spans="1:11" ht="42" customHeight="1">
      <c r="A3328" s="2" t="s">
        <v>9341</v>
      </c>
      <c r="B3328" s="2" t="s">
        <v>9341</v>
      </c>
      <c r="C3328" s="2" t="s">
        <v>17</v>
      </c>
      <c r="D3328" s="2" t="s">
        <v>18</v>
      </c>
      <c r="E3328" s="4">
        <v>-32325</v>
      </c>
      <c r="F3328" s="3" t="s">
        <v>552</v>
      </c>
      <c r="G3328" s="3" t="s">
        <v>553</v>
      </c>
      <c r="H3328" s="2" t="s">
        <v>148</v>
      </c>
      <c r="I3328" s="2" t="s">
        <v>9342</v>
      </c>
      <c r="J3328" s="3" t="str">
        <f>HYPERLINK("https://www.boe.es/gazeta/dias/1811/06/30/pdfs/GMD-1811-181.pdf#page=3","Abrir facsímil")</f>
        <v>Abrir facsímil</v>
      </c>
      <c r="K3328" s="3" t="s">
        <v>150</v>
      </c>
    </row>
    <row r="3329" spans="1:11" ht="42" customHeight="1">
      <c r="A3329" s="2" t="s">
        <v>9343</v>
      </c>
      <c r="B3329" s="2" t="s">
        <v>9343</v>
      </c>
      <c r="C3329" s="2" t="s">
        <v>17</v>
      </c>
      <c r="D3329" s="2" t="s">
        <v>18</v>
      </c>
      <c r="E3329" s="4">
        <v>-32152</v>
      </c>
      <c r="F3329" s="3" t="s">
        <v>1673</v>
      </c>
      <c r="G3329" s="3" t="s">
        <v>57</v>
      </c>
      <c r="H3329" s="2" t="s">
        <v>148</v>
      </c>
      <c r="I3329" s="2" t="s">
        <v>9344</v>
      </c>
      <c r="J3329" s="3" t="str">
        <f>HYPERLINK("https://www.boe.es/gazeta/dias/1811/12/20/pdfs/GMD-1811-354.pdf#page=2","Abrir facsímil")</f>
        <v>Abrir facsímil</v>
      </c>
      <c r="K3329" s="3" t="s">
        <v>150</v>
      </c>
    </row>
    <row r="3330" spans="1:11" ht="42" customHeight="1">
      <c r="A3330" s="2" t="s">
        <v>9345</v>
      </c>
      <c r="B3330" s="2" t="s">
        <v>9346</v>
      </c>
      <c r="C3330" s="2" t="s">
        <v>26</v>
      </c>
      <c r="D3330" s="2" t="s">
        <v>105</v>
      </c>
      <c r="E3330" s="4">
        <v>-32167</v>
      </c>
      <c r="F3330" s="3" t="s">
        <v>347</v>
      </c>
      <c r="G3330" s="3" t="s">
        <v>183</v>
      </c>
      <c r="H3330" s="2" t="s">
        <v>148</v>
      </c>
      <c r="I3330" s="2" t="s">
        <v>9347</v>
      </c>
      <c r="J3330" s="3" t="str">
        <f>HYPERLINK("https://www.boe.es/gazeta/dias/1811/12/05/pdfs/GEI-D-1811-158.pdf#page=4","Abrir facsímil")</f>
        <v>Abrir facsímil</v>
      </c>
      <c r="K3330" s="3" t="s">
        <v>150</v>
      </c>
    </row>
    <row r="3331" spans="1:11" ht="42" customHeight="1">
      <c r="A3331" s="2" t="s">
        <v>9348</v>
      </c>
      <c r="B3331" s="2" t="s">
        <v>9349</v>
      </c>
      <c r="C3331" s="2" t="s">
        <v>26</v>
      </c>
      <c r="D3331" s="2" t="s">
        <v>18</v>
      </c>
      <c r="E3331" s="4">
        <v>-32181</v>
      </c>
      <c r="F3331" s="3" t="s">
        <v>1169</v>
      </c>
      <c r="G3331" s="3" t="s">
        <v>1170</v>
      </c>
      <c r="H3331" s="2" t="s">
        <v>21</v>
      </c>
      <c r="I3331" s="2" t="s">
        <v>9350</v>
      </c>
      <c r="J3331" s="3" t="str">
        <f>HYPERLINK("https://www.boe.es/gazeta/dias/1811/11/21/pdfs/GMD-1811-325.pdf#page=4","Abrir facsímil")</f>
        <v>Abrir facsímil</v>
      </c>
      <c r="K3331" s="3" t="s">
        <v>23</v>
      </c>
    </row>
    <row r="3332" spans="1:11" ht="42" customHeight="1">
      <c r="A3332" s="2" t="s">
        <v>9351</v>
      </c>
      <c r="B3332" s="2" t="s">
        <v>9352</v>
      </c>
      <c r="C3332" s="2" t="s">
        <v>17</v>
      </c>
      <c r="D3332" s="2" t="s">
        <v>18</v>
      </c>
      <c r="E3332" s="4">
        <v>-32159</v>
      </c>
      <c r="F3332" s="3" t="s">
        <v>7260</v>
      </c>
      <c r="G3332" s="3" t="s">
        <v>20</v>
      </c>
      <c r="H3332" s="2" t="s">
        <v>21</v>
      </c>
      <c r="I3332" s="2" t="s">
        <v>9353</v>
      </c>
      <c r="J3332" s="3" t="str">
        <f>HYPERLINK("https://www.boe.es/gazeta/dias/1811/12/13/pdfs/GMD-1811-347.pdf#page=4","Abrir facsímil")</f>
        <v>Abrir facsímil</v>
      </c>
      <c r="K3332" s="3" t="s">
        <v>23</v>
      </c>
    </row>
    <row r="3333" spans="1:11" ht="42" customHeight="1">
      <c r="A3333" s="2" t="s">
        <v>9354</v>
      </c>
      <c r="B3333" s="2" t="s">
        <v>9355</v>
      </c>
      <c r="C3333" s="2" t="s">
        <v>26</v>
      </c>
      <c r="D3333" s="2" t="s">
        <v>18</v>
      </c>
      <c r="E3333" s="4">
        <v>-32188</v>
      </c>
      <c r="F3333" s="3" t="s">
        <v>356</v>
      </c>
      <c r="G3333" s="3" t="s">
        <v>468</v>
      </c>
      <c r="H3333" s="2" t="s">
        <v>148</v>
      </c>
      <c r="I3333" s="2" t="s">
        <v>9356</v>
      </c>
      <c r="J3333" s="3" t="str">
        <f>HYPERLINK("https://www.boe.es/gazeta/dias/1811/11/14/pdfs/GMD-1811-318.pdf#page=6","Abrir facsímil")</f>
        <v>Abrir facsímil</v>
      </c>
      <c r="K3333" s="3" t="s">
        <v>150</v>
      </c>
    </row>
    <row r="3334" spans="1:11" ht="42" customHeight="1">
      <c r="A3334" s="2" t="s">
        <v>9357</v>
      </c>
      <c r="B3334" s="2" t="s">
        <v>9357</v>
      </c>
      <c r="C3334" s="2" t="s">
        <v>17</v>
      </c>
      <c r="D3334" s="2" t="s">
        <v>18</v>
      </c>
      <c r="E3334" s="4">
        <v>-32380</v>
      </c>
      <c r="F3334" s="3" t="s">
        <v>9358</v>
      </c>
      <c r="G3334" s="3" t="s">
        <v>20</v>
      </c>
      <c r="H3334" s="2" t="s">
        <v>148</v>
      </c>
      <c r="I3334" s="2" t="s">
        <v>9359</v>
      </c>
      <c r="J3334" s="3" t="str">
        <f>HYPERLINK("https://www.boe.es/gazeta/dias/1811/05/06/pdfs/GMD-1811-126.pdf#page=4","Abrir facsímil")</f>
        <v>Abrir facsímil</v>
      </c>
      <c r="K3334" s="3" t="s">
        <v>150</v>
      </c>
    </row>
    <row r="3335" spans="1:11" ht="42" customHeight="1">
      <c r="A3335" s="2" t="s">
        <v>9360</v>
      </c>
      <c r="B3335" s="2" t="s">
        <v>9360</v>
      </c>
      <c r="C3335" s="2" t="s">
        <v>17</v>
      </c>
      <c r="D3335" s="2" t="s">
        <v>156</v>
      </c>
      <c r="E3335" s="4">
        <v>-32494</v>
      </c>
      <c r="F3335" s="3" t="s">
        <v>3050</v>
      </c>
      <c r="G3335" s="3" t="s">
        <v>1179</v>
      </c>
      <c r="H3335" s="2" t="s">
        <v>148</v>
      </c>
      <c r="I3335" s="2" t="s">
        <v>9361</v>
      </c>
      <c r="J3335" s="3" t="str">
        <f>HYPERLINK("https://www.boe.es/gazeta/dias/1811/01/12/pdfs/GEI-1811-6.pdf#page=7","Abrir facsímil")</f>
        <v>Abrir facsímil</v>
      </c>
      <c r="K3335" s="3" t="s">
        <v>150</v>
      </c>
    </row>
    <row r="3336" spans="1:11" ht="42" customHeight="1">
      <c r="A3336" s="2" t="s">
        <v>9362</v>
      </c>
      <c r="B3336" s="2" t="s">
        <v>9363</v>
      </c>
      <c r="C3336" s="2" t="s">
        <v>17</v>
      </c>
      <c r="D3336" s="2" t="s">
        <v>105</v>
      </c>
      <c r="E3336" s="4">
        <v>-32428</v>
      </c>
      <c r="F3336" s="3" t="s">
        <v>351</v>
      </c>
      <c r="G3336" s="3" t="s">
        <v>115</v>
      </c>
      <c r="H3336" s="2" t="s">
        <v>148</v>
      </c>
      <c r="I3336" s="2" t="s">
        <v>9364</v>
      </c>
      <c r="J3336" s="3" t="str">
        <f>HYPERLINK("https://www.boe.es/gazeta/dias/1811/03/19/pdfs/GMD-1811-78.pdf#page=3","Abrir facsímil")</f>
        <v>Abrir facsímil</v>
      </c>
      <c r="K3336" s="3" t="s">
        <v>150</v>
      </c>
    </row>
    <row r="3337" spans="1:11" ht="42" customHeight="1">
      <c r="A3337" s="2" t="s">
        <v>9365</v>
      </c>
      <c r="B3337" s="2" t="s">
        <v>9365</v>
      </c>
      <c r="C3337" s="2" t="s">
        <v>26</v>
      </c>
      <c r="D3337" s="2" t="s">
        <v>18</v>
      </c>
      <c r="E3337" s="4">
        <v>-32454</v>
      </c>
      <c r="F3337" s="3" t="s">
        <v>2268</v>
      </c>
      <c r="G3337" s="3" t="s">
        <v>5554</v>
      </c>
      <c r="H3337" s="2" t="s">
        <v>148</v>
      </c>
      <c r="I3337" s="2" t="s">
        <v>9366</v>
      </c>
      <c r="J3337" s="3" t="str">
        <f>HYPERLINK("https://www.boe.es/gazeta/dias/1811/02/21/pdfs/GEI-1811-23.pdf#page=3","Abrir facsímil")</f>
        <v>Abrir facsímil</v>
      </c>
      <c r="K3337" s="3" t="s">
        <v>150</v>
      </c>
    </row>
    <row r="3338" spans="1:11" ht="42" customHeight="1">
      <c r="A3338" s="2" t="s">
        <v>9367</v>
      </c>
      <c r="B3338" s="2" t="s">
        <v>9367</v>
      </c>
      <c r="C3338" s="2" t="s">
        <v>104</v>
      </c>
      <c r="D3338" s="2" t="s">
        <v>204</v>
      </c>
      <c r="E3338" s="4">
        <v>-32312</v>
      </c>
      <c r="F3338" s="3" t="s">
        <v>2640</v>
      </c>
      <c r="G3338" s="3" t="s">
        <v>248</v>
      </c>
      <c r="H3338" s="2" t="s">
        <v>148</v>
      </c>
      <c r="I3338" s="2" t="s">
        <v>9368</v>
      </c>
      <c r="J3338" s="3" t="str">
        <f>HYPERLINK("https://www.boe.es/gazeta/dias/1811/07/13/pdfs/GEI-1811-92.pdf#page=2","Abrir facsímil")</f>
        <v>Abrir facsímil</v>
      </c>
      <c r="K3338" s="3" t="s">
        <v>150</v>
      </c>
    </row>
    <row r="3339" spans="1:11" ht="42" customHeight="1">
      <c r="A3339" s="2" t="s">
        <v>9369</v>
      </c>
      <c r="B3339" s="2" t="s">
        <v>9370</v>
      </c>
      <c r="C3339" s="2" t="s">
        <v>37</v>
      </c>
      <c r="D3339" s="2" t="s">
        <v>18</v>
      </c>
      <c r="E3339" s="4">
        <v>-32146</v>
      </c>
      <c r="F3339" s="3" t="s">
        <v>777</v>
      </c>
      <c r="G3339" s="3" t="s">
        <v>9371</v>
      </c>
      <c r="H3339" s="2" t="s">
        <v>148</v>
      </c>
      <c r="I3339" s="2" t="s">
        <v>9372</v>
      </c>
      <c r="J3339" s="3" t="str">
        <f>HYPERLINK("https://www.boe.es/gazeta/dias/1811/12/26/pdfs/GEI-1811-167.pdf#page=6","Abrir facsímil")</f>
        <v>Abrir facsímil</v>
      </c>
      <c r="K3339" s="3" t="s">
        <v>150</v>
      </c>
    </row>
    <row r="3340" spans="1:11" ht="42" customHeight="1">
      <c r="A3340" s="2" t="s">
        <v>9373</v>
      </c>
      <c r="B3340" s="2" t="s">
        <v>9374</v>
      </c>
      <c r="C3340" s="2" t="s">
        <v>17</v>
      </c>
      <c r="D3340" s="2" t="s">
        <v>18</v>
      </c>
      <c r="E3340" s="4">
        <v>-32466</v>
      </c>
      <c r="F3340" s="3" t="s">
        <v>1514</v>
      </c>
      <c r="G3340" s="3" t="s">
        <v>846</v>
      </c>
      <c r="H3340" s="2" t="s">
        <v>21</v>
      </c>
      <c r="I3340" s="2" t="s">
        <v>9375</v>
      </c>
      <c r="J3340" s="3" t="str">
        <f>HYPERLINK("https://www.boe.es/gazeta/dias/1811/02/09/pdfs/GEI-1811-18.pdf#page=4","Abrir facsímil")</f>
        <v>Abrir facsímil</v>
      </c>
      <c r="K3340" s="3" t="s">
        <v>23</v>
      </c>
    </row>
    <row r="3341" spans="1:11" ht="42" customHeight="1">
      <c r="A3341" s="2" t="s">
        <v>9376</v>
      </c>
      <c r="B3341" s="2" t="s">
        <v>9377</v>
      </c>
      <c r="C3341" s="2" t="s">
        <v>26</v>
      </c>
      <c r="D3341" s="2" t="s">
        <v>18</v>
      </c>
      <c r="E3341" s="4">
        <v>-32179</v>
      </c>
      <c r="F3341" s="3" t="s">
        <v>614</v>
      </c>
      <c r="G3341" s="3" t="s">
        <v>47</v>
      </c>
      <c r="H3341" s="2" t="s">
        <v>148</v>
      </c>
      <c r="I3341" s="2" t="s">
        <v>9378</v>
      </c>
      <c r="J3341" s="3" t="str">
        <f>HYPERLINK("https://www.boe.es/gazeta/dias/1811/11/23/pdfs/GEI-1811-153.pdf#page=8","Abrir facsímil")</f>
        <v>Abrir facsímil</v>
      </c>
      <c r="K3341" s="3" t="s">
        <v>150</v>
      </c>
    </row>
    <row r="3342" spans="1:11" ht="42" customHeight="1">
      <c r="A3342" s="2" t="s">
        <v>9379</v>
      </c>
      <c r="B3342" s="2" t="s">
        <v>9379</v>
      </c>
      <c r="C3342" s="2" t="s">
        <v>17</v>
      </c>
      <c r="D3342" s="2" t="s">
        <v>18</v>
      </c>
      <c r="E3342" s="4">
        <v>-32286</v>
      </c>
      <c r="F3342" s="3" t="s">
        <v>754</v>
      </c>
      <c r="G3342" s="3" t="s">
        <v>755</v>
      </c>
      <c r="H3342" s="2" t="s">
        <v>148</v>
      </c>
      <c r="I3342" s="2" t="s">
        <v>9380</v>
      </c>
      <c r="J3342" s="3" t="str">
        <f>HYPERLINK("https://www.boe.es/gazeta/dias/1811/08/08/pdfs/GEI-1811-103.pdf#page=2","Abrir facsímil")</f>
        <v>Abrir facsímil</v>
      </c>
      <c r="K3342" s="3" t="s">
        <v>150</v>
      </c>
    </row>
    <row r="3343" spans="1:11" ht="42" customHeight="1">
      <c r="A3343" s="2" t="s">
        <v>9381</v>
      </c>
      <c r="B3343" s="2" t="s">
        <v>9382</v>
      </c>
      <c r="C3343" s="2" t="s">
        <v>104</v>
      </c>
      <c r="D3343" s="2" t="s">
        <v>204</v>
      </c>
      <c r="E3343" s="4">
        <v>-32388</v>
      </c>
      <c r="F3343" s="3" t="s">
        <v>2772</v>
      </c>
      <c r="G3343" s="3" t="s">
        <v>515</v>
      </c>
      <c r="H3343" s="2" t="s">
        <v>148</v>
      </c>
      <c r="I3343" s="2" t="s">
        <v>9383</v>
      </c>
      <c r="J3343" s="3" t="str">
        <f>HYPERLINK("https://www.boe.es/gazeta/dias/1811/04/28/pdfs/GMD-1811-118.pdf#page=4","Abrir facsímil")</f>
        <v>Abrir facsímil</v>
      </c>
      <c r="K3343" s="3" t="s">
        <v>150</v>
      </c>
    </row>
    <row r="3344" spans="1:11" ht="42" customHeight="1">
      <c r="A3344" s="2" t="s">
        <v>9384</v>
      </c>
      <c r="B3344" s="2" t="s">
        <v>9384</v>
      </c>
      <c r="C3344" s="2" t="s">
        <v>17</v>
      </c>
      <c r="D3344" s="2" t="s">
        <v>18</v>
      </c>
      <c r="E3344" s="4">
        <v>-32461</v>
      </c>
      <c r="F3344" s="3" t="s">
        <v>1383</v>
      </c>
      <c r="G3344" s="3" t="s">
        <v>1384</v>
      </c>
      <c r="H3344" s="2" t="s">
        <v>148</v>
      </c>
      <c r="I3344" s="2" t="s">
        <v>9385</v>
      </c>
      <c r="J3344" s="3" t="str">
        <f>HYPERLINK("https://www.boe.es/gazeta/dias/1811/02/14/pdfs/GMD-1811-45.pdf#page=1","Abrir facsímil")</f>
        <v>Abrir facsímil</v>
      </c>
      <c r="K3344" s="3" t="s">
        <v>150</v>
      </c>
    </row>
    <row r="3345" spans="1:11" ht="42" customHeight="1">
      <c r="A3345" s="2" t="s">
        <v>9384</v>
      </c>
      <c r="B3345" s="2" t="s">
        <v>9384</v>
      </c>
      <c r="C3345" s="2" t="s">
        <v>367</v>
      </c>
      <c r="D3345" s="2" t="s">
        <v>156</v>
      </c>
      <c r="E3345" s="4">
        <v>-32319</v>
      </c>
      <c r="F3345" s="3" t="s">
        <v>2035</v>
      </c>
      <c r="G3345" s="3" t="s">
        <v>134</v>
      </c>
      <c r="H3345" s="2" t="s">
        <v>148</v>
      </c>
      <c r="I3345" s="2" t="s">
        <v>9386</v>
      </c>
      <c r="J3345" s="3" t="str">
        <f>HYPERLINK("https://www.boe.es/gazeta/dias/1811/07/06/pdfs/GMD-1811-187.pdf#page=2","Abrir facsímil")</f>
        <v>Abrir facsímil</v>
      </c>
      <c r="K3345" s="3" t="s">
        <v>150</v>
      </c>
    </row>
    <row r="3346" spans="1:11" ht="42" customHeight="1">
      <c r="A3346" s="2" t="s">
        <v>9384</v>
      </c>
      <c r="B3346" s="2" t="s">
        <v>9384</v>
      </c>
      <c r="C3346" s="2" t="s">
        <v>104</v>
      </c>
      <c r="D3346" s="2" t="s">
        <v>18</v>
      </c>
      <c r="E3346" s="4">
        <v>-32194</v>
      </c>
      <c r="F3346" s="3" t="s">
        <v>1062</v>
      </c>
      <c r="G3346" s="3" t="s">
        <v>39</v>
      </c>
      <c r="H3346" s="2" t="s">
        <v>148</v>
      </c>
      <c r="I3346" s="2" t="s">
        <v>9387</v>
      </c>
      <c r="J3346" s="3" t="str">
        <f>HYPERLINK("https://www.boe.es/gazeta/dias/1811/11/08/pdfs/GMD-1811-312.pdf#page=2","Abrir facsímil")</f>
        <v>Abrir facsímil</v>
      </c>
      <c r="K3346" s="3" t="s">
        <v>150</v>
      </c>
    </row>
    <row r="3347" spans="1:11" ht="42" customHeight="1">
      <c r="A3347" s="2" t="s">
        <v>9388</v>
      </c>
      <c r="B3347" s="2" t="s">
        <v>9389</v>
      </c>
      <c r="C3347" s="2" t="s">
        <v>26</v>
      </c>
      <c r="D3347" s="2" t="s">
        <v>18</v>
      </c>
      <c r="E3347" s="4">
        <v>-32213</v>
      </c>
      <c r="F3347" s="3" t="s">
        <v>4653</v>
      </c>
      <c r="G3347" s="3" t="s">
        <v>2092</v>
      </c>
      <c r="H3347" s="2" t="s">
        <v>148</v>
      </c>
      <c r="I3347" s="2" t="s">
        <v>9390</v>
      </c>
      <c r="J3347" s="3" t="str">
        <f>HYPERLINK("https://www.boe.es/gazeta/dias/1811/10/20/pdfs/GMD-1811-293.pdf#page=2","Abrir facsímil")</f>
        <v>Abrir facsímil</v>
      </c>
      <c r="K3347" s="3" t="s">
        <v>150</v>
      </c>
    </row>
    <row r="3348" spans="1:11" ht="42" customHeight="1">
      <c r="A3348" s="2" t="s">
        <v>9391</v>
      </c>
      <c r="B3348" s="2" t="s">
        <v>9391</v>
      </c>
      <c r="C3348" s="2" t="s">
        <v>26</v>
      </c>
      <c r="D3348" s="2" t="s">
        <v>105</v>
      </c>
      <c r="E3348" s="4">
        <v>-32202</v>
      </c>
      <c r="F3348" s="3" t="s">
        <v>2194</v>
      </c>
      <c r="G3348" s="3" t="s">
        <v>47</v>
      </c>
      <c r="H3348" s="2" t="s">
        <v>148</v>
      </c>
      <c r="I3348" s="2" t="s">
        <v>9392</v>
      </c>
      <c r="J3348" s="3" t="str">
        <f>HYPERLINK("https://www.boe.es/gazeta/dias/1811/10/31/pdfs/GEI-1811-140.pdf#page=7","Abrir facsímil")</f>
        <v>Abrir facsímil</v>
      </c>
      <c r="K3348" s="3" t="s">
        <v>150</v>
      </c>
    </row>
    <row r="3349" spans="1:11" ht="42" customHeight="1">
      <c r="A3349" s="2" t="s">
        <v>9393</v>
      </c>
      <c r="B3349" s="2" t="s">
        <v>9394</v>
      </c>
      <c r="C3349" s="2" t="s">
        <v>26</v>
      </c>
      <c r="D3349" s="2" t="s">
        <v>18</v>
      </c>
      <c r="E3349" s="4">
        <v>-32300</v>
      </c>
      <c r="F3349" s="3" t="s">
        <v>492</v>
      </c>
      <c r="G3349" s="3" t="s">
        <v>493</v>
      </c>
      <c r="H3349" s="2" t="s">
        <v>148</v>
      </c>
      <c r="I3349" s="2" t="s">
        <v>9395</v>
      </c>
      <c r="J3349" s="3" t="str">
        <f>HYPERLINK("https://www.boe.es/gazeta/dias/1811/07/25/pdfs/GMD-1811-206.pdf#page=4","Abrir facsímil")</f>
        <v>Abrir facsímil</v>
      </c>
      <c r="K3349" s="3" t="s">
        <v>150</v>
      </c>
    </row>
    <row r="3350" spans="1:11" ht="42" customHeight="1">
      <c r="A3350" s="2" t="s">
        <v>9396</v>
      </c>
      <c r="B3350" s="2" t="s">
        <v>9396</v>
      </c>
      <c r="C3350" s="2" t="s">
        <v>26</v>
      </c>
      <c r="D3350" s="2" t="s">
        <v>18</v>
      </c>
      <c r="E3350" s="4">
        <v>-32286</v>
      </c>
      <c r="F3350" s="3" t="s">
        <v>754</v>
      </c>
      <c r="G3350" s="3" t="s">
        <v>1728</v>
      </c>
      <c r="H3350" s="2" t="s">
        <v>148</v>
      </c>
      <c r="I3350" s="2" t="s">
        <v>9397</v>
      </c>
      <c r="J3350" s="3" t="str">
        <f>HYPERLINK("https://www.boe.es/gazeta/dias/1811/08/08/pdfs/GEI-1811-103.pdf#page=8","Abrir facsímil")</f>
        <v>Abrir facsímil</v>
      </c>
      <c r="K3350" s="3" t="s">
        <v>150</v>
      </c>
    </row>
    <row r="3351" spans="1:11" ht="42" customHeight="1">
      <c r="A3351" s="2" t="s">
        <v>9398</v>
      </c>
      <c r="B3351" s="2" t="s">
        <v>9399</v>
      </c>
      <c r="C3351" s="2" t="s">
        <v>26</v>
      </c>
      <c r="D3351" s="2" t="s">
        <v>18</v>
      </c>
      <c r="E3351" s="4">
        <v>-32153</v>
      </c>
      <c r="F3351" s="3" t="s">
        <v>123</v>
      </c>
      <c r="G3351" s="3" t="s">
        <v>1067</v>
      </c>
      <c r="H3351" s="2" t="s">
        <v>148</v>
      </c>
      <c r="I3351" s="2" t="s">
        <v>9400</v>
      </c>
      <c r="J3351" s="3" t="str">
        <f>HYPERLINK("https://www.boe.es/gazeta/dias/1811/12/19/pdfs/GMD-1811-353.pdf#page=5","Abrir facsímil")</f>
        <v>Abrir facsímil</v>
      </c>
      <c r="K3351" s="3" t="s">
        <v>150</v>
      </c>
    </row>
    <row r="3352" spans="1:11" ht="42" customHeight="1">
      <c r="A3352" s="2" t="s">
        <v>9401</v>
      </c>
      <c r="B3352" s="2" t="s">
        <v>9401</v>
      </c>
      <c r="C3352" s="2" t="s">
        <v>367</v>
      </c>
      <c r="D3352" s="2" t="s">
        <v>18</v>
      </c>
      <c r="E3352" s="4">
        <v>-32297</v>
      </c>
      <c r="F3352" s="3" t="s">
        <v>2174</v>
      </c>
      <c r="G3352" s="3" t="s">
        <v>183</v>
      </c>
      <c r="H3352" s="2" t="s">
        <v>148</v>
      </c>
      <c r="I3352" s="2" t="s">
        <v>9402</v>
      </c>
      <c r="J3352" s="3" t="str">
        <f>HYPERLINK("https://www.boe.es/gazeta/dias/1811/07/28/pdfs/GMD-1811-209.pdf#page=4","Abrir facsímil")</f>
        <v>Abrir facsímil</v>
      </c>
      <c r="K3352" s="3" t="s">
        <v>150</v>
      </c>
    </row>
    <row r="3353" spans="1:11" ht="42" customHeight="1">
      <c r="A3353" s="2" t="s">
        <v>9401</v>
      </c>
      <c r="B3353" s="2" t="s">
        <v>9401</v>
      </c>
      <c r="C3353" s="2" t="s">
        <v>26</v>
      </c>
      <c r="D3353" s="2" t="s">
        <v>18</v>
      </c>
      <c r="E3353" s="4">
        <v>-32286</v>
      </c>
      <c r="F3353" s="3" t="s">
        <v>754</v>
      </c>
      <c r="G3353" s="3" t="s">
        <v>1728</v>
      </c>
      <c r="H3353" s="2" t="s">
        <v>148</v>
      </c>
      <c r="I3353" s="2" t="s">
        <v>9403</v>
      </c>
      <c r="J3353" s="3" t="str">
        <f>HYPERLINK("https://www.boe.es/gazeta/dias/1811/08/08/pdfs/GEI-1811-103.pdf#page=8","Abrir facsímil")</f>
        <v>Abrir facsímil</v>
      </c>
      <c r="K3353" s="3" t="s">
        <v>150</v>
      </c>
    </row>
    <row r="3354" spans="1:11" ht="42" customHeight="1">
      <c r="A3354" s="2" t="s">
        <v>9401</v>
      </c>
      <c r="B3354" s="2" t="s">
        <v>9401</v>
      </c>
      <c r="C3354" s="2" t="s">
        <v>26</v>
      </c>
      <c r="D3354" s="2" t="s">
        <v>105</v>
      </c>
      <c r="E3354" s="4">
        <v>-32279</v>
      </c>
      <c r="F3354" s="3" t="s">
        <v>540</v>
      </c>
      <c r="G3354" s="3" t="s">
        <v>20</v>
      </c>
      <c r="H3354" s="2" t="s">
        <v>148</v>
      </c>
      <c r="I3354" s="2" t="s">
        <v>9404</v>
      </c>
      <c r="J3354" s="3" t="str">
        <f>HYPERLINK("https://www.boe.es/gazeta/dias/1811/08/15/pdfs/GMD-1811-227.pdf#page=4","Abrir facsímil")</f>
        <v>Abrir facsímil</v>
      </c>
      <c r="K3354" s="3" t="s">
        <v>150</v>
      </c>
    </row>
    <row r="3355" spans="1:11" ht="42" customHeight="1">
      <c r="A3355" s="2" t="s">
        <v>9401</v>
      </c>
      <c r="B3355" s="2" t="s">
        <v>9401</v>
      </c>
      <c r="C3355" s="2" t="s">
        <v>17</v>
      </c>
      <c r="D3355" s="2" t="s">
        <v>18</v>
      </c>
      <c r="E3355" s="4">
        <v>-32258</v>
      </c>
      <c r="F3355" s="3" t="s">
        <v>7467</v>
      </c>
      <c r="G3355" s="3" t="s">
        <v>20</v>
      </c>
      <c r="H3355" s="2" t="s">
        <v>148</v>
      </c>
      <c r="I3355" s="2" t="s">
        <v>9405</v>
      </c>
      <c r="J3355" s="3" t="str">
        <f>HYPERLINK("https://www.boe.es/gazeta/dias/1811/09/05/pdfs/GMD-1811-248.pdf#page=4","Abrir facsímil")</f>
        <v>Abrir facsímil</v>
      </c>
      <c r="K3355" s="3" t="s">
        <v>150</v>
      </c>
    </row>
    <row r="3356" spans="1:11" ht="42" customHeight="1">
      <c r="A3356" s="2" t="s">
        <v>9406</v>
      </c>
      <c r="B3356" s="2" t="s">
        <v>9407</v>
      </c>
      <c r="C3356" s="2" t="s">
        <v>26</v>
      </c>
      <c r="D3356" s="2" t="s">
        <v>141</v>
      </c>
      <c r="E3356" s="4">
        <v>-32238</v>
      </c>
      <c r="F3356" s="3" t="s">
        <v>166</v>
      </c>
      <c r="G3356" s="3" t="s">
        <v>129</v>
      </c>
      <c r="H3356" s="2" t="s">
        <v>148</v>
      </c>
      <c r="I3356" s="2" t="s">
        <v>9408</v>
      </c>
      <c r="J3356" s="3" t="str">
        <f>HYPERLINK("https://www.boe.es/gazeta/dias/1811/09/25/pdfs/GMD-C-1811-268.pdf#page=1","Abrir facsímil")</f>
        <v>Abrir facsímil</v>
      </c>
      <c r="K3356" s="3" t="s">
        <v>150</v>
      </c>
    </row>
    <row r="3357" spans="1:11" ht="42" customHeight="1">
      <c r="A3357" s="2" t="s">
        <v>9409</v>
      </c>
      <c r="B3357" s="2" t="s">
        <v>9409</v>
      </c>
      <c r="C3357" s="2" t="s">
        <v>26</v>
      </c>
      <c r="D3357" s="2" t="s">
        <v>18</v>
      </c>
      <c r="E3357" s="4">
        <v>-32155</v>
      </c>
      <c r="F3357" s="3" t="s">
        <v>99</v>
      </c>
      <c r="G3357" s="3" t="s">
        <v>100</v>
      </c>
      <c r="H3357" s="2" t="s">
        <v>148</v>
      </c>
      <c r="I3357" s="2" t="s">
        <v>9410</v>
      </c>
      <c r="J3357" s="3" t="str">
        <f>HYPERLINK("https://www.boe.es/gazeta/dias/1811/12/17/pdfs/GMD-1811-351.pdf#page=4","Abrir facsímil")</f>
        <v>Abrir facsímil</v>
      </c>
      <c r="K3357" s="3" t="s">
        <v>150</v>
      </c>
    </row>
    <row r="3358" spans="1:11" ht="42" customHeight="1">
      <c r="A3358" s="2" t="s">
        <v>9411</v>
      </c>
      <c r="B3358" s="2" t="s">
        <v>9412</v>
      </c>
      <c r="C3358" s="2" t="s">
        <v>26</v>
      </c>
      <c r="D3358" s="2" t="s">
        <v>18</v>
      </c>
      <c r="E3358" s="4">
        <v>-32155</v>
      </c>
      <c r="F3358" s="3" t="s">
        <v>263</v>
      </c>
      <c r="G3358" s="3" t="s">
        <v>1800</v>
      </c>
      <c r="H3358" s="2" t="s">
        <v>148</v>
      </c>
      <c r="I3358" s="2" t="s">
        <v>9413</v>
      </c>
      <c r="J3358" s="3" t="str">
        <f>HYPERLINK("https://www.boe.es/gazeta/dias/1811/12/17/pdfs/GEI-1811-163.pdf#page=7","Abrir facsímil")</f>
        <v>Abrir facsímil</v>
      </c>
      <c r="K3358" s="3" t="s">
        <v>150</v>
      </c>
    </row>
    <row r="3359" spans="1:11" ht="42" customHeight="1">
      <c r="A3359" s="2" t="s">
        <v>9414</v>
      </c>
      <c r="B3359" s="2" t="s">
        <v>9414</v>
      </c>
      <c r="C3359" s="2" t="s">
        <v>26</v>
      </c>
      <c r="D3359" s="2" t="s">
        <v>18</v>
      </c>
      <c r="E3359" s="4">
        <v>-32503</v>
      </c>
      <c r="F3359" s="3" t="s">
        <v>487</v>
      </c>
      <c r="G3359" s="3" t="s">
        <v>1930</v>
      </c>
      <c r="H3359" s="2" t="s">
        <v>148</v>
      </c>
      <c r="I3359" s="2" t="s">
        <v>9415</v>
      </c>
      <c r="J3359" s="3" t="str">
        <f>HYPERLINK("https://www.boe.es/gazeta/dias/1811/01/03/pdfs/GEI-1811-2.pdf#page=8","Abrir facsímil")</f>
        <v>Abrir facsímil</v>
      </c>
      <c r="K3359" s="3" t="s">
        <v>150</v>
      </c>
    </row>
    <row r="3360" spans="1:11" ht="42" customHeight="1">
      <c r="A3360" s="2" t="s">
        <v>9416</v>
      </c>
      <c r="B3360" s="2" t="s">
        <v>9417</v>
      </c>
      <c r="C3360" s="2" t="s">
        <v>26</v>
      </c>
      <c r="D3360" s="2" t="s">
        <v>18</v>
      </c>
      <c r="E3360" s="4">
        <v>-32477</v>
      </c>
      <c r="F3360" s="3" t="s">
        <v>6777</v>
      </c>
      <c r="G3360" s="3" t="s">
        <v>510</v>
      </c>
      <c r="H3360" s="2" t="s">
        <v>148</v>
      </c>
      <c r="I3360" s="2" t="s">
        <v>9418</v>
      </c>
      <c r="J3360" s="3" t="str">
        <f>HYPERLINK("https://www.boe.es/gazeta/dias/1811/01/29/pdfs/GEI-1811-13.pdf#page=8","Abrir facsímil")</f>
        <v>Abrir facsímil</v>
      </c>
      <c r="K3360" s="3" t="s">
        <v>150</v>
      </c>
    </row>
    <row r="3361" spans="1:11" ht="42" customHeight="1">
      <c r="A3361" s="2" t="s">
        <v>9419</v>
      </c>
      <c r="B3361" s="2" t="s">
        <v>9420</v>
      </c>
      <c r="C3361" s="2" t="s">
        <v>17</v>
      </c>
      <c r="D3361" s="2" t="s">
        <v>18</v>
      </c>
      <c r="E3361" s="4">
        <v>-32200</v>
      </c>
      <c r="F3361" s="3" t="s">
        <v>109</v>
      </c>
      <c r="G3361" s="3" t="s">
        <v>110</v>
      </c>
      <c r="H3361" s="2" t="s">
        <v>148</v>
      </c>
      <c r="I3361" s="2" t="s">
        <v>9421</v>
      </c>
      <c r="J3361" s="3" t="str">
        <f>HYPERLINK("https://www.boe.es/gazeta/dias/1811/11/02/pdfs/GEI-1811-141.pdf#page=6","Abrir facsímil")</f>
        <v>Abrir facsímil</v>
      </c>
      <c r="K3361" s="3" t="s">
        <v>150</v>
      </c>
    </row>
    <row r="3362" spans="1:11" ht="42" customHeight="1">
      <c r="A3362" s="2" t="s">
        <v>9422</v>
      </c>
      <c r="B3362" s="2" t="s">
        <v>9423</v>
      </c>
      <c r="C3362" s="2" t="s">
        <v>26</v>
      </c>
      <c r="D3362" s="2" t="s">
        <v>18</v>
      </c>
      <c r="E3362" s="4">
        <v>-32215</v>
      </c>
      <c r="F3362" s="3" t="s">
        <v>6300</v>
      </c>
      <c r="G3362" s="3" t="s">
        <v>4049</v>
      </c>
      <c r="H3362" s="2" t="s">
        <v>148</v>
      </c>
      <c r="I3362" s="2" t="s">
        <v>9424</v>
      </c>
      <c r="J3362" s="3" t="str">
        <f>HYPERLINK("https://www.boe.es/gazeta/dias/1811/10/18/pdfs/GMD-1811-291.pdf#page=4","Abrir facsímil")</f>
        <v>Abrir facsímil</v>
      </c>
      <c r="K3362" s="3" t="s">
        <v>150</v>
      </c>
    </row>
    <row r="3363" spans="1:11" ht="42" customHeight="1">
      <c r="A3363" s="2" t="s">
        <v>9425</v>
      </c>
      <c r="B3363" s="2" t="s">
        <v>9425</v>
      </c>
      <c r="C3363" s="2" t="s">
        <v>104</v>
      </c>
      <c r="D3363" s="2" t="s">
        <v>18</v>
      </c>
      <c r="E3363" s="4">
        <v>-32279</v>
      </c>
      <c r="F3363" s="3" t="s">
        <v>444</v>
      </c>
      <c r="G3363" s="3" t="s">
        <v>445</v>
      </c>
      <c r="H3363" s="2" t="s">
        <v>148</v>
      </c>
      <c r="I3363" s="2" t="s">
        <v>9426</v>
      </c>
      <c r="J3363" s="3" t="str">
        <f>HYPERLINK("https://www.boe.es/gazeta/dias/1811/08/15/pdfs/GEI-1811-106.pdf#page=8","Abrir facsímil")</f>
        <v>Abrir facsímil</v>
      </c>
      <c r="K3363" s="3" t="s">
        <v>150</v>
      </c>
    </row>
    <row r="3364" spans="1:11" ht="42" customHeight="1">
      <c r="A3364" s="2" t="s">
        <v>9427</v>
      </c>
      <c r="B3364" s="2" t="s">
        <v>9427</v>
      </c>
      <c r="C3364" s="2" t="s">
        <v>104</v>
      </c>
      <c r="D3364" s="2" t="s">
        <v>18</v>
      </c>
      <c r="E3364" s="4">
        <v>-32496</v>
      </c>
      <c r="F3364" s="3" t="s">
        <v>1927</v>
      </c>
      <c r="G3364" s="3" t="s">
        <v>498</v>
      </c>
      <c r="H3364" s="2" t="s">
        <v>148</v>
      </c>
      <c r="I3364" s="2" t="s">
        <v>9428</v>
      </c>
      <c r="J3364" s="3" t="str">
        <f>HYPERLINK("https://www.boe.es/gazeta/dias/1811/01/10/pdfs/GEI-1811-5.pdf#page=7","Abrir facsímil")</f>
        <v>Abrir facsímil</v>
      </c>
      <c r="K3364" s="3" t="s">
        <v>150</v>
      </c>
    </row>
    <row r="3365" spans="1:11" ht="42" customHeight="1">
      <c r="A3365" s="2" t="s">
        <v>9427</v>
      </c>
      <c r="B3365" s="2" t="s">
        <v>9427</v>
      </c>
      <c r="C3365" s="2" t="s">
        <v>26</v>
      </c>
      <c r="D3365" s="2" t="s">
        <v>18</v>
      </c>
      <c r="E3365" s="4">
        <v>-32382</v>
      </c>
      <c r="F3365" s="3" t="s">
        <v>6451</v>
      </c>
      <c r="G3365" s="3" t="s">
        <v>282</v>
      </c>
      <c r="H3365" s="2" t="s">
        <v>148</v>
      </c>
      <c r="I3365" s="2" t="s">
        <v>9429</v>
      </c>
      <c r="J3365" s="3" t="str">
        <f>HYPERLINK("https://www.boe.es/gazeta/dias/1811/05/04/pdfs/GMD-1811-124.pdf#page=4","Abrir facsímil")</f>
        <v>Abrir facsímil</v>
      </c>
      <c r="K3365" s="3" t="s">
        <v>150</v>
      </c>
    </row>
    <row r="3366" spans="1:11" ht="42" customHeight="1">
      <c r="A3366" s="2" t="s">
        <v>9427</v>
      </c>
      <c r="B3366" s="2" t="s">
        <v>9427</v>
      </c>
      <c r="C3366" s="2" t="s">
        <v>26</v>
      </c>
      <c r="D3366" s="2" t="s">
        <v>18</v>
      </c>
      <c r="E3366" s="4">
        <v>-32379</v>
      </c>
      <c r="F3366" s="3" t="s">
        <v>2357</v>
      </c>
      <c r="G3366" s="3" t="s">
        <v>468</v>
      </c>
      <c r="H3366" s="2" t="s">
        <v>148</v>
      </c>
      <c r="I3366" s="2" t="s">
        <v>9430</v>
      </c>
      <c r="J3366" s="3" t="str">
        <f>HYPERLINK("https://www.boe.es/gazeta/dias/1811/05/07/pdfs/GMD-1811-127.pdf#page=4","Abrir facsímil")</f>
        <v>Abrir facsímil</v>
      </c>
      <c r="K3366" s="3" t="s">
        <v>150</v>
      </c>
    </row>
    <row r="3367" spans="1:11" ht="42" customHeight="1">
      <c r="A3367" s="2" t="s">
        <v>9427</v>
      </c>
      <c r="B3367" s="2" t="s">
        <v>9427</v>
      </c>
      <c r="C3367" s="2" t="s">
        <v>26</v>
      </c>
      <c r="D3367" s="2" t="s">
        <v>18</v>
      </c>
      <c r="E3367" s="4">
        <v>-32153</v>
      </c>
      <c r="F3367" s="3" t="s">
        <v>123</v>
      </c>
      <c r="G3367" s="3" t="s">
        <v>124</v>
      </c>
      <c r="H3367" s="2" t="s">
        <v>148</v>
      </c>
      <c r="I3367" s="2" t="s">
        <v>9431</v>
      </c>
      <c r="J3367" s="3" t="str">
        <f>HYPERLINK("https://www.boe.es/gazeta/dias/1811/12/19/pdfs/GMD-1811-353.pdf#page=6","Abrir facsímil")</f>
        <v>Abrir facsímil</v>
      </c>
      <c r="K3367" s="3" t="s">
        <v>150</v>
      </c>
    </row>
    <row r="3368" spans="1:11" ht="42" customHeight="1">
      <c r="A3368" s="2" t="s">
        <v>9427</v>
      </c>
      <c r="B3368" s="2" t="s">
        <v>9427</v>
      </c>
      <c r="C3368" s="2" t="s">
        <v>122</v>
      </c>
      <c r="D3368" s="2" t="s">
        <v>18</v>
      </c>
      <c r="E3368" s="4">
        <v>-32148</v>
      </c>
      <c r="F3368" s="3" t="s">
        <v>1616</v>
      </c>
      <c r="G3368" s="3" t="s">
        <v>515</v>
      </c>
      <c r="H3368" s="2" t="s">
        <v>148</v>
      </c>
      <c r="I3368" s="2" t="s">
        <v>9432</v>
      </c>
      <c r="J3368" s="3" t="str">
        <f>HYPERLINK("https://www.boe.es/gazeta/dias/1811/12/24/pdfs/GEI-1811-166.pdf#page=7","Abrir facsímil")</f>
        <v>Abrir facsímil</v>
      </c>
      <c r="K3368" s="3" t="s">
        <v>150</v>
      </c>
    </row>
    <row r="3369" spans="1:11" ht="42" customHeight="1">
      <c r="A3369" s="2" t="s">
        <v>9433</v>
      </c>
      <c r="B3369" s="2" t="s">
        <v>9433</v>
      </c>
      <c r="C3369" s="2" t="s">
        <v>26</v>
      </c>
      <c r="D3369" s="2" t="s">
        <v>18</v>
      </c>
      <c r="E3369" s="4">
        <v>-32246</v>
      </c>
      <c r="F3369" s="3" t="s">
        <v>1901</v>
      </c>
      <c r="G3369" s="3" t="s">
        <v>248</v>
      </c>
      <c r="H3369" s="2" t="s">
        <v>148</v>
      </c>
      <c r="I3369" s="2" t="s">
        <v>9434</v>
      </c>
      <c r="J3369" s="3" t="str">
        <f>HYPERLINK("https://www.boe.es/gazeta/dias/1811/09/17/pdfs/GMD-1811-260.pdf#page=3","Abrir facsímil")</f>
        <v>Abrir facsímil</v>
      </c>
      <c r="K3369" s="3" t="s">
        <v>150</v>
      </c>
    </row>
    <row r="3370" spans="1:11" ht="42" customHeight="1">
      <c r="A3370" s="2" t="s">
        <v>9435</v>
      </c>
      <c r="B3370" s="2" t="s">
        <v>9435</v>
      </c>
      <c r="C3370" s="2" t="s">
        <v>17</v>
      </c>
      <c r="D3370" s="2" t="s">
        <v>156</v>
      </c>
      <c r="E3370" s="4">
        <v>-32188</v>
      </c>
      <c r="F3370" s="3" t="s">
        <v>505</v>
      </c>
      <c r="G3370" s="3" t="s">
        <v>9436</v>
      </c>
      <c r="H3370" s="2" t="s">
        <v>148</v>
      </c>
      <c r="I3370" s="2" t="s">
        <v>9437</v>
      </c>
      <c r="J3370" s="3" t="str">
        <f>HYPERLINK("https://www.boe.es/gazeta/dias/1811/11/14/pdfs/GEI-D-1811-149.pdf#page=2","Abrir facsímil")</f>
        <v>Abrir facsímil</v>
      </c>
      <c r="K3370" s="3" t="s">
        <v>150</v>
      </c>
    </row>
    <row r="3371" spans="1:11" ht="42" customHeight="1">
      <c r="A3371" s="2" t="s">
        <v>9438</v>
      </c>
      <c r="B3371" s="2" t="s">
        <v>9439</v>
      </c>
      <c r="C3371" s="2" t="s">
        <v>367</v>
      </c>
      <c r="D3371" s="2" t="s">
        <v>18</v>
      </c>
      <c r="E3371" s="4">
        <v>-32312</v>
      </c>
      <c r="F3371" s="3" t="s">
        <v>2640</v>
      </c>
      <c r="G3371" s="3" t="s">
        <v>162</v>
      </c>
      <c r="H3371" s="2" t="s">
        <v>148</v>
      </c>
      <c r="I3371" s="2" t="s">
        <v>9440</v>
      </c>
      <c r="J3371" s="3" t="str">
        <f>HYPERLINK("https://www.boe.es/gazeta/dias/1811/07/13/pdfs/GEI-1811-92.pdf#page=7","Abrir facsímil")</f>
        <v>Abrir facsímil</v>
      </c>
      <c r="K3371" s="3" t="s">
        <v>150</v>
      </c>
    </row>
    <row r="3372" spans="1:11" ht="42" customHeight="1">
      <c r="A3372" s="2" t="s">
        <v>9441</v>
      </c>
      <c r="B3372" s="2" t="s">
        <v>9442</v>
      </c>
      <c r="C3372" s="2" t="s">
        <v>26</v>
      </c>
      <c r="D3372" s="2" t="s">
        <v>18</v>
      </c>
      <c r="E3372" s="4">
        <v>-32153</v>
      </c>
      <c r="F3372" s="3" t="s">
        <v>123</v>
      </c>
      <c r="G3372" s="3" t="s">
        <v>288</v>
      </c>
      <c r="H3372" s="2" t="s">
        <v>148</v>
      </c>
      <c r="I3372" s="2" t="s">
        <v>9443</v>
      </c>
      <c r="J3372" s="3" t="str">
        <f>HYPERLINK("https://www.boe.es/gazeta/dias/1811/12/19/pdfs/GMD-1811-353.pdf#page=4","Abrir facsímil")</f>
        <v>Abrir facsímil</v>
      </c>
      <c r="K3372" s="3" t="s">
        <v>150</v>
      </c>
    </row>
    <row r="3373" spans="1:11" ht="42" customHeight="1">
      <c r="A3373" s="2" t="s">
        <v>9444</v>
      </c>
      <c r="B3373" s="2" t="s">
        <v>9444</v>
      </c>
      <c r="C3373" s="2" t="s">
        <v>26</v>
      </c>
      <c r="D3373" s="2" t="s">
        <v>18</v>
      </c>
      <c r="E3373" s="4">
        <v>-32383</v>
      </c>
      <c r="F3373" s="3" t="s">
        <v>4500</v>
      </c>
      <c r="G3373" s="3" t="s">
        <v>183</v>
      </c>
      <c r="H3373" s="2" t="s">
        <v>148</v>
      </c>
      <c r="I3373" s="2" t="s">
        <v>9445</v>
      </c>
      <c r="J3373" s="3" t="str">
        <f>HYPERLINK("https://www.boe.es/gazeta/dias/1811/05/03/pdfs/GMD-1811-123.pdf#page=4","Abrir facsímil")</f>
        <v>Abrir facsímil</v>
      </c>
      <c r="K3373" s="3" t="s">
        <v>150</v>
      </c>
    </row>
    <row r="3374" spans="1:11" ht="42" customHeight="1">
      <c r="A3374" s="2" t="s">
        <v>9444</v>
      </c>
      <c r="B3374" s="2" t="s">
        <v>9444</v>
      </c>
      <c r="C3374" s="2" t="s">
        <v>26</v>
      </c>
      <c r="D3374" s="2" t="s">
        <v>18</v>
      </c>
      <c r="E3374" s="4">
        <v>-32202</v>
      </c>
      <c r="F3374" s="3" t="s">
        <v>1634</v>
      </c>
      <c r="G3374" s="3" t="s">
        <v>178</v>
      </c>
      <c r="H3374" s="2" t="s">
        <v>148</v>
      </c>
      <c r="I3374" s="2" t="s">
        <v>9446</v>
      </c>
      <c r="J3374" s="3" t="str">
        <f>HYPERLINK("https://www.boe.es/gazeta/dias/1811/10/31/pdfs/GMD-1811-304.pdf#page=4","Abrir facsímil")</f>
        <v>Abrir facsímil</v>
      </c>
      <c r="K3374" s="3" t="s">
        <v>150</v>
      </c>
    </row>
    <row r="3375" spans="1:11" ht="42" customHeight="1">
      <c r="A3375" s="2" t="s">
        <v>9447</v>
      </c>
      <c r="B3375" s="2" t="s">
        <v>9447</v>
      </c>
      <c r="C3375" s="2" t="s">
        <v>17</v>
      </c>
      <c r="D3375" s="2" t="s">
        <v>156</v>
      </c>
      <c r="E3375" s="4">
        <v>-32201</v>
      </c>
      <c r="F3375" s="3" t="s">
        <v>2643</v>
      </c>
      <c r="G3375" s="3" t="s">
        <v>1087</v>
      </c>
      <c r="H3375" s="2" t="s">
        <v>148</v>
      </c>
      <c r="I3375" s="2" t="s">
        <v>9448</v>
      </c>
      <c r="J3375" s="3" t="str">
        <f>HYPERLINK("https://www.boe.es/gazeta/dias/1811/11/01/pdfs/GMD-1811-305.pdf#page=4","Abrir facsímil")</f>
        <v>Abrir facsímil</v>
      </c>
      <c r="K3375" s="3" t="s">
        <v>150</v>
      </c>
    </row>
    <row r="3376" spans="1:11" ht="42" customHeight="1">
      <c r="A3376" s="2" t="s">
        <v>9449</v>
      </c>
      <c r="B3376" s="2" t="s">
        <v>9449</v>
      </c>
      <c r="C3376" s="2" t="s">
        <v>104</v>
      </c>
      <c r="D3376" s="2" t="s">
        <v>18</v>
      </c>
      <c r="E3376" s="4">
        <v>-32431</v>
      </c>
      <c r="F3376" s="3" t="s">
        <v>342</v>
      </c>
      <c r="G3376" s="3" t="s">
        <v>162</v>
      </c>
      <c r="H3376" s="2" t="s">
        <v>148</v>
      </c>
      <c r="I3376" s="2" t="s">
        <v>9450</v>
      </c>
      <c r="J3376" s="3" t="str">
        <f>HYPERLINK("https://www.boe.es/gazeta/dias/1811/03/16/pdfs/GEI-1811-38.pdf#page=2","Abrir facsímil")</f>
        <v>Abrir facsímil</v>
      </c>
      <c r="K3376" s="3" t="s">
        <v>150</v>
      </c>
    </row>
    <row r="3377" spans="1:11" ht="42" customHeight="1">
      <c r="A3377" s="2" t="s">
        <v>9451</v>
      </c>
      <c r="B3377" s="2" t="s">
        <v>9452</v>
      </c>
      <c r="C3377" s="2" t="s">
        <v>26</v>
      </c>
      <c r="D3377" s="2" t="s">
        <v>18</v>
      </c>
      <c r="E3377" s="4">
        <v>-32165</v>
      </c>
      <c r="F3377" s="3" t="s">
        <v>4621</v>
      </c>
      <c r="G3377" s="3" t="s">
        <v>480</v>
      </c>
      <c r="H3377" s="2" t="s">
        <v>148</v>
      </c>
      <c r="I3377" s="2" t="s">
        <v>9453</v>
      </c>
      <c r="J3377" s="3" t="str">
        <f>HYPERLINK("https://www.boe.es/gazeta/dias/1811/12/07/pdfs/GEI-1811-159.pdf#page=4","Abrir facsímil")</f>
        <v>Abrir facsímil</v>
      </c>
      <c r="K3377" s="3" t="s">
        <v>150</v>
      </c>
    </row>
    <row r="3378" spans="1:11" ht="42" customHeight="1">
      <c r="A3378" s="2" t="s">
        <v>9454</v>
      </c>
      <c r="B3378" s="2" t="s">
        <v>9455</v>
      </c>
      <c r="C3378" s="2" t="s">
        <v>26</v>
      </c>
      <c r="D3378" s="2" t="s">
        <v>141</v>
      </c>
      <c r="E3378" s="4">
        <v>-32280</v>
      </c>
      <c r="F3378" s="3" t="s">
        <v>142</v>
      </c>
      <c r="G3378" s="3" t="s">
        <v>597</v>
      </c>
      <c r="H3378" s="2" t="s">
        <v>148</v>
      </c>
      <c r="I3378" s="2" t="s">
        <v>9456</v>
      </c>
      <c r="J3378" s="3" t="str">
        <f>HYPERLINK("https://www.boe.es/gazeta/dias/1811/08/14/pdfs/GMD-C-1811-226.pdf#page=2","Abrir facsímil")</f>
        <v>Abrir facsímil</v>
      </c>
      <c r="K3378" s="3" t="s">
        <v>150</v>
      </c>
    </row>
    <row r="3379" spans="1:11" ht="42" customHeight="1">
      <c r="A3379" s="2" t="s">
        <v>9457</v>
      </c>
      <c r="B3379" s="2" t="s">
        <v>9458</v>
      </c>
      <c r="C3379" s="2" t="s">
        <v>84</v>
      </c>
      <c r="D3379" s="2" t="s">
        <v>18</v>
      </c>
      <c r="E3379" s="4">
        <v>-32314</v>
      </c>
      <c r="F3379" s="3" t="s">
        <v>6914</v>
      </c>
      <c r="G3379" s="3" t="s">
        <v>248</v>
      </c>
      <c r="H3379" s="2" t="s">
        <v>148</v>
      </c>
      <c r="I3379" s="2" t="s">
        <v>9459</v>
      </c>
      <c r="J3379" s="3" t="str">
        <f>HYPERLINK("https://www.boe.es/gazeta/dias/1811/07/11/pdfs/GMD-1811-192.pdf#page=4","Abrir facsímil")</f>
        <v>Abrir facsímil</v>
      </c>
      <c r="K3379" s="3" t="s">
        <v>150</v>
      </c>
    </row>
    <row r="3380" spans="1:11" ht="42" customHeight="1">
      <c r="A3380" s="2" t="s">
        <v>9457</v>
      </c>
      <c r="B3380" s="2" t="s">
        <v>9458</v>
      </c>
      <c r="C3380" s="2" t="s">
        <v>26</v>
      </c>
      <c r="D3380" s="2" t="s">
        <v>18</v>
      </c>
      <c r="E3380" s="4">
        <v>-32288</v>
      </c>
      <c r="F3380" s="3" t="s">
        <v>95</v>
      </c>
      <c r="G3380" s="3" t="s">
        <v>1071</v>
      </c>
      <c r="H3380" s="2" t="s">
        <v>148</v>
      </c>
      <c r="I3380" s="2" t="s">
        <v>9460</v>
      </c>
      <c r="J3380" s="3" t="str">
        <f>HYPERLINK("https://www.boe.es/gazeta/dias/1811/08/06/pdfs/GEI-1811-102.pdf#page=6","Abrir facsímil")</f>
        <v>Abrir facsímil</v>
      </c>
      <c r="K3380" s="3" t="s">
        <v>150</v>
      </c>
    </row>
    <row r="3381" spans="1:11" ht="42" customHeight="1">
      <c r="A3381" s="2" t="s">
        <v>9461</v>
      </c>
      <c r="B3381" s="2" t="s">
        <v>9462</v>
      </c>
      <c r="C3381" s="2" t="s">
        <v>26</v>
      </c>
      <c r="D3381" s="2" t="s">
        <v>18</v>
      </c>
      <c r="E3381" s="4">
        <v>-32153</v>
      </c>
      <c r="F3381" s="3" t="s">
        <v>123</v>
      </c>
      <c r="G3381" s="3" t="s">
        <v>1067</v>
      </c>
      <c r="H3381" s="2" t="s">
        <v>148</v>
      </c>
      <c r="I3381" s="2" t="s">
        <v>9463</v>
      </c>
      <c r="J3381" s="3" t="str">
        <f>HYPERLINK("https://www.boe.es/gazeta/dias/1811/12/19/pdfs/GMD-1811-353.pdf#page=5","Abrir facsímil")</f>
        <v>Abrir facsímil</v>
      </c>
      <c r="K3381" s="3" t="s">
        <v>150</v>
      </c>
    </row>
    <row r="3382" spans="1:11" ht="42" customHeight="1">
      <c r="A3382" s="2" t="s">
        <v>9464</v>
      </c>
      <c r="B3382" s="2" t="s">
        <v>9465</v>
      </c>
      <c r="C3382" s="2" t="s">
        <v>26</v>
      </c>
      <c r="D3382" s="2" t="s">
        <v>18</v>
      </c>
      <c r="E3382" s="4">
        <v>-32153</v>
      </c>
      <c r="F3382" s="3" t="s">
        <v>123</v>
      </c>
      <c r="G3382" s="3" t="s">
        <v>1067</v>
      </c>
      <c r="H3382" s="2" t="s">
        <v>148</v>
      </c>
      <c r="I3382" s="2" t="s">
        <v>9466</v>
      </c>
      <c r="J3382" s="3" t="str">
        <f>HYPERLINK("https://www.boe.es/gazeta/dias/1811/12/19/pdfs/GMD-1811-353.pdf#page=5","Abrir facsímil")</f>
        <v>Abrir facsímil</v>
      </c>
      <c r="K3382" s="3" t="s">
        <v>150</v>
      </c>
    </row>
    <row r="3383" spans="1:11" ht="42" customHeight="1">
      <c r="A3383" s="2" t="s">
        <v>9467</v>
      </c>
      <c r="B3383" s="2" t="s">
        <v>9468</v>
      </c>
      <c r="C3383" s="2" t="s">
        <v>84</v>
      </c>
      <c r="D3383" s="2" t="s">
        <v>105</v>
      </c>
      <c r="E3383" s="4">
        <v>-32179</v>
      </c>
      <c r="F3383" s="3" t="s">
        <v>614</v>
      </c>
      <c r="G3383" s="3" t="s">
        <v>47</v>
      </c>
      <c r="H3383" s="2" t="s">
        <v>148</v>
      </c>
      <c r="I3383" s="2" t="s">
        <v>9469</v>
      </c>
      <c r="J3383" s="3" t="str">
        <f>HYPERLINK("https://www.boe.es/gazeta/dias/1811/11/23/pdfs/GEI-1811-153.pdf#page=8","Abrir facsímil")</f>
        <v>Abrir facsímil</v>
      </c>
      <c r="K3383" s="3" t="s">
        <v>150</v>
      </c>
    </row>
    <row r="3384" spans="1:11" ht="42" customHeight="1">
      <c r="A3384" s="2" t="s">
        <v>9470</v>
      </c>
      <c r="B3384" s="2" t="s">
        <v>9471</v>
      </c>
      <c r="C3384" s="2" t="s">
        <v>26</v>
      </c>
      <c r="D3384" s="2" t="s">
        <v>18</v>
      </c>
      <c r="E3384" s="4">
        <v>-32242</v>
      </c>
      <c r="F3384" s="3" t="s">
        <v>1295</v>
      </c>
      <c r="G3384" s="3" t="s">
        <v>1296</v>
      </c>
      <c r="H3384" s="2" t="s">
        <v>148</v>
      </c>
      <c r="I3384" s="2" t="s">
        <v>9472</v>
      </c>
      <c r="J3384" s="3" t="str">
        <f>HYPERLINK("https://www.boe.es/gazeta/dias/1811/09/21/pdfs/GEI-1811-122.pdf#page=8","Abrir facsímil")</f>
        <v>Abrir facsímil</v>
      </c>
      <c r="K3384" s="3" t="s">
        <v>150</v>
      </c>
    </row>
    <row r="3385" spans="1:11" ht="42" customHeight="1">
      <c r="A3385" s="2" t="s">
        <v>9470</v>
      </c>
      <c r="B3385" s="2" t="s">
        <v>9471</v>
      </c>
      <c r="C3385" s="2" t="s">
        <v>26</v>
      </c>
      <c r="D3385" s="2" t="s">
        <v>18</v>
      </c>
      <c r="E3385" s="4">
        <v>-32188</v>
      </c>
      <c r="F3385" s="3" t="s">
        <v>356</v>
      </c>
      <c r="G3385" s="3" t="s">
        <v>468</v>
      </c>
      <c r="H3385" s="2" t="s">
        <v>148</v>
      </c>
      <c r="I3385" s="2" t="s">
        <v>9473</v>
      </c>
      <c r="J3385" s="3" t="str">
        <f>HYPERLINK("https://www.boe.es/gazeta/dias/1811/11/14/pdfs/GMD-1811-318.pdf#page=6","Abrir facsímil")</f>
        <v>Abrir facsímil</v>
      </c>
      <c r="K3385" s="3" t="s">
        <v>150</v>
      </c>
    </row>
    <row r="3386" spans="1:11" ht="42" customHeight="1">
      <c r="A3386" s="2" t="s">
        <v>9470</v>
      </c>
      <c r="B3386" s="2" t="s">
        <v>9471</v>
      </c>
      <c r="C3386" s="2" t="s">
        <v>26</v>
      </c>
      <c r="D3386" s="2" t="s">
        <v>105</v>
      </c>
      <c r="E3386" s="4">
        <v>-32155</v>
      </c>
      <c r="F3386" s="3" t="s">
        <v>99</v>
      </c>
      <c r="G3386" s="3" t="s">
        <v>100</v>
      </c>
      <c r="H3386" s="2" t="s">
        <v>148</v>
      </c>
      <c r="I3386" s="2" t="s">
        <v>9474</v>
      </c>
      <c r="J3386" s="3" t="str">
        <f>HYPERLINK("https://www.boe.es/gazeta/dias/1811/12/17/pdfs/GMD-1811-351.pdf#page=4","Abrir facsímil")</f>
        <v>Abrir facsímil</v>
      </c>
      <c r="K3386" s="3" t="s">
        <v>150</v>
      </c>
    </row>
    <row r="3387" spans="1:11" ht="42" customHeight="1">
      <c r="A3387" s="2" t="s">
        <v>9475</v>
      </c>
      <c r="B3387" s="2" t="s">
        <v>9476</v>
      </c>
      <c r="C3387" s="2" t="s">
        <v>26</v>
      </c>
      <c r="D3387" s="2" t="s">
        <v>18</v>
      </c>
      <c r="E3387" s="4">
        <v>-32300</v>
      </c>
      <c r="F3387" s="3" t="s">
        <v>492</v>
      </c>
      <c r="G3387" s="3" t="s">
        <v>493</v>
      </c>
      <c r="H3387" s="2" t="s">
        <v>148</v>
      </c>
      <c r="I3387" s="2" t="s">
        <v>9477</v>
      </c>
      <c r="J3387" s="3" t="str">
        <f>HYPERLINK("https://www.boe.es/gazeta/dias/1811/07/25/pdfs/GMD-1811-206.pdf#page=4","Abrir facsímil")</f>
        <v>Abrir facsímil</v>
      </c>
      <c r="K3387" s="3" t="s">
        <v>150</v>
      </c>
    </row>
    <row r="3388" spans="1:11" ht="42" customHeight="1">
      <c r="A3388" s="2" t="s">
        <v>9478</v>
      </c>
      <c r="B3388" s="2" t="s">
        <v>9479</v>
      </c>
      <c r="C3388" s="2" t="s">
        <v>122</v>
      </c>
      <c r="D3388" s="2" t="s">
        <v>18</v>
      </c>
      <c r="E3388" s="4">
        <v>-32449</v>
      </c>
      <c r="F3388" s="3" t="s">
        <v>381</v>
      </c>
      <c r="G3388" s="3" t="s">
        <v>382</v>
      </c>
      <c r="H3388" s="2" t="s">
        <v>148</v>
      </c>
      <c r="I3388" s="2" t="s">
        <v>9480</v>
      </c>
      <c r="J3388" s="3" t="str">
        <f>HYPERLINK("https://www.boe.es/gazeta/dias/1811/02/26/pdfs/GEI-1811-25.pdf#page=8","Abrir facsímil")</f>
        <v>Abrir facsímil</v>
      </c>
      <c r="K3388" s="3" t="s">
        <v>150</v>
      </c>
    </row>
    <row r="3389" spans="1:11" ht="42" customHeight="1">
      <c r="A3389" s="2" t="s">
        <v>9481</v>
      </c>
      <c r="B3389" s="2" t="s">
        <v>9482</v>
      </c>
      <c r="C3389" s="2" t="s">
        <v>122</v>
      </c>
      <c r="D3389" s="2" t="s">
        <v>18</v>
      </c>
      <c r="E3389" s="4">
        <v>-32263</v>
      </c>
      <c r="F3389" s="3" t="s">
        <v>3780</v>
      </c>
      <c r="G3389" s="3" t="s">
        <v>3781</v>
      </c>
      <c r="H3389" s="2" t="s">
        <v>148</v>
      </c>
      <c r="I3389" s="2" t="s">
        <v>9483</v>
      </c>
      <c r="J3389" s="3" t="str">
        <f>HYPERLINK("https://www.boe.es/gazeta/dias/1811/08/31/pdfs/GMD-1811-243.pdf#page=4","Abrir facsímil")</f>
        <v>Abrir facsímil</v>
      </c>
      <c r="K3389" s="3" t="s">
        <v>150</v>
      </c>
    </row>
    <row r="3390" spans="1:11" ht="42" customHeight="1">
      <c r="A3390" s="2" t="s">
        <v>9481</v>
      </c>
      <c r="B3390" s="2" t="s">
        <v>9482</v>
      </c>
      <c r="C3390" s="2" t="s">
        <v>17</v>
      </c>
      <c r="D3390" s="2" t="s">
        <v>18</v>
      </c>
      <c r="E3390" s="4">
        <v>-32257</v>
      </c>
      <c r="F3390" s="3" t="s">
        <v>1093</v>
      </c>
      <c r="G3390" s="3" t="s">
        <v>183</v>
      </c>
      <c r="H3390" s="2" t="s">
        <v>148</v>
      </c>
      <c r="I3390" s="2" t="s">
        <v>9484</v>
      </c>
      <c r="J3390" s="3" t="str">
        <f>HYPERLINK("https://www.boe.es/gazeta/dias/1811/09/06/pdfs/GMD-1811-249.pdf#page=4","Abrir facsímil")</f>
        <v>Abrir facsímil</v>
      </c>
      <c r="K3390" s="3" t="s">
        <v>150</v>
      </c>
    </row>
    <row r="3391" spans="1:11" ht="42" customHeight="1">
      <c r="A3391" s="2" t="s">
        <v>9485</v>
      </c>
      <c r="B3391" s="2" t="s">
        <v>9486</v>
      </c>
      <c r="C3391" s="2" t="s">
        <v>26</v>
      </c>
      <c r="D3391" s="2" t="s">
        <v>18</v>
      </c>
      <c r="E3391" s="4">
        <v>-32433</v>
      </c>
      <c r="F3391" s="3" t="s">
        <v>209</v>
      </c>
      <c r="G3391" s="3" t="s">
        <v>115</v>
      </c>
      <c r="H3391" s="2" t="s">
        <v>148</v>
      </c>
      <c r="I3391" s="2" t="s">
        <v>9487</v>
      </c>
      <c r="J3391" s="3" t="str">
        <f>HYPERLINK("https://www.boe.es/gazeta/dias/1811/03/14/pdfs/GMD-1811-73.pdf#page=3","Abrir facsímil")</f>
        <v>Abrir facsímil</v>
      </c>
      <c r="K3391" s="3" t="s">
        <v>150</v>
      </c>
    </row>
    <row r="3392" spans="1:11" ht="42" customHeight="1">
      <c r="A3392" s="2" t="s">
        <v>9488</v>
      </c>
      <c r="B3392" s="2" t="s">
        <v>9489</v>
      </c>
      <c r="C3392" s="2" t="s">
        <v>26</v>
      </c>
      <c r="D3392" s="2" t="s">
        <v>18</v>
      </c>
      <c r="E3392" s="4">
        <v>-32270</v>
      </c>
      <c r="F3392" s="3" t="s">
        <v>431</v>
      </c>
      <c r="G3392" s="3" t="s">
        <v>2080</v>
      </c>
      <c r="H3392" s="2" t="s">
        <v>148</v>
      </c>
      <c r="I3392" s="2" t="s">
        <v>9490</v>
      </c>
      <c r="J3392" s="3" t="str">
        <f>HYPERLINK("https://www.boe.es/gazeta/dias/1811/08/24/pdfs/GEI-1811-110.pdf#page=5","Abrir facsímil")</f>
        <v>Abrir facsímil</v>
      </c>
      <c r="K3392" s="3" t="s">
        <v>150</v>
      </c>
    </row>
    <row r="3393" spans="1:11" ht="42" customHeight="1">
      <c r="A3393" s="2" t="s">
        <v>9488</v>
      </c>
      <c r="B3393" s="2" t="s">
        <v>9489</v>
      </c>
      <c r="C3393" s="2" t="s">
        <v>26</v>
      </c>
      <c r="D3393" s="2" t="s">
        <v>18</v>
      </c>
      <c r="E3393" s="4">
        <v>-32200</v>
      </c>
      <c r="F3393" s="3" t="s">
        <v>109</v>
      </c>
      <c r="G3393" s="3" t="s">
        <v>630</v>
      </c>
      <c r="H3393" s="2" t="s">
        <v>148</v>
      </c>
      <c r="I3393" s="2" t="s">
        <v>9491</v>
      </c>
      <c r="J3393" s="3" t="str">
        <f>HYPERLINK("https://www.boe.es/gazeta/dias/1811/11/02/pdfs/GEI-1811-141.pdf#page=2","Abrir facsímil")</f>
        <v>Abrir facsímil</v>
      </c>
      <c r="K3393" s="3" t="s">
        <v>150</v>
      </c>
    </row>
    <row r="3394" spans="1:11" ht="42" customHeight="1">
      <c r="A3394" s="2" t="s">
        <v>9488</v>
      </c>
      <c r="B3394" s="2" t="s">
        <v>9489</v>
      </c>
      <c r="C3394" s="2" t="s">
        <v>26</v>
      </c>
      <c r="D3394" s="2" t="s">
        <v>18</v>
      </c>
      <c r="E3394" s="4">
        <v>-32188</v>
      </c>
      <c r="F3394" s="3" t="s">
        <v>356</v>
      </c>
      <c r="G3394" s="3" t="s">
        <v>248</v>
      </c>
      <c r="H3394" s="2" t="s">
        <v>148</v>
      </c>
      <c r="I3394" s="2" t="s">
        <v>9492</v>
      </c>
      <c r="J3394" s="3" t="str">
        <f>HYPERLINK("https://www.boe.es/gazeta/dias/1811/11/14/pdfs/GMD-1811-318.pdf#page=5","Abrir facsímil")</f>
        <v>Abrir facsímil</v>
      </c>
      <c r="K3394" s="3" t="s">
        <v>150</v>
      </c>
    </row>
    <row r="3395" spans="1:11" ht="42" customHeight="1">
      <c r="A3395" s="2" t="s">
        <v>9493</v>
      </c>
      <c r="B3395" s="2" t="s">
        <v>9494</v>
      </c>
      <c r="C3395" s="2" t="s">
        <v>26</v>
      </c>
      <c r="D3395" s="2" t="s">
        <v>141</v>
      </c>
      <c r="E3395" s="4">
        <v>-32238</v>
      </c>
      <c r="F3395" s="3" t="s">
        <v>166</v>
      </c>
      <c r="G3395" s="3" t="s">
        <v>39</v>
      </c>
      <c r="H3395" s="2" t="s">
        <v>148</v>
      </c>
      <c r="I3395" s="2" t="s">
        <v>9495</v>
      </c>
      <c r="J3395" s="3" t="str">
        <f>HYPERLINK("https://www.boe.es/gazeta/dias/1811/09/25/pdfs/GMD-C-1811-268.pdf#page=2","Abrir facsímil")</f>
        <v>Abrir facsímil</v>
      </c>
      <c r="K3395" s="3" t="s">
        <v>150</v>
      </c>
    </row>
    <row r="3396" spans="1:11" ht="42" customHeight="1">
      <c r="A3396" s="2" t="s">
        <v>9496</v>
      </c>
      <c r="B3396" s="2" t="s">
        <v>9497</v>
      </c>
      <c r="C3396" s="2" t="s">
        <v>104</v>
      </c>
      <c r="D3396" s="2" t="s">
        <v>105</v>
      </c>
      <c r="E3396" s="4">
        <v>-32151</v>
      </c>
      <c r="F3396" s="3" t="s">
        <v>2160</v>
      </c>
      <c r="G3396" s="3" t="s">
        <v>1710</v>
      </c>
      <c r="H3396" s="2" t="s">
        <v>148</v>
      </c>
      <c r="I3396" s="2" t="s">
        <v>9498</v>
      </c>
      <c r="J3396" s="3" t="str">
        <f>HYPERLINK("https://www.boe.es/gazeta/dias/1811/12/21/pdfs/GMD-1811-355.pdf#page=4","Abrir facsímil")</f>
        <v>Abrir facsímil</v>
      </c>
      <c r="K3396" s="3" t="s">
        <v>150</v>
      </c>
    </row>
    <row r="3397" spans="1:11" ht="42" customHeight="1">
      <c r="A3397" s="2" t="s">
        <v>9499</v>
      </c>
      <c r="B3397" s="2" t="s">
        <v>9500</v>
      </c>
      <c r="C3397" s="2" t="s">
        <v>84</v>
      </c>
      <c r="D3397" s="2" t="s">
        <v>18</v>
      </c>
      <c r="E3397" s="4">
        <v>-32153</v>
      </c>
      <c r="F3397" s="3" t="s">
        <v>123</v>
      </c>
      <c r="G3397" s="3" t="s">
        <v>288</v>
      </c>
      <c r="H3397" s="2" t="s">
        <v>148</v>
      </c>
      <c r="I3397" s="2" t="s">
        <v>9501</v>
      </c>
      <c r="J3397" s="3" t="str">
        <f>HYPERLINK("https://www.boe.es/gazeta/dias/1811/12/19/pdfs/GMD-1811-353.pdf#page=4","Abrir facsímil")</f>
        <v>Abrir facsímil</v>
      </c>
      <c r="K3397" s="3" t="s">
        <v>150</v>
      </c>
    </row>
    <row r="3398" spans="1:11" ht="42" customHeight="1">
      <c r="A3398" s="2" t="s">
        <v>9502</v>
      </c>
      <c r="B3398" s="2" t="s">
        <v>9503</v>
      </c>
      <c r="C3398" s="2" t="s">
        <v>122</v>
      </c>
      <c r="D3398" s="2" t="s">
        <v>18</v>
      </c>
      <c r="E3398" s="4">
        <v>-32173</v>
      </c>
      <c r="F3398" s="3" t="s">
        <v>2701</v>
      </c>
      <c r="G3398" s="3" t="s">
        <v>178</v>
      </c>
      <c r="H3398" s="2" t="s">
        <v>148</v>
      </c>
      <c r="I3398" s="2" t="s">
        <v>9504</v>
      </c>
      <c r="J3398" s="3" t="str">
        <f>HYPERLINK("https://www.boe.es/gazeta/dias/1811/11/29/pdfs/GMD-1811-333.pdf#page=4","Abrir facsímil")</f>
        <v>Abrir facsímil</v>
      </c>
      <c r="K3398" s="3" t="s">
        <v>150</v>
      </c>
    </row>
    <row r="3399" spans="1:11" ht="42" customHeight="1">
      <c r="A3399" s="2" t="s">
        <v>9505</v>
      </c>
      <c r="B3399" s="2" t="s">
        <v>9506</v>
      </c>
      <c r="C3399" s="2" t="s">
        <v>26</v>
      </c>
      <c r="D3399" s="2" t="s">
        <v>141</v>
      </c>
      <c r="E3399" s="4">
        <v>-32280</v>
      </c>
      <c r="F3399" s="3" t="s">
        <v>142</v>
      </c>
      <c r="G3399" s="3" t="s">
        <v>597</v>
      </c>
      <c r="H3399" s="2" t="s">
        <v>148</v>
      </c>
      <c r="I3399" s="2" t="s">
        <v>9507</v>
      </c>
      <c r="J3399" s="3" t="str">
        <f>HYPERLINK("https://www.boe.es/gazeta/dias/1811/08/14/pdfs/GMD-C-1811-226.pdf#page=2","Abrir facsímil")</f>
        <v>Abrir facsímil</v>
      </c>
      <c r="K3399" s="3" t="s">
        <v>150</v>
      </c>
    </row>
    <row r="3400" spans="1:11" ht="42" customHeight="1">
      <c r="A3400" s="2" t="s">
        <v>9508</v>
      </c>
      <c r="B3400" s="2" t="s">
        <v>9509</v>
      </c>
      <c r="C3400" s="2" t="s">
        <v>26</v>
      </c>
      <c r="D3400" s="2" t="s">
        <v>18</v>
      </c>
      <c r="E3400" s="4">
        <v>-32501</v>
      </c>
      <c r="F3400" s="3" t="s">
        <v>509</v>
      </c>
      <c r="G3400" s="3" t="s">
        <v>510</v>
      </c>
      <c r="H3400" s="2" t="s">
        <v>148</v>
      </c>
      <c r="I3400" s="2" t="s">
        <v>9510</v>
      </c>
      <c r="J3400" s="3" t="str">
        <f>HYPERLINK("https://www.boe.es/gazeta/dias/1811/01/05/pdfs/GEI-1811-3.pdf#page=8","Abrir facsímil")</f>
        <v>Abrir facsímil</v>
      </c>
      <c r="K3400" s="3" t="s">
        <v>150</v>
      </c>
    </row>
    <row r="3401" spans="1:11" ht="42" customHeight="1">
      <c r="A3401" s="2" t="s">
        <v>9511</v>
      </c>
      <c r="B3401" s="2" t="s">
        <v>9512</v>
      </c>
      <c r="C3401" s="2" t="s">
        <v>26</v>
      </c>
      <c r="D3401" s="2" t="s">
        <v>18</v>
      </c>
      <c r="E3401" s="4">
        <v>-32267</v>
      </c>
      <c r="F3401" s="3" t="s">
        <v>1045</v>
      </c>
      <c r="G3401" s="3" t="s">
        <v>3659</v>
      </c>
      <c r="H3401" s="2" t="s">
        <v>148</v>
      </c>
      <c r="I3401" s="2" t="s">
        <v>9513</v>
      </c>
      <c r="J3401" s="3" t="str">
        <f>HYPERLINK("https://www.boe.es/gazeta/dias/1811/08/27/pdfs/GEI-1811-111.pdf#page=7","Abrir facsímil")</f>
        <v>Abrir facsímil</v>
      </c>
      <c r="K3401" s="3" t="s">
        <v>150</v>
      </c>
    </row>
    <row r="3402" spans="1:11" ht="42" customHeight="1">
      <c r="A3402" s="2" t="s">
        <v>9514</v>
      </c>
      <c r="B3402" s="2" t="s">
        <v>9515</v>
      </c>
      <c r="C3402" s="2" t="s">
        <v>26</v>
      </c>
      <c r="D3402" s="2" t="s">
        <v>18</v>
      </c>
      <c r="E3402" s="4">
        <v>-32295</v>
      </c>
      <c r="F3402" s="3" t="s">
        <v>279</v>
      </c>
      <c r="G3402" s="3" t="s">
        <v>6133</v>
      </c>
      <c r="H3402" s="2" t="s">
        <v>148</v>
      </c>
      <c r="I3402" s="2" t="s">
        <v>9516</v>
      </c>
      <c r="J3402" s="3" t="str">
        <f>HYPERLINK("https://www.boe.es/gazeta/dias/1811/07/30/pdfs/GEI-1811-99.pdf#page=6","Abrir facsímil")</f>
        <v>Abrir facsímil</v>
      </c>
      <c r="K3402" s="3" t="s">
        <v>150</v>
      </c>
    </row>
    <row r="3403" spans="1:11" ht="42" customHeight="1">
      <c r="A3403" s="2" t="s">
        <v>9517</v>
      </c>
      <c r="B3403" s="2" t="s">
        <v>9518</v>
      </c>
      <c r="C3403" s="2" t="s">
        <v>26</v>
      </c>
      <c r="D3403" s="2" t="s">
        <v>141</v>
      </c>
      <c r="E3403" s="4">
        <v>-32280</v>
      </c>
      <c r="F3403" s="3" t="s">
        <v>142</v>
      </c>
      <c r="G3403" s="3" t="s">
        <v>47</v>
      </c>
      <c r="H3403" s="2" t="s">
        <v>148</v>
      </c>
      <c r="I3403" s="2" t="s">
        <v>9519</v>
      </c>
      <c r="J3403" s="3" t="str">
        <f>HYPERLINK("https://www.boe.es/gazeta/dias/1811/08/14/pdfs/GMD-C-1811-226.pdf#page=1","Abrir facsímil")</f>
        <v>Abrir facsímil</v>
      </c>
      <c r="K3403" s="3" t="s">
        <v>150</v>
      </c>
    </row>
    <row r="3404" spans="1:11" ht="42" customHeight="1">
      <c r="A3404" s="2" t="s">
        <v>9520</v>
      </c>
      <c r="B3404" s="2" t="s">
        <v>9521</v>
      </c>
      <c r="C3404" s="2" t="s">
        <v>26</v>
      </c>
      <c r="D3404" s="2" t="s">
        <v>18</v>
      </c>
      <c r="E3404" s="4">
        <v>-32433</v>
      </c>
      <c r="F3404" s="3" t="s">
        <v>209</v>
      </c>
      <c r="G3404" s="3" t="s">
        <v>488</v>
      </c>
      <c r="H3404" s="2" t="s">
        <v>148</v>
      </c>
      <c r="I3404" s="2" t="s">
        <v>9522</v>
      </c>
      <c r="J3404" s="3" t="str">
        <f>HYPERLINK("https://www.boe.es/gazeta/dias/1811/03/14/pdfs/GMD-1811-73.pdf#page=2","Abrir facsímil")</f>
        <v>Abrir facsímil</v>
      </c>
      <c r="K3404" s="3" t="s">
        <v>150</v>
      </c>
    </row>
    <row r="3405" spans="1:11" ht="42" customHeight="1">
      <c r="A3405" s="2" t="s">
        <v>9523</v>
      </c>
      <c r="B3405" s="2" t="s">
        <v>9523</v>
      </c>
      <c r="C3405" s="2" t="s">
        <v>84</v>
      </c>
      <c r="D3405" s="2" t="s">
        <v>18</v>
      </c>
      <c r="E3405" s="4">
        <v>-32496</v>
      </c>
      <c r="F3405" s="3" t="s">
        <v>1927</v>
      </c>
      <c r="G3405" s="3" t="s">
        <v>498</v>
      </c>
      <c r="H3405" s="2" t="s">
        <v>148</v>
      </c>
      <c r="I3405" s="2" t="s">
        <v>9524</v>
      </c>
      <c r="J3405" s="3" t="str">
        <f>HYPERLINK("https://www.boe.es/gazeta/dias/1811/01/10/pdfs/GEI-1811-5.pdf#page=7","Abrir facsímil")</f>
        <v>Abrir facsímil</v>
      </c>
      <c r="K3405" s="3" t="s">
        <v>150</v>
      </c>
    </row>
    <row r="3406" spans="1:11" ht="42" customHeight="1">
      <c r="A3406" s="2" t="s">
        <v>9523</v>
      </c>
      <c r="B3406" s="2" t="s">
        <v>9523</v>
      </c>
      <c r="C3406" s="2" t="s">
        <v>84</v>
      </c>
      <c r="D3406" s="2" t="s">
        <v>18</v>
      </c>
      <c r="E3406" s="4">
        <v>-32491</v>
      </c>
      <c r="F3406" s="3" t="s">
        <v>533</v>
      </c>
      <c r="G3406" s="3" t="s">
        <v>561</v>
      </c>
      <c r="H3406" s="2" t="s">
        <v>148</v>
      </c>
      <c r="I3406" s="2" t="s">
        <v>9525</v>
      </c>
      <c r="J3406" s="3" t="str">
        <f>HYPERLINK("https://www.boe.es/gazeta/dias/1811/01/15/pdfs/GEI-1811-7.pdf#page=12","Abrir facsímil")</f>
        <v>Abrir facsímil</v>
      </c>
      <c r="K3406" s="3" t="s">
        <v>150</v>
      </c>
    </row>
    <row r="3407" spans="1:11" ht="42" customHeight="1">
      <c r="A3407" s="2" t="s">
        <v>9523</v>
      </c>
      <c r="B3407" s="2" t="s">
        <v>9523</v>
      </c>
      <c r="C3407" s="2" t="s">
        <v>17</v>
      </c>
      <c r="D3407" s="2" t="s">
        <v>18</v>
      </c>
      <c r="E3407" s="4">
        <v>-32489</v>
      </c>
      <c r="F3407" s="3" t="s">
        <v>2073</v>
      </c>
      <c r="G3407" s="3" t="s">
        <v>8573</v>
      </c>
      <c r="H3407" s="2" t="s">
        <v>148</v>
      </c>
      <c r="I3407" s="2" t="s">
        <v>9526</v>
      </c>
      <c r="J3407" s="3" t="str">
        <f>HYPERLINK("https://www.boe.es/gazeta/dias/1811/01/17/pdfs/GEI-1811-8.pdf#page=5","Abrir facsímil")</f>
        <v>Abrir facsímil</v>
      </c>
      <c r="K3407" s="3" t="s">
        <v>150</v>
      </c>
    </row>
    <row r="3408" spans="1:11" ht="42" customHeight="1">
      <c r="A3408" s="2" t="s">
        <v>9523</v>
      </c>
      <c r="B3408" s="2" t="s">
        <v>9523</v>
      </c>
      <c r="C3408" s="2" t="s">
        <v>104</v>
      </c>
      <c r="D3408" s="2" t="s">
        <v>18</v>
      </c>
      <c r="E3408" s="4">
        <v>-32489</v>
      </c>
      <c r="F3408" s="3" t="s">
        <v>2073</v>
      </c>
      <c r="G3408" s="3" t="s">
        <v>214</v>
      </c>
      <c r="H3408" s="2" t="s">
        <v>148</v>
      </c>
      <c r="I3408" s="2" t="s">
        <v>9527</v>
      </c>
      <c r="J3408" s="3" t="str">
        <f>HYPERLINK("https://www.boe.es/gazeta/dias/1811/01/17/pdfs/GEI-1811-8.pdf#page=6","Abrir facsímil")</f>
        <v>Abrir facsímil</v>
      </c>
      <c r="K3408" s="3" t="s">
        <v>150</v>
      </c>
    </row>
    <row r="3409" spans="1:11" ht="42" customHeight="1">
      <c r="A3409" s="2" t="s">
        <v>9523</v>
      </c>
      <c r="B3409" s="2" t="s">
        <v>9523</v>
      </c>
      <c r="C3409" s="2" t="s">
        <v>122</v>
      </c>
      <c r="D3409" s="2" t="s">
        <v>18</v>
      </c>
      <c r="E3409" s="4">
        <v>-32487</v>
      </c>
      <c r="F3409" s="3" t="s">
        <v>842</v>
      </c>
      <c r="G3409" s="3" t="s">
        <v>162</v>
      </c>
      <c r="H3409" s="2" t="s">
        <v>148</v>
      </c>
      <c r="I3409" s="2" t="s">
        <v>9528</v>
      </c>
      <c r="J3409" s="3" t="str">
        <f>HYPERLINK("https://www.boe.es/gazeta/dias/1811/01/19/pdfs/GEI-1811-9.pdf#page=7","Abrir facsímil")</f>
        <v>Abrir facsímil</v>
      </c>
      <c r="K3409" s="3" t="s">
        <v>150</v>
      </c>
    </row>
    <row r="3410" spans="1:11" ht="42" customHeight="1">
      <c r="A3410" s="2" t="s">
        <v>9523</v>
      </c>
      <c r="B3410" s="2" t="s">
        <v>9523</v>
      </c>
      <c r="C3410" s="2" t="s">
        <v>122</v>
      </c>
      <c r="D3410" s="2" t="s">
        <v>18</v>
      </c>
      <c r="E3410" s="4">
        <v>-32475</v>
      </c>
      <c r="F3410" s="3" t="s">
        <v>6882</v>
      </c>
      <c r="G3410" s="3" t="s">
        <v>9529</v>
      </c>
      <c r="H3410" s="2" t="s">
        <v>148</v>
      </c>
      <c r="I3410" s="2" t="s">
        <v>9530</v>
      </c>
      <c r="J3410" s="3" t="str">
        <f>HYPERLINK("https://www.boe.es/gazeta/dias/1811/01/31/pdfs/GEI-1811-14.pdf#page=7","Abrir facsímil")</f>
        <v>Abrir facsímil</v>
      </c>
      <c r="K3410" s="3" t="s">
        <v>150</v>
      </c>
    </row>
    <row r="3411" spans="1:11" ht="42" customHeight="1">
      <c r="A3411" s="2" t="s">
        <v>9523</v>
      </c>
      <c r="B3411" s="2" t="s">
        <v>9523</v>
      </c>
      <c r="C3411" s="2" t="s">
        <v>37</v>
      </c>
      <c r="D3411" s="2" t="s">
        <v>204</v>
      </c>
      <c r="E3411" s="4">
        <v>-32438</v>
      </c>
      <c r="F3411" s="3" t="s">
        <v>4284</v>
      </c>
      <c r="G3411" s="3" t="s">
        <v>39</v>
      </c>
      <c r="H3411" s="2" t="s">
        <v>148</v>
      </c>
      <c r="I3411" s="2" t="s">
        <v>9531</v>
      </c>
      <c r="J3411" s="3" t="str">
        <f>HYPERLINK("https://www.boe.es/gazeta/dias/1811/03/09/pdfs/GMD-1811-68.pdf#page=1","Abrir facsímil")</f>
        <v>Abrir facsímil</v>
      </c>
      <c r="K3411" s="3" t="s">
        <v>150</v>
      </c>
    </row>
    <row r="3412" spans="1:11" ht="42" customHeight="1">
      <c r="A3412" s="2" t="s">
        <v>9523</v>
      </c>
      <c r="B3412" s="2" t="s">
        <v>9523</v>
      </c>
      <c r="C3412" s="2" t="s">
        <v>17</v>
      </c>
      <c r="D3412" s="2" t="s">
        <v>156</v>
      </c>
      <c r="E3412" s="4">
        <v>-32428</v>
      </c>
      <c r="F3412" s="3" t="s">
        <v>351</v>
      </c>
      <c r="G3412" s="3" t="s">
        <v>57</v>
      </c>
      <c r="H3412" s="2" t="s">
        <v>148</v>
      </c>
      <c r="I3412" s="2" t="s">
        <v>9532</v>
      </c>
      <c r="J3412" s="3" t="str">
        <f>HYPERLINK("https://www.boe.es/gazeta/dias/1811/03/19/pdfs/GMD-1811-78.pdf#page=2","Abrir facsímil")</f>
        <v>Abrir facsímil</v>
      </c>
      <c r="K3412" s="3" t="s">
        <v>150</v>
      </c>
    </row>
    <row r="3413" spans="1:11" ht="42" customHeight="1">
      <c r="A3413" s="2" t="s">
        <v>9523</v>
      </c>
      <c r="B3413" s="2" t="s">
        <v>9523</v>
      </c>
      <c r="C3413" s="2" t="s">
        <v>17</v>
      </c>
      <c r="D3413" s="2" t="s">
        <v>156</v>
      </c>
      <c r="E3413" s="4">
        <v>-32428</v>
      </c>
      <c r="F3413" s="3" t="s">
        <v>351</v>
      </c>
      <c r="G3413" s="3" t="s">
        <v>352</v>
      </c>
      <c r="H3413" s="2" t="s">
        <v>148</v>
      </c>
      <c r="I3413" s="2" t="s">
        <v>9533</v>
      </c>
      <c r="J3413" s="3" t="str">
        <f>HYPERLINK("https://www.boe.es/gazeta/dias/1811/03/19/pdfs/GMD-1811-78.pdf#page=4","Abrir facsímil")</f>
        <v>Abrir facsímil</v>
      </c>
      <c r="K3413" s="3" t="s">
        <v>150</v>
      </c>
    </row>
    <row r="3414" spans="1:11" ht="42" customHeight="1">
      <c r="A3414" s="2" t="s">
        <v>9523</v>
      </c>
      <c r="B3414" s="2" t="s">
        <v>9523</v>
      </c>
      <c r="C3414" s="2" t="s">
        <v>17</v>
      </c>
      <c r="D3414" s="2" t="s">
        <v>156</v>
      </c>
      <c r="E3414" s="4">
        <v>-32354</v>
      </c>
      <c r="F3414" s="3" t="s">
        <v>2914</v>
      </c>
      <c r="G3414" s="3" t="s">
        <v>468</v>
      </c>
      <c r="H3414" s="2" t="s">
        <v>148</v>
      </c>
      <c r="I3414" s="2" t="s">
        <v>9534</v>
      </c>
      <c r="J3414" s="3" t="str">
        <f>HYPERLINK("https://www.boe.es/gazeta/dias/1811/06/01/pdfs/GEI-1811-74.pdf#page=8","Abrir facsímil")</f>
        <v>Abrir facsímil</v>
      </c>
      <c r="K3414" s="3" t="s">
        <v>150</v>
      </c>
    </row>
    <row r="3415" spans="1:11" ht="42" customHeight="1">
      <c r="A3415" s="2" t="s">
        <v>9523</v>
      </c>
      <c r="B3415" s="2" t="s">
        <v>9523</v>
      </c>
      <c r="C3415" s="2" t="s">
        <v>122</v>
      </c>
      <c r="D3415" s="2" t="s">
        <v>18</v>
      </c>
      <c r="E3415" s="4">
        <v>-32347</v>
      </c>
      <c r="F3415" s="3" t="s">
        <v>1911</v>
      </c>
      <c r="G3415" s="3" t="s">
        <v>9535</v>
      </c>
      <c r="H3415" s="2" t="s">
        <v>148</v>
      </c>
      <c r="I3415" s="2" t="s">
        <v>9536</v>
      </c>
      <c r="J3415" s="3" t="str">
        <f>HYPERLINK("https://www.boe.es/gazeta/dias/1811/06/08/pdfs/GEI-1811-77.pdf#page=7","Abrir facsímil")</f>
        <v>Abrir facsímil</v>
      </c>
      <c r="K3415" s="3" t="s">
        <v>150</v>
      </c>
    </row>
    <row r="3416" spans="1:11" ht="42" customHeight="1">
      <c r="A3416" s="2" t="s">
        <v>9523</v>
      </c>
      <c r="B3416" s="2" t="s">
        <v>9523</v>
      </c>
      <c r="C3416" s="2" t="s">
        <v>26</v>
      </c>
      <c r="D3416" s="2" t="s">
        <v>18</v>
      </c>
      <c r="E3416" s="4">
        <v>-32305</v>
      </c>
      <c r="F3416" s="3" t="s">
        <v>1575</v>
      </c>
      <c r="G3416" s="3" t="s">
        <v>1054</v>
      </c>
      <c r="H3416" s="2" t="s">
        <v>148</v>
      </c>
      <c r="I3416" s="2" t="s">
        <v>9537</v>
      </c>
      <c r="J3416" s="3" t="str">
        <f>HYPERLINK("https://www.boe.es/gazeta/dias/1811/07/20/pdfs/GEI-1811-95.pdf#page=3","Abrir facsímil")</f>
        <v>Abrir facsímil</v>
      </c>
      <c r="K3416" s="3" t="s">
        <v>150</v>
      </c>
    </row>
    <row r="3417" spans="1:11" ht="42" customHeight="1">
      <c r="A3417" s="2" t="s">
        <v>9523</v>
      </c>
      <c r="B3417" s="2" t="s">
        <v>9523</v>
      </c>
      <c r="C3417" s="2" t="s">
        <v>17</v>
      </c>
      <c r="D3417" s="2" t="s">
        <v>18</v>
      </c>
      <c r="E3417" s="4">
        <v>-32305</v>
      </c>
      <c r="F3417" s="3" t="s">
        <v>1575</v>
      </c>
      <c r="G3417" s="3" t="s">
        <v>1761</v>
      </c>
      <c r="H3417" s="2" t="s">
        <v>148</v>
      </c>
      <c r="I3417" s="2" t="s">
        <v>9538</v>
      </c>
      <c r="J3417" s="3" t="str">
        <f>HYPERLINK("https://www.boe.es/gazeta/dias/1811/07/20/pdfs/GEI-1811-95.pdf#page=4","Abrir facsímil")</f>
        <v>Abrir facsímil</v>
      </c>
      <c r="K3417" s="3" t="s">
        <v>150</v>
      </c>
    </row>
    <row r="3418" spans="1:11" ht="42" customHeight="1">
      <c r="A3418" s="2" t="s">
        <v>9523</v>
      </c>
      <c r="B3418" s="2" t="s">
        <v>9523</v>
      </c>
      <c r="C3418" s="2" t="s">
        <v>104</v>
      </c>
      <c r="D3418" s="2" t="s">
        <v>18</v>
      </c>
      <c r="E3418" s="4">
        <v>-32300</v>
      </c>
      <c r="F3418" s="3" t="s">
        <v>61</v>
      </c>
      <c r="G3418" s="3" t="s">
        <v>221</v>
      </c>
      <c r="H3418" s="2" t="s">
        <v>148</v>
      </c>
      <c r="I3418" s="2" t="s">
        <v>9539</v>
      </c>
      <c r="J3418" s="3" t="str">
        <f>HYPERLINK("https://www.boe.es/gazeta/dias/1811/07/25/pdfs/GEI-1811-97.pdf#page=4","Abrir facsímil")</f>
        <v>Abrir facsímil</v>
      </c>
      <c r="K3418" s="3" t="s">
        <v>150</v>
      </c>
    </row>
    <row r="3419" spans="1:11" ht="42" customHeight="1">
      <c r="A3419" s="2" t="s">
        <v>9523</v>
      </c>
      <c r="B3419" s="2" t="s">
        <v>9523</v>
      </c>
      <c r="C3419" s="2" t="s">
        <v>37</v>
      </c>
      <c r="D3419" s="2" t="s">
        <v>18</v>
      </c>
      <c r="E3419" s="4">
        <v>-32298</v>
      </c>
      <c r="F3419" s="3" t="s">
        <v>133</v>
      </c>
      <c r="G3419" s="3" t="s">
        <v>91</v>
      </c>
      <c r="H3419" s="2" t="s">
        <v>148</v>
      </c>
      <c r="I3419" s="2" t="s">
        <v>9540</v>
      </c>
      <c r="J3419" s="3" t="str">
        <f>HYPERLINK("https://www.boe.es/gazeta/dias/1811/07/27/pdfs/GEI-1811-98.pdf#page=1","Abrir facsímil")</f>
        <v>Abrir facsímil</v>
      </c>
      <c r="K3419" s="3" t="s">
        <v>150</v>
      </c>
    </row>
    <row r="3420" spans="1:11" ht="42" customHeight="1">
      <c r="A3420" s="2" t="s">
        <v>9523</v>
      </c>
      <c r="B3420" s="2" t="s">
        <v>9523</v>
      </c>
      <c r="C3420" s="2" t="s">
        <v>26</v>
      </c>
      <c r="D3420" s="2" t="s">
        <v>18</v>
      </c>
      <c r="E3420" s="4">
        <v>-32288</v>
      </c>
      <c r="F3420" s="3" t="s">
        <v>95</v>
      </c>
      <c r="G3420" s="3" t="s">
        <v>476</v>
      </c>
      <c r="H3420" s="2" t="s">
        <v>148</v>
      </c>
      <c r="I3420" s="2" t="s">
        <v>9541</v>
      </c>
      <c r="J3420" s="3" t="str">
        <f>HYPERLINK("https://www.boe.es/gazeta/dias/1811/08/06/pdfs/GEI-1811-102.pdf#page=7","Abrir facsímil")</f>
        <v>Abrir facsímil</v>
      </c>
      <c r="K3420" s="3" t="s">
        <v>150</v>
      </c>
    </row>
    <row r="3421" spans="1:11" ht="42" customHeight="1">
      <c r="A3421" s="2" t="s">
        <v>9523</v>
      </c>
      <c r="B3421" s="2" t="s">
        <v>9523</v>
      </c>
      <c r="C3421" s="2" t="s">
        <v>84</v>
      </c>
      <c r="D3421" s="2" t="s">
        <v>18</v>
      </c>
      <c r="E3421" s="4">
        <v>-32281</v>
      </c>
      <c r="F3421" s="3" t="s">
        <v>982</v>
      </c>
      <c r="G3421" s="3" t="s">
        <v>28</v>
      </c>
      <c r="H3421" s="2" t="s">
        <v>148</v>
      </c>
      <c r="I3421" s="2" t="s">
        <v>9542</v>
      </c>
      <c r="J3421" s="3" t="str">
        <f>HYPERLINK("https://www.boe.es/gazeta/dias/1811/08/13/pdfs/GEI-1811-105.pdf#page=7","Abrir facsímil")</f>
        <v>Abrir facsímil</v>
      </c>
      <c r="K3421" s="3" t="s">
        <v>150</v>
      </c>
    </row>
    <row r="3422" spans="1:11" ht="42" customHeight="1">
      <c r="A3422" s="2" t="s">
        <v>9523</v>
      </c>
      <c r="B3422" s="2" t="s">
        <v>9523</v>
      </c>
      <c r="C3422" s="2" t="s">
        <v>104</v>
      </c>
      <c r="D3422" s="2" t="s">
        <v>18</v>
      </c>
      <c r="E3422" s="4">
        <v>-32277</v>
      </c>
      <c r="F3422" s="3" t="s">
        <v>1765</v>
      </c>
      <c r="G3422" s="3" t="s">
        <v>1766</v>
      </c>
      <c r="H3422" s="2" t="s">
        <v>148</v>
      </c>
      <c r="I3422" s="2" t="s">
        <v>9543</v>
      </c>
      <c r="J3422" s="3" t="str">
        <f>HYPERLINK("https://www.boe.es/gazeta/dias/1811/08/17/pdfs/GEI-1811-107.pdf#page=7","Abrir facsímil")</f>
        <v>Abrir facsímil</v>
      </c>
      <c r="K3422" s="3" t="s">
        <v>150</v>
      </c>
    </row>
    <row r="3423" spans="1:11" ht="42" customHeight="1">
      <c r="A3423" s="2" t="s">
        <v>9523</v>
      </c>
      <c r="B3423" s="2" t="s">
        <v>9523</v>
      </c>
      <c r="C3423" s="2" t="s">
        <v>17</v>
      </c>
      <c r="D3423" s="2" t="s">
        <v>156</v>
      </c>
      <c r="E3423" s="4">
        <v>-32270</v>
      </c>
      <c r="F3423" s="3" t="s">
        <v>431</v>
      </c>
      <c r="G3423" s="3" t="s">
        <v>47</v>
      </c>
      <c r="H3423" s="2" t="s">
        <v>148</v>
      </c>
      <c r="I3423" s="2" t="s">
        <v>9544</v>
      </c>
      <c r="J3423" s="3" t="str">
        <f>HYPERLINK("https://www.boe.es/gazeta/dias/1811/08/24/pdfs/GEI-1811-110.pdf#page=3","Abrir facsímil")</f>
        <v>Abrir facsímil</v>
      </c>
      <c r="K3423" s="3" t="s">
        <v>150</v>
      </c>
    </row>
    <row r="3424" spans="1:11" ht="42" customHeight="1">
      <c r="A3424" s="2" t="s">
        <v>9523</v>
      </c>
      <c r="B3424" s="2" t="s">
        <v>9523</v>
      </c>
      <c r="C3424" s="2" t="s">
        <v>26</v>
      </c>
      <c r="D3424" s="2" t="s">
        <v>18</v>
      </c>
      <c r="E3424" s="4">
        <v>-32258</v>
      </c>
      <c r="F3424" s="3" t="s">
        <v>7467</v>
      </c>
      <c r="G3424" s="3" t="s">
        <v>20</v>
      </c>
      <c r="H3424" s="2" t="s">
        <v>148</v>
      </c>
      <c r="I3424" s="2" t="s">
        <v>9545</v>
      </c>
      <c r="J3424" s="3" t="str">
        <f>HYPERLINK("https://www.boe.es/gazeta/dias/1811/09/05/pdfs/GMD-1811-248.pdf#page=4","Abrir facsímil")</f>
        <v>Abrir facsímil</v>
      </c>
      <c r="K3424" s="3" t="s">
        <v>150</v>
      </c>
    </row>
    <row r="3425" spans="1:11" ht="42" customHeight="1">
      <c r="A3425" s="2" t="s">
        <v>9523</v>
      </c>
      <c r="B3425" s="2" t="s">
        <v>9523</v>
      </c>
      <c r="C3425" s="2" t="s">
        <v>26</v>
      </c>
      <c r="D3425" s="2" t="s">
        <v>18</v>
      </c>
      <c r="E3425" s="4">
        <v>-32252</v>
      </c>
      <c r="F3425" s="3" t="s">
        <v>3502</v>
      </c>
      <c r="G3425" s="3" t="s">
        <v>47</v>
      </c>
      <c r="H3425" s="2" t="s">
        <v>148</v>
      </c>
      <c r="I3425" s="2" t="s">
        <v>9546</v>
      </c>
      <c r="J3425" s="3" t="str">
        <f>HYPERLINK("https://www.boe.es/gazeta/dias/1811/09/11/pdfs/GMD-1811-254.pdf#page=4","Abrir facsímil")</f>
        <v>Abrir facsímil</v>
      </c>
      <c r="K3425" s="3" t="s">
        <v>150</v>
      </c>
    </row>
    <row r="3426" spans="1:11" ht="42" customHeight="1">
      <c r="A3426" s="2" t="s">
        <v>9523</v>
      </c>
      <c r="B3426" s="2" t="s">
        <v>9523</v>
      </c>
      <c r="C3426" s="2" t="s">
        <v>84</v>
      </c>
      <c r="D3426" s="2" t="s">
        <v>18</v>
      </c>
      <c r="E3426" s="4">
        <v>-32251</v>
      </c>
      <c r="F3426" s="3" t="s">
        <v>726</v>
      </c>
      <c r="G3426" s="3" t="s">
        <v>62</v>
      </c>
      <c r="H3426" s="2" t="s">
        <v>148</v>
      </c>
      <c r="I3426" s="2" t="s">
        <v>9547</v>
      </c>
      <c r="J3426" s="3" t="str">
        <f>HYPERLINK("https://www.boe.es/gazeta/dias/1811/09/12/pdfs/GEI-1811-118.pdf#page=5","Abrir facsímil")</f>
        <v>Abrir facsímil</v>
      </c>
      <c r="K3426" s="3" t="s">
        <v>150</v>
      </c>
    </row>
    <row r="3427" spans="1:11" ht="42" customHeight="1">
      <c r="A3427" s="2" t="s">
        <v>9523</v>
      </c>
      <c r="B3427" s="2" t="s">
        <v>9523</v>
      </c>
      <c r="C3427" s="2" t="s">
        <v>122</v>
      </c>
      <c r="D3427" s="2" t="s">
        <v>18</v>
      </c>
      <c r="E3427" s="4">
        <v>-32246</v>
      </c>
      <c r="F3427" s="3" t="s">
        <v>19</v>
      </c>
      <c r="G3427" s="3" t="s">
        <v>1977</v>
      </c>
      <c r="H3427" s="2" t="s">
        <v>148</v>
      </c>
      <c r="I3427" s="2" t="s">
        <v>9548</v>
      </c>
      <c r="J3427" s="3" t="str">
        <f>HYPERLINK("https://www.boe.es/gazeta/dias/1811/09/17/pdfs/GEI-1811-120.pdf#page=1","Abrir facsímil")</f>
        <v>Abrir facsímil</v>
      </c>
      <c r="K3427" s="3" t="s">
        <v>150</v>
      </c>
    </row>
    <row r="3428" spans="1:11" ht="42" customHeight="1">
      <c r="A3428" s="2" t="s">
        <v>9523</v>
      </c>
      <c r="B3428" s="2" t="s">
        <v>9523</v>
      </c>
      <c r="C3428" s="2" t="s">
        <v>26</v>
      </c>
      <c r="D3428" s="2" t="s">
        <v>204</v>
      </c>
      <c r="E3428" s="4">
        <v>-32242</v>
      </c>
      <c r="F3428" s="3" t="s">
        <v>1295</v>
      </c>
      <c r="G3428" s="3" t="s">
        <v>9549</v>
      </c>
      <c r="H3428" s="2" t="s">
        <v>148</v>
      </c>
      <c r="I3428" s="2" t="s">
        <v>9550</v>
      </c>
      <c r="J3428" s="3" t="str">
        <f>HYPERLINK("https://www.boe.es/gazeta/dias/1811/09/21/pdfs/GEI-1811-122.pdf#page=1","Abrir facsímil")</f>
        <v>Abrir facsímil</v>
      </c>
      <c r="K3428" s="3" t="s">
        <v>150</v>
      </c>
    </row>
    <row r="3429" spans="1:11" ht="42" customHeight="1">
      <c r="A3429" s="2" t="s">
        <v>9523</v>
      </c>
      <c r="B3429" s="2" t="s">
        <v>9523</v>
      </c>
      <c r="C3429" s="2" t="s">
        <v>84</v>
      </c>
      <c r="D3429" s="2" t="s">
        <v>18</v>
      </c>
      <c r="E3429" s="4">
        <v>-32242</v>
      </c>
      <c r="F3429" s="3" t="s">
        <v>1295</v>
      </c>
      <c r="G3429" s="3" t="s">
        <v>214</v>
      </c>
      <c r="H3429" s="2" t="s">
        <v>148</v>
      </c>
      <c r="I3429" s="2" t="s">
        <v>9551</v>
      </c>
      <c r="J3429" s="3" t="str">
        <f>HYPERLINK("https://www.boe.es/gazeta/dias/1811/09/21/pdfs/GEI-1811-122.pdf#page=6","Abrir facsímil")</f>
        <v>Abrir facsímil</v>
      </c>
      <c r="K3429" s="3" t="s">
        <v>150</v>
      </c>
    </row>
    <row r="3430" spans="1:11" ht="42" customHeight="1">
      <c r="A3430" s="2" t="s">
        <v>9523</v>
      </c>
      <c r="B3430" s="2" t="s">
        <v>9523</v>
      </c>
      <c r="C3430" s="2" t="s">
        <v>26</v>
      </c>
      <c r="D3430" s="2" t="s">
        <v>18</v>
      </c>
      <c r="E3430" s="4">
        <v>-32237</v>
      </c>
      <c r="F3430" s="3" t="s">
        <v>717</v>
      </c>
      <c r="G3430" s="3" t="s">
        <v>47</v>
      </c>
      <c r="H3430" s="2" t="s">
        <v>148</v>
      </c>
      <c r="I3430" s="2" t="s">
        <v>9552</v>
      </c>
      <c r="J3430" s="3" t="str">
        <f>HYPERLINK("https://www.boe.es/gazeta/dias/1811/09/26/pdfs/GEI-1811-124.pdf#page=4","Abrir facsímil")</f>
        <v>Abrir facsímil</v>
      </c>
      <c r="K3430" s="3" t="s">
        <v>150</v>
      </c>
    </row>
    <row r="3431" spans="1:11" ht="42" customHeight="1">
      <c r="A3431" s="2" t="s">
        <v>9523</v>
      </c>
      <c r="B3431" s="2" t="s">
        <v>9523</v>
      </c>
      <c r="C3431" s="2" t="s">
        <v>26</v>
      </c>
      <c r="D3431" s="2" t="s">
        <v>18</v>
      </c>
      <c r="E3431" s="4">
        <v>-32235</v>
      </c>
      <c r="F3431" s="3" t="s">
        <v>190</v>
      </c>
      <c r="G3431" s="3" t="s">
        <v>62</v>
      </c>
      <c r="H3431" s="2" t="s">
        <v>148</v>
      </c>
      <c r="I3431" s="2" t="s">
        <v>9553</v>
      </c>
      <c r="J3431" s="3" t="str">
        <f>HYPERLINK("https://www.boe.es/gazeta/dias/1811/09/28/pdfs/GEI-1811-125.pdf#page=5","Abrir facsímil")</f>
        <v>Abrir facsímil</v>
      </c>
      <c r="K3431" s="3" t="s">
        <v>150</v>
      </c>
    </row>
    <row r="3432" spans="1:11" ht="42" customHeight="1">
      <c r="A3432" s="2" t="s">
        <v>9523</v>
      </c>
      <c r="B3432" s="2" t="s">
        <v>9523</v>
      </c>
      <c r="C3432" s="2" t="s">
        <v>17</v>
      </c>
      <c r="D3432" s="2" t="s">
        <v>18</v>
      </c>
      <c r="E3432" s="4">
        <v>-32235</v>
      </c>
      <c r="F3432" s="3" t="s">
        <v>190</v>
      </c>
      <c r="G3432" s="3" t="s">
        <v>2879</v>
      </c>
      <c r="H3432" s="2" t="s">
        <v>148</v>
      </c>
      <c r="I3432" s="2" t="s">
        <v>9554</v>
      </c>
      <c r="J3432" s="3" t="str">
        <f>HYPERLINK("https://www.boe.es/gazeta/dias/1811/09/28/pdfs/GEI-1811-125.pdf#page=6","Abrir facsímil")</f>
        <v>Abrir facsímil</v>
      </c>
      <c r="K3432" s="3" t="s">
        <v>150</v>
      </c>
    </row>
    <row r="3433" spans="1:11" ht="42" customHeight="1">
      <c r="A3433" s="2" t="s">
        <v>9523</v>
      </c>
      <c r="B3433" s="2" t="s">
        <v>9523</v>
      </c>
      <c r="C3433" s="2" t="s">
        <v>104</v>
      </c>
      <c r="D3433" s="2" t="s">
        <v>18</v>
      </c>
      <c r="E3433" s="4">
        <v>-32228</v>
      </c>
      <c r="F3433" s="3" t="s">
        <v>372</v>
      </c>
      <c r="G3433" s="3" t="s">
        <v>9555</v>
      </c>
      <c r="H3433" s="2" t="s">
        <v>148</v>
      </c>
      <c r="I3433" s="2" t="s">
        <v>9556</v>
      </c>
      <c r="J3433" s="3" t="str">
        <f>HYPERLINK("https://www.boe.es/gazeta/dias/1811/10/05/pdfs/GEI-1811-128.pdf#page=5","Abrir facsímil")</f>
        <v>Abrir facsímil</v>
      </c>
      <c r="K3433" s="3" t="s">
        <v>150</v>
      </c>
    </row>
    <row r="3434" spans="1:11" ht="42" customHeight="1">
      <c r="A3434" s="2" t="s">
        <v>9523</v>
      </c>
      <c r="B3434" s="2" t="s">
        <v>9523</v>
      </c>
      <c r="C3434" s="2" t="s">
        <v>26</v>
      </c>
      <c r="D3434" s="2" t="s">
        <v>18</v>
      </c>
      <c r="E3434" s="4">
        <v>-32228</v>
      </c>
      <c r="F3434" s="3" t="s">
        <v>372</v>
      </c>
      <c r="G3434" s="3" t="s">
        <v>3947</v>
      </c>
      <c r="H3434" s="2" t="s">
        <v>148</v>
      </c>
      <c r="I3434" s="2" t="s">
        <v>9557</v>
      </c>
      <c r="J3434" s="3" t="str">
        <f>HYPERLINK("https://www.boe.es/gazeta/dias/1811/10/05/pdfs/GEI-1811-128.pdf#page=6","Abrir facsímil")</f>
        <v>Abrir facsímil</v>
      </c>
      <c r="K3434" s="3" t="s">
        <v>150</v>
      </c>
    </row>
    <row r="3435" spans="1:11" ht="42" customHeight="1">
      <c r="A3435" s="2" t="s">
        <v>9523</v>
      </c>
      <c r="B3435" s="2" t="s">
        <v>9523</v>
      </c>
      <c r="C3435" s="2" t="s">
        <v>17</v>
      </c>
      <c r="D3435" s="2" t="s">
        <v>18</v>
      </c>
      <c r="E3435" s="4">
        <v>-32221</v>
      </c>
      <c r="F3435" s="3" t="s">
        <v>747</v>
      </c>
      <c r="G3435" s="3" t="s">
        <v>39</v>
      </c>
      <c r="H3435" s="2" t="s">
        <v>148</v>
      </c>
      <c r="I3435" s="2" t="s">
        <v>9558</v>
      </c>
      <c r="J3435" s="3" t="str">
        <f>HYPERLINK("https://www.boe.es/gazeta/dias/1811/10/12/pdfs/GEI-1811-131.pdf#page=1","Abrir facsímil")</f>
        <v>Abrir facsímil</v>
      </c>
      <c r="K3435" s="3" t="s">
        <v>150</v>
      </c>
    </row>
    <row r="3436" spans="1:11" ht="42" customHeight="1">
      <c r="A3436" s="2" t="s">
        <v>9523</v>
      </c>
      <c r="B3436" s="2" t="s">
        <v>9523</v>
      </c>
      <c r="C3436" s="2" t="s">
        <v>104</v>
      </c>
      <c r="D3436" s="2" t="s">
        <v>18</v>
      </c>
      <c r="E3436" s="4">
        <v>-32218</v>
      </c>
      <c r="F3436" s="3" t="s">
        <v>938</v>
      </c>
      <c r="G3436" s="3" t="s">
        <v>9559</v>
      </c>
      <c r="H3436" s="2" t="s">
        <v>148</v>
      </c>
      <c r="I3436" s="2" t="s">
        <v>9560</v>
      </c>
      <c r="J3436" s="3" t="str">
        <f>HYPERLINK("https://www.boe.es/gazeta/dias/1811/10/15/pdfs/GEI-1811-133.pdf#page=2","Abrir facsímil")</f>
        <v>Abrir facsímil</v>
      </c>
      <c r="K3436" s="3" t="s">
        <v>150</v>
      </c>
    </row>
    <row r="3437" spans="1:11" ht="42" customHeight="1">
      <c r="A3437" s="2" t="s">
        <v>9523</v>
      </c>
      <c r="B3437" s="2" t="s">
        <v>9523</v>
      </c>
      <c r="C3437" s="2" t="s">
        <v>104</v>
      </c>
      <c r="D3437" s="2" t="s">
        <v>18</v>
      </c>
      <c r="E3437" s="4">
        <v>-32218</v>
      </c>
      <c r="F3437" s="3" t="s">
        <v>938</v>
      </c>
      <c r="G3437" s="3" t="s">
        <v>9561</v>
      </c>
      <c r="H3437" s="2" t="s">
        <v>148</v>
      </c>
      <c r="I3437" s="2" t="s">
        <v>9562</v>
      </c>
      <c r="J3437" s="3" t="str">
        <f>HYPERLINK("https://www.boe.es/gazeta/dias/1811/10/15/pdfs/GEI-1811-133.pdf#page=3","Abrir facsímil")</f>
        <v>Abrir facsímil</v>
      </c>
      <c r="K3437" s="3" t="s">
        <v>150</v>
      </c>
    </row>
    <row r="3438" spans="1:11" ht="42" customHeight="1">
      <c r="A3438" s="2" t="s">
        <v>9523</v>
      </c>
      <c r="B3438" s="2" t="s">
        <v>9523</v>
      </c>
      <c r="C3438" s="2" t="s">
        <v>84</v>
      </c>
      <c r="D3438" s="2" t="s">
        <v>18</v>
      </c>
      <c r="E3438" s="4">
        <v>-32190</v>
      </c>
      <c r="F3438" s="3" t="s">
        <v>85</v>
      </c>
      <c r="G3438" s="3" t="s">
        <v>498</v>
      </c>
      <c r="H3438" s="2" t="s">
        <v>148</v>
      </c>
      <c r="I3438" s="2" t="s">
        <v>9563</v>
      </c>
      <c r="J3438" s="3" t="str">
        <f>HYPERLINK("https://www.boe.es/gazeta/dias/1811/11/12/pdfs/GEI-1811-148.pdf#page=7","Abrir facsímil")</f>
        <v>Abrir facsímil</v>
      </c>
      <c r="K3438" s="3" t="s">
        <v>150</v>
      </c>
    </row>
    <row r="3439" spans="1:11" ht="42" customHeight="1">
      <c r="A3439" s="2" t="s">
        <v>9523</v>
      </c>
      <c r="B3439" s="2" t="s">
        <v>9523</v>
      </c>
      <c r="C3439" s="2" t="s">
        <v>84</v>
      </c>
      <c r="D3439" s="2" t="s">
        <v>18</v>
      </c>
      <c r="E3439" s="4">
        <v>-32190</v>
      </c>
      <c r="F3439" s="3" t="s">
        <v>85</v>
      </c>
      <c r="G3439" s="3" t="s">
        <v>86</v>
      </c>
      <c r="H3439" s="2" t="s">
        <v>148</v>
      </c>
      <c r="I3439" s="2" t="s">
        <v>9564</v>
      </c>
      <c r="J3439" s="3" t="str">
        <f>HYPERLINK("https://www.boe.es/gazeta/dias/1811/11/12/pdfs/GEI-1811-148.pdf#page=8","Abrir facsímil")</f>
        <v>Abrir facsímil</v>
      </c>
      <c r="K3439" s="3" t="s">
        <v>150</v>
      </c>
    </row>
    <row r="3440" spans="1:11" ht="42" customHeight="1">
      <c r="A3440" s="2" t="s">
        <v>9523</v>
      </c>
      <c r="B3440" s="2" t="s">
        <v>9523</v>
      </c>
      <c r="C3440" s="2" t="s">
        <v>37</v>
      </c>
      <c r="D3440" s="2" t="s">
        <v>18</v>
      </c>
      <c r="E3440" s="4">
        <v>-32188</v>
      </c>
      <c r="F3440" s="3" t="s">
        <v>74</v>
      </c>
      <c r="G3440" s="3" t="s">
        <v>530</v>
      </c>
      <c r="H3440" s="2" t="s">
        <v>148</v>
      </c>
      <c r="I3440" s="2" t="s">
        <v>9565</v>
      </c>
      <c r="J3440" s="3" t="str">
        <f>HYPERLINK("https://www.boe.es/gazeta/dias/1811/11/14/pdfs/GEI-1811-149.pdf#page=6","Abrir facsímil")</f>
        <v>Abrir facsímil</v>
      </c>
      <c r="K3440" s="3" t="s">
        <v>150</v>
      </c>
    </row>
    <row r="3441" spans="1:11" ht="42" customHeight="1">
      <c r="A3441" s="2" t="s">
        <v>9523</v>
      </c>
      <c r="B3441" s="2" t="s">
        <v>9523</v>
      </c>
      <c r="C3441" s="2" t="s">
        <v>26</v>
      </c>
      <c r="D3441" s="2" t="s">
        <v>141</v>
      </c>
      <c r="E3441" s="4">
        <v>-32188</v>
      </c>
      <c r="F3441" s="3" t="s">
        <v>505</v>
      </c>
      <c r="G3441" s="3" t="s">
        <v>47</v>
      </c>
      <c r="H3441" s="2" t="s">
        <v>148</v>
      </c>
      <c r="I3441" s="2" t="s">
        <v>9566</v>
      </c>
      <c r="J3441" s="3" t="str">
        <f>HYPERLINK("https://www.boe.es/gazeta/dias/1811/11/14/pdfs/GEI-D-1811-149.pdf#page=3","Abrir facsímil")</f>
        <v>Abrir facsímil</v>
      </c>
      <c r="K3441" s="3" t="s">
        <v>150</v>
      </c>
    </row>
    <row r="3442" spans="1:11" ht="42" customHeight="1">
      <c r="A3442" s="2" t="s">
        <v>9523</v>
      </c>
      <c r="B3442" s="2" t="s">
        <v>9523</v>
      </c>
      <c r="C3442" s="2" t="s">
        <v>17</v>
      </c>
      <c r="D3442" s="2" t="s">
        <v>18</v>
      </c>
      <c r="E3442" s="4">
        <v>-32186</v>
      </c>
      <c r="F3442" s="3" t="s">
        <v>1425</v>
      </c>
      <c r="G3442" s="3" t="s">
        <v>47</v>
      </c>
      <c r="H3442" s="2" t="s">
        <v>148</v>
      </c>
      <c r="I3442" s="2" t="s">
        <v>9567</v>
      </c>
      <c r="J3442" s="3" t="str">
        <f>HYPERLINK("https://www.boe.es/gazeta/dias/1811/11/16/pdfs/GEI-1811-150.pdf#page=4","Abrir facsímil")</f>
        <v>Abrir facsímil</v>
      </c>
      <c r="K3442" s="3" t="s">
        <v>150</v>
      </c>
    </row>
    <row r="3443" spans="1:11" ht="42" customHeight="1">
      <c r="A3443" s="2" t="s">
        <v>9523</v>
      </c>
      <c r="B3443" s="2" t="s">
        <v>9523</v>
      </c>
      <c r="C3443" s="2" t="s">
        <v>26</v>
      </c>
      <c r="D3443" s="2" t="s">
        <v>18</v>
      </c>
      <c r="E3443" s="4">
        <v>-32183</v>
      </c>
      <c r="F3443" s="3" t="s">
        <v>3310</v>
      </c>
      <c r="G3443" s="3" t="s">
        <v>44</v>
      </c>
      <c r="H3443" s="2" t="s">
        <v>148</v>
      </c>
      <c r="I3443" s="2" t="s">
        <v>9568</v>
      </c>
      <c r="J3443" s="3" t="str">
        <f>HYPERLINK("https://www.boe.es/gazeta/dias/1811/11/19/pdfs/GEI-1811-151.pdf#page=6","Abrir facsímil")</f>
        <v>Abrir facsímil</v>
      </c>
      <c r="K3443" s="3" t="s">
        <v>150</v>
      </c>
    </row>
    <row r="3444" spans="1:11" ht="42" customHeight="1">
      <c r="A3444" s="2" t="s">
        <v>9523</v>
      </c>
      <c r="B3444" s="2" t="s">
        <v>9523</v>
      </c>
      <c r="C3444" s="2" t="s">
        <v>84</v>
      </c>
      <c r="D3444" s="2" t="s">
        <v>18</v>
      </c>
      <c r="E3444" s="4">
        <v>-32183</v>
      </c>
      <c r="F3444" s="3" t="s">
        <v>3310</v>
      </c>
      <c r="G3444" s="3" t="s">
        <v>129</v>
      </c>
      <c r="H3444" s="2" t="s">
        <v>148</v>
      </c>
      <c r="I3444" s="2" t="s">
        <v>9569</v>
      </c>
      <c r="J3444" s="3" t="str">
        <f>HYPERLINK("https://www.boe.es/gazeta/dias/1811/11/19/pdfs/GEI-1811-151.pdf#page=7","Abrir facsímil")</f>
        <v>Abrir facsímil</v>
      </c>
      <c r="K3444" s="3" t="s">
        <v>150</v>
      </c>
    </row>
    <row r="3445" spans="1:11" ht="42" customHeight="1">
      <c r="A3445" s="2" t="s">
        <v>9523</v>
      </c>
      <c r="B3445" s="2" t="s">
        <v>9523</v>
      </c>
      <c r="C3445" s="2" t="s">
        <v>122</v>
      </c>
      <c r="D3445" s="2" t="s">
        <v>18</v>
      </c>
      <c r="E3445" s="4">
        <v>-32181</v>
      </c>
      <c r="F3445" s="3" t="s">
        <v>368</v>
      </c>
      <c r="G3445" s="3" t="s">
        <v>305</v>
      </c>
      <c r="H3445" s="2" t="s">
        <v>148</v>
      </c>
      <c r="I3445" s="2" t="s">
        <v>9570</v>
      </c>
      <c r="J3445" s="3" t="str">
        <f>HYPERLINK("https://www.boe.es/gazeta/dias/1811/11/21/pdfs/GEI-1811-152.pdf#page=5","Abrir facsímil")</f>
        <v>Abrir facsímil</v>
      </c>
      <c r="K3445" s="3" t="s">
        <v>150</v>
      </c>
    </row>
    <row r="3446" spans="1:11" ht="42" customHeight="1">
      <c r="A3446" s="2" t="s">
        <v>9523</v>
      </c>
      <c r="B3446" s="2" t="s">
        <v>9523</v>
      </c>
      <c r="C3446" s="2" t="s">
        <v>26</v>
      </c>
      <c r="D3446" s="2" t="s">
        <v>18</v>
      </c>
      <c r="E3446" s="4">
        <v>-32165</v>
      </c>
      <c r="F3446" s="3" t="s">
        <v>4621</v>
      </c>
      <c r="G3446" s="3" t="s">
        <v>6507</v>
      </c>
      <c r="H3446" s="2" t="s">
        <v>148</v>
      </c>
      <c r="I3446" s="2" t="s">
        <v>9571</v>
      </c>
      <c r="J3446" s="3" t="str">
        <f>HYPERLINK("https://www.boe.es/gazeta/dias/1811/12/07/pdfs/GEI-1811-159.pdf#page=1","Abrir facsímil")</f>
        <v>Abrir facsímil</v>
      </c>
      <c r="K3446" s="3" t="s">
        <v>150</v>
      </c>
    </row>
    <row r="3447" spans="1:11" ht="42" customHeight="1">
      <c r="A3447" s="2" t="s">
        <v>9572</v>
      </c>
      <c r="B3447" s="2" t="s">
        <v>9573</v>
      </c>
      <c r="C3447" s="2" t="s">
        <v>26</v>
      </c>
      <c r="D3447" s="2" t="s">
        <v>18</v>
      </c>
      <c r="E3447" s="4">
        <v>-32300</v>
      </c>
      <c r="F3447" s="3" t="s">
        <v>492</v>
      </c>
      <c r="G3447" s="3" t="s">
        <v>2710</v>
      </c>
      <c r="H3447" s="2" t="s">
        <v>148</v>
      </c>
      <c r="I3447" s="2" t="s">
        <v>9574</v>
      </c>
      <c r="J3447" s="3" t="str">
        <f>HYPERLINK("https://www.boe.es/gazeta/dias/1811/07/25/pdfs/GMD-1811-206.pdf#page=1","Abrir facsímil")</f>
        <v>Abrir facsímil</v>
      </c>
      <c r="K3447" s="3" t="s">
        <v>150</v>
      </c>
    </row>
    <row r="3448" spans="1:11" ht="42" customHeight="1">
      <c r="A3448" s="2" t="s">
        <v>9575</v>
      </c>
      <c r="B3448" s="2" t="s">
        <v>9575</v>
      </c>
      <c r="C3448" s="2" t="s">
        <v>84</v>
      </c>
      <c r="D3448" s="2" t="s">
        <v>18</v>
      </c>
      <c r="E3448" s="4">
        <v>-32237</v>
      </c>
      <c r="F3448" s="3" t="s">
        <v>717</v>
      </c>
      <c r="G3448" s="3" t="s">
        <v>9576</v>
      </c>
      <c r="H3448" s="2" t="s">
        <v>148</v>
      </c>
      <c r="I3448" s="2" t="s">
        <v>9577</v>
      </c>
      <c r="J3448" s="3" t="str">
        <f>HYPERLINK("https://www.boe.es/gazeta/dias/1811/09/26/pdfs/GEI-1811-124.pdf#page=7","Abrir facsímil")</f>
        <v>Abrir facsímil</v>
      </c>
      <c r="K3448" s="3" t="s">
        <v>150</v>
      </c>
    </row>
    <row r="3449" spans="1:11" ht="42" customHeight="1">
      <c r="A3449" s="2" t="s">
        <v>9578</v>
      </c>
      <c r="B3449" s="2" t="s">
        <v>9578</v>
      </c>
      <c r="C3449" s="2" t="s">
        <v>26</v>
      </c>
      <c r="D3449" s="2" t="s">
        <v>18</v>
      </c>
      <c r="E3449" s="4">
        <v>-32279</v>
      </c>
      <c r="F3449" s="3" t="s">
        <v>540</v>
      </c>
      <c r="G3449" s="3" t="s">
        <v>20</v>
      </c>
      <c r="H3449" s="2" t="s">
        <v>148</v>
      </c>
      <c r="I3449" s="2" t="s">
        <v>9579</v>
      </c>
      <c r="J3449" s="3" t="str">
        <f>HYPERLINK("https://www.boe.es/gazeta/dias/1811/08/15/pdfs/GMD-1811-227.pdf#page=4","Abrir facsímil")</f>
        <v>Abrir facsímil</v>
      </c>
      <c r="K3449" s="3" t="s">
        <v>150</v>
      </c>
    </row>
    <row r="3450" spans="1:11" ht="42" customHeight="1">
      <c r="A3450" s="2" t="s">
        <v>9580</v>
      </c>
      <c r="B3450" s="2" t="s">
        <v>9581</v>
      </c>
      <c r="C3450" s="2" t="s">
        <v>26</v>
      </c>
      <c r="D3450" s="2" t="s">
        <v>18</v>
      </c>
      <c r="E3450" s="4">
        <v>-32340</v>
      </c>
      <c r="F3450" s="3" t="s">
        <v>565</v>
      </c>
      <c r="G3450" s="3" t="s">
        <v>91</v>
      </c>
      <c r="H3450" s="2" t="s">
        <v>148</v>
      </c>
      <c r="I3450" s="2" t="s">
        <v>9582</v>
      </c>
      <c r="J3450" s="3" t="str">
        <f>HYPERLINK("https://www.boe.es/gazeta/dias/1811/06/15/pdfs/GEI-1811-80.pdf#page=8","Abrir facsímil")</f>
        <v>Abrir facsímil</v>
      </c>
      <c r="K3450" s="3" t="s">
        <v>150</v>
      </c>
    </row>
    <row r="3451" spans="1:11" ht="42" customHeight="1">
      <c r="A3451" s="2" t="s">
        <v>9583</v>
      </c>
      <c r="B3451" s="2" t="s">
        <v>9584</v>
      </c>
      <c r="C3451" s="2" t="s">
        <v>26</v>
      </c>
      <c r="D3451" s="2" t="s">
        <v>18</v>
      </c>
      <c r="E3451" s="4">
        <v>-32286</v>
      </c>
      <c r="F3451" s="3" t="s">
        <v>754</v>
      </c>
      <c r="G3451" s="3" t="s">
        <v>1728</v>
      </c>
      <c r="H3451" s="2" t="s">
        <v>148</v>
      </c>
      <c r="I3451" s="2" t="s">
        <v>9585</v>
      </c>
      <c r="J3451" s="3" t="str">
        <f>HYPERLINK("https://www.boe.es/gazeta/dias/1811/08/08/pdfs/GEI-1811-103.pdf#page=8","Abrir facsímil")</f>
        <v>Abrir facsímil</v>
      </c>
      <c r="K3451" s="3" t="s">
        <v>150</v>
      </c>
    </row>
    <row r="3452" spans="1:11" ht="42" customHeight="1">
      <c r="A3452" s="2" t="s">
        <v>9586</v>
      </c>
      <c r="B3452" s="2" t="s">
        <v>9587</v>
      </c>
      <c r="C3452" s="2" t="s">
        <v>26</v>
      </c>
      <c r="D3452" s="2" t="s">
        <v>141</v>
      </c>
      <c r="E3452" s="4">
        <v>-32365</v>
      </c>
      <c r="F3452" s="3" t="s">
        <v>1304</v>
      </c>
      <c r="G3452" s="3" t="s">
        <v>120</v>
      </c>
      <c r="H3452" s="2" t="s">
        <v>148</v>
      </c>
      <c r="I3452" s="2" t="s">
        <v>9588</v>
      </c>
      <c r="J3452" s="3" t="str">
        <f>HYPERLINK("https://www.boe.es/gazeta/dias/1811/05/21/pdfs/GEI-D-1811-67.pdf#page=4","Abrir facsímil")</f>
        <v>Abrir facsímil</v>
      </c>
      <c r="K3452" s="3" t="s">
        <v>150</v>
      </c>
    </row>
    <row r="3453" spans="1:11" ht="42" customHeight="1">
      <c r="A3453" s="2" t="s">
        <v>9589</v>
      </c>
      <c r="B3453" s="2" t="s">
        <v>9590</v>
      </c>
      <c r="C3453" s="2" t="s">
        <v>26</v>
      </c>
      <c r="D3453" s="2" t="s">
        <v>204</v>
      </c>
      <c r="E3453" s="4">
        <v>-32447</v>
      </c>
      <c r="F3453" s="3" t="s">
        <v>665</v>
      </c>
      <c r="G3453" s="3" t="s">
        <v>57</v>
      </c>
      <c r="H3453" s="2" t="s">
        <v>148</v>
      </c>
      <c r="I3453" s="2" t="s">
        <v>9591</v>
      </c>
      <c r="J3453" s="3" t="str">
        <f>HYPERLINK("https://www.boe.es/gazeta/dias/1811/02/28/pdfs/GMD-1811-59.pdf#page=2","Abrir facsímil")</f>
        <v>Abrir facsímil</v>
      </c>
      <c r="K3453" s="3" t="s">
        <v>150</v>
      </c>
    </row>
    <row r="3454" spans="1:11" ht="42" customHeight="1">
      <c r="A3454" s="2" t="s">
        <v>9589</v>
      </c>
      <c r="B3454" s="2" t="s">
        <v>9590</v>
      </c>
      <c r="C3454" s="2" t="s">
        <v>17</v>
      </c>
      <c r="D3454" s="2" t="s">
        <v>156</v>
      </c>
      <c r="E3454" s="4">
        <v>-32200</v>
      </c>
      <c r="F3454" s="3" t="s">
        <v>109</v>
      </c>
      <c r="G3454" s="3" t="s">
        <v>110</v>
      </c>
      <c r="H3454" s="2" t="s">
        <v>148</v>
      </c>
      <c r="I3454" s="2" t="s">
        <v>9592</v>
      </c>
      <c r="J3454" s="3" t="str">
        <f>HYPERLINK("https://www.boe.es/gazeta/dias/1811/11/02/pdfs/GEI-1811-141.pdf#page=6","Abrir facsímil")</f>
        <v>Abrir facsímil</v>
      </c>
      <c r="K3454" s="3" t="s">
        <v>150</v>
      </c>
    </row>
    <row r="3455" spans="1:11" ht="42" customHeight="1">
      <c r="A3455" s="2" t="s">
        <v>9593</v>
      </c>
      <c r="B3455" s="2" t="s">
        <v>9594</v>
      </c>
      <c r="C3455" s="2" t="s">
        <v>26</v>
      </c>
      <c r="D3455" s="2" t="s">
        <v>18</v>
      </c>
      <c r="E3455" s="4">
        <v>-32179</v>
      </c>
      <c r="F3455" s="3" t="s">
        <v>614</v>
      </c>
      <c r="G3455" s="3" t="s">
        <v>47</v>
      </c>
      <c r="H3455" s="2" t="s">
        <v>148</v>
      </c>
      <c r="I3455" s="2" t="s">
        <v>9595</v>
      </c>
      <c r="J3455" s="3" t="str">
        <f>HYPERLINK("https://www.boe.es/gazeta/dias/1811/11/23/pdfs/GEI-1811-153.pdf#page=8","Abrir facsímil")</f>
        <v>Abrir facsímil</v>
      </c>
      <c r="K3455" s="3" t="s">
        <v>150</v>
      </c>
    </row>
    <row r="3456" spans="1:11" ht="42" customHeight="1">
      <c r="A3456" s="2" t="s">
        <v>9596</v>
      </c>
      <c r="B3456" s="2" t="s">
        <v>9597</v>
      </c>
      <c r="C3456" s="2" t="s">
        <v>26</v>
      </c>
      <c r="D3456" s="2" t="s">
        <v>18</v>
      </c>
      <c r="E3456" s="4">
        <v>-32379</v>
      </c>
      <c r="F3456" s="3" t="s">
        <v>462</v>
      </c>
      <c r="G3456" s="3" t="s">
        <v>463</v>
      </c>
      <c r="H3456" s="2" t="s">
        <v>148</v>
      </c>
      <c r="I3456" s="2" t="s">
        <v>9598</v>
      </c>
      <c r="J3456" s="3" t="str">
        <f>HYPERLINK("https://www.boe.es/gazeta/dias/1811/05/07/pdfs/GEI-1811-60.pdf#page=8","Abrir facsímil")</f>
        <v>Abrir facsímil</v>
      </c>
      <c r="K3456" s="3" t="s">
        <v>150</v>
      </c>
    </row>
    <row r="3457" spans="1:11" ht="42" customHeight="1">
      <c r="A3457" s="2" t="s">
        <v>9596</v>
      </c>
      <c r="B3457" s="2" t="s">
        <v>9597</v>
      </c>
      <c r="C3457" s="2" t="s">
        <v>26</v>
      </c>
      <c r="D3457" s="2" t="s">
        <v>18</v>
      </c>
      <c r="E3457" s="4">
        <v>-32300</v>
      </c>
      <c r="F3457" s="3" t="s">
        <v>492</v>
      </c>
      <c r="G3457" s="3" t="s">
        <v>20</v>
      </c>
      <c r="H3457" s="2" t="s">
        <v>148</v>
      </c>
      <c r="I3457" s="2" t="s">
        <v>9599</v>
      </c>
      <c r="J3457" s="3" t="str">
        <f>HYPERLINK("https://www.boe.es/gazeta/dias/1811/07/25/pdfs/GMD-1811-206.pdf#page=3","Abrir facsímil")</f>
        <v>Abrir facsímil</v>
      </c>
      <c r="K3457" s="3" t="s">
        <v>150</v>
      </c>
    </row>
    <row r="3458" spans="1:11" ht="42" customHeight="1">
      <c r="A3458" s="2" t="s">
        <v>9596</v>
      </c>
      <c r="B3458" s="2" t="s">
        <v>9597</v>
      </c>
      <c r="C3458" s="2" t="s">
        <v>26</v>
      </c>
      <c r="D3458" s="2" t="s">
        <v>141</v>
      </c>
      <c r="E3458" s="4">
        <v>-32272</v>
      </c>
      <c r="F3458" s="3" t="s">
        <v>1150</v>
      </c>
      <c r="G3458" s="3" t="s">
        <v>468</v>
      </c>
      <c r="H3458" s="2" t="s">
        <v>148</v>
      </c>
      <c r="I3458" s="2" t="s">
        <v>9600</v>
      </c>
      <c r="J3458" s="3" t="str">
        <f>HYPERLINK("https://www.boe.es/gazeta/dias/1811/08/22/pdfs/GMD-C-1811-234.pdf#page=2","Abrir facsímil")</f>
        <v>Abrir facsímil</v>
      </c>
      <c r="K3458" s="3" t="s">
        <v>150</v>
      </c>
    </row>
    <row r="3459" spans="1:11" ht="42" customHeight="1">
      <c r="A3459" s="2" t="s">
        <v>9601</v>
      </c>
      <c r="B3459" s="2" t="s">
        <v>9602</v>
      </c>
      <c r="C3459" s="2" t="s">
        <v>17</v>
      </c>
      <c r="D3459" s="2" t="s">
        <v>156</v>
      </c>
      <c r="E3459" s="4">
        <v>-32407</v>
      </c>
      <c r="F3459" s="3" t="s">
        <v>38</v>
      </c>
      <c r="G3459" s="3" t="s">
        <v>2458</v>
      </c>
      <c r="H3459" s="2" t="s">
        <v>148</v>
      </c>
      <c r="I3459" s="2" t="s">
        <v>9603</v>
      </c>
      <c r="J3459" s="3" t="str">
        <f>HYPERLINK("https://www.boe.es/gazeta/dias/1811/04/09/pdfs/GEI-1811-48.pdf#page=9","Abrir facsímil")</f>
        <v>Abrir facsímil</v>
      </c>
      <c r="K3459" s="3" t="s">
        <v>150</v>
      </c>
    </row>
    <row r="3460" spans="1:11" ht="42" customHeight="1">
      <c r="A3460" s="2" t="s">
        <v>9604</v>
      </c>
      <c r="B3460" s="2" t="s">
        <v>9605</v>
      </c>
      <c r="C3460" s="2" t="s">
        <v>26</v>
      </c>
      <c r="D3460" s="2" t="s">
        <v>18</v>
      </c>
      <c r="E3460" s="4">
        <v>-32379</v>
      </c>
      <c r="F3460" s="3" t="s">
        <v>462</v>
      </c>
      <c r="G3460" s="3" t="s">
        <v>463</v>
      </c>
      <c r="H3460" s="2" t="s">
        <v>148</v>
      </c>
      <c r="I3460" s="2" t="s">
        <v>9606</v>
      </c>
      <c r="J3460" s="3" t="str">
        <f>HYPERLINK("https://www.boe.es/gazeta/dias/1811/05/07/pdfs/GEI-1811-60.pdf#page=8","Abrir facsímil")</f>
        <v>Abrir facsímil</v>
      </c>
      <c r="K3460" s="3" t="s">
        <v>150</v>
      </c>
    </row>
    <row r="3461" spans="1:11" ht="42" customHeight="1">
      <c r="A3461" s="2" t="s">
        <v>9607</v>
      </c>
      <c r="B3461" s="2" t="s">
        <v>9607</v>
      </c>
      <c r="C3461" s="2" t="s">
        <v>26</v>
      </c>
      <c r="D3461" s="2" t="s">
        <v>18</v>
      </c>
      <c r="E3461" s="4">
        <v>-32481</v>
      </c>
      <c r="F3461" s="3" t="s">
        <v>1687</v>
      </c>
      <c r="G3461" s="3" t="s">
        <v>1688</v>
      </c>
      <c r="H3461" s="2" t="s">
        <v>148</v>
      </c>
      <c r="I3461" s="2" t="s">
        <v>9608</v>
      </c>
      <c r="J3461" s="3" t="str">
        <f>HYPERLINK("https://www.boe.es/gazeta/dias/1811/01/25/pdfs/GMD-1811-25.pdf#page=1","Abrir facsímil")</f>
        <v>Abrir facsímil</v>
      </c>
      <c r="K3461" s="3" t="s">
        <v>150</v>
      </c>
    </row>
    <row r="3462" spans="1:11" ht="42" customHeight="1">
      <c r="A3462" s="2" t="s">
        <v>9609</v>
      </c>
      <c r="B3462" s="2" t="s">
        <v>9609</v>
      </c>
      <c r="C3462" s="2" t="s">
        <v>84</v>
      </c>
      <c r="D3462" s="2" t="s">
        <v>18</v>
      </c>
      <c r="E3462" s="4">
        <v>-32288</v>
      </c>
      <c r="F3462" s="3" t="s">
        <v>95</v>
      </c>
      <c r="G3462" s="3" t="s">
        <v>4290</v>
      </c>
      <c r="H3462" s="2" t="s">
        <v>148</v>
      </c>
      <c r="I3462" s="2" t="s">
        <v>9610</v>
      </c>
      <c r="J3462" s="3" t="str">
        <f>HYPERLINK("https://www.boe.es/gazeta/dias/1811/08/06/pdfs/GEI-1811-102.pdf#page=5","Abrir facsímil")</f>
        <v>Abrir facsímil</v>
      </c>
      <c r="K3462" s="3" t="s">
        <v>150</v>
      </c>
    </row>
    <row r="3463" spans="1:11" ht="42" customHeight="1">
      <c r="A3463" s="2" t="s">
        <v>9611</v>
      </c>
      <c r="B3463" s="2" t="s">
        <v>9611</v>
      </c>
      <c r="C3463" s="2" t="s">
        <v>26</v>
      </c>
      <c r="D3463" s="2" t="s">
        <v>18</v>
      </c>
      <c r="E3463" s="4">
        <v>-32311</v>
      </c>
      <c r="F3463" s="3" t="s">
        <v>9612</v>
      </c>
      <c r="G3463" s="3" t="s">
        <v>228</v>
      </c>
      <c r="H3463" s="2" t="s">
        <v>148</v>
      </c>
      <c r="I3463" s="2" t="s">
        <v>9613</v>
      </c>
      <c r="J3463" s="3" t="str">
        <f>HYPERLINK("https://www.boe.es/gazeta/dias/1811/07/14/pdfs/GMD-1811-195.pdf#page=3","Abrir facsímil")</f>
        <v>Abrir facsímil</v>
      </c>
      <c r="K3463" s="3" t="s">
        <v>150</v>
      </c>
    </row>
    <row r="3464" spans="1:11" ht="42" customHeight="1">
      <c r="A3464" s="2" t="s">
        <v>9614</v>
      </c>
      <c r="B3464" s="2" t="s">
        <v>9614</v>
      </c>
      <c r="C3464" s="2" t="s">
        <v>26</v>
      </c>
      <c r="D3464" s="2" t="s">
        <v>18</v>
      </c>
      <c r="E3464" s="4">
        <v>-32343</v>
      </c>
      <c r="F3464" s="3" t="s">
        <v>6073</v>
      </c>
      <c r="G3464" s="3" t="s">
        <v>9615</v>
      </c>
      <c r="H3464" s="2" t="s">
        <v>148</v>
      </c>
      <c r="I3464" s="2" t="s">
        <v>9616</v>
      </c>
      <c r="J3464" s="3" t="str">
        <f>HYPERLINK("https://www.boe.es/gazeta/dias/1811/06/12/pdfs/GMD-1811-163.pdf#page=3","Abrir facsímil")</f>
        <v>Abrir facsímil</v>
      </c>
      <c r="K3464" s="3" t="s">
        <v>150</v>
      </c>
    </row>
    <row r="3465" spans="1:11" ht="42" customHeight="1">
      <c r="A3465" s="2" t="s">
        <v>9614</v>
      </c>
      <c r="B3465" s="2" t="s">
        <v>9614</v>
      </c>
      <c r="C3465" s="2" t="s">
        <v>17</v>
      </c>
      <c r="D3465" s="2" t="s">
        <v>18</v>
      </c>
      <c r="E3465" s="4">
        <v>-32311</v>
      </c>
      <c r="F3465" s="3" t="s">
        <v>9612</v>
      </c>
      <c r="G3465" s="3" t="s">
        <v>228</v>
      </c>
      <c r="H3465" s="2" t="s">
        <v>148</v>
      </c>
      <c r="I3465" s="2" t="s">
        <v>9617</v>
      </c>
      <c r="J3465" s="3" t="str">
        <f>HYPERLINK("https://www.boe.es/gazeta/dias/1811/07/14/pdfs/GMD-1811-195.pdf#page=3","Abrir facsímil")</f>
        <v>Abrir facsímil</v>
      </c>
      <c r="K3465" s="3" t="s">
        <v>150</v>
      </c>
    </row>
    <row r="3466" spans="1:11" ht="42" customHeight="1">
      <c r="A3466" s="2" t="s">
        <v>9614</v>
      </c>
      <c r="B3466" s="2" t="s">
        <v>9614</v>
      </c>
      <c r="C3466" s="2" t="s">
        <v>17</v>
      </c>
      <c r="D3466" s="2" t="s">
        <v>18</v>
      </c>
      <c r="E3466" s="4">
        <v>-32310</v>
      </c>
      <c r="F3466" s="3" t="s">
        <v>2317</v>
      </c>
      <c r="G3466" s="3" t="s">
        <v>468</v>
      </c>
      <c r="H3466" s="2" t="s">
        <v>148</v>
      </c>
      <c r="I3466" s="2" t="s">
        <v>9618</v>
      </c>
      <c r="J3466" s="3" t="str">
        <f>HYPERLINK("https://www.boe.es/gazeta/dias/1811/07/15/pdfs/GMD-1811-196.pdf#page=2","Abrir facsímil")</f>
        <v>Abrir facsímil</v>
      </c>
      <c r="K3466" s="3" t="s">
        <v>150</v>
      </c>
    </row>
    <row r="3467" spans="1:11" ht="42" customHeight="1">
      <c r="A3467" s="2" t="s">
        <v>9614</v>
      </c>
      <c r="B3467" s="2" t="s">
        <v>9614</v>
      </c>
      <c r="C3467" s="2" t="s">
        <v>17</v>
      </c>
      <c r="D3467" s="2" t="s">
        <v>156</v>
      </c>
      <c r="E3467" s="4">
        <v>-32283</v>
      </c>
      <c r="F3467" s="3" t="s">
        <v>90</v>
      </c>
      <c r="G3467" s="3" t="s">
        <v>515</v>
      </c>
      <c r="H3467" s="2" t="s">
        <v>148</v>
      </c>
      <c r="I3467" s="2" t="s">
        <v>9619</v>
      </c>
      <c r="J3467" s="3" t="str">
        <f>HYPERLINK("https://www.boe.es/gazeta/dias/1811/08/11/pdfs/GMD-1811-223.pdf#page=3","Abrir facsímil")</f>
        <v>Abrir facsímil</v>
      </c>
      <c r="K3467" s="3" t="s">
        <v>150</v>
      </c>
    </row>
    <row r="3468" spans="1:11" ht="42" customHeight="1">
      <c r="A3468" s="2" t="s">
        <v>9614</v>
      </c>
      <c r="B3468" s="2" t="s">
        <v>9614</v>
      </c>
      <c r="C3468" s="2" t="s">
        <v>17</v>
      </c>
      <c r="D3468" s="2" t="s">
        <v>18</v>
      </c>
      <c r="E3468" s="4">
        <v>-32255</v>
      </c>
      <c r="F3468" s="3" t="s">
        <v>187</v>
      </c>
      <c r="G3468" s="3" t="s">
        <v>188</v>
      </c>
      <c r="H3468" s="2" t="s">
        <v>148</v>
      </c>
      <c r="I3468" s="2" t="s">
        <v>9620</v>
      </c>
      <c r="J3468" s="3" t="str">
        <f>HYPERLINK("https://www.boe.es/gazeta/dias/1811/09/08/pdfs/GMD-1811-251.pdf#page=2","Abrir facsímil")</f>
        <v>Abrir facsímil</v>
      </c>
      <c r="K3468" s="3" t="s">
        <v>150</v>
      </c>
    </row>
    <row r="3469" spans="1:11" ht="42" customHeight="1">
      <c r="A3469" s="2" t="s">
        <v>9614</v>
      </c>
      <c r="B3469" s="2" t="s">
        <v>9614</v>
      </c>
      <c r="C3469" s="2" t="s">
        <v>367</v>
      </c>
      <c r="D3469" s="2" t="s">
        <v>18</v>
      </c>
      <c r="E3469" s="4">
        <v>-32218</v>
      </c>
      <c r="F3469" s="3" t="s">
        <v>545</v>
      </c>
      <c r="G3469" s="3" t="s">
        <v>546</v>
      </c>
      <c r="H3469" s="2" t="s">
        <v>148</v>
      </c>
      <c r="I3469" s="2" t="s">
        <v>9621</v>
      </c>
      <c r="J3469" s="3" t="str">
        <f>HYPERLINK("https://www.boe.es/gazeta/dias/1811/10/15/pdfs/GMD-1811-288.pdf#page=4","Abrir facsímil")</f>
        <v>Abrir facsímil</v>
      </c>
      <c r="K3469" s="3" t="s">
        <v>150</v>
      </c>
    </row>
    <row r="3470" spans="1:11" ht="42" customHeight="1">
      <c r="A3470" s="2" t="s">
        <v>9622</v>
      </c>
      <c r="B3470" s="2" t="s">
        <v>9622</v>
      </c>
      <c r="C3470" s="2" t="s">
        <v>17</v>
      </c>
      <c r="D3470" s="2" t="s">
        <v>156</v>
      </c>
      <c r="E3470" s="4">
        <v>-32494</v>
      </c>
      <c r="F3470" s="3" t="s">
        <v>3050</v>
      </c>
      <c r="G3470" s="3" t="s">
        <v>3619</v>
      </c>
      <c r="H3470" s="2" t="s">
        <v>148</v>
      </c>
      <c r="I3470" s="2" t="s">
        <v>9623</v>
      </c>
      <c r="J3470" s="3" t="str">
        <f>HYPERLINK("https://www.boe.es/gazeta/dias/1811/01/12/pdfs/GEI-1811-6.pdf#page=8","Abrir facsímil")</f>
        <v>Abrir facsímil</v>
      </c>
      <c r="K3470" s="3" t="s">
        <v>150</v>
      </c>
    </row>
    <row r="3471" spans="1:11" ht="42" customHeight="1">
      <c r="A3471" s="2" t="s">
        <v>9624</v>
      </c>
      <c r="B3471" s="2" t="s">
        <v>9624</v>
      </c>
      <c r="C3471" s="2" t="s">
        <v>104</v>
      </c>
      <c r="D3471" s="2" t="s">
        <v>18</v>
      </c>
      <c r="E3471" s="4">
        <v>-32435</v>
      </c>
      <c r="F3471" s="3" t="s">
        <v>224</v>
      </c>
      <c r="G3471" s="3" t="s">
        <v>9625</v>
      </c>
      <c r="H3471" s="2" t="s">
        <v>148</v>
      </c>
      <c r="I3471" s="2" t="s">
        <v>9626</v>
      </c>
      <c r="J3471" s="3" t="str">
        <f>HYPERLINK("https://www.boe.es/gazeta/dias/1811/03/12/pdfs/GEI-1811-35.pdf#page=1","Abrir facsímil")</f>
        <v>Abrir facsímil</v>
      </c>
      <c r="K3471" s="3" t="s">
        <v>150</v>
      </c>
    </row>
    <row r="3472" spans="1:11" ht="42" customHeight="1">
      <c r="A3472" s="2" t="s">
        <v>9624</v>
      </c>
      <c r="B3472" s="2" t="s">
        <v>9624</v>
      </c>
      <c r="C3472" s="2" t="s">
        <v>26</v>
      </c>
      <c r="D3472" s="2" t="s">
        <v>18</v>
      </c>
      <c r="E3472" s="4">
        <v>-32235</v>
      </c>
      <c r="F3472" s="3" t="s">
        <v>190</v>
      </c>
      <c r="G3472" s="3" t="s">
        <v>8500</v>
      </c>
      <c r="H3472" s="2" t="s">
        <v>148</v>
      </c>
      <c r="I3472" s="2" t="s">
        <v>9627</v>
      </c>
      <c r="J3472" s="3" t="str">
        <f>HYPERLINK("https://www.boe.es/gazeta/dias/1811/09/28/pdfs/GEI-1811-125.pdf#page=7","Abrir facsímil")</f>
        <v>Abrir facsímil</v>
      </c>
      <c r="K3472" s="3" t="s">
        <v>150</v>
      </c>
    </row>
    <row r="3473" spans="1:11" ht="42" customHeight="1">
      <c r="A3473" s="2" t="s">
        <v>9628</v>
      </c>
      <c r="B3473" s="2" t="s">
        <v>9629</v>
      </c>
      <c r="C3473" s="2" t="s">
        <v>17</v>
      </c>
      <c r="D3473" s="2" t="s">
        <v>156</v>
      </c>
      <c r="E3473" s="4">
        <v>-32225</v>
      </c>
      <c r="F3473" s="3" t="s">
        <v>390</v>
      </c>
      <c r="G3473" s="3" t="s">
        <v>391</v>
      </c>
      <c r="H3473" s="2" t="s">
        <v>148</v>
      </c>
      <c r="I3473" s="2" t="s">
        <v>9630</v>
      </c>
      <c r="J3473" s="3" t="str">
        <f>HYPERLINK("https://www.boe.es/gazeta/dias/1811/10/08/pdfs/GEI-1811-129.pdf#page=7","Abrir facsímil")</f>
        <v>Abrir facsímil</v>
      </c>
      <c r="K3473" s="3" t="s">
        <v>150</v>
      </c>
    </row>
    <row r="3474" spans="1:11" ht="42" customHeight="1">
      <c r="A3474" s="2" t="s">
        <v>9631</v>
      </c>
      <c r="B3474" s="2" t="s">
        <v>9632</v>
      </c>
      <c r="C3474" s="2" t="s">
        <v>26</v>
      </c>
      <c r="D3474" s="2" t="s">
        <v>141</v>
      </c>
      <c r="E3474" s="4">
        <v>-32188</v>
      </c>
      <c r="F3474" s="3" t="s">
        <v>505</v>
      </c>
      <c r="G3474" s="3" t="s">
        <v>162</v>
      </c>
      <c r="H3474" s="2" t="s">
        <v>148</v>
      </c>
      <c r="I3474" s="2" t="s">
        <v>9633</v>
      </c>
      <c r="J3474" s="3" t="str">
        <f>HYPERLINK("https://www.boe.es/gazeta/dias/1811/11/14/pdfs/GEI-D-1811-149.pdf#page=4","Abrir facsímil")</f>
        <v>Abrir facsímil</v>
      </c>
      <c r="K3474" s="3" t="s">
        <v>150</v>
      </c>
    </row>
    <row r="3475" spans="1:11" ht="42" customHeight="1">
      <c r="A3475" s="2" t="s">
        <v>9634</v>
      </c>
      <c r="B3475" s="2" t="s">
        <v>9634</v>
      </c>
      <c r="C3475" s="2" t="s">
        <v>26</v>
      </c>
      <c r="D3475" s="2" t="s">
        <v>18</v>
      </c>
      <c r="E3475" s="4">
        <v>-32281</v>
      </c>
      <c r="F3475" s="3" t="s">
        <v>982</v>
      </c>
      <c r="G3475" s="3" t="s">
        <v>5662</v>
      </c>
      <c r="H3475" s="2" t="s">
        <v>148</v>
      </c>
      <c r="I3475" s="2" t="s">
        <v>9635</v>
      </c>
      <c r="J3475" s="3" t="str">
        <f>HYPERLINK("https://www.boe.es/gazeta/dias/1811/08/13/pdfs/GEI-1811-105.pdf#page=6","Abrir facsímil")</f>
        <v>Abrir facsímil</v>
      </c>
      <c r="K3475" s="3" t="s">
        <v>150</v>
      </c>
    </row>
    <row r="3476" spans="1:11" ht="42" customHeight="1">
      <c r="A3476" s="2" t="s">
        <v>9636</v>
      </c>
      <c r="B3476" s="2" t="s">
        <v>9636</v>
      </c>
      <c r="C3476" s="2" t="s">
        <v>367</v>
      </c>
      <c r="D3476" s="2" t="s">
        <v>18</v>
      </c>
      <c r="E3476" s="4">
        <v>-32312</v>
      </c>
      <c r="F3476" s="3" t="s">
        <v>2640</v>
      </c>
      <c r="G3476" s="3" t="s">
        <v>162</v>
      </c>
      <c r="H3476" s="2" t="s">
        <v>148</v>
      </c>
      <c r="I3476" s="2" t="s">
        <v>9637</v>
      </c>
      <c r="J3476" s="3" t="str">
        <f>HYPERLINK("https://www.boe.es/gazeta/dias/1811/07/13/pdfs/GEI-1811-92.pdf#page=7","Abrir facsímil")</f>
        <v>Abrir facsímil</v>
      </c>
      <c r="K3476" s="3" t="s">
        <v>150</v>
      </c>
    </row>
    <row r="3477" spans="1:11" ht="42" customHeight="1">
      <c r="A3477" s="2" t="s">
        <v>9638</v>
      </c>
      <c r="B3477" s="2" t="s">
        <v>9638</v>
      </c>
      <c r="C3477" s="2" t="s">
        <v>26</v>
      </c>
      <c r="D3477" s="2" t="s">
        <v>18</v>
      </c>
      <c r="E3477" s="4">
        <v>-32306</v>
      </c>
      <c r="F3477" s="3" t="s">
        <v>3878</v>
      </c>
      <c r="G3477" s="3" t="s">
        <v>468</v>
      </c>
      <c r="H3477" s="2" t="s">
        <v>21</v>
      </c>
      <c r="I3477" s="2" t="s">
        <v>9639</v>
      </c>
      <c r="J3477" s="3" t="str">
        <f>HYPERLINK("https://www.boe.es/gazeta/dias/1811/07/19/pdfs/GMD-1811-200.pdf#page=4","Abrir facsímil")</f>
        <v>Abrir facsímil</v>
      </c>
      <c r="K3477" s="3" t="s">
        <v>23</v>
      </c>
    </row>
    <row r="3478" spans="1:11" ht="42" customHeight="1">
      <c r="A3478" s="2" t="s">
        <v>9640</v>
      </c>
      <c r="B3478" s="2" t="s">
        <v>9640</v>
      </c>
      <c r="C3478" s="2" t="s">
        <v>17</v>
      </c>
      <c r="D3478" s="2" t="s">
        <v>18</v>
      </c>
      <c r="E3478" s="4">
        <v>-32321</v>
      </c>
      <c r="F3478" s="3" t="s">
        <v>1829</v>
      </c>
      <c r="G3478" s="3" t="s">
        <v>1414</v>
      </c>
      <c r="H3478" s="2" t="s">
        <v>148</v>
      </c>
      <c r="I3478" s="2" t="s">
        <v>9641</v>
      </c>
      <c r="J3478" s="3" t="str">
        <f>HYPERLINK("https://www.boe.es/gazeta/dias/1811/07/04/pdfs/GEI-1811-88.pdf#page=1","Abrir facsímil")</f>
        <v>Abrir facsímil</v>
      </c>
      <c r="K3478" s="3" t="s">
        <v>150</v>
      </c>
    </row>
    <row r="3479" spans="1:11" ht="42" customHeight="1">
      <c r="A3479" s="2" t="s">
        <v>9642</v>
      </c>
      <c r="B3479" s="2" t="s">
        <v>9642</v>
      </c>
      <c r="C3479" s="2" t="s">
        <v>17</v>
      </c>
      <c r="D3479" s="2" t="s">
        <v>18</v>
      </c>
      <c r="E3479" s="4">
        <v>-32321</v>
      </c>
      <c r="F3479" s="3" t="s">
        <v>1829</v>
      </c>
      <c r="G3479" s="3" t="s">
        <v>1830</v>
      </c>
      <c r="H3479" s="2" t="s">
        <v>148</v>
      </c>
      <c r="I3479" s="2" t="s">
        <v>9643</v>
      </c>
      <c r="J3479" s="3" t="str">
        <f>HYPERLINK("https://www.boe.es/gazeta/dias/1811/07/04/pdfs/GEI-1811-88.pdf#page=3","Abrir facsímil")</f>
        <v>Abrir facsímil</v>
      </c>
      <c r="K3479" s="3" t="s">
        <v>150</v>
      </c>
    </row>
    <row r="3480" spans="1:11" ht="42" customHeight="1">
      <c r="A3480" s="2" t="s">
        <v>9644</v>
      </c>
      <c r="B3480" s="2" t="s">
        <v>9644</v>
      </c>
      <c r="C3480" s="2" t="s">
        <v>17</v>
      </c>
      <c r="D3480" s="2" t="s">
        <v>156</v>
      </c>
      <c r="E3480" s="4">
        <v>-32393</v>
      </c>
      <c r="F3480" s="3" t="s">
        <v>32</v>
      </c>
      <c r="G3480" s="3" t="s">
        <v>2805</v>
      </c>
      <c r="H3480" s="2" t="s">
        <v>148</v>
      </c>
      <c r="I3480" s="2" t="s">
        <v>9645</v>
      </c>
      <c r="J3480" s="3" t="str">
        <f>HYPERLINK("https://www.boe.es/gazeta/dias/1811/04/23/pdfs/GEI-1811-54.pdf#page=1","Abrir facsímil")</f>
        <v>Abrir facsímil</v>
      </c>
      <c r="K3480" s="3" t="s">
        <v>150</v>
      </c>
    </row>
    <row r="3481" spans="1:11" ht="42" customHeight="1">
      <c r="A3481" s="2" t="s">
        <v>9646</v>
      </c>
      <c r="B3481" s="2" t="s">
        <v>9647</v>
      </c>
      <c r="C3481" s="2" t="s">
        <v>841</v>
      </c>
      <c r="D3481" s="2" t="s">
        <v>18</v>
      </c>
      <c r="E3481" s="4">
        <v>-32501</v>
      </c>
      <c r="F3481" s="3" t="s">
        <v>509</v>
      </c>
      <c r="G3481" s="3" t="s">
        <v>510</v>
      </c>
      <c r="H3481" s="2" t="s">
        <v>148</v>
      </c>
      <c r="I3481" s="2" t="s">
        <v>9648</v>
      </c>
      <c r="J3481" s="3" t="str">
        <f>HYPERLINK("https://www.boe.es/gazeta/dias/1811/01/05/pdfs/GEI-1811-3.pdf#page=8","Abrir facsímil")</f>
        <v>Abrir facsímil</v>
      </c>
      <c r="K3481" s="3" t="s">
        <v>150</v>
      </c>
    </row>
    <row r="3482" spans="1:11" ht="42" customHeight="1">
      <c r="A3482" s="2" t="s">
        <v>9649</v>
      </c>
      <c r="B3482" s="2" t="s">
        <v>9650</v>
      </c>
      <c r="C3482" s="2" t="s">
        <v>26</v>
      </c>
      <c r="D3482" s="2" t="s">
        <v>18</v>
      </c>
      <c r="E3482" s="4">
        <v>-32283</v>
      </c>
      <c r="F3482" s="3" t="s">
        <v>90</v>
      </c>
      <c r="G3482" s="3" t="s">
        <v>91</v>
      </c>
      <c r="H3482" s="2" t="s">
        <v>148</v>
      </c>
      <c r="I3482" s="2" t="s">
        <v>9651</v>
      </c>
      <c r="J3482" s="3" t="str">
        <f>HYPERLINK("https://www.boe.es/gazeta/dias/1811/08/11/pdfs/GMD-1811-223.pdf#page=4","Abrir facsímil")</f>
        <v>Abrir facsímil</v>
      </c>
      <c r="K3482" s="3" t="s">
        <v>150</v>
      </c>
    </row>
    <row r="3483" spans="1:11" ht="42" customHeight="1">
      <c r="A3483" s="2" t="s">
        <v>9652</v>
      </c>
      <c r="B3483" s="2" t="s">
        <v>9652</v>
      </c>
      <c r="C3483" s="2" t="s">
        <v>17</v>
      </c>
      <c r="D3483" s="2" t="s">
        <v>156</v>
      </c>
      <c r="E3483" s="4">
        <v>-32434</v>
      </c>
      <c r="F3483" s="3" t="s">
        <v>1932</v>
      </c>
      <c r="G3483" s="3" t="s">
        <v>1784</v>
      </c>
      <c r="H3483" s="2" t="s">
        <v>148</v>
      </c>
      <c r="I3483" s="2" t="s">
        <v>9653</v>
      </c>
      <c r="J3483" s="3" t="str">
        <f>HYPERLINK("https://www.boe.es/gazeta/dias/1811/03/13/pdfs/GMD-1811-72.pdf#page=3","Abrir facsímil")</f>
        <v>Abrir facsímil</v>
      </c>
      <c r="K3483" s="3" t="s">
        <v>150</v>
      </c>
    </row>
    <row r="3484" spans="1:11" ht="42" customHeight="1">
      <c r="A3484" s="2" t="s">
        <v>9654</v>
      </c>
      <c r="B3484" s="2" t="s">
        <v>9654</v>
      </c>
      <c r="C3484" s="2" t="s">
        <v>17</v>
      </c>
      <c r="D3484" s="2" t="s">
        <v>18</v>
      </c>
      <c r="E3484" s="4">
        <v>-32316</v>
      </c>
      <c r="F3484" s="3" t="s">
        <v>5337</v>
      </c>
      <c r="G3484" s="3" t="s">
        <v>391</v>
      </c>
      <c r="H3484" s="2" t="s">
        <v>148</v>
      </c>
      <c r="I3484" s="2" t="s">
        <v>9655</v>
      </c>
      <c r="J3484" s="3" t="str">
        <f>HYPERLINK("https://www.boe.es/gazeta/dias/1811/07/09/pdfs/GEI-1811-90.pdf#page=7","Abrir facsímil")</f>
        <v>Abrir facsímil</v>
      </c>
      <c r="K3484" s="3" t="s">
        <v>150</v>
      </c>
    </row>
    <row r="3485" spans="1:11" ht="42" customHeight="1">
      <c r="A3485" s="2" t="s">
        <v>9656</v>
      </c>
      <c r="B3485" s="2" t="s">
        <v>9657</v>
      </c>
      <c r="C3485" s="2" t="s">
        <v>26</v>
      </c>
      <c r="D3485" s="2" t="s">
        <v>18</v>
      </c>
      <c r="E3485" s="4">
        <v>-32188</v>
      </c>
      <c r="F3485" s="3" t="s">
        <v>356</v>
      </c>
      <c r="G3485" s="3" t="s">
        <v>248</v>
      </c>
      <c r="H3485" s="2" t="s">
        <v>148</v>
      </c>
      <c r="I3485" s="2" t="s">
        <v>9658</v>
      </c>
      <c r="J3485" s="3" t="str">
        <f>HYPERLINK("https://www.boe.es/gazeta/dias/1811/11/14/pdfs/GMD-1811-318.pdf#page=5","Abrir facsímil")</f>
        <v>Abrir facsímil</v>
      </c>
      <c r="K3485" s="3" t="s">
        <v>150</v>
      </c>
    </row>
    <row r="3486" spans="1:11" ht="42" customHeight="1">
      <c r="A3486" s="2" t="s">
        <v>9659</v>
      </c>
      <c r="B3486" s="2" t="s">
        <v>9659</v>
      </c>
      <c r="C3486" s="2" t="s">
        <v>17</v>
      </c>
      <c r="D3486" s="2" t="s">
        <v>18</v>
      </c>
      <c r="E3486" s="4">
        <v>-32438</v>
      </c>
      <c r="F3486" s="3" t="s">
        <v>4284</v>
      </c>
      <c r="G3486" s="3" t="s">
        <v>2379</v>
      </c>
      <c r="H3486" s="2" t="s">
        <v>148</v>
      </c>
      <c r="I3486" s="2" t="s">
        <v>9660</v>
      </c>
      <c r="J3486" s="3" t="str">
        <f>HYPERLINK("https://www.boe.es/gazeta/dias/1811/03/09/pdfs/GMD-1811-68.pdf#page=2","Abrir facsímil")</f>
        <v>Abrir facsímil</v>
      </c>
      <c r="K3486" s="3" t="s">
        <v>150</v>
      </c>
    </row>
    <row r="3487" spans="1:11" ht="42" customHeight="1">
      <c r="A3487" s="2" t="s">
        <v>9661</v>
      </c>
      <c r="B3487" s="2" t="s">
        <v>9661</v>
      </c>
      <c r="C3487" s="2" t="s">
        <v>17</v>
      </c>
      <c r="D3487" s="2" t="s">
        <v>18</v>
      </c>
      <c r="E3487" s="4">
        <v>-32495</v>
      </c>
      <c r="F3487" s="3" t="s">
        <v>1681</v>
      </c>
      <c r="G3487" s="3" t="s">
        <v>8259</v>
      </c>
      <c r="H3487" s="2" t="s">
        <v>148</v>
      </c>
      <c r="I3487" s="2" t="s">
        <v>9662</v>
      </c>
      <c r="J3487" s="3" t="str">
        <f>HYPERLINK("https://www.boe.es/gazeta/dias/1811/01/11/pdfs/GMD-1811-11.pdf#page=3","Abrir facsímil")</f>
        <v>Abrir facsímil</v>
      </c>
      <c r="K3487" s="3" t="s">
        <v>150</v>
      </c>
    </row>
    <row r="3488" spans="1:11" ht="42" customHeight="1">
      <c r="A3488" s="2" t="s">
        <v>9663</v>
      </c>
      <c r="B3488" s="2" t="s">
        <v>9664</v>
      </c>
      <c r="C3488" s="2" t="s">
        <v>26</v>
      </c>
      <c r="D3488" s="2" t="s">
        <v>18</v>
      </c>
      <c r="E3488" s="4">
        <v>-32147</v>
      </c>
      <c r="F3488" s="3" t="s">
        <v>1922</v>
      </c>
      <c r="G3488" s="3" t="s">
        <v>1923</v>
      </c>
      <c r="H3488" s="2" t="s">
        <v>148</v>
      </c>
      <c r="I3488" s="2" t="s">
        <v>9665</v>
      </c>
      <c r="J3488" s="3" t="str">
        <f>HYPERLINK("https://www.boe.es/gazeta/dias/1811/12/25/pdfs/GMD-1811-359.pdf#page=4","Abrir facsímil")</f>
        <v>Abrir facsímil</v>
      </c>
      <c r="K3488" s="3" t="s">
        <v>150</v>
      </c>
    </row>
    <row r="3489" spans="1:11" ht="42" customHeight="1">
      <c r="A3489" s="2" t="s">
        <v>9666</v>
      </c>
      <c r="B3489" s="2" t="s">
        <v>9667</v>
      </c>
      <c r="C3489" s="2" t="s">
        <v>104</v>
      </c>
      <c r="D3489" s="2" t="s">
        <v>18</v>
      </c>
      <c r="E3489" s="4">
        <v>-32249</v>
      </c>
      <c r="F3489" s="3" t="s">
        <v>182</v>
      </c>
      <c r="G3489" s="3" t="s">
        <v>183</v>
      </c>
      <c r="H3489" s="2" t="s">
        <v>148</v>
      </c>
      <c r="I3489" s="2" t="s">
        <v>9668</v>
      </c>
      <c r="J3489" s="3" t="str">
        <f>HYPERLINK("https://www.boe.es/gazeta/dias/1811/09/14/pdfs/GMD-1811-257.pdf#page=4","Abrir facsímil")</f>
        <v>Abrir facsímil</v>
      </c>
      <c r="K3489" s="3" t="s">
        <v>150</v>
      </c>
    </row>
    <row r="3490" spans="1:11" ht="42" customHeight="1">
      <c r="A3490" s="2" t="s">
        <v>9669</v>
      </c>
      <c r="B3490" s="2" t="s">
        <v>9669</v>
      </c>
      <c r="C3490" s="2" t="s">
        <v>84</v>
      </c>
      <c r="D3490" s="2" t="s">
        <v>18</v>
      </c>
      <c r="E3490" s="4">
        <v>-32340</v>
      </c>
      <c r="F3490" s="3" t="s">
        <v>6102</v>
      </c>
      <c r="G3490" s="3" t="s">
        <v>57</v>
      </c>
      <c r="H3490" s="2" t="s">
        <v>148</v>
      </c>
      <c r="I3490" s="2" t="s">
        <v>9670</v>
      </c>
      <c r="J3490" s="3" t="str">
        <f>HYPERLINK("https://www.boe.es/gazeta/dias/1811/06/15/pdfs/GMD-1811-166.pdf#page=2","Abrir facsímil")</f>
        <v>Abrir facsímil</v>
      </c>
      <c r="K3490" s="3" t="s">
        <v>150</v>
      </c>
    </row>
    <row r="3491" spans="1:11" ht="42" customHeight="1">
      <c r="A3491" s="2" t="s">
        <v>9671</v>
      </c>
      <c r="B3491" s="2" t="s">
        <v>9672</v>
      </c>
      <c r="C3491" s="2" t="s">
        <v>26</v>
      </c>
      <c r="D3491" s="2" t="s">
        <v>18</v>
      </c>
      <c r="E3491" s="4">
        <v>-32286</v>
      </c>
      <c r="F3491" s="3" t="s">
        <v>754</v>
      </c>
      <c r="G3491" s="3" t="s">
        <v>1728</v>
      </c>
      <c r="H3491" s="2" t="s">
        <v>148</v>
      </c>
      <c r="I3491" s="2" t="s">
        <v>9673</v>
      </c>
      <c r="J3491" s="3" t="str">
        <f>HYPERLINK("https://www.boe.es/gazeta/dias/1811/08/08/pdfs/GEI-1811-103.pdf#page=8","Abrir facsímil")</f>
        <v>Abrir facsímil</v>
      </c>
      <c r="K3491" s="3" t="s">
        <v>150</v>
      </c>
    </row>
    <row r="3492" spans="1:11" ht="42" customHeight="1">
      <c r="A3492" s="2" t="s">
        <v>9674</v>
      </c>
      <c r="B3492" s="2" t="s">
        <v>9674</v>
      </c>
      <c r="C3492" s="2" t="s">
        <v>26</v>
      </c>
      <c r="D3492" s="2" t="s">
        <v>18</v>
      </c>
      <c r="E3492" s="4">
        <v>-32372</v>
      </c>
      <c r="F3492" s="3" t="s">
        <v>1508</v>
      </c>
      <c r="G3492" s="3" t="s">
        <v>47</v>
      </c>
      <c r="H3492" s="2" t="s">
        <v>148</v>
      </c>
      <c r="I3492" s="2" t="s">
        <v>9675</v>
      </c>
      <c r="J3492" s="3" t="str">
        <f>HYPERLINK("https://www.boe.es/gazeta/dias/1811/05/14/pdfs/GMD-1811-134.pdf#page=3","Abrir facsímil")</f>
        <v>Abrir facsímil</v>
      </c>
      <c r="K3492" s="3" t="s">
        <v>150</v>
      </c>
    </row>
    <row r="3493" spans="1:11" ht="42" customHeight="1">
      <c r="A3493" s="2" t="s">
        <v>9676</v>
      </c>
      <c r="B3493" s="2" t="s">
        <v>9676</v>
      </c>
      <c r="C3493" s="2" t="s">
        <v>17</v>
      </c>
      <c r="D3493" s="2" t="s">
        <v>18</v>
      </c>
      <c r="E3493" s="4">
        <v>-32253</v>
      </c>
      <c r="F3493" s="3" t="s">
        <v>9677</v>
      </c>
      <c r="G3493" s="3" t="s">
        <v>1817</v>
      </c>
      <c r="H3493" s="2" t="s">
        <v>148</v>
      </c>
      <c r="I3493" s="2" t="s">
        <v>9678</v>
      </c>
      <c r="J3493" s="3" t="str">
        <f>HYPERLINK("https://www.boe.es/gazeta/dias/1811/09/10/pdfs/GMD-1811-253.pdf#page=2","Abrir facsímil")</f>
        <v>Abrir facsímil</v>
      </c>
      <c r="K3493" s="3" t="s">
        <v>150</v>
      </c>
    </row>
    <row r="3494" spans="1:11" ht="42" customHeight="1">
      <c r="A3494" s="2" t="s">
        <v>9679</v>
      </c>
      <c r="B3494" s="2" t="s">
        <v>9680</v>
      </c>
      <c r="C3494" s="2" t="s">
        <v>17</v>
      </c>
      <c r="D3494" s="2" t="s">
        <v>156</v>
      </c>
      <c r="E3494" s="4">
        <v>-32382</v>
      </c>
      <c r="F3494" s="3" t="s">
        <v>1269</v>
      </c>
      <c r="G3494" s="3" t="s">
        <v>1646</v>
      </c>
      <c r="H3494" s="2" t="s">
        <v>148</v>
      </c>
      <c r="I3494" s="2" t="s">
        <v>9681</v>
      </c>
      <c r="J3494" s="3" t="str">
        <f>HYPERLINK("https://www.boe.es/gazeta/dias/1811/05/04/pdfs/GEI-1811-59.pdf#page=1","Abrir facsímil")</f>
        <v>Abrir facsímil</v>
      </c>
      <c r="K3494" s="3" t="s">
        <v>150</v>
      </c>
    </row>
    <row r="3495" spans="1:11" ht="42" customHeight="1">
      <c r="A3495" s="2" t="s">
        <v>9682</v>
      </c>
      <c r="B3495" s="2" t="s">
        <v>9683</v>
      </c>
      <c r="C3495" s="2" t="s">
        <v>17</v>
      </c>
      <c r="D3495" s="2" t="s">
        <v>18</v>
      </c>
      <c r="E3495" s="4">
        <v>-32162</v>
      </c>
      <c r="F3495" s="3" t="s">
        <v>317</v>
      </c>
      <c r="G3495" s="3" t="s">
        <v>2069</v>
      </c>
      <c r="H3495" s="2" t="s">
        <v>148</v>
      </c>
      <c r="I3495" s="2" t="s">
        <v>9684</v>
      </c>
      <c r="J3495" s="3" t="str">
        <f>HYPERLINK("https://www.boe.es/gazeta/dias/1811/12/10/pdfs/GEI-1811-160.pdf#page=5","Abrir facsímil")</f>
        <v>Abrir facsímil</v>
      </c>
      <c r="K3495" s="3" t="s">
        <v>150</v>
      </c>
    </row>
    <row r="3496" spans="1:11" ht="42" customHeight="1">
      <c r="A3496" s="2" t="s">
        <v>9685</v>
      </c>
      <c r="B3496" s="2" t="s">
        <v>9685</v>
      </c>
      <c r="C3496" s="2" t="s">
        <v>84</v>
      </c>
      <c r="D3496" s="2" t="s">
        <v>18</v>
      </c>
      <c r="E3496" s="4">
        <v>-32345</v>
      </c>
      <c r="F3496" s="3" t="s">
        <v>9686</v>
      </c>
      <c r="G3496" s="3" t="s">
        <v>9687</v>
      </c>
      <c r="H3496" s="2" t="s">
        <v>148</v>
      </c>
      <c r="I3496" s="2" t="s">
        <v>9688</v>
      </c>
      <c r="J3496" s="3" t="str">
        <f>HYPERLINK("https://www.boe.es/gazeta/dias/1811/06/10/pdfs/GMD-1811-161.pdf#page=1","Abrir facsímil")</f>
        <v>Abrir facsímil</v>
      </c>
      <c r="K3496" s="3" t="s">
        <v>150</v>
      </c>
    </row>
    <row r="3497" spans="1:11" ht="42" customHeight="1">
      <c r="A3497" s="2" t="s">
        <v>9689</v>
      </c>
      <c r="B3497" s="2" t="s">
        <v>9690</v>
      </c>
      <c r="C3497" s="2" t="s">
        <v>26</v>
      </c>
      <c r="D3497" s="2" t="s">
        <v>18</v>
      </c>
      <c r="E3497" s="4">
        <v>-32288</v>
      </c>
      <c r="F3497" s="3" t="s">
        <v>95</v>
      </c>
      <c r="G3497" s="3" t="s">
        <v>47</v>
      </c>
      <c r="H3497" s="2" t="s">
        <v>148</v>
      </c>
      <c r="I3497" s="2" t="s">
        <v>9691</v>
      </c>
      <c r="J3497" s="3" t="str">
        <f>HYPERLINK("https://www.boe.es/gazeta/dias/1811/08/06/pdfs/GEI-1811-102.pdf#page=8","Abrir facsímil")</f>
        <v>Abrir facsímil</v>
      </c>
      <c r="K3497" s="3" t="s">
        <v>150</v>
      </c>
    </row>
    <row r="3498" spans="1:11" ht="42" customHeight="1">
      <c r="A3498" s="2" t="s">
        <v>9692</v>
      </c>
      <c r="B3498" s="2" t="s">
        <v>9692</v>
      </c>
      <c r="C3498" s="2" t="s">
        <v>17</v>
      </c>
      <c r="D3498" s="2" t="s">
        <v>18</v>
      </c>
      <c r="E3498" s="4">
        <v>-32315</v>
      </c>
      <c r="F3498" s="3" t="s">
        <v>3189</v>
      </c>
      <c r="G3498" s="3" t="s">
        <v>248</v>
      </c>
      <c r="H3498" s="2" t="s">
        <v>148</v>
      </c>
      <c r="I3498" s="2" t="s">
        <v>9693</v>
      </c>
      <c r="J3498" s="3" t="str">
        <f>HYPERLINK("https://www.boe.es/gazeta/dias/1811/07/10/pdfs/GMD-1811-191.pdf#page=1","Abrir facsímil")</f>
        <v>Abrir facsímil</v>
      </c>
      <c r="K3498" s="3" t="s">
        <v>150</v>
      </c>
    </row>
    <row r="3499" spans="1:11" ht="42" customHeight="1">
      <c r="A3499" s="2" t="s">
        <v>9694</v>
      </c>
      <c r="B3499" s="2" t="s">
        <v>9694</v>
      </c>
      <c r="C3499" s="2" t="s">
        <v>17</v>
      </c>
      <c r="D3499" s="2" t="s">
        <v>156</v>
      </c>
      <c r="E3499" s="4">
        <v>-32495</v>
      </c>
      <c r="F3499" s="3" t="s">
        <v>1681</v>
      </c>
      <c r="G3499" s="3" t="s">
        <v>553</v>
      </c>
      <c r="H3499" s="2" t="s">
        <v>148</v>
      </c>
      <c r="I3499" s="2" t="s">
        <v>9695</v>
      </c>
      <c r="J3499" s="3" t="str">
        <f>HYPERLINK("https://www.boe.es/gazeta/dias/1811/01/11/pdfs/GMD-1811-11.pdf#page=2","Abrir facsímil")</f>
        <v>Abrir facsímil</v>
      </c>
      <c r="K3499" s="3" t="s">
        <v>150</v>
      </c>
    </row>
    <row r="3500" spans="1:11" ht="42" customHeight="1">
      <c r="A3500" s="2" t="s">
        <v>9696</v>
      </c>
      <c r="B3500" s="2" t="s">
        <v>9696</v>
      </c>
      <c r="C3500" s="2" t="s">
        <v>17</v>
      </c>
      <c r="D3500" s="2" t="s">
        <v>18</v>
      </c>
      <c r="E3500" s="4">
        <v>-32250</v>
      </c>
      <c r="F3500" s="3" t="s">
        <v>2823</v>
      </c>
      <c r="G3500" s="3" t="s">
        <v>2824</v>
      </c>
      <c r="H3500" s="2" t="s">
        <v>148</v>
      </c>
      <c r="I3500" s="2" t="s">
        <v>9697</v>
      </c>
      <c r="J3500" s="3" t="str">
        <f>HYPERLINK("https://www.boe.es/gazeta/dias/1811/09/13/pdfs/GMD-1811-256.pdf#page=3","Abrir facsímil")</f>
        <v>Abrir facsímil</v>
      </c>
      <c r="K3500" s="3" t="s">
        <v>150</v>
      </c>
    </row>
    <row r="3501" spans="1:11" ht="42" customHeight="1">
      <c r="A3501" s="2" t="s">
        <v>9698</v>
      </c>
      <c r="B3501" s="2" t="s">
        <v>9699</v>
      </c>
      <c r="C3501" s="2" t="s">
        <v>17</v>
      </c>
      <c r="D3501" s="2" t="s">
        <v>18</v>
      </c>
      <c r="E3501" s="4">
        <v>-32499</v>
      </c>
      <c r="F3501" s="3" t="s">
        <v>1685</v>
      </c>
      <c r="G3501" s="3" t="s">
        <v>178</v>
      </c>
      <c r="H3501" s="2" t="s">
        <v>148</v>
      </c>
      <c r="I3501" s="2" t="s">
        <v>9700</v>
      </c>
      <c r="J3501" s="3" t="str">
        <f>HYPERLINK("https://www.boe.es/gazeta/dias/1811/01/07/pdfs/GMD-1811-7.pdf#page=2","Abrir facsímil")</f>
        <v>Abrir facsímil</v>
      </c>
      <c r="K3501" s="3" t="s">
        <v>150</v>
      </c>
    </row>
    <row r="3502" spans="1:11" ht="42" customHeight="1">
      <c r="A3502" s="2" t="s">
        <v>9701</v>
      </c>
      <c r="B3502" s="2" t="s">
        <v>9702</v>
      </c>
      <c r="C3502" s="2" t="s">
        <v>26</v>
      </c>
      <c r="D3502" s="2" t="s">
        <v>141</v>
      </c>
      <c r="E3502" s="4">
        <v>-32188</v>
      </c>
      <c r="F3502" s="3" t="s">
        <v>505</v>
      </c>
      <c r="G3502" s="3" t="s">
        <v>47</v>
      </c>
      <c r="H3502" s="2" t="s">
        <v>148</v>
      </c>
      <c r="I3502" s="2" t="s">
        <v>9703</v>
      </c>
      <c r="J3502" s="3" t="str">
        <f>HYPERLINK("https://www.boe.es/gazeta/dias/1811/11/14/pdfs/GEI-D-1811-149.pdf#page=3","Abrir facsímil")</f>
        <v>Abrir facsímil</v>
      </c>
      <c r="K3502" s="3" t="s">
        <v>150</v>
      </c>
    </row>
    <row r="3503" spans="1:11" ht="42" customHeight="1">
      <c r="A3503" s="2" t="s">
        <v>9704</v>
      </c>
      <c r="B3503" s="2" t="s">
        <v>9705</v>
      </c>
      <c r="C3503" s="2" t="s">
        <v>26</v>
      </c>
      <c r="D3503" s="2" t="s">
        <v>18</v>
      </c>
      <c r="E3503" s="4">
        <v>-32151</v>
      </c>
      <c r="F3503" s="3" t="s">
        <v>313</v>
      </c>
      <c r="G3503" s="3" t="s">
        <v>44</v>
      </c>
      <c r="H3503" s="2" t="s">
        <v>148</v>
      </c>
      <c r="I3503" s="2" t="s">
        <v>9706</v>
      </c>
      <c r="J3503" s="3" t="str">
        <f>HYPERLINK("https://www.boe.es/gazeta/dias/1811/12/21/pdfs/GEI-1811-165.pdf#page=7","Abrir facsímil")</f>
        <v>Abrir facsímil</v>
      </c>
      <c r="K3503" s="3" t="s">
        <v>150</v>
      </c>
    </row>
    <row r="3504" spans="1:11" ht="42" customHeight="1">
      <c r="A3504" s="2" t="s">
        <v>9707</v>
      </c>
      <c r="B3504" s="2" t="s">
        <v>9708</v>
      </c>
      <c r="C3504" s="2" t="s">
        <v>26</v>
      </c>
      <c r="D3504" s="2" t="s">
        <v>18</v>
      </c>
      <c r="E3504" s="4">
        <v>-32449</v>
      </c>
      <c r="F3504" s="3" t="s">
        <v>381</v>
      </c>
      <c r="G3504" s="3" t="s">
        <v>382</v>
      </c>
      <c r="H3504" s="2" t="s">
        <v>148</v>
      </c>
      <c r="I3504" s="2" t="s">
        <v>9709</v>
      </c>
      <c r="J3504" s="3" t="str">
        <f>HYPERLINK("https://www.boe.es/gazeta/dias/1811/02/26/pdfs/GEI-1811-25.pdf#page=8","Abrir facsímil")</f>
        <v>Abrir facsímil</v>
      </c>
      <c r="K3504" s="3" t="s">
        <v>150</v>
      </c>
    </row>
    <row r="3505" spans="1:11" ht="42" customHeight="1">
      <c r="A3505" s="2" t="s">
        <v>9710</v>
      </c>
      <c r="B3505" s="2" t="s">
        <v>9711</v>
      </c>
      <c r="C3505" s="2" t="s">
        <v>26</v>
      </c>
      <c r="D3505" s="2" t="s">
        <v>141</v>
      </c>
      <c r="E3505" s="4">
        <v>-32238</v>
      </c>
      <c r="F3505" s="3" t="s">
        <v>166</v>
      </c>
      <c r="G3505" s="3" t="s">
        <v>178</v>
      </c>
      <c r="H3505" s="2" t="s">
        <v>148</v>
      </c>
      <c r="I3505" s="2" t="s">
        <v>9712</v>
      </c>
      <c r="J3505" s="3" t="str">
        <f>HYPERLINK("https://www.boe.es/gazeta/dias/1811/09/25/pdfs/GMD-C-1811-268.pdf#page=4","Abrir facsímil")</f>
        <v>Abrir facsímil</v>
      </c>
      <c r="K3505" s="3" t="s">
        <v>150</v>
      </c>
    </row>
    <row r="3506" spans="1:11" ht="42" customHeight="1">
      <c r="A3506" s="2" t="s">
        <v>9713</v>
      </c>
      <c r="B3506" s="2" t="s">
        <v>9714</v>
      </c>
      <c r="C3506" s="2" t="s">
        <v>17</v>
      </c>
      <c r="D3506" s="2" t="s">
        <v>156</v>
      </c>
      <c r="E3506" s="4">
        <v>-32300</v>
      </c>
      <c r="F3506" s="3" t="s">
        <v>61</v>
      </c>
      <c r="G3506" s="3" t="s">
        <v>129</v>
      </c>
      <c r="H3506" s="2" t="s">
        <v>148</v>
      </c>
      <c r="I3506" s="2" t="s">
        <v>9715</v>
      </c>
      <c r="J3506" s="3" t="str">
        <f>HYPERLINK("https://www.boe.es/gazeta/dias/1811/07/25/pdfs/GEI-1811-97.pdf#page=2","Abrir facsímil")</f>
        <v>Abrir facsímil</v>
      </c>
      <c r="K3506" s="3" t="s">
        <v>150</v>
      </c>
    </row>
    <row r="3507" spans="1:11" ht="42" customHeight="1">
      <c r="A3507" s="2" t="s">
        <v>9716</v>
      </c>
      <c r="B3507" s="2" t="s">
        <v>9717</v>
      </c>
      <c r="C3507" s="2" t="s">
        <v>26</v>
      </c>
      <c r="D3507" s="2" t="s">
        <v>18</v>
      </c>
      <c r="E3507" s="4">
        <v>-32503</v>
      </c>
      <c r="F3507" s="3" t="s">
        <v>487</v>
      </c>
      <c r="G3507" s="3" t="s">
        <v>1930</v>
      </c>
      <c r="H3507" s="2" t="s">
        <v>148</v>
      </c>
      <c r="I3507" s="2" t="s">
        <v>9718</v>
      </c>
      <c r="J3507" s="3" t="str">
        <f>HYPERLINK("https://www.boe.es/gazeta/dias/1811/01/03/pdfs/GEI-1811-2.pdf#page=8","Abrir facsímil")</f>
        <v>Abrir facsímil</v>
      </c>
      <c r="K3507" s="3" t="s">
        <v>150</v>
      </c>
    </row>
    <row r="3508" spans="1:11" ht="42" customHeight="1">
      <c r="A3508" s="2" t="s">
        <v>9719</v>
      </c>
      <c r="B3508" s="2" t="s">
        <v>9720</v>
      </c>
      <c r="C3508" s="2" t="s">
        <v>26</v>
      </c>
      <c r="D3508" s="2" t="s">
        <v>18</v>
      </c>
      <c r="E3508" s="4">
        <v>-32379</v>
      </c>
      <c r="F3508" s="3" t="s">
        <v>462</v>
      </c>
      <c r="G3508" s="3" t="s">
        <v>463</v>
      </c>
      <c r="H3508" s="2" t="s">
        <v>148</v>
      </c>
      <c r="I3508" s="2" t="s">
        <v>9721</v>
      </c>
      <c r="J3508" s="3" t="str">
        <f>HYPERLINK("https://www.boe.es/gazeta/dias/1811/05/07/pdfs/GEI-1811-60.pdf#page=8","Abrir facsímil")</f>
        <v>Abrir facsímil</v>
      </c>
      <c r="K3508" s="3" t="s">
        <v>150</v>
      </c>
    </row>
    <row r="3509" spans="1:11" ht="42" customHeight="1">
      <c r="A3509" s="2" t="s">
        <v>9722</v>
      </c>
      <c r="B3509" s="2" t="s">
        <v>9722</v>
      </c>
      <c r="C3509" s="2" t="s">
        <v>37</v>
      </c>
      <c r="D3509" s="2" t="s">
        <v>18</v>
      </c>
      <c r="E3509" s="4">
        <v>-32190</v>
      </c>
      <c r="F3509" s="3" t="s">
        <v>85</v>
      </c>
      <c r="G3509" s="3" t="s">
        <v>4056</v>
      </c>
      <c r="H3509" s="2" t="s">
        <v>148</v>
      </c>
      <c r="I3509" s="2" t="s">
        <v>9723</v>
      </c>
      <c r="J3509" s="3" t="str">
        <f>HYPERLINK("https://www.boe.es/gazeta/dias/1811/11/12/pdfs/GEI-1811-148.pdf#page=4","Abrir facsímil")</f>
        <v>Abrir facsímil</v>
      </c>
      <c r="K3509" s="3" t="s">
        <v>150</v>
      </c>
    </row>
    <row r="3510" spans="1:11" ht="42" customHeight="1">
      <c r="A3510" s="2" t="s">
        <v>9724</v>
      </c>
      <c r="B3510" s="2" t="s">
        <v>9725</v>
      </c>
      <c r="C3510" s="2" t="s">
        <v>26</v>
      </c>
      <c r="D3510" s="2" t="s">
        <v>18</v>
      </c>
      <c r="E3510" s="4">
        <v>-32155</v>
      </c>
      <c r="F3510" s="3" t="s">
        <v>263</v>
      </c>
      <c r="G3510" s="3" t="s">
        <v>264</v>
      </c>
      <c r="H3510" s="2" t="s">
        <v>148</v>
      </c>
      <c r="I3510" s="2" t="s">
        <v>9726</v>
      </c>
      <c r="J3510" s="3" t="str">
        <f>HYPERLINK("https://www.boe.es/gazeta/dias/1811/12/17/pdfs/GEI-1811-163.pdf#page=8","Abrir facsímil")</f>
        <v>Abrir facsímil</v>
      </c>
      <c r="K3510" s="3" t="s">
        <v>150</v>
      </c>
    </row>
    <row r="3511" spans="1:11" ht="42" customHeight="1">
      <c r="A3511" s="2" t="s">
        <v>9727</v>
      </c>
      <c r="B3511" s="2" t="s">
        <v>9727</v>
      </c>
      <c r="C3511" s="2" t="s">
        <v>17</v>
      </c>
      <c r="D3511" s="2" t="s">
        <v>204</v>
      </c>
      <c r="E3511" s="4">
        <v>-32394</v>
      </c>
      <c r="F3511" s="3" t="s">
        <v>1709</v>
      </c>
      <c r="G3511" s="3" t="s">
        <v>1710</v>
      </c>
      <c r="H3511" s="2" t="s">
        <v>148</v>
      </c>
      <c r="I3511" s="2" t="s">
        <v>9728</v>
      </c>
      <c r="J3511" s="3" t="str">
        <f>HYPERLINK("https://www.boe.es/gazeta/dias/1811/04/22/pdfs/GMD-1811-112.pdf#page=1","Abrir facsímil")</f>
        <v>Abrir facsímil</v>
      </c>
      <c r="K3511" s="3" t="s">
        <v>150</v>
      </c>
    </row>
    <row r="3512" spans="1:11" ht="42" customHeight="1">
      <c r="A3512" s="2" t="s">
        <v>9727</v>
      </c>
      <c r="B3512" s="2" t="s">
        <v>9727</v>
      </c>
      <c r="C3512" s="2" t="s">
        <v>17</v>
      </c>
      <c r="D3512" s="2" t="s">
        <v>204</v>
      </c>
      <c r="E3512" s="4">
        <v>-32333</v>
      </c>
      <c r="F3512" s="3" t="s">
        <v>292</v>
      </c>
      <c r="G3512" s="3" t="s">
        <v>4086</v>
      </c>
      <c r="H3512" s="2" t="s">
        <v>148</v>
      </c>
      <c r="I3512" s="2" t="s">
        <v>9729</v>
      </c>
      <c r="J3512" s="3" t="str">
        <f>HYPERLINK("https://www.boe.es/gazeta/dias/1811/06/22/pdfs/GEI-1811-83.pdf#page=1","Abrir facsímil")</f>
        <v>Abrir facsímil</v>
      </c>
      <c r="K3512" s="3" t="s">
        <v>150</v>
      </c>
    </row>
    <row r="3513" spans="1:11" ht="42" customHeight="1">
      <c r="A3513" s="2" t="s">
        <v>9730</v>
      </c>
      <c r="B3513" s="2" t="s">
        <v>9730</v>
      </c>
      <c r="C3513" s="2" t="s">
        <v>17</v>
      </c>
      <c r="D3513" s="2" t="s">
        <v>18</v>
      </c>
      <c r="E3513" s="4">
        <v>-32452</v>
      </c>
      <c r="F3513" s="3" t="s">
        <v>106</v>
      </c>
      <c r="G3513" s="3" t="s">
        <v>47</v>
      </c>
      <c r="H3513" s="2" t="s">
        <v>148</v>
      </c>
      <c r="I3513" s="2" t="s">
        <v>9731</v>
      </c>
      <c r="J3513" s="3" t="str">
        <f>HYPERLINK("https://www.boe.es/gazeta/dias/1811/02/23/pdfs/GEI-1811-24.pdf#page=3","Abrir facsímil")</f>
        <v>Abrir facsímil</v>
      </c>
      <c r="K3513" s="3" t="s">
        <v>150</v>
      </c>
    </row>
    <row r="3514" spans="1:11" ht="42" customHeight="1">
      <c r="A3514" s="2" t="s">
        <v>9730</v>
      </c>
      <c r="B3514" s="2" t="s">
        <v>9730</v>
      </c>
      <c r="C3514" s="2" t="s">
        <v>17</v>
      </c>
      <c r="D3514" s="2" t="s">
        <v>18</v>
      </c>
      <c r="E3514" s="4">
        <v>-32363</v>
      </c>
      <c r="F3514" s="3" t="s">
        <v>1645</v>
      </c>
      <c r="G3514" s="3" t="s">
        <v>20</v>
      </c>
      <c r="H3514" s="2" t="s">
        <v>148</v>
      </c>
      <c r="I3514" s="2" t="s">
        <v>9732</v>
      </c>
      <c r="J3514" s="3" t="str">
        <f>HYPERLINK("https://www.boe.es/gazeta/dias/1811/05/23/pdfs/GEI-1811-68.pdf#page=4","Abrir facsímil")</f>
        <v>Abrir facsímil</v>
      </c>
      <c r="K3514" s="3" t="s">
        <v>150</v>
      </c>
    </row>
    <row r="3515" spans="1:11" ht="42" customHeight="1">
      <c r="A3515" s="2" t="s">
        <v>9733</v>
      </c>
      <c r="B3515" s="2" t="s">
        <v>9733</v>
      </c>
      <c r="C3515" s="2" t="s">
        <v>367</v>
      </c>
      <c r="D3515" s="2" t="s">
        <v>18</v>
      </c>
      <c r="E3515" s="4">
        <v>-32416</v>
      </c>
      <c r="F3515" s="3" t="s">
        <v>954</v>
      </c>
      <c r="G3515" s="3" t="s">
        <v>9734</v>
      </c>
      <c r="H3515" s="2" t="s">
        <v>148</v>
      </c>
      <c r="I3515" s="2" t="s">
        <v>9735</v>
      </c>
      <c r="J3515" s="3" t="str">
        <f>HYPERLINK("https://www.boe.es/gazeta/dias/1811/03/31/pdfs/GMD-1811-90.pdf#page=1","Abrir facsímil")</f>
        <v>Abrir facsímil</v>
      </c>
      <c r="K3515" s="3" t="s">
        <v>150</v>
      </c>
    </row>
    <row r="3516" spans="1:11" ht="42" customHeight="1">
      <c r="A3516" s="2" t="s">
        <v>9736</v>
      </c>
      <c r="B3516" s="2" t="s">
        <v>9736</v>
      </c>
      <c r="C3516" s="2" t="s">
        <v>17</v>
      </c>
      <c r="D3516" s="2" t="s">
        <v>18</v>
      </c>
      <c r="E3516" s="4">
        <v>-32414</v>
      </c>
      <c r="F3516" s="3" t="s">
        <v>213</v>
      </c>
      <c r="G3516" s="3" t="s">
        <v>91</v>
      </c>
      <c r="H3516" s="2" t="s">
        <v>148</v>
      </c>
      <c r="I3516" s="2" t="s">
        <v>9737</v>
      </c>
      <c r="J3516" s="3" t="str">
        <f>HYPERLINK("https://www.boe.es/gazeta/dias/1811/04/02/pdfs/GEI-1811-45.pdf#page=2","Abrir facsímil")</f>
        <v>Abrir facsímil</v>
      </c>
      <c r="K3516" s="3" t="s">
        <v>150</v>
      </c>
    </row>
    <row r="3517" spans="1:11" ht="42" customHeight="1">
      <c r="A3517" s="2" t="s">
        <v>9736</v>
      </c>
      <c r="B3517" s="2" t="s">
        <v>9736</v>
      </c>
      <c r="C3517" s="2" t="s">
        <v>17</v>
      </c>
      <c r="D3517" s="2" t="s">
        <v>18</v>
      </c>
      <c r="E3517" s="4">
        <v>-32235</v>
      </c>
      <c r="F3517" s="3" t="s">
        <v>376</v>
      </c>
      <c r="G3517" s="3" t="s">
        <v>377</v>
      </c>
      <c r="H3517" s="2" t="s">
        <v>148</v>
      </c>
      <c r="I3517" s="2" t="s">
        <v>9738</v>
      </c>
      <c r="J3517" s="3" t="str">
        <f>HYPERLINK("https://www.boe.es/gazeta/dias/1811/09/28/pdfs/GMD-1811-271.pdf#page=1","Abrir facsímil")</f>
        <v>Abrir facsímil</v>
      </c>
      <c r="K3517" s="3" t="s">
        <v>150</v>
      </c>
    </row>
    <row r="3518" spans="1:11" ht="42" customHeight="1">
      <c r="A3518" s="2" t="s">
        <v>9739</v>
      </c>
      <c r="B3518" s="2" t="s">
        <v>9740</v>
      </c>
      <c r="C3518" s="2" t="s">
        <v>26</v>
      </c>
      <c r="D3518" s="2" t="s">
        <v>18</v>
      </c>
      <c r="E3518" s="4">
        <v>-32472</v>
      </c>
      <c r="F3518" s="3" t="s">
        <v>398</v>
      </c>
      <c r="G3518" s="3" t="s">
        <v>115</v>
      </c>
      <c r="H3518" s="2" t="s">
        <v>148</v>
      </c>
      <c r="I3518" s="2" t="s">
        <v>9741</v>
      </c>
      <c r="J3518" s="3" t="str">
        <f>HYPERLINK("https://www.boe.es/gazeta/dias/1811/02/03/pdfs/GMD-1811-34.pdf#page=3","Abrir facsímil")</f>
        <v>Abrir facsímil</v>
      </c>
      <c r="K3518" s="3" t="s">
        <v>150</v>
      </c>
    </row>
    <row r="3519" spans="1:11" ht="42" customHeight="1">
      <c r="A3519" s="2" t="s">
        <v>9742</v>
      </c>
      <c r="B3519" s="2" t="s">
        <v>9743</v>
      </c>
      <c r="C3519" s="2" t="s">
        <v>26</v>
      </c>
      <c r="D3519" s="2" t="s">
        <v>18</v>
      </c>
      <c r="E3519" s="4">
        <v>-32503</v>
      </c>
      <c r="F3519" s="3" t="s">
        <v>487</v>
      </c>
      <c r="G3519" s="3" t="s">
        <v>488</v>
      </c>
      <c r="H3519" s="2" t="s">
        <v>148</v>
      </c>
      <c r="I3519" s="2" t="s">
        <v>9744</v>
      </c>
      <c r="J3519" s="3" t="str">
        <f>HYPERLINK("https://www.boe.es/gazeta/dias/1811/01/03/pdfs/GEI-1811-2.pdf#page=2","Abrir facsímil")</f>
        <v>Abrir facsímil</v>
      </c>
      <c r="K3519" s="3" t="s">
        <v>150</v>
      </c>
    </row>
    <row r="3520" spans="1:11" ht="42" customHeight="1">
      <c r="A3520" s="2" t="s">
        <v>9745</v>
      </c>
      <c r="B3520" s="2" t="s">
        <v>9746</v>
      </c>
      <c r="C3520" s="2" t="s">
        <v>17</v>
      </c>
      <c r="D3520" s="2" t="s">
        <v>18</v>
      </c>
      <c r="E3520" s="4">
        <v>-32230</v>
      </c>
      <c r="F3520" s="3" t="s">
        <v>625</v>
      </c>
      <c r="G3520" s="3" t="s">
        <v>1258</v>
      </c>
      <c r="H3520" s="2" t="s">
        <v>148</v>
      </c>
      <c r="I3520" s="2" t="s">
        <v>9747</v>
      </c>
      <c r="J3520" s="3" t="str">
        <f>HYPERLINK("https://www.boe.es/gazeta/dias/1811/10/03/pdfs/GEI-1811-127.pdf#page=8","Abrir facsímil")</f>
        <v>Abrir facsímil</v>
      </c>
      <c r="K3520" s="3" t="s">
        <v>150</v>
      </c>
    </row>
    <row r="3521" spans="1:11" ht="42" customHeight="1">
      <c r="A3521" s="2" t="s">
        <v>9748</v>
      </c>
      <c r="B3521" s="2" t="s">
        <v>9748</v>
      </c>
      <c r="C3521" s="2" t="s">
        <v>17</v>
      </c>
      <c r="D3521" s="2" t="s">
        <v>18</v>
      </c>
      <c r="E3521" s="4">
        <v>-32459</v>
      </c>
      <c r="F3521" s="3" t="s">
        <v>1034</v>
      </c>
      <c r="G3521" s="3" t="s">
        <v>2668</v>
      </c>
      <c r="H3521" s="2" t="s">
        <v>148</v>
      </c>
      <c r="I3521" s="2" t="s">
        <v>9749</v>
      </c>
      <c r="J3521" s="3" t="str">
        <f>HYPERLINK("https://www.boe.es/gazeta/dias/1811/02/16/pdfs/GEI-1811-21.pdf#page=5","Abrir facsímil")</f>
        <v>Abrir facsímil</v>
      </c>
      <c r="K3521" s="3" t="s">
        <v>150</v>
      </c>
    </row>
    <row r="3522" spans="1:11" ht="42" customHeight="1">
      <c r="A3522" s="2" t="s">
        <v>9750</v>
      </c>
      <c r="B3522" s="2" t="s">
        <v>9751</v>
      </c>
      <c r="C3522" s="2" t="s">
        <v>26</v>
      </c>
      <c r="D3522" s="2" t="s">
        <v>18</v>
      </c>
      <c r="E3522" s="4">
        <v>-32416</v>
      </c>
      <c r="F3522" s="3" t="s">
        <v>954</v>
      </c>
      <c r="G3522" s="3" t="s">
        <v>47</v>
      </c>
      <c r="H3522" s="2" t="s">
        <v>148</v>
      </c>
      <c r="I3522" s="2" t="s">
        <v>9752</v>
      </c>
      <c r="J3522" s="3" t="str">
        <f>HYPERLINK("https://www.boe.es/gazeta/dias/1811/03/31/pdfs/GMD-1811-90.pdf#page=3","Abrir facsímil")</f>
        <v>Abrir facsímil</v>
      </c>
      <c r="K3522" s="3" t="s">
        <v>150</v>
      </c>
    </row>
    <row r="3523" spans="1:11" ht="42" customHeight="1">
      <c r="A3523" s="2" t="s">
        <v>9753</v>
      </c>
      <c r="B3523" s="2" t="s">
        <v>9753</v>
      </c>
      <c r="C3523" s="2" t="s">
        <v>17</v>
      </c>
      <c r="D3523" s="2" t="s">
        <v>156</v>
      </c>
      <c r="E3523" s="4">
        <v>-32169</v>
      </c>
      <c r="F3523" s="3" t="s">
        <v>1702</v>
      </c>
      <c r="G3523" s="3" t="s">
        <v>9754</v>
      </c>
      <c r="H3523" s="2" t="s">
        <v>148</v>
      </c>
      <c r="I3523" s="2" t="s">
        <v>9755</v>
      </c>
      <c r="J3523" s="3" t="str">
        <f>HYPERLINK("https://www.boe.es/gazeta/dias/1811/12/03/pdfs/GEI-1811-157.pdf#page=3","Abrir facsímil")</f>
        <v>Abrir facsímil</v>
      </c>
      <c r="K3523" s="3" t="s">
        <v>150</v>
      </c>
    </row>
    <row r="3524" spans="1:11" ht="42" customHeight="1">
      <c r="A3524" s="2" t="s">
        <v>9756</v>
      </c>
      <c r="B3524" s="2" t="s">
        <v>9757</v>
      </c>
      <c r="C3524" s="2" t="s">
        <v>26</v>
      </c>
      <c r="D3524" s="2" t="s">
        <v>18</v>
      </c>
      <c r="E3524" s="4">
        <v>-32162</v>
      </c>
      <c r="F3524" s="3" t="s">
        <v>317</v>
      </c>
      <c r="G3524" s="3" t="s">
        <v>318</v>
      </c>
      <c r="H3524" s="2" t="s">
        <v>148</v>
      </c>
      <c r="I3524" s="2" t="s">
        <v>9758</v>
      </c>
      <c r="J3524" s="3" t="str">
        <f>HYPERLINK("https://www.boe.es/gazeta/dias/1811/12/10/pdfs/GEI-1811-160.pdf#page=8","Abrir facsímil")</f>
        <v>Abrir facsímil</v>
      </c>
      <c r="K3524" s="3" t="s">
        <v>150</v>
      </c>
    </row>
    <row r="3525" spans="1:11" ht="42" customHeight="1">
      <c r="A3525" s="2" t="s">
        <v>9759</v>
      </c>
      <c r="B3525" s="2" t="s">
        <v>9760</v>
      </c>
      <c r="C3525" s="2" t="s">
        <v>17</v>
      </c>
      <c r="D3525" s="2" t="s">
        <v>18</v>
      </c>
      <c r="E3525" s="4">
        <v>-32188</v>
      </c>
      <c r="F3525" s="3" t="s">
        <v>356</v>
      </c>
      <c r="G3525" s="3" t="s">
        <v>248</v>
      </c>
      <c r="H3525" s="2" t="s">
        <v>148</v>
      </c>
      <c r="I3525" s="2" t="s">
        <v>9761</v>
      </c>
      <c r="J3525" s="3" t="str">
        <f>HYPERLINK("https://www.boe.es/gazeta/dias/1811/11/14/pdfs/GMD-1811-318.pdf#page=5","Abrir facsímil")</f>
        <v>Abrir facsímil</v>
      </c>
      <c r="K3525" s="3" t="s">
        <v>150</v>
      </c>
    </row>
    <row r="3526" spans="1:11" ht="42" customHeight="1">
      <c r="A3526" s="2" t="s">
        <v>9762</v>
      </c>
      <c r="B3526" s="2" t="s">
        <v>9763</v>
      </c>
      <c r="C3526" s="2" t="s">
        <v>17</v>
      </c>
      <c r="D3526" s="2" t="s">
        <v>18</v>
      </c>
      <c r="E3526" s="4">
        <v>-32309</v>
      </c>
      <c r="F3526" s="3" t="s">
        <v>2496</v>
      </c>
      <c r="G3526" s="3" t="s">
        <v>47</v>
      </c>
      <c r="H3526" s="2" t="s">
        <v>148</v>
      </c>
      <c r="I3526" s="2" t="s">
        <v>9764</v>
      </c>
      <c r="J3526" s="3" t="str">
        <f>HYPERLINK("https://www.boe.es/gazeta/dias/1811/07/16/pdfs/GEI-1811-93.pdf#page=8","Abrir facsímil")</f>
        <v>Abrir facsímil</v>
      </c>
      <c r="K3526" s="3" t="s">
        <v>150</v>
      </c>
    </row>
    <row r="3527" spans="1:11" ht="42" customHeight="1">
      <c r="A3527" s="2" t="s">
        <v>9765</v>
      </c>
      <c r="B3527" s="2" t="s">
        <v>9766</v>
      </c>
      <c r="C3527" s="2" t="s">
        <v>26</v>
      </c>
      <c r="D3527" s="2" t="s">
        <v>18</v>
      </c>
      <c r="E3527" s="4">
        <v>-32470</v>
      </c>
      <c r="F3527" s="3" t="s">
        <v>1432</v>
      </c>
      <c r="G3527" s="3" t="s">
        <v>9767</v>
      </c>
      <c r="H3527" s="2" t="s">
        <v>148</v>
      </c>
      <c r="I3527" s="2" t="s">
        <v>9768</v>
      </c>
      <c r="J3527" s="3" t="str">
        <f>HYPERLINK("https://www.boe.es/gazeta/dias/1811/02/05/pdfs/GEI-1811-16.pdf#page=6","Abrir facsímil")</f>
        <v>Abrir facsímil</v>
      </c>
      <c r="K3527" s="3" t="s">
        <v>150</v>
      </c>
    </row>
    <row r="3528" spans="1:11" ht="42" customHeight="1">
      <c r="A3528" s="2" t="s">
        <v>9769</v>
      </c>
      <c r="B3528" s="2" t="s">
        <v>9770</v>
      </c>
      <c r="C3528" s="2" t="s">
        <v>17</v>
      </c>
      <c r="D3528" s="2" t="s">
        <v>18</v>
      </c>
      <c r="E3528" s="4">
        <v>-32365</v>
      </c>
      <c r="F3528" s="3" t="s">
        <v>119</v>
      </c>
      <c r="G3528" s="3" t="s">
        <v>248</v>
      </c>
      <c r="H3528" s="2" t="s">
        <v>148</v>
      </c>
      <c r="I3528" s="2" t="s">
        <v>9771</v>
      </c>
      <c r="J3528" s="3" t="str">
        <f>HYPERLINK("https://www.boe.es/gazeta/dias/1811/05/21/pdfs/GEI-1811-67.pdf#page=1","Abrir facsímil")</f>
        <v>Abrir facsímil</v>
      </c>
      <c r="K3528" s="3" t="s">
        <v>150</v>
      </c>
    </row>
    <row r="3529" spans="1:11" ht="42" customHeight="1">
      <c r="A3529" s="2" t="s">
        <v>9772</v>
      </c>
      <c r="B3529" s="2" t="s">
        <v>9773</v>
      </c>
      <c r="C3529" s="2" t="s">
        <v>367</v>
      </c>
      <c r="D3529" s="2" t="s">
        <v>18</v>
      </c>
      <c r="E3529" s="4">
        <v>-32405</v>
      </c>
      <c r="F3529" s="3" t="s">
        <v>1413</v>
      </c>
      <c r="G3529" s="3" t="s">
        <v>44</v>
      </c>
      <c r="H3529" s="2" t="s">
        <v>148</v>
      </c>
      <c r="I3529" s="2" t="s">
        <v>9774</v>
      </c>
      <c r="J3529" s="3" t="str">
        <f>HYPERLINK("https://www.boe.es/gazeta/dias/1811/04/11/pdfs/GEI-1811-49.pdf#page=8","Abrir facsímil")</f>
        <v>Abrir facsímil</v>
      </c>
      <c r="K3529" s="3" t="s">
        <v>150</v>
      </c>
    </row>
    <row r="3530" spans="1:11" ht="42" customHeight="1">
      <c r="A3530" s="2" t="s">
        <v>9775</v>
      </c>
      <c r="B3530" s="2" t="s">
        <v>9776</v>
      </c>
      <c r="C3530" s="2" t="s">
        <v>26</v>
      </c>
      <c r="D3530" s="2" t="s">
        <v>18</v>
      </c>
      <c r="E3530" s="4">
        <v>-32172</v>
      </c>
      <c r="F3530" s="3" t="s">
        <v>300</v>
      </c>
      <c r="G3530" s="3" t="s">
        <v>301</v>
      </c>
      <c r="H3530" s="2" t="s">
        <v>148</v>
      </c>
      <c r="I3530" s="2" t="s">
        <v>9777</v>
      </c>
      <c r="J3530" s="3" t="str">
        <f>HYPERLINK("https://www.boe.es/gazeta/dias/1811/11/30/pdfs/GMD-1811-334.pdf#page=4","Abrir facsímil")</f>
        <v>Abrir facsímil</v>
      </c>
      <c r="K3530" s="3" t="s">
        <v>150</v>
      </c>
    </row>
    <row r="3531" spans="1:11" ht="42" customHeight="1">
      <c r="A3531" s="2" t="s">
        <v>9778</v>
      </c>
      <c r="B3531" s="2" t="s">
        <v>9779</v>
      </c>
      <c r="C3531" s="2" t="s">
        <v>26</v>
      </c>
      <c r="D3531" s="2" t="s">
        <v>18</v>
      </c>
      <c r="E3531" s="4">
        <v>-32297</v>
      </c>
      <c r="F3531" s="3" t="s">
        <v>2174</v>
      </c>
      <c r="G3531" s="3" t="s">
        <v>183</v>
      </c>
      <c r="H3531" s="2" t="s">
        <v>148</v>
      </c>
      <c r="I3531" s="2" t="s">
        <v>9780</v>
      </c>
      <c r="J3531" s="3" t="str">
        <f>HYPERLINK("https://www.boe.es/gazeta/dias/1811/07/28/pdfs/GMD-1811-209.pdf#page=4","Abrir facsímil")</f>
        <v>Abrir facsímil</v>
      </c>
      <c r="K3531" s="3" t="s">
        <v>150</v>
      </c>
    </row>
    <row r="3532" spans="1:11" ht="42" customHeight="1">
      <c r="A3532" s="2" t="s">
        <v>9781</v>
      </c>
      <c r="B3532" s="2" t="s">
        <v>9781</v>
      </c>
      <c r="C3532" s="2" t="s">
        <v>17</v>
      </c>
      <c r="D3532" s="2" t="s">
        <v>18</v>
      </c>
      <c r="E3532" s="4">
        <v>-32391</v>
      </c>
      <c r="F3532" s="3" t="s">
        <v>2998</v>
      </c>
      <c r="G3532" s="3" t="s">
        <v>178</v>
      </c>
      <c r="H3532" s="2" t="s">
        <v>148</v>
      </c>
      <c r="I3532" s="2" t="s">
        <v>9782</v>
      </c>
      <c r="J3532" s="3" t="str">
        <f>HYPERLINK("https://www.boe.es/gazeta/dias/1811/04/25/pdfs/GMD-1811-115.pdf#page=3","Abrir facsímil")</f>
        <v>Abrir facsímil</v>
      </c>
      <c r="K3532" s="3" t="s">
        <v>150</v>
      </c>
    </row>
    <row r="3533" spans="1:11" ht="42" customHeight="1">
      <c r="A3533" s="2" t="s">
        <v>9783</v>
      </c>
      <c r="B3533" s="2" t="s">
        <v>9784</v>
      </c>
      <c r="C3533" s="2" t="s">
        <v>17</v>
      </c>
      <c r="D3533" s="2" t="s">
        <v>156</v>
      </c>
      <c r="E3533" s="4">
        <v>-32347</v>
      </c>
      <c r="F3533" s="3" t="s">
        <v>1911</v>
      </c>
      <c r="G3533" s="3" t="s">
        <v>9785</v>
      </c>
      <c r="H3533" s="2" t="s">
        <v>148</v>
      </c>
      <c r="I3533" s="2" t="s">
        <v>9786</v>
      </c>
      <c r="J3533" s="3" t="str">
        <f>HYPERLINK("https://www.boe.es/gazeta/dias/1811/06/08/pdfs/GEI-1811-77.pdf#page=1","Abrir facsímil")</f>
        <v>Abrir facsímil</v>
      </c>
      <c r="K3533" s="3" t="s">
        <v>150</v>
      </c>
    </row>
    <row r="3534" spans="1:11" ht="42" customHeight="1">
      <c r="A3534" s="2" t="s">
        <v>9787</v>
      </c>
      <c r="B3534" s="2" t="s">
        <v>9788</v>
      </c>
      <c r="C3534" s="2" t="s">
        <v>104</v>
      </c>
      <c r="D3534" s="2" t="s">
        <v>18</v>
      </c>
      <c r="E3534" s="4">
        <v>-32403</v>
      </c>
      <c r="F3534" s="3" t="s">
        <v>1915</v>
      </c>
      <c r="G3534" s="3" t="s">
        <v>44</v>
      </c>
      <c r="H3534" s="2" t="s">
        <v>148</v>
      </c>
      <c r="I3534" s="2" t="s">
        <v>9789</v>
      </c>
      <c r="J3534" s="3" t="str">
        <f>HYPERLINK("https://www.boe.es/gazeta/dias/1811/04/13/pdfs/GEI-1811-50.pdf#page=3","Abrir facsímil")</f>
        <v>Abrir facsímil</v>
      </c>
      <c r="K3534" s="3" t="s">
        <v>150</v>
      </c>
    </row>
    <row r="3535" spans="1:11" ht="42" customHeight="1">
      <c r="A3535" s="2" t="s">
        <v>9790</v>
      </c>
      <c r="B3535" s="2" t="s">
        <v>9791</v>
      </c>
      <c r="C3535" s="2" t="s">
        <v>17</v>
      </c>
      <c r="D3535" s="2" t="s">
        <v>18</v>
      </c>
      <c r="E3535" s="4">
        <v>-32386</v>
      </c>
      <c r="F3535" s="3" t="s">
        <v>1934</v>
      </c>
      <c r="G3535" s="3" t="s">
        <v>2445</v>
      </c>
      <c r="H3535" s="2" t="s">
        <v>148</v>
      </c>
      <c r="I3535" s="2" t="s">
        <v>9792</v>
      </c>
      <c r="J3535" s="3" t="str">
        <f>HYPERLINK("https://www.boe.es/gazeta/dias/1811/04/30/pdfs/GEI-1811-57.pdf#page=3","Abrir facsímil")</f>
        <v>Abrir facsímil</v>
      </c>
      <c r="K3535" s="3" t="s">
        <v>150</v>
      </c>
    </row>
    <row r="3536" spans="1:11" ht="42" customHeight="1">
      <c r="A3536" s="2" t="s">
        <v>9793</v>
      </c>
      <c r="B3536" s="2" t="s">
        <v>9794</v>
      </c>
      <c r="C3536" s="2" t="s">
        <v>84</v>
      </c>
      <c r="D3536" s="2" t="s">
        <v>18</v>
      </c>
      <c r="E3536" s="4">
        <v>-32487</v>
      </c>
      <c r="F3536" s="3" t="s">
        <v>842</v>
      </c>
      <c r="G3536" s="3" t="s">
        <v>8282</v>
      </c>
      <c r="H3536" s="2" t="s">
        <v>148</v>
      </c>
      <c r="I3536" s="2" t="s">
        <v>9795</v>
      </c>
      <c r="J3536" s="3" t="str">
        <f>HYPERLINK("https://www.boe.es/gazeta/dias/1811/01/19/pdfs/GEI-1811-9.pdf#page=1","Abrir facsímil")</f>
        <v>Abrir facsímil</v>
      </c>
      <c r="K3536" s="3" t="s">
        <v>150</v>
      </c>
    </row>
    <row r="3537" spans="1:11" ht="42" customHeight="1">
      <c r="A3537" s="2" t="s">
        <v>9793</v>
      </c>
      <c r="B3537" s="2" t="s">
        <v>9794</v>
      </c>
      <c r="C3537" s="2" t="s">
        <v>17</v>
      </c>
      <c r="D3537" s="2" t="s">
        <v>18</v>
      </c>
      <c r="E3537" s="4">
        <v>-32396</v>
      </c>
      <c r="F3537" s="3" t="s">
        <v>2393</v>
      </c>
      <c r="G3537" s="3" t="s">
        <v>9018</v>
      </c>
      <c r="H3537" s="2" t="s">
        <v>148</v>
      </c>
      <c r="I3537" s="2" t="s">
        <v>9796</v>
      </c>
      <c r="J3537" s="3" t="str">
        <f>HYPERLINK("https://www.boe.es/gazeta/dias/1811/04/20/pdfs/GEI-1811-53.pdf#page=3","Abrir facsímil")</f>
        <v>Abrir facsímil</v>
      </c>
      <c r="K3537" s="3" t="s">
        <v>150</v>
      </c>
    </row>
    <row r="3538" spans="1:11" ht="42" customHeight="1">
      <c r="A3538" s="2" t="s">
        <v>9793</v>
      </c>
      <c r="B3538" s="2" t="s">
        <v>9794</v>
      </c>
      <c r="C3538" s="2" t="s">
        <v>17</v>
      </c>
      <c r="D3538" s="2" t="s">
        <v>204</v>
      </c>
      <c r="E3538" s="4">
        <v>-32335</v>
      </c>
      <c r="F3538" s="3" t="s">
        <v>3776</v>
      </c>
      <c r="G3538" s="3" t="s">
        <v>9797</v>
      </c>
      <c r="H3538" s="2" t="s">
        <v>148</v>
      </c>
      <c r="I3538" s="2" t="s">
        <v>9798</v>
      </c>
      <c r="J3538" s="3" t="str">
        <f>HYPERLINK("https://www.boe.es/gazeta/dias/1811/06/20/pdfs/GEI-1811-82.pdf#page=1","Abrir facsímil")</f>
        <v>Abrir facsímil</v>
      </c>
      <c r="K3538" s="3" t="s">
        <v>150</v>
      </c>
    </row>
    <row r="3539" spans="1:11" ht="42" customHeight="1">
      <c r="A3539" s="2" t="s">
        <v>9793</v>
      </c>
      <c r="B3539" s="2" t="s">
        <v>9794</v>
      </c>
      <c r="C3539" s="2" t="s">
        <v>17</v>
      </c>
      <c r="D3539" s="2" t="s">
        <v>156</v>
      </c>
      <c r="E3539" s="4">
        <v>-32314</v>
      </c>
      <c r="F3539" s="3" t="s">
        <v>570</v>
      </c>
      <c r="G3539" s="3" t="s">
        <v>2746</v>
      </c>
      <c r="H3539" s="2" t="s">
        <v>148</v>
      </c>
      <c r="I3539" s="2" t="s">
        <v>9799</v>
      </c>
      <c r="J3539" s="3" t="str">
        <f>HYPERLINK("https://www.boe.es/gazeta/dias/1811/07/11/pdfs/GEI-1811-91.pdf#page=1","Abrir facsímil")</f>
        <v>Abrir facsímil</v>
      </c>
      <c r="K3539" s="3" t="s">
        <v>150</v>
      </c>
    </row>
    <row r="3540" spans="1:11" ht="42" customHeight="1">
      <c r="A3540" s="2" t="s">
        <v>9800</v>
      </c>
      <c r="B3540" s="2" t="s">
        <v>9801</v>
      </c>
      <c r="C3540" s="2" t="s">
        <v>37</v>
      </c>
      <c r="D3540" s="2" t="s">
        <v>156</v>
      </c>
      <c r="E3540" s="4">
        <v>-32484</v>
      </c>
      <c r="F3540" s="3" t="s">
        <v>467</v>
      </c>
      <c r="G3540" s="3" t="s">
        <v>1384</v>
      </c>
      <c r="H3540" s="2" t="s">
        <v>148</v>
      </c>
      <c r="I3540" s="2" t="s">
        <v>9802</v>
      </c>
      <c r="J3540" s="3" t="str">
        <f>HYPERLINK("https://www.boe.es/gazeta/dias/1811/01/22/pdfs/GEI-1811-10.pdf#page=1","Abrir facsímil")</f>
        <v>Abrir facsímil</v>
      </c>
      <c r="K3540" s="3" t="s">
        <v>150</v>
      </c>
    </row>
    <row r="3541" spans="1:11" ht="42" customHeight="1">
      <c r="A3541" s="2" t="s">
        <v>9803</v>
      </c>
      <c r="B3541" s="2" t="s">
        <v>9804</v>
      </c>
      <c r="C3541" s="2" t="s">
        <v>26</v>
      </c>
      <c r="D3541" s="2" t="s">
        <v>18</v>
      </c>
      <c r="E3541" s="4">
        <v>-32155</v>
      </c>
      <c r="F3541" s="3" t="s">
        <v>263</v>
      </c>
      <c r="G3541" s="3" t="s">
        <v>1800</v>
      </c>
      <c r="H3541" s="2" t="s">
        <v>148</v>
      </c>
      <c r="I3541" s="2" t="s">
        <v>9805</v>
      </c>
      <c r="J3541" s="3" t="str">
        <f>HYPERLINK("https://www.boe.es/gazeta/dias/1811/12/17/pdfs/GEI-1811-163.pdf#page=7","Abrir facsímil")</f>
        <v>Abrir facsímil</v>
      </c>
      <c r="K3541" s="3" t="s">
        <v>150</v>
      </c>
    </row>
    <row r="3542" spans="1:11" ht="42" customHeight="1">
      <c r="A3542" s="2" t="s">
        <v>9806</v>
      </c>
      <c r="B3542" s="2" t="s">
        <v>9807</v>
      </c>
      <c r="C3542" s="2" t="s">
        <v>17</v>
      </c>
      <c r="D3542" s="2" t="s">
        <v>18</v>
      </c>
      <c r="E3542" s="4">
        <v>-32300</v>
      </c>
      <c r="F3542" s="3" t="s">
        <v>61</v>
      </c>
      <c r="G3542" s="3" t="s">
        <v>9808</v>
      </c>
      <c r="H3542" s="2" t="s">
        <v>148</v>
      </c>
      <c r="I3542" s="2" t="s">
        <v>9809</v>
      </c>
      <c r="J3542" s="3" t="str">
        <f>HYPERLINK("https://www.boe.es/gazeta/dias/1811/07/25/pdfs/GEI-1811-97.pdf#page=6","Abrir facsímil")</f>
        <v>Abrir facsímil</v>
      </c>
      <c r="K3542" s="3" t="s">
        <v>150</v>
      </c>
    </row>
    <row r="3543" spans="1:11" ht="42" customHeight="1">
      <c r="A3543" s="2" t="s">
        <v>9810</v>
      </c>
      <c r="B3543" s="2" t="s">
        <v>9811</v>
      </c>
      <c r="C3543" s="2" t="s">
        <v>17</v>
      </c>
      <c r="D3543" s="2" t="s">
        <v>156</v>
      </c>
      <c r="E3543" s="4">
        <v>-32147</v>
      </c>
      <c r="F3543" s="3" t="s">
        <v>1922</v>
      </c>
      <c r="G3543" s="3" t="s">
        <v>1923</v>
      </c>
      <c r="H3543" s="2" t="s">
        <v>148</v>
      </c>
      <c r="I3543" s="2" t="s">
        <v>9812</v>
      </c>
      <c r="J3543" s="3" t="str">
        <f>HYPERLINK("https://www.boe.es/gazeta/dias/1811/12/25/pdfs/GMD-1811-359.pdf#page=4","Abrir facsímil")</f>
        <v>Abrir facsímil</v>
      </c>
      <c r="K3543" s="3" t="s">
        <v>150</v>
      </c>
    </row>
    <row r="3544" spans="1:11" ht="42" customHeight="1">
      <c r="A3544" s="2" t="s">
        <v>9813</v>
      </c>
      <c r="B3544" s="2" t="s">
        <v>9813</v>
      </c>
      <c r="C3544" s="2" t="s">
        <v>17</v>
      </c>
      <c r="D3544" s="2" t="s">
        <v>156</v>
      </c>
      <c r="E3544" s="4">
        <v>-32277</v>
      </c>
      <c r="F3544" s="3" t="s">
        <v>230</v>
      </c>
      <c r="G3544" s="3" t="s">
        <v>231</v>
      </c>
      <c r="H3544" s="2" t="s">
        <v>148</v>
      </c>
      <c r="I3544" s="2" t="s">
        <v>9814</v>
      </c>
      <c r="J3544" s="3" t="str">
        <f>HYPERLINK("https://www.boe.es/gazeta/dias/1811/08/17/pdfs/GMD-1811-229.pdf#page=4","Abrir facsímil")</f>
        <v>Abrir facsímil</v>
      </c>
      <c r="K3544" s="3" t="s">
        <v>150</v>
      </c>
    </row>
    <row r="3545" spans="1:11" ht="42" customHeight="1">
      <c r="A3545" s="2" t="s">
        <v>9815</v>
      </c>
      <c r="B3545" s="2" t="s">
        <v>9815</v>
      </c>
      <c r="C3545" s="2" t="s">
        <v>17</v>
      </c>
      <c r="D3545" s="2" t="s">
        <v>105</v>
      </c>
      <c r="E3545" s="4">
        <v>-32323</v>
      </c>
      <c r="F3545" s="3" t="s">
        <v>2289</v>
      </c>
      <c r="G3545" s="3" t="s">
        <v>331</v>
      </c>
      <c r="H3545" s="2" t="s">
        <v>148</v>
      </c>
      <c r="I3545" s="2" t="s">
        <v>9816</v>
      </c>
      <c r="J3545" s="3" t="str">
        <f>HYPERLINK("https://www.boe.es/gazeta/dias/1811/07/02/pdfs/GMD-1811-183.pdf#page=4","Abrir facsímil")</f>
        <v>Abrir facsímil</v>
      </c>
      <c r="K3545" s="3" t="s">
        <v>150</v>
      </c>
    </row>
    <row r="3546" spans="1:11" ht="42" customHeight="1">
      <c r="A3546" s="2" t="s">
        <v>9817</v>
      </c>
      <c r="B3546" s="2" t="s">
        <v>9817</v>
      </c>
      <c r="C3546" s="2" t="s">
        <v>17</v>
      </c>
      <c r="D3546" s="2" t="s">
        <v>156</v>
      </c>
      <c r="E3546" s="4">
        <v>-32438</v>
      </c>
      <c r="F3546" s="3" t="s">
        <v>4284</v>
      </c>
      <c r="G3546" s="3" t="s">
        <v>2379</v>
      </c>
      <c r="H3546" s="2" t="s">
        <v>148</v>
      </c>
      <c r="I3546" s="2" t="s">
        <v>9818</v>
      </c>
      <c r="J3546" s="3" t="str">
        <f>HYPERLINK("https://www.boe.es/gazeta/dias/1811/03/09/pdfs/GMD-1811-68.pdf#page=2","Abrir facsímil")</f>
        <v>Abrir facsímil</v>
      </c>
      <c r="K3546" s="3" t="s">
        <v>150</v>
      </c>
    </row>
    <row r="3547" spans="1:11" ht="42" customHeight="1">
      <c r="A3547" s="2" t="s">
        <v>9819</v>
      </c>
      <c r="B3547" s="2" t="s">
        <v>9820</v>
      </c>
      <c r="C3547" s="2" t="s">
        <v>26</v>
      </c>
      <c r="D3547" s="2" t="s">
        <v>204</v>
      </c>
      <c r="E3547" s="4">
        <v>-32433</v>
      </c>
      <c r="F3547" s="3" t="s">
        <v>209</v>
      </c>
      <c r="G3547" s="3" t="s">
        <v>115</v>
      </c>
      <c r="H3547" s="2" t="s">
        <v>148</v>
      </c>
      <c r="I3547" s="2" t="s">
        <v>9821</v>
      </c>
      <c r="J3547" s="3" t="str">
        <f>HYPERLINK("https://www.boe.es/gazeta/dias/1811/03/14/pdfs/GMD-1811-73.pdf#page=3","Abrir facsímil")</f>
        <v>Abrir facsímil</v>
      </c>
      <c r="K3547" s="3" t="s">
        <v>150</v>
      </c>
    </row>
    <row r="3548" spans="1:11" ht="42" customHeight="1">
      <c r="A3548" s="2" t="s">
        <v>9822</v>
      </c>
      <c r="B3548" s="2" t="s">
        <v>9822</v>
      </c>
      <c r="C3548" s="2" t="s">
        <v>17</v>
      </c>
      <c r="D3548" s="2" t="s">
        <v>18</v>
      </c>
      <c r="E3548" s="4">
        <v>-32499</v>
      </c>
      <c r="F3548" s="3" t="s">
        <v>1685</v>
      </c>
      <c r="G3548" s="3" t="s">
        <v>178</v>
      </c>
      <c r="H3548" s="2" t="s">
        <v>148</v>
      </c>
      <c r="I3548" s="2" t="s">
        <v>9823</v>
      </c>
      <c r="J3548" s="3" t="str">
        <f>HYPERLINK("https://www.boe.es/gazeta/dias/1811/01/07/pdfs/GMD-1811-7.pdf#page=2","Abrir facsímil")</f>
        <v>Abrir facsímil</v>
      </c>
      <c r="K3548" s="3" t="s">
        <v>150</v>
      </c>
    </row>
    <row r="3549" spans="1:11" ht="42" customHeight="1">
      <c r="A3549" s="2" t="s">
        <v>9824</v>
      </c>
      <c r="B3549" s="2" t="s">
        <v>9824</v>
      </c>
      <c r="C3549" s="2" t="s">
        <v>17</v>
      </c>
      <c r="D3549" s="2" t="s">
        <v>18</v>
      </c>
      <c r="E3549" s="4">
        <v>-32459</v>
      </c>
      <c r="F3549" s="3" t="s">
        <v>1034</v>
      </c>
      <c r="G3549" s="3" t="s">
        <v>9825</v>
      </c>
      <c r="H3549" s="2" t="s">
        <v>148</v>
      </c>
      <c r="I3549" s="2" t="s">
        <v>9826</v>
      </c>
      <c r="J3549" s="3" t="str">
        <f>HYPERLINK("https://www.boe.es/gazeta/dias/1811/02/16/pdfs/GEI-1811-21.pdf#page=3","Abrir facsímil")</f>
        <v>Abrir facsímil</v>
      </c>
      <c r="K3549" s="3" t="s">
        <v>150</v>
      </c>
    </row>
    <row r="3550" spans="1:11" ht="42" customHeight="1">
      <c r="A3550" s="2" t="s">
        <v>9827</v>
      </c>
      <c r="B3550" s="2" t="s">
        <v>9827</v>
      </c>
      <c r="C3550" s="2" t="s">
        <v>17</v>
      </c>
      <c r="D3550" s="2" t="s">
        <v>18</v>
      </c>
      <c r="E3550" s="4">
        <v>-32410</v>
      </c>
      <c r="F3550" s="3" t="s">
        <v>2678</v>
      </c>
      <c r="G3550" s="3" t="s">
        <v>4024</v>
      </c>
      <c r="H3550" s="2" t="s">
        <v>148</v>
      </c>
      <c r="I3550" s="2" t="s">
        <v>9828</v>
      </c>
      <c r="J3550" s="3" t="str">
        <f>HYPERLINK("https://www.boe.es/gazeta/dias/1811/04/06/pdfs/GEI-1811-47.pdf#page=7","Abrir facsímil")</f>
        <v>Abrir facsímil</v>
      </c>
      <c r="K3550" s="3" t="s">
        <v>150</v>
      </c>
    </row>
    <row r="3551" spans="1:11" ht="42" customHeight="1">
      <c r="A3551" s="2" t="s">
        <v>9824</v>
      </c>
      <c r="B3551" s="2" t="s">
        <v>9824</v>
      </c>
      <c r="C3551" s="2" t="s">
        <v>17</v>
      </c>
      <c r="D3551" s="2" t="s">
        <v>156</v>
      </c>
      <c r="E3551" s="4">
        <v>-32309</v>
      </c>
      <c r="F3551" s="3" t="s">
        <v>2496</v>
      </c>
      <c r="G3551" s="3" t="s">
        <v>3419</v>
      </c>
      <c r="H3551" s="2" t="s">
        <v>148</v>
      </c>
      <c r="I3551" s="2" t="s">
        <v>9829</v>
      </c>
      <c r="J3551" s="3" t="str">
        <f>HYPERLINK("https://www.boe.es/gazeta/dias/1811/07/16/pdfs/GEI-1811-93.pdf#page=4","Abrir facsímil")</f>
        <v>Abrir facsímil</v>
      </c>
      <c r="K3551" s="3" t="s">
        <v>150</v>
      </c>
    </row>
    <row r="3552" spans="1:11" ht="42" customHeight="1">
      <c r="A3552" s="2" t="s">
        <v>9830</v>
      </c>
      <c r="B3552" s="2" t="s">
        <v>9830</v>
      </c>
      <c r="C3552" s="2" t="s">
        <v>17</v>
      </c>
      <c r="D3552" s="2" t="s">
        <v>18</v>
      </c>
      <c r="E3552" s="4">
        <v>-32212</v>
      </c>
      <c r="F3552" s="3" t="s">
        <v>9831</v>
      </c>
      <c r="G3552" s="3" t="s">
        <v>44</v>
      </c>
      <c r="H3552" s="2" t="s">
        <v>148</v>
      </c>
      <c r="I3552" s="2" t="s">
        <v>9832</v>
      </c>
      <c r="J3552" s="3" t="str">
        <f>HYPERLINK("https://www.boe.es/gazeta/dias/1811/10/21/pdfs/GMD-1811-294.pdf#page=2","Abrir facsímil")</f>
        <v>Abrir facsímil</v>
      </c>
      <c r="K3552" s="3" t="s">
        <v>150</v>
      </c>
    </row>
    <row r="3553" spans="1:11" ht="42" customHeight="1">
      <c r="A3553" s="2" t="s">
        <v>9833</v>
      </c>
      <c r="B3553" s="2" t="s">
        <v>9834</v>
      </c>
      <c r="C3553" s="2" t="s">
        <v>17</v>
      </c>
      <c r="D3553" s="2" t="s">
        <v>141</v>
      </c>
      <c r="E3553" s="4">
        <v>-32389</v>
      </c>
      <c r="F3553" s="3" t="s">
        <v>524</v>
      </c>
      <c r="G3553" s="3" t="s">
        <v>525</v>
      </c>
      <c r="H3553" s="2" t="s">
        <v>148</v>
      </c>
      <c r="I3553" s="2" t="s">
        <v>9835</v>
      </c>
      <c r="J3553" s="3" t="str">
        <f>HYPERLINK("https://www.boe.es/gazeta/dias/1811/04/27/pdfs/GEI-D-1811-56.pdf#page=4","Abrir facsímil")</f>
        <v>Abrir facsímil</v>
      </c>
      <c r="K3553" s="3" t="s">
        <v>150</v>
      </c>
    </row>
    <row r="3554" spans="1:11" ht="42" customHeight="1">
      <c r="A3554" s="2" t="s">
        <v>9836</v>
      </c>
      <c r="B3554" s="2" t="s">
        <v>9836</v>
      </c>
      <c r="C3554" s="2" t="s">
        <v>17</v>
      </c>
      <c r="D3554" s="2" t="s">
        <v>204</v>
      </c>
      <c r="E3554" s="4">
        <v>-32489</v>
      </c>
      <c r="F3554" s="3" t="s">
        <v>2073</v>
      </c>
      <c r="G3554" s="3" t="s">
        <v>2408</v>
      </c>
      <c r="H3554" s="2" t="s">
        <v>148</v>
      </c>
      <c r="I3554" s="2" t="s">
        <v>9837</v>
      </c>
      <c r="J3554" s="3" t="str">
        <f>HYPERLINK("https://www.boe.es/gazeta/dias/1811/01/17/pdfs/GEI-1811-8.pdf#page=2","Abrir facsímil")</f>
        <v>Abrir facsímil</v>
      </c>
      <c r="K3554" s="3" t="s">
        <v>150</v>
      </c>
    </row>
    <row r="3555" spans="1:11" ht="42" customHeight="1">
      <c r="A3555" s="2" t="s">
        <v>9836</v>
      </c>
      <c r="B3555" s="2" t="s">
        <v>9836</v>
      </c>
      <c r="C3555" s="2" t="s">
        <v>17</v>
      </c>
      <c r="D3555" s="2" t="s">
        <v>18</v>
      </c>
      <c r="E3555" s="4">
        <v>-32260</v>
      </c>
      <c r="F3555" s="3" t="s">
        <v>27</v>
      </c>
      <c r="G3555" s="3" t="s">
        <v>248</v>
      </c>
      <c r="H3555" s="2" t="s">
        <v>148</v>
      </c>
      <c r="I3555" s="2" t="s">
        <v>9838</v>
      </c>
      <c r="J3555" s="3" t="str">
        <f>HYPERLINK("https://www.boe.es/gazeta/dias/1811/09/03/pdfs/GEI-1811-114.pdf#page=6","Abrir facsímil")</f>
        <v>Abrir facsímil</v>
      </c>
      <c r="K3555" s="3" t="s">
        <v>150</v>
      </c>
    </row>
    <row r="3556" spans="1:11" ht="42" customHeight="1">
      <c r="A3556" s="2" t="s">
        <v>9836</v>
      </c>
      <c r="B3556" s="2" t="s">
        <v>9836</v>
      </c>
      <c r="C3556" s="2" t="s">
        <v>17</v>
      </c>
      <c r="D3556" s="2" t="s">
        <v>18</v>
      </c>
      <c r="E3556" s="4">
        <v>-32251</v>
      </c>
      <c r="F3556" s="3" t="s">
        <v>726</v>
      </c>
      <c r="G3556" s="3" t="s">
        <v>20</v>
      </c>
      <c r="H3556" s="2" t="s">
        <v>148</v>
      </c>
      <c r="I3556" s="2" t="s">
        <v>9839</v>
      </c>
      <c r="J3556" s="3" t="str">
        <f>HYPERLINK("https://www.boe.es/gazeta/dias/1811/09/12/pdfs/GEI-1811-118.pdf#page=4","Abrir facsímil")</f>
        <v>Abrir facsímil</v>
      </c>
      <c r="K3556" s="3" t="s">
        <v>150</v>
      </c>
    </row>
    <row r="3557" spans="1:11" ht="42" customHeight="1">
      <c r="A3557" s="2" t="s">
        <v>9836</v>
      </c>
      <c r="B3557" s="2" t="s">
        <v>9836</v>
      </c>
      <c r="C3557" s="2" t="s">
        <v>17</v>
      </c>
      <c r="D3557" s="2" t="s">
        <v>156</v>
      </c>
      <c r="E3557" s="4">
        <v>-32232</v>
      </c>
      <c r="F3557" s="3" t="s">
        <v>1816</v>
      </c>
      <c r="G3557" s="3" t="s">
        <v>115</v>
      </c>
      <c r="H3557" s="2" t="s">
        <v>148</v>
      </c>
      <c r="I3557" s="2" t="s">
        <v>9840</v>
      </c>
      <c r="J3557" s="3" t="str">
        <f>HYPERLINK("https://www.boe.es/gazeta/dias/1811/10/01/pdfs/GEI-1811-126.pdf#page=3","Abrir facsímil")</f>
        <v>Abrir facsímil</v>
      </c>
      <c r="K3557" s="3" t="s">
        <v>150</v>
      </c>
    </row>
    <row r="3558" spans="1:11" ht="42" customHeight="1">
      <c r="A3558" s="2" t="s">
        <v>9841</v>
      </c>
      <c r="B3558" s="2" t="s">
        <v>9842</v>
      </c>
      <c r="C3558" s="2" t="s">
        <v>26</v>
      </c>
      <c r="D3558" s="2" t="s">
        <v>18</v>
      </c>
      <c r="E3558" s="4">
        <v>-32200</v>
      </c>
      <c r="F3558" s="3" t="s">
        <v>109</v>
      </c>
      <c r="G3558" s="3" t="s">
        <v>110</v>
      </c>
      <c r="H3558" s="2" t="s">
        <v>148</v>
      </c>
      <c r="I3558" s="2" t="s">
        <v>9843</v>
      </c>
      <c r="J3558" s="3" t="str">
        <f>HYPERLINK("https://www.boe.es/gazeta/dias/1811/11/02/pdfs/GEI-1811-141.pdf#page=6","Abrir facsímil")</f>
        <v>Abrir facsímil</v>
      </c>
      <c r="K3558" s="3" t="s">
        <v>150</v>
      </c>
    </row>
    <row r="3559" spans="1:11" ht="42" customHeight="1">
      <c r="A3559" s="2" t="s">
        <v>9844</v>
      </c>
      <c r="B3559" s="2" t="s">
        <v>9845</v>
      </c>
      <c r="C3559" s="2" t="s">
        <v>26</v>
      </c>
      <c r="D3559" s="2" t="s">
        <v>18</v>
      </c>
      <c r="E3559" s="4">
        <v>-32208</v>
      </c>
      <c r="F3559" s="3" t="s">
        <v>8346</v>
      </c>
      <c r="G3559" s="3" t="s">
        <v>44</v>
      </c>
      <c r="H3559" s="2" t="s">
        <v>148</v>
      </c>
      <c r="I3559" s="2" t="s">
        <v>9846</v>
      </c>
      <c r="J3559" s="3" t="str">
        <f>HYPERLINK("https://www.boe.es/gazeta/dias/1811/10/25/pdfs/GMD-1811-298.pdf#page=4","Abrir facsímil")</f>
        <v>Abrir facsímil</v>
      </c>
      <c r="K3559" s="3" t="s">
        <v>150</v>
      </c>
    </row>
    <row r="3560" spans="1:11" ht="42" customHeight="1">
      <c r="A3560" s="2" t="s">
        <v>9847</v>
      </c>
      <c r="B3560" s="2" t="s">
        <v>9848</v>
      </c>
      <c r="C3560" s="2" t="s">
        <v>26</v>
      </c>
      <c r="D3560" s="2" t="s">
        <v>18</v>
      </c>
      <c r="E3560" s="4">
        <v>-32235</v>
      </c>
      <c r="F3560" s="3" t="s">
        <v>190</v>
      </c>
      <c r="G3560" s="3" t="s">
        <v>188</v>
      </c>
      <c r="H3560" s="2" t="s">
        <v>148</v>
      </c>
      <c r="I3560" s="2" t="s">
        <v>9849</v>
      </c>
      <c r="J3560" s="3" t="str">
        <f>HYPERLINK("https://www.boe.es/gazeta/dias/1811/09/28/pdfs/GEI-1811-125.pdf#page=8","Abrir facsímil")</f>
        <v>Abrir facsímil</v>
      </c>
      <c r="K3560" s="3" t="s">
        <v>150</v>
      </c>
    </row>
    <row r="3561" spans="1:11" ht="42" customHeight="1">
      <c r="A3561" s="2" t="s">
        <v>9850</v>
      </c>
      <c r="B3561" s="2" t="s">
        <v>9850</v>
      </c>
      <c r="C3561" s="2" t="s">
        <v>17</v>
      </c>
      <c r="D3561" s="2" t="s">
        <v>18</v>
      </c>
      <c r="E3561" s="4">
        <v>-32321</v>
      </c>
      <c r="F3561" s="3" t="s">
        <v>1829</v>
      </c>
      <c r="G3561" s="3" t="s">
        <v>1830</v>
      </c>
      <c r="H3561" s="2" t="s">
        <v>148</v>
      </c>
      <c r="I3561" s="2" t="s">
        <v>9851</v>
      </c>
      <c r="J3561" s="3" t="str">
        <f>HYPERLINK("https://www.boe.es/gazeta/dias/1811/07/04/pdfs/GEI-1811-88.pdf#page=3","Abrir facsímil")</f>
        <v>Abrir facsímil</v>
      </c>
      <c r="K3561" s="3" t="s">
        <v>150</v>
      </c>
    </row>
    <row r="3562" spans="1:11" ht="42" customHeight="1">
      <c r="A3562" s="2" t="s">
        <v>9852</v>
      </c>
      <c r="B3562" s="2" t="s">
        <v>9852</v>
      </c>
      <c r="C3562" s="2" t="s">
        <v>26</v>
      </c>
      <c r="D3562" s="2" t="s">
        <v>18</v>
      </c>
      <c r="E3562" s="4">
        <v>-32505</v>
      </c>
      <c r="F3562" s="3" t="s">
        <v>475</v>
      </c>
      <c r="G3562" s="3" t="s">
        <v>755</v>
      </c>
      <c r="H3562" s="2" t="s">
        <v>148</v>
      </c>
      <c r="I3562" s="2" t="s">
        <v>9853</v>
      </c>
      <c r="J3562" s="3" t="str">
        <f>HYPERLINK("https://www.boe.es/gazeta/dias/1811/01/01/pdfs/GEI-1811-1.pdf#page=8","Abrir facsímil")</f>
        <v>Abrir facsímil</v>
      </c>
      <c r="K3562" s="3" t="s">
        <v>150</v>
      </c>
    </row>
    <row r="3563" spans="1:11" ht="42" customHeight="1">
      <c r="A3563" s="2" t="s">
        <v>9852</v>
      </c>
      <c r="B3563" s="2" t="s">
        <v>9852</v>
      </c>
      <c r="C3563" s="2" t="s">
        <v>26</v>
      </c>
      <c r="D3563" s="2" t="s">
        <v>18</v>
      </c>
      <c r="E3563" s="4">
        <v>-32489</v>
      </c>
      <c r="F3563" s="3" t="s">
        <v>2073</v>
      </c>
      <c r="G3563" s="3" t="s">
        <v>44</v>
      </c>
      <c r="H3563" s="2" t="s">
        <v>148</v>
      </c>
      <c r="I3563" s="2" t="s">
        <v>9854</v>
      </c>
      <c r="J3563" s="3" t="str">
        <f>HYPERLINK("https://www.boe.es/gazeta/dias/1811/01/17/pdfs/GEI-1811-8.pdf#page=8","Abrir facsímil")</f>
        <v>Abrir facsímil</v>
      </c>
      <c r="K3563" s="3" t="s">
        <v>150</v>
      </c>
    </row>
    <row r="3564" spans="1:11" ht="42" customHeight="1">
      <c r="A3564" s="2" t="s">
        <v>9852</v>
      </c>
      <c r="B3564" s="2" t="s">
        <v>9852</v>
      </c>
      <c r="C3564" s="2" t="s">
        <v>17</v>
      </c>
      <c r="D3564" s="2" t="s">
        <v>18</v>
      </c>
      <c r="E3564" s="4">
        <v>-32484</v>
      </c>
      <c r="F3564" s="3" t="s">
        <v>467</v>
      </c>
      <c r="G3564" s="3" t="s">
        <v>20</v>
      </c>
      <c r="H3564" s="2" t="s">
        <v>148</v>
      </c>
      <c r="I3564" s="2" t="s">
        <v>9855</v>
      </c>
      <c r="J3564" s="3" t="str">
        <f>HYPERLINK("https://www.boe.es/gazeta/dias/1811/01/22/pdfs/GEI-1811-10.pdf#page=8","Abrir facsímil")</f>
        <v>Abrir facsímil</v>
      </c>
      <c r="K3564" s="3" t="s">
        <v>150</v>
      </c>
    </row>
    <row r="3565" spans="1:11" ht="42" customHeight="1">
      <c r="A3565" s="2" t="s">
        <v>9852</v>
      </c>
      <c r="B3565" s="2" t="s">
        <v>9852</v>
      </c>
      <c r="C3565" s="2" t="s">
        <v>104</v>
      </c>
      <c r="D3565" s="2" t="s">
        <v>18</v>
      </c>
      <c r="E3565" s="4">
        <v>-32459</v>
      </c>
      <c r="F3565" s="3" t="s">
        <v>1034</v>
      </c>
      <c r="G3565" s="3" t="s">
        <v>510</v>
      </c>
      <c r="H3565" s="2" t="s">
        <v>148</v>
      </c>
      <c r="I3565" s="2" t="s">
        <v>9856</v>
      </c>
      <c r="J3565" s="3" t="str">
        <f>HYPERLINK("https://www.boe.es/gazeta/dias/1811/02/16/pdfs/GEI-1811-21.pdf#page=8","Abrir facsímil")</f>
        <v>Abrir facsímil</v>
      </c>
      <c r="K3565" s="3" t="s">
        <v>150</v>
      </c>
    </row>
    <row r="3566" spans="1:11" ht="42" customHeight="1">
      <c r="A3566" s="2" t="s">
        <v>9852</v>
      </c>
      <c r="B3566" s="2" t="s">
        <v>9852</v>
      </c>
      <c r="C3566" s="2" t="s">
        <v>17</v>
      </c>
      <c r="D3566" s="2" t="s">
        <v>18</v>
      </c>
      <c r="E3566" s="4">
        <v>-32428</v>
      </c>
      <c r="F3566" s="3" t="s">
        <v>1974</v>
      </c>
      <c r="G3566" s="3" t="s">
        <v>4738</v>
      </c>
      <c r="H3566" s="2" t="s">
        <v>148</v>
      </c>
      <c r="I3566" s="2" t="s">
        <v>9857</v>
      </c>
      <c r="J3566" s="3" t="str">
        <f>HYPERLINK("https://www.boe.es/gazeta/dias/1811/03/19/pdfs/GEI-1811-39.pdf#page=8","Abrir facsímil")</f>
        <v>Abrir facsímil</v>
      </c>
      <c r="K3566" s="3" t="s">
        <v>150</v>
      </c>
    </row>
    <row r="3567" spans="1:11" ht="42" customHeight="1">
      <c r="A3567" s="2" t="s">
        <v>9852</v>
      </c>
      <c r="B3567" s="2" t="s">
        <v>9852</v>
      </c>
      <c r="C3567" s="2" t="s">
        <v>26</v>
      </c>
      <c r="D3567" s="2" t="s">
        <v>18</v>
      </c>
      <c r="E3567" s="4">
        <v>-32412</v>
      </c>
      <c r="F3567" s="3" t="s">
        <v>998</v>
      </c>
      <c r="G3567" s="3" t="s">
        <v>9858</v>
      </c>
      <c r="H3567" s="2" t="s">
        <v>148</v>
      </c>
      <c r="I3567" s="2" t="s">
        <v>9859</v>
      </c>
      <c r="J3567" s="3" t="str">
        <f>HYPERLINK("https://www.boe.es/gazeta/dias/1811/04/04/pdfs/GEI-1811-46.pdf#page=7","Abrir facsímil")</f>
        <v>Abrir facsímil</v>
      </c>
      <c r="K3567" s="3" t="s">
        <v>150</v>
      </c>
    </row>
    <row r="3568" spans="1:11" ht="42" customHeight="1">
      <c r="A3568" s="2" t="s">
        <v>9852</v>
      </c>
      <c r="B3568" s="2" t="s">
        <v>9852</v>
      </c>
      <c r="C3568" s="2" t="s">
        <v>17</v>
      </c>
      <c r="D3568" s="2" t="s">
        <v>141</v>
      </c>
      <c r="E3568" s="4">
        <v>-32396</v>
      </c>
      <c r="F3568" s="3" t="s">
        <v>804</v>
      </c>
      <c r="G3568" s="3" t="s">
        <v>178</v>
      </c>
      <c r="H3568" s="2" t="s">
        <v>148</v>
      </c>
      <c r="I3568" s="2" t="s">
        <v>9860</v>
      </c>
      <c r="J3568" s="3" t="str">
        <f>HYPERLINK("https://www.boe.es/gazeta/dias/1811/04/20/pdfs/GEI-D-1811-53.pdf#page=3","Abrir facsímil")</f>
        <v>Abrir facsímil</v>
      </c>
      <c r="K3568" s="3" t="s">
        <v>150</v>
      </c>
    </row>
    <row r="3569" spans="1:11" ht="42" customHeight="1">
      <c r="A3569" s="2" t="s">
        <v>9852</v>
      </c>
      <c r="B3569" s="2" t="s">
        <v>9852</v>
      </c>
      <c r="C3569" s="2" t="s">
        <v>26</v>
      </c>
      <c r="D3569" s="2" t="s">
        <v>18</v>
      </c>
      <c r="E3569" s="4">
        <v>-32393</v>
      </c>
      <c r="F3569" s="3" t="s">
        <v>32</v>
      </c>
      <c r="G3569" s="3" t="s">
        <v>33</v>
      </c>
      <c r="H3569" s="2" t="s">
        <v>148</v>
      </c>
      <c r="I3569" s="2" t="s">
        <v>9861</v>
      </c>
      <c r="J3569" s="3" t="str">
        <f>HYPERLINK("https://www.boe.es/gazeta/dias/1811/04/23/pdfs/GEI-1811-54.pdf#page=8","Abrir facsímil")</f>
        <v>Abrir facsímil</v>
      </c>
      <c r="K3569" s="3" t="s">
        <v>150</v>
      </c>
    </row>
    <row r="3570" spans="1:11" ht="42" customHeight="1">
      <c r="A3570" s="2" t="s">
        <v>9852</v>
      </c>
      <c r="B3570" s="2" t="s">
        <v>9852</v>
      </c>
      <c r="C3570" s="2" t="s">
        <v>26</v>
      </c>
      <c r="D3570" s="2" t="s">
        <v>18</v>
      </c>
      <c r="E3570" s="4">
        <v>-32335</v>
      </c>
      <c r="F3570" s="3" t="s">
        <v>3776</v>
      </c>
      <c r="G3570" s="3" t="s">
        <v>91</v>
      </c>
      <c r="H3570" s="2" t="s">
        <v>148</v>
      </c>
      <c r="I3570" s="2" t="s">
        <v>9862</v>
      </c>
      <c r="J3570" s="3" t="str">
        <f>HYPERLINK("https://www.boe.es/gazeta/dias/1811/06/20/pdfs/GEI-1811-82.pdf#page=3","Abrir facsímil")</f>
        <v>Abrir facsímil</v>
      </c>
      <c r="K3570" s="3" t="s">
        <v>150</v>
      </c>
    </row>
    <row r="3571" spans="1:11" ht="42" customHeight="1">
      <c r="A3571" s="2" t="s">
        <v>9852</v>
      </c>
      <c r="B3571" s="2" t="s">
        <v>9852</v>
      </c>
      <c r="C3571" s="2" t="s">
        <v>26</v>
      </c>
      <c r="D3571" s="2" t="s">
        <v>18</v>
      </c>
      <c r="E3571" s="4">
        <v>-32295</v>
      </c>
      <c r="F3571" s="3" t="s">
        <v>279</v>
      </c>
      <c r="G3571" s="3" t="s">
        <v>44</v>
      </c>
      <c r="H3571" s="2" t="s">
        <v>148</v>
      </c>
      <c r="I3571" s="2" t="s">
        <v>9863</v>
      </c>
      <c r="J3571" s="3" t="str">
        <f>HYPERLINK("https://www.boe.es/gazeta/dias/1811/07/30/pdfs/GEI-1811-99.pdf#page=8","Abrir facsímil")</f>
        <v>Abrir facsímil</v>
      </c>
      <c r="K3571" s="3" t="s">
        <v>150</v>
      </c>
    </row>
    <row r="3572" spans="1:11" ht="42" customHeight="1">
      <c r="A3572" s="2" t="s">
        <v>9852</v>
      </c>
      <c r="B3572" s="2" t="s">
        <v>9852</v>
      </c>
      <c r="C3572" s="2" t="s">
        <v>26</v>
      </c>
      <c r="D3572" s="2" t="s">
        <v>18</v>
      </c>
      <c r="E3572" s="4">
        <v>-32256</v>
      </c>
      <c r="F3572" s="3" t="s">
        <v>161</v>
      </c>
      <c r="G3572" s="3" t="s">
        <v>282</v>
      </c>
      <c r="H3572" s="2" t="s">
        <v>148</v>
      </c>
      <c r="I3572" s="2" t="s">
        <v>9864</v>
      </c>
      <c r="J3572" s="3" t="str">
        <f>HYPERLINK("https://www.boe.es/gazeta/dias/1811/09/07/pdfs/GEI-1811-116.pdf#page=4","Abrir facsímil")</f>
        <v>Abrir facsímil</v>
      </c>
      <c r="K3572" s="3" t="s">
        <v>150</v>
      </c>
    </row>
    <row r="3573" spans="1:11" ht="42" customHeight="1">
      <c r="A3573" s="2" t="s">
        <v>9852</v>
      </c>
      <c r="B3573" s="2" t="s">
        <v>9852</v>
      </c>
      <c r="C3573" s="2" t="s">
        <v>17</v>
      </c>
      <c r="D3573" s="2" t="s">
        <v>156</v>
      </c>
      <c r="E3573" s="4">
        <v>-32253</v>
      </c>
      <c r="F3573" s="3" t="s">
        <v>581</v>
      </c>
      <c r="G3573" s="3" t="s">
        <v>4450</v>
      </c>
      <c r="H3573" s="2" t="s">
        <v>148</v>
      </c>
      <c r="I3573" s="2" t="s">
        <v>9865</v>
      </c>
      <c r="J3573" s="3" t="str">
        <f>HYPERLINK("https://www.boe.es/gazeta/dias/1811/09/10/pdfs/GEI-1811-117.pdf#page=8","Abrir facsímil")</f>
        <v>Abrir facsímil</v>
      </c>
      <c r="K3573" s="3" t="s">
        <v>150</v>
      </c>
    </row>
    <row r="3574" spans="1:11" ht="42" customHeight="1">
      <c r="A3574" s="2" t="s">
        <v>9852</v>
      </c>
      <c r="B3574" s="2" t="s">
        <v>9852</v>
      </c>
      <c r="C3574" s="2" t="s">
        <v>104</v>
      </c>
      <c r="D3574" s="2" t="s">
        <v>18</v>
      </c>
      <c r="E3574" s="4">
        <v>-32246</v>
      </c>
      <c r="F3574" s="3" t="s">
        <v>1901</v>
      </c>
      <c r="G3574" s="3" t="s">
        <v>1902</v>
      </c>
      <c r="H3574" s="2" t="s">
        <v>148</v>
      </c>
      <c r="I3574" s="2" t="s">
        <v>9866</v>
      </c>
      <c r="J3574" s="3" t="str">
        <f>HYPERLINK("https://www.boe.es/gazeta/dias/1811/09/17/pdfs/GMD-1811-260.pdf#page=2","Abrir facsímil")</f>
        <v>Abrir facsímil</v>
      </c>
      <c r="K3574" s="3" t="s">
        <v>150</v>
      </c>
    </row>
    <row r="3575" spans="1:11" ht="42" customHeight="1">
      <c r="A3575" s="2" t="s">
        <v>9852</v>
      </c>
      <c r="B3575" s="2" t="s">
        <v>9852</v>
      </c>
      <c r="C3575" s="2" t="s">
        <v>26</v>
      </c>
      <c r="D3575" s="2" t="s">
        <v>18</v>
      </c>
      <c r="E3575" s="4">
        <v>-32225</v>
      </c>
      <c r="F3575" s="3" t="s">
        <v>390</v>
      </c>
      <c r="G3575" s="3" t="s">
        <v>391</v>
      </c>
      <c r="H3575" s="2" t="s">
        <v>148</v>
      </c>
      <c r="I3575" s="2" t="s">
        <v>9867</v>
      </c>
      <c r="J3575" s="3" t="str">
        <f>HYPERLINK("https://www.boe.es/gazeta/dias/1811/10/08/pdfs/GEI-1811-129.pdf#page=7","Abrir facsímil")</f>
        <v>Abrir facsímil</v>
      </c>
      <c r="K3575" s="3" t="s">
        <v>150</v>
      </c>
    </row>
    <row r="3576" spans="1:11" ht="42" customHeight="1">
      <c r="A3576" s="2" t="s">
        <v>9852</v>
      </c>
      <c r="B3576" s="2" t="s">
        <v>9852</v>
      </c>
      <c r="C3576" s="2" t="s">
        <v>26</v>
      </c>
      <c r="D3576" s="2" t="s">
        <v>105</v>
      </c>
      <c r="E3576" s="4">
        <v>-32204</v>
      </c>
      <c r="F3576" s="3" t="s">
        <v>177</v>
      </c>
      <c r="G3576" s="3" t="s">
        <v>178</v>
      </c>
      <c r="H3576" s="2" t="s">
        <v>148</v>
      </c>
      <c r="I3576" s="2" t="s">
        <v>9868</v>
      </c>
      <c r="J3576" s="3" t="str">
        <f>HYPERLINK("https://www.boe.es/gazeta/dias/1811/10/29/pdfs/GMD-1811-302.pdf#page=4","Abrir facsímil")</f>
        <v>Abrir facsímil</v>
      </c>
      <c r="K3576" s="3" t="s">
        <v>150</v>
      </c>
    </row>
    <row r="3577" spans="1:11" ht="42" customHeight="1">
      <c r="A3577" s="2" t="s">
        <v>9852</v>
      </c>
      <c r="B3577" s="2" t="s">
        <v>9852</v>
      </c>
      <c r="C3577" s="2" t="s">
        <v>17</v>
      </c>
      <c r="D3577" s="2" t="s">
        <v>18</v>
      </c>
      <c r="E3577" s="4">
        <v>-32200</v>
      </c>
      <c r="F3577" s="3" t="s">
        <v>109</v>
      </c>
      <c r="G3577" s="3" t="s">
        <v>586</v>
      </c>
      <c r="H3577" s="2" t="s">
        <v>148</v>
      </c>
      <c r="I3577" s="2" t="s">
        <v>9869</v>
      </c>
      <c r="J3577" s="3" t="str">
        <f>HYPERLINK("https://www.boe.es/gazeta/dias/1811/11/02/pdfs/GEI-1811-141.pdf#page=8","Abrir facsímil")</f>
        <v>Abrir facsímil</v>
      </c>
      <c r="K3577" s="3" t="s">
        <v>150</v>
      </c>
    </row>
    <row r="3578" spans="1:11" ht="42" customHeight="1">
      <c r="A3578" s="2" t="s">
        <v>9852</v>
      </c>
      <c r="B3578" s="2" t="s">
        <v>9852</v>
      </c>
      <c r="C3578" s="2" t="s">
        <v>26</v>
      </c>
      <c r="D3578" s="2" t="s">
        <v>18</v>
      </c>
      <c r="E3578" s="4">
        <v>-32172</v>
      </c>
      <c r="F3578" s="3" t="s">
        <v>300</v>
      </c>
      <c r="G3578" s="3" t="s">
        <v>305</v>
      </c>
      <c r="H3578" s="2" t="s">
        <v>148</v>
      </c>
      <c r="I3578" s="2" t="s">
        <v>9870</v>
      </c>
      <c r="J3578" s="3" t="str">
        <f>HYPERLINK("https://www.boe.es/gazeta/dias/1811/11/30/pdfs/GMD-1811-334.pdf#page=3","Abrir facsímil")</f>
        <v>Abrir facsímil</v>
      </c>
      <c r="K3578" s="3" t="s">
        <v>150</v>
      </c>
    </row>
    <row r="3579" spans="1:11" ht="42" customHeight="1">
      <c r="A3579" s="2" t="s">
        <v>9852</v>
      </c>
      <c r="B3579" s="2" t="s">
        <v>9852</v>
      </c>
      <c r="C3579" s="2" t="s">
        <v>17</v>
      </c>
      <c r="D3579" s="2" t="s">
        <v>18</v>
      </c>
      <c r="E3579" s="4">
        <v>-32144</v>
      </c>
      <c r="F3579" s="3" t="s">
        <v>1097</v>
      </c>
      <c r="G3579" s="3" t="s">
        <v>476</v>
      </c>
      <c r="H3579" s="2" t="s">
        <v>148</v>
      </c>
      <c r="I3579" s="2" t="s">
        <v>9871</v>
      </c>
      <c r="J3579" s="3" t="str">
        <f>HYPERLINK("https://www.boe.es/gazeta/dias/1811/12/28/pdfs/GEI-1811-168.pdf#page=7","Abrir facsímil")</f>
        <v>Abrir facsímil</v>
      </c>
      <c r="K3579" s="3" t="s">
        <v>150</v>
      </c>
    </row>
    <row r="3580" spans="1:11" ht="42" customHeight="1">
      <c r="A3580" s="2" t="s">
        <v>9872</v>
      </c>
      <c r="B3580" s="2" t="s">
        <v>9873</v>
      </c>
      <c r="C3580" s="2" t="s">
        <v>26</v>
      </c>
      <c r="D3580" s="2" t="s">
        <v>18</v>
      </c>
      <c r="E3580" s="4">
        <v>-32480</v>
      </c>
      <c r="F3580" s="3" t="s">
        <v>3061</v>
      </c>
      <c r="G3580" s="3" t="s">
        <v>47</v>
      </c>
      <c r="H3580" s="2" t="s">
        <v>148</v>
      </c>
      <c r="I3580" s="2" t="s">
        <v>9874</v>
      </c>
      <c r="J3580" s="3" t="str">
        <f>HYPERLINK("https://www.boe.es/gazeta/dias/1811/01/26/pdfs/GEI-1811-12.pdf#page=1","Abrir facsímil")</f>
        <v>Abrir facsímil</v>
      </c>
      <c r="K3580" s="3" t="s">
        <v>150</v>
      </c>
    </row>
    <row r="3581" spans="1:11" ht="42" customHeight="1">
      <c r="A3581" s="2" t="s">
        <v>9872</v>
      </c>
      <c r="B3581" s="2" t="s">
        <v>9873</v>
      </c>
      <c r="C3581" s="2" t="s">
        <v>367</v>
      </c>
      <c r="D3581" s="2" t="s">
        <v>156</v>
      </c>
      <c r="E3581" s="4">
        <v>-32372</v>
      </c>
      <c r="F3581" s="3" t="s">
        <v>2690</v>
      </c>
      <c r="G3581" s="3" t="s">
        <v>586</v>
      </c>
      <c r="H3581" s="2" t="s">
        <v>148</v>
      </c>
      <c r="I3581" s="2" t="s">
        <v>9875</v>
      </c>
      <c r="J3581" s="3" t="str">
        <f>HYPERLINK("https://www.boe.es/gazeta/dias/1811/05/14/pdfs/GEI-1811-63.pdf#page=8","Abrir facsímil")</f>
        <v>Abrir facsímil</v>
      </c>
      <c r="K3581" s="3" t="s">
        <v>150</v>
      </c>
    </row>
    <row r="3582" spans="1:11" ht="42" customHeight="1">
      <c r="A3582" s="2" t="s">
        <v>9876</v>
      </c>
      <c r="B3582" s="2" t="s">
        <v>9877</v>
      </c>
      <c r="C3582" s="2" t="s">
        <v>26</v>
      </c>
      <c r="D3582" s="2" t="s">
        <v>18</v>
      </c>
      <c r="E3582" s="4">
        <v>-32286</v>
      </c>
      <c r="F3582" s="3" t="s">
        <v>754</v>
      </c>
      <c r="G3582" s="3" t="s">
        <v>1728</v>
      </c>
      <c r="H3582" s="2" t="s">
        <v>148</v>
      </c>
      <c r="I3582" s="2" t="s">
        <v>9878</v>
      </c>
      <c r="J3582" s="3" t="str">
        <f>HYPERLINK("https://www.boe.es/gazeta/dias/1811/08/08/pdfs/GEI-1811-103.pdf#page=8","Abrir facsímil")</f>
        <v>Abrir facsímil</v>
      </c>
      <c r="K3582" s="3" t="s">
        <v>150</v>
      </c>
    </row>
    <row r="3583" spans="1:11" ht="42" customHeight="1">
      <c r="A3583" s="2" t="s">
        <v>9879</v>
      </c>
      <c r="B3583" s="2" t="s">
        <v>9879</v>
      </c>
      <c r="C3583" s="2" t="s">
        <v>17</v>
      </c>
      <c r="D3583" s="2" t="s">
        <v>18</v>
      </c>
      <c r="E3583" s="4">
        <v>-32288</v>
      </c>
      <c r="F3583" s="3" t="s">
        <v>95</v>
      </c>
      <c r="G3583" s="3" t="s">
        <v>1071</v>
      </c>
      <c r="H3583" s="2" t="s">
        <v>148</v>
      </c>
      <c r="I3583" s="2" t="s">
        <v>9880</v>
      </c>
      <c r="J3583" s="3" t="str">
        <f>HYPERLINK("https://www.boe.es/gazeta/dias/1811/08/06/pdfs/GEI-1811-102.pdf#page=6","Abrir facsímil")</f>
        <v>Abrir facsímil</v>
      </c>
      <c r="K3583" s="3" t="s">
        <v>150</v>
      </c>
    </row>
    <row r="3584" spans="1:11" ht="42" customHeight="1">
      <c r="A3584" s="2" t="s">
        <v>9881</v>
      </c>
      <c r="B3584" s="2" t="s">
        <v>9881</v>
      </c>
      <c r="C3584" s="2" t="s">
        <v>26</v>
      </c>
      <c r="D3584" s="2" t="s">
        <v>18</v>
      </c>
      <c r="E3584" s="4">
        <v>-32470</v>
      </c>
      <c r="F3584" s="3" t="s">
        <v>1432</v>
      </c>
      <c r="G3584" s="3" t="s">
        <v>1063</v>
      </c>
      <c r="H3584" s="2" t="s">
        <v>148</v>
      </c>
      <c r="I3584" s="2" t="s">
        <v>9882</v>
      </c>
      <c r="J3584" s="3" t="str">
        <f>HYPERLINK("https://www.boe.es/gazeta/dias/1811/02/05/pdfs/GEI-1811-16.pdf#page=5","Abrir facsímil")</f>
        <v>Abrir facsímil</v>
      </c>
      <c r="K3584" s="3" t="s">
        <v>150</v>
      </c>
    </row>
    <row r="3585" spans="1:11" ht="42" customHeight="1">
      <c r="A3585" s="2" t="s">
        <v>9883</v>
      </c>
      <c r="B3585" s="2" t="s">
        <v>9884</v>
      </c>
      <c r="C3585" s="2" t="s">
        <v>17</v>
      </c>
      <c r="D3585" s="2" t="s">
        <v>18</v>
      </c>
      <c r="E3585" s="4">
        <v>-32298</v>
      </c>
      <c r="F3585" s="3" t="s">
        <v>133</v>
      </c>
      <c r="G3585" s="3" t="s">
        <v>134</v>
      </c>
      <c r="H3585" s="2" t="s">
        <v>148</v>
      </c>
      <c r="I3585" s="2" t="s">
        <v>9885</v>
      </c>
      <c r="J3585" s="3" t="str">
        <f>HYPERLINK("https://www.boe.es/gazeta/dias/1811/07/27/pdfs/GEI-1811-98.pdf#page=7","Abrir facsímil")</f>
        <v>Abrir facsímil</v>
      </c>
      <c r="K3585" s="3" t="s">
        <v>150</v>
      </c>
    </row>
    <row r="3586" spans="1:11" ht="42" customHeight="1">
      <c r="A3586" s="2" t="s">
        <v>9886</v>
      </c>
      <c r="B3586" s="2" t="s">
        <v>9887</v>
      </c>
      <c r="C3586" s="2" t="s">
        <v>17</v>
      </c>
      <c r="D3586" s="2" t="s">
        <v>18</v>
      </c>
      <c r="E3586" s="4">
        <v>-32232</v>
      </c>
      <c r="F3586" s="3" t="s">
        <v>1879</v>
      </c>
      <c r="G3586" s="3" t="s">
        <v>9888</v>
      </c>
      <c r="H3586" s="2" t="s">
        <v>21</v>
      </c>
      <c r="I3586" s="2" t="s">
        <v>9889</v>
      </c>
      <c r="J3586" s="3" t="str">
        <f>HYPERLINK("https://www.boe.es/gazeta/dias/1811/10/01/pdfs/GMD-1811-274.pdf#page=3","Abrir facsímil")</f>
        <v>Abrir facsímil</v>
      </c>
      <c r="K3586" s="3" t="s">
        <v>23</v>
      </c>
    </row>
    <row r="3587" spans="1:11" ht="42" customHeight="1">
      <c r="A3587" s="2" t="s">
        <v>9890</v>
      </c>
      <c r="B3587" s="2" t="s">
        <v>9890</v>
      </c>
      <c r="C3587" s="2" t="s">
        <v>17</v>
      </c>
      <c r="D3587" s="2" t="s">
        <v>18</v>
      </c>
      <c r="E3587" s="4">
        <v>-32451</v>
      </c>
      <c r="F3587" s="3" t="s">
        <v>2651</v>
      </c>
      <c r="G3587" s="3" t="s">
        <v>9891</v>
      </c>
      <c r="H3587" s="2" t="s">
        <v>148</v>
      </c>
      <c r="I3587" s="2" t="s">
        <v>9892</v>
      </c>
      <c r="J3587" s="3" t="str">
        <f>HYPERLINK("https://www.boe.es/gazeta/dias/1811/02/24/pdfs/GMD-1811-55.pdf#page=2","Abrir facsímil")</f>
        <v>Abrir facsímil</v>
      </c>
      <c r="K3587" s="3" t="s">
        <v>150</v>
      </c>
    </row>
    <row r="3588" spans="1:11" ht="42" customHeight="1">
      <c r="A3588" s="2" t="s">
        <v>9893</v>
      </c>
      <c r="B3588" s="2" t="s">
        <v>9893</v>
      </c>
      <c r="C3588" s="2" t="s">
        <v>17</v>
      </c>
      <c r="D3588" s="2" t="s">
        <v>18</v>
      </c>
      <c r="E3588" s="4">
        <v>-32459</v>
      </c>
      <c r="F3588" s="3" t="s">
        <v>1034</v>
      </c>
      <c r="G3588" s="3" t="s">
        <v>2668</v>
      </c>
      <c r="H3588" s="2" t="s">
        <v>148</v>
      </c>
      <c r="I3588" s="2" t="s">
        <v>9894</v>
      </c>
      <c r="J3588" s="3" t="str">
        <f>HYPERLINK("https://www.boe.es/gazeta/dias/1811/02/16/pdfs/GEI-1811-21.pdf#page=5","Abrir facsímil")</f>
        <v>Abrir facsímil</v>
      </c>
      <c r="K3588" s="3" t="s">
        <v>150</v>
      </c>
    </row>
    <row r="3589" spans="1:11" ht="42" customHeight="1">
      <c r="A3589" s="2" t="s">
        <v>9893</v>
      </c>
      <c r="B3589" s="2" t="s">
        <v>9893</v>
      </c>
      <c r="C3589" s="2" t="s">
        <v>26</v>
      </c>
      <c r="D3589" s="2" t="s">
        <v>18</v>
      </c>
      <c r="E3589" s="4">
        <v>-32379</v>
      </c>
      <c r="F3589" s="3" t="s">
        <v>462</v>
      </c>
      <c r="G3589" s="3" t="s">
        <v>463</v>
      </c>
      <c r="H3589" s="2" t="s">
        <v>148</v>
      </c>
      <c r="I3589" s="2" t="s">
        <v>9895</v>
      </c>
      <c r="J3589" s="3" t="str">
        <f>HYPERLINK("https://www.boe.es/gazeta/dias/1811/05/07/pdfs/GEI-1811-60.pdf#page=8","Abrir facsímil")</f>
        <v>Abrir facsímil</v>
      </c>
      <c r="K3589" s="3" t="s">
        <v>150</v>
      </c>
    </row>
    <row r="3590" spans="1:11" ht="42" customHeight="1">
      <c r="A3590" s="2" t="s">
        <v>9893</v>
      </c>
      <c r="B3590" s="2" t="s">
        <v>9893</v>
      </c>
      <c r="C3590" s="2" t="s">
        <v>26</v>
      </c>
      <c r="D3590" s="2" t="s">
        <v>18</v>
      </c>
      <c r="E3590" s="4">
        <v>-32340</v>
      </c>
      <c r="F3590" s="3" t="s">
        <v>565</v>
      </c>
      <c r="G3590" s="3" t="s">
        <v>91</v>
      </c>
      <c r="H3590" s="2" t="s">
        <v>148</v>
      </c>
      <c r="I3590" s="2" t="s">
        <v>9896</v>
      </c>
      <c r="J3590" s="3" t="str">
        <f>HYPERLINK("https://www.boe.es/gazeta/dias/1811/06/15/pdfs/GEI-1811-80.pdf#page=8","Abrir facsímil")</f>
        <v>Abrir facsímil</v>
      </c>
      <c r="K3590" s="3" t="s">
        <v>150</v>
      </c>
    </row>
    <row r="3591" spans="1:11" ht="42" customHeight="1">
      <c r="A3591" s="2" t="s">
        <v>9893</v>
      </c>
      <c r="B3591" s="2" t="s">
        <v>9893</v>
      </c>
      <c r="C3591" s="2" t="s">
        <v>26</v>
      </c>
      <c r="D3591" s="2" t="s">
        <v>18</v>
      </c>
      <c r="E3591" s="4">
        <v>-32326</v>
      </c>
      <c r="F3591" s="3" t="s">
        <v>43</v>
      </c>
      <c r="G3591" s="3" t="s">
        <v>4089</v>
      </c>
      <c r="H3591" s="2" t="s">
        <v>148</v>
      </c>
      <c r="I3591" s="2" t="s">
        <v>9897</v>
      </c>
      <c r="J3591" s="3" t="str">
        <f>HYPERLINK("https://www.boe.es/gazeta/dias/1811/06/29/pdfs/GEI-1811-86.pdf#page=5","Abrir facsímil")</f>
        <v>Abrir facsímil</v>
      </c>
      <c r="K3591" s="3" t="s">
        <v>150</v>
      </c>
    </row>
    <row r="3592" spans="1:11" ht="42" customHeight="1">
      <c r="A3592" s="2" t="s">
        <v>9893</v>
      </c>
      <c r="B3592" s="2" t="s">
        <v>9893</v>
      </c>
      <c r="C3592" s="2" t="s">
        <v>26</v>
      </c>
      <c r="D3592" s="2" t="s">
        <v>18</v>
      </c>
      <c r="E3592" s="4">
        <v>-32172</v>
      </c>
      <c r="F3592" s="3" t="s">
        <v>300</v>
      </c>
      <c r="G3592" s="3" t="s">
        <v>301</v>
      </c>
      <c r="H3592" s="2" t="s">
        <v>148</v>
      </c>
      <c r="I3592" s="2" t="s">
        <v>9898</v>
      </c>
      <c r="J3592" s="3" t="str">
        <f>HYPERLINK("https://www.boe.es/gazeta/dias/1811/11/30/pdfs/GMD-1811-334.pdf#page=4","Abrir facsímil")</f>
        <v>Abrir facsímil</v>
      </c>
      <c r="K3592" s="3" t="s">
        <v>150</v>
      </c>
    </row>
    <row r="3593" spans="1:11" ht="42" customHeight="1">
      <c r="A3593" s="2" t="s">
        <v>9893</v>
      </c>
      <c r="B3593" s="2" t="s">
        <v>9893</v>
      </c>
      <c r="C3593" s="2" t="s">
        <v>26</v>
      </c>
      <c r="D3593" s="2" t="s">
        <v>141</v>
      </c>
      <c r="E3593" s="4">
        <v>-32167</v>
      </c>
      <c r="F3593" s="3" t="s">
        <v>347</v>
      </c>
      <c r="G3593" s="3" t="s">
        <v>183</v>
      </c>
      <c r="H3593" s="2" t="s">
        <v>148</v>
      </c>
      <c r="I3593" s="2" t="s">
        <v>9899</v>
      </c>
      <c r="J3593" s="3" t="str">
        <f>HYPERLINK("https://www.boe.es/gazeta/dias/1811/12/05/pdfs/GEI-D-1811-158.pdf#page=4","Abrir facsímil")</f>
        <v>Abrir facsímil</v>
      </c>
      <c r="K3593" s="3" t="s">
        <v>150</v>
      </c>
    </row>
    <row r="3594" spans="1:11" ht="42" customHeight="1">
      <c r="A3594" s="2" t="s">
        <v>9900</v>
      </c>
      <c r="B3594" s="2" t="s">
        <v>9901</v>
      </c>
      <c r="C3594" s="2" t="s">
        <v>17</v>
      </c>
      <c r="D3594" s="2" t="s">
        <v>156</v>
      </c>
      <c r="E3594" s="4">
        <v>-32344</v>
      </c>
      <c r="F3594" s="3" t="s">
        <v>761</v>
      </c>
      <c r="G3594" s="3" t="s">
        <v>3380</v>
      </c>
      <c r="H3594" s="2" t="s">
        <v>21</v>
      </c>
      <c r="I3594" s="2" t="s">
        <v>9902</v>
      </c>
      <c r="J3594" s="3" t="str">
        <f>HYPERLINK("https://www.boe.es/gazeta/dias/1811/06/11/pdfs/GEI-1811-78.pdf#page=6","Abrir facsímil")</f>
        <v>Abrir facsímil</v>
      </c>
      <c r="K3594" s="3" t="s">
        <v>23</v>
      </c>
    </row>
    <row r="3595" spans="1:11" ht="42" customHeight="1">
      <c r="A3595" s="2" t="s">
        <v>9903</v>
      </c>
      <c r="B3595" s="2" t="s">
        <v>9903</v>
      </c>
      <c r="C3595" s="2" t="s">
        <v>26</v>
      </c>
      <c r="D3595" s="2" t="s">
        <v>18</v>
      </c>
      <c r="E3595" s="4">
        <v>-32463</v>
      </c>
      <c r="F3595" s="3" t="s">
        <v>4781</v>
      </c>
      <c r="G3595" s="3" t="s">
        <v>2256</v>
      </c>
      <c r="H3595" s="2" t="s">
        <v>148</v>
      </c>
      <c r="I3595" s="2" t="s">
        <v>9904</v>
      </c>
      <c r="J3595" s="3" t="str">
        <f>HYPERLINK("https://www.boe.es/gazeta/dias/1811/02/12/pdfs/GMD-1811-43.pdf#page=2","Abrir facsímil")</f>
        <v>Abrir facsímil</v>
      </c>
      <c r="K3595" s="3" t="s">
        <v>150</v>
      </c>
    </row>
    <row r="3596" spans="1:11" ht="42" customHeight="1">
      <c r="A3596" s="2" t="s">
        <v>9903</v>
      </c>
      <c r="B3596" s="2" t="s">
        <v>9903</v>
      </c>
      <c r="C3596" s="2" t="s">
        <v>367</v>
      </c>
      <c r="D3596" s="2" t="s">
        <v>141</v>
      </c>
      <c r="E3596" s="4">
        <v>-32249</v>
      </c>
      <c r="F3596" s="3" t="s">
        <v>743</v>
      </c>
      <c r="G3596" s="3" t="s">
        <v>1021</v>
      </c>
      <c r="H3596" s="2" t="s">
        <v>148</v>
      </c>
      <c r="I3596" s="2" t="s">
        <v>9905</v>
      </c>
      <c r="J3596" s="3" t="str">
        <f>HYPERLINK("https://www.boe.es/gazeta/dias/1811/09/14/pdfs/GMD-C-1811-257.pdf#page=2","Abrir facsímil")</f>
        <v>Abrir facsímil</v>
      </c>
      <c r="K3596" s="3" t="s">
        <v>150</v>
      </c>
    </row>
    <row r="3597" spans="1:11" ht="42" customHeight="1">
      <c r="A3597" s="2" t="s">
        <v>9906</v>
      </c>
      <c r="B3597" s="2" t="s">
        <v>9906</v>
      </c>
      <c r="C3597" s="2" t="s">
        <v>17</v>
      </c>
      <c r="D3597" s="2" t="s">
        <v>156</v>
      </c>
      <c r="E3597" s="4">
        <v>-32489</v>
      </c>
      <c r="F3597" s="3" t="s">
        <v>2073</v>
      </c>
      <c r="G3597" s="3" t="s">
        <v>8573</v>
      </c>
      <c r="H3597" s="2" t="s">
        <v>148</v>
      </c>
      <c r="I3597" s="2" t="s">
        <v>9907</v>
      </c>
      <c r="J3597" s="3" t="str">
        <f>HYPERLINK("https://www.boe.es/gazeta/dias/1811/01/17/pdfs/GEI-1811-8.pdf#page=5","Abrir facsímil")</f>
        <v>Abrir facsímil</v>
      </c>
      <c r="K3597" s="3" t="s">
        <v>150</v>
      </c>
    </row>
    <row r="3598" spans="1:11" ht="42" customHeight="1">
      <c r="A3598" s="2" t="s">
        <v>9906</v>
      </c>
      <c r="B3598" s="2" t="s">
        <v>9906</v>
      </c>
      <c r="C3598" s="2" t="s">
        <v>26</v>
      </c>
      <c r="D3598" s="2" t="s">
        <v>18</v>
      </c>
      <c r="E3598" s="4">
        <v>-32471</v>
      </c>
      <c r="F3598" s="3" t="s">
        <v>1571</v>
      </c>
      <c r="G3598" s="3" t="s">
        <v>530</v>
      </c>
      <c r="H3598" s="2" t="s">
        <v>148</v>
      </c>
      <c r="I3598" s="2" t="s">
        <v>9908</v>
      </c>
      <c r="J3598" s="3" t="str">
        <f>HYPERLINK("https://www.boe.es/gazeta/dias/1811/02/04/pdfs/GMD-1811-35.pdf#page=3","Abrir facsímil")</f>
        <v>Abrir facsímil</v>
      </c>
      <c r="K3598" s="3" t="s">
        <v>150</v>
      </c>
    </row>
    <row r="3599" spans="1:11" ht="42" customHeight="1">
      <c r="A3599" s="2" t="s">
        <v>9906</v>
      </c>
      <c r="B3599" s="2" t="s">
        <v>9906</v>
      </c>
      <c r="C3599" s="2" t="s">
        <v>26</v>
      </c>
      <c r="D3599" s="2" t="s">
        <v>18</v>
      </c>
      <c r="E3599" s="4">
        <v>-32428</v>
      </c>
      <c r="F3599" s="3" t="s">
        <v>351</v>
      </c>
      <c r="G3599" s="3" t="s">
        <v>57</v>
      </c>
      <c r="H3599" s="2" t="s">
        <v>148</v>
      </c>
      <c r="I3599" s="2" t="s">
        <v>9909</v>
      </c>
      <c r="J3599" s="3" t="str">
        <f>HYPERLINK("https://www.boe.es/gazeta/dias/1811/03/19/pdfs/GMD-1811-78.pdf#page=2","Abrir facsímil")</f>
        <v>Abrir facsímil</v>
      </c>
      <c r="K3599" s="3" t="s">
        <v>150</v>
      </c>
    </row>
    <row r="3600" spans="1:11" ht="42" customHeight="1">
      <c r="A3600" s="2" t="s">
        <v>9906</v>
      </c>
      <c r="B3600" s="2" t="s">
        <v>9906</v>
      </c>
      <c r="C3600" s="2" t="s">
        <v>17</v>
      </c>
      <c r="D3600" s="2" t="s">
        <v>156</v>
      </c>
      <c r="E3600" s="4">
        <v>-32428</v>
      </c>
      <c r="F3600" s="3" t="s">
        <v>351</v>
      </c>
      <c r="G3600" s="3" t="s">
        <v>115</v>
      </c>
      <c r="H3600" s="2" t="s">
        <v>148</v>
      </c>
      <c r="I3600" s="2" t="s">
        <v>9910</v>
      </c>
      <c r="J3600" s="3" t="str">
        <f>HYPERLINK("https://www.boe.es/gazeta/dias/1811/03/19/pdfs/GMD-1811-78.pdf#page=3","Abrir facsímil")</f>
        <v>Abrir facsímil</v>
      </c>
      <c r="K3600" s="3" t="s">
        <v>150</v>
      </c>
    </row>
    <row r="3601" spans="1:11" ht="42" customHeight="1">
      <c r="A3601" s="2" t="s">
        <v>9906</v>
      </c>
      <c r="B3601" s="2" t="s">
        <v>9906</v>
      </c>
      <c r="C3601" s="2" t="s">
        <v>26</v>
      </c>
      <c r="D3601" s="2" t="s">
        <v>18</v>
      </c>
      <c r="E3601" s="4">
        <v>-32428</v>
      </c>
      <c r="F3601" s="3" t="s">
        <v>351</v>
      </c>
      <c r="G3601" s="3" t="s">
        <v>352</v>
      </c>
      <c r="H3601" s="2" t="s">
        <v>148</v>
      </c>
      <c r="I3601" s="2" t="s">
        <v>9911</v>
      </c>
      <c r="J3601" s="3" t="str">
        <f>HYPERLINK("https://www.boe.es/gazeta/dias/1811/03/19/pdfs/GMD-1811-78.pdf#page=4","Abrir facsímil")</f>
        <v>Abrir facsímil</v>
      </c>
      <c r="K3601" s="3" t="s">
        <v>150</v>
      </c>
    </row>
    <row r="3602" spans="1:11" ht="42" customHeight="1">
      <c r="A3602" s="2" t="s">
        <v>9906</v>
      </c>
      <c r="B3602" s="2" t="s">
        <v>9906</v>
      </c>
      <c r="C3602" s="2" t="s">
        <v>17</v>
      </c>
      <c r="D3602" s="2" t="s">
        <v>18</v>
      </c>
      <c r="E3602" s="4">
        <v>-32428</v>
      </c>
      <c r="F3602" s="3" t="s">
        <v>1974</v>
      </c>
      <c r="G3602" s="3" t="s">
        <v>4738</v>
      </c>
      <c r="H3602" s="2" t="s">
        <v>148</v>
      </c>
      <c r="I3602" s="2" t="s">
        <v>9912</v>
      </c>
      <c r="J3602" s="3" t="str">
        <f>HYPERLINK("https://www.boe.es/gazeta/dias/1811/03/19/pdfs/GEI-1811-39.pdf#page=8","Abrir facsímil")</f>
        <v>Abrir facsímil</v>
      </c>
      <c r="K3602" s="3" t="s">
        <v>150</v>
      </c>
    </row>
    <row r="3603" spans="1:11" ht="42" customHeight="1">
      <c r="A3603" s="2" t="s">
        <v>9906</v>
      </c>
      <c r="B3603" s="2" t="s">
        <v>9906</v>
      </c>
      <c r="C3603" s="2" t="s">
        <v>17</v>
      </c>
      <c r="D3603" s="2" t="s">
        <v>156</v>
      </c>
      <c r="E3603" s="4">
        <v>-32400</v>
      </c>
      <c r="F3603" s="3" t="s">
        <v>3343</v>
      </c>
      <c r="G3603" s="3" t="s">
        <v>846</v>
      </c>
      <c r="H3603" s="2" t="s">
        <v>148</v>
      </c>
      <c r="I3603" s="2" t="s">
        <v>9913</v>
      </c>
      <c r="J3603" s="3" t="str">
        <f>HYPERLINK("https://www.boe.es/gazeta/dias/1811/04/16/pdfs/GMD-1811-106.pdf#page=3","Abrir facsímil")</f>
        <v>Abrir facsímil</v>
      </c>
      <c r="K3603" s="3" t="s">
        <v>150</v>
      </c>
    </row>
    <row r="3604" spans="1:11" ht="42" customHeight="1">
      <c r="A3604" s="2" t="s">
        <v>9906</v>
      </c>
      <c r="B3604" s="2" t="s">
        <v>9906</v>
      </c>
      <c r="C3604" s="2" t="s">
        <v>104</v>
      </c>
      <c r="D3604" s="2" t="s">
        <v>18</v>
      </c>
      <c r="E3604" s="4">
        <v>-32389</v>
      </c>
      <c r="F3604" s="3" t="s">
        <v>5334</v>
      </c>
      <c r="G3604" s="3" t="s">
        <v>4049</v>
      </c>
      <c r="H3604" s="2" t="s">
        <v>148</v>
      </c>
      <c r="I3604" s="2" t="s">
        <v>9914</v>
      </c>
      <c r="J3604" s="3" t="str">
        <f>HYPERLINK("https://www.boe.es/gazeta/dias/1811/04/27/pdfs/GEI-1811-56.pdf#page=7","Abrir facsímil")</f>
        <v>Abrir facsímil</v>
      </c>
      <c r="K3604" s="3" t="s">
        <v>150</v>
      </c>
    </row>
    <row r="3605" spans="1:11" ht="42" customHeight="1">
      <c r="A3605" s="2" t="s">
        <v>9906</v>
      </c>
      <c r="B3605" s="2" t="s">
        <v>9906</v>
      </c>
      <c r="C3605" s="2" t="s">
        <v>17</v>
      </c>
      <c r="D3605" s="2" t="s">
        <v>156</v>
      </c>
      <c r="E3605" s="4">
        <v>-32337</v>
      </c>
      <c r="F3605" s="3" t="s">
        <v>5266</v>
      </c>
      <c r="G3605" s="3" t="s">
        <v>4049</v>
      </c>
      <c r="H3605" s="2" t="s">
        <v>148</v>
      </c>
      <c r="I3605" s="2" t="s">
        <v>9915</v>
      </c>
      <c r="J3605" s="3" t="str">
        <f>HYPERLINK("https://www.boe.es/gazeta/dias/1811/06/18/pdfs/GEI-1811-81.pdf#page=5","Abrir facsímil")</f>
        <v>Abrir facsímil</v>
      </c>
      <c r="K3605" s="3" t="s">
        <v>150</v>
      </c>
    </row>
    <row r="3606" spans="1:11" ht="42" customHeight="1">
      <c r="A3606" s="2" t="s">
        <v>9906</v>
      </c>
      <c r="B3606" s="2" t="s">
        <v>9906</v>
      </c>
      <c r="C3606" s="2" t="s">
        <v>26</v>
      </c>
      <c r="D3606" s="2" t="s">
        <v>105</v>
      </c>
      <c r="E3606" s="4">
        <v>-32337</v>
      </c>
      <c r="F3606" s="3" t="s">
        <v>5266</v>
      </c>
      <c r="G3606" s="3" t="s">
        <v>91</v>
      </c>
      <c r="H3606" s="2" t="s">
        <v>148</v>
      </c>
      <c r="I3606" s="2" t="s">
        <v>9916</v>
      </c>
      <c r="J3606" s="3" t="str">
        <f>HYPERLINK("https://www.boe.es/gazeta/dias/1811/06/18/pdfs/GEI-1811-81.pdf#page=7","Abrir facsímil")</f>
        <v>Abrir facsímil</v>
      </c>
      <c r="K3606" s="3" t="s">
        <v>150</v>
      </c>
    </row>
    <row r="3607" spans="1:11" ht="42" customHeight="1">
      <c r="A3607" s="2" t="s">
        <v>9906</v>
      </c>
      <c r="B3607" s="2" t="s">
        <v>9906</v>
      </c>
      <c r="C3607" s="2" t="s">
        <v>84</v>
      </c>
      <c r="D3607" s="2" t="s">
        <v>141</v>
      </c>
      <c r="E3607" s="4">
        <v>-32314</v>
      </c>
      <c r="F3607" s="3" t="s">
        <v>2051</v>
      </c>
      <c r="G3607" s="3" t="s">
        <v>44</v>
      </c>
      <c r="H3607" s="2" t="s">
        <v>148</v>
      </c>
      <c r="I3607" s="2" t="s">
        <v>9917</v>
      </c>
      <c r="J3607" s="3" t="str">
        <f>HYPERLINK("https://www.boe.es/gazeta/dias/1811/07/11/pdfs/GMD-C-1811-192.pdf#page=2","Abrir facsímil")</f>
        <v>Abrir facsímil</v>
      </c>
      <c r="K3607" s="3" t="s">
        <v>150</v>
      </c>
    </row>
    <row r="3608" spans="1:11" ht="42" customHeight="1">
      <c r="A3608" s="2" t="s">
        <v>9906</v>
      </c>
      <c r="B3608" s="2" t="s">
        <v>9906</v>
      </c>
      <c r="C3608" s="2" t="s">
        <v>104</v>
      </c>
      <c r="D3608" s="2" t="s">
        <v>18</v>
      </c>
      <c r="E3608" s="4">
        <v>-32298</v>
      </c>
      <c r="F3608" s="3" t="s">
        <v>133</v>
      </c>
      <c r="G3608" s="3" t="s">
        <v>134</v>
      </c>
      <c r="H3608" s="2" t="s">
        <v>148</v>
      </c>
      <c r="I3608" s="2" t="s">
        <v>9918</v>
      </c>
      <c r="J3608" s="3" t="str">
        <f>HYPERLINK("https://www.boe.es/gazeta/dias/1811/07/27/pdfs/GEI-1811-98.pdf#page=7","Abrir facsímil")</f>
        <v>Abrir facsímil</v>
      </c>
      <c r="K3608" s="3" t="s">
        <v>150</v>
      </c>
    </row>
    <row r="3609" spans="1:11" ht="42" customHeight="1">
      <c r="A3609" s="2" t="s">
        <v>9906</v>
      </c>
      <c r="B3609" s="2" t="s">
        <v>9906</v>
      </c>
      <c r="C3609" s="2" t="s">
        <v>17</v>
      </c>
      <c r="D3609" s="2" t="s">
        <v>156</v>
      </c>
      <c r="E3609" s="4">
        <v>-32292</v>
      </c>
      <c r="F3609" s="3" t="s">
        <v>408</v>
      </c>
      <c r="G3609" s="3" t="s">
        <v>409</v>
      </c>
      <c r="H3609" s="2" t="s">
        <v>148</v>
      </c>
      <c r="I3609" s="2" t="s">
        <v>9919</v>
      </c>
      <c r="J3609" s="3" t="str">
        <f>HYPERLINK("https://www.boe.es/gazeta/dias/1811/08/02/pdfs/GMD-1811-214.pdf#page=4","Abrir facsímil")</f>
        <v>Abrir facsímil</v>
      </c>
      <c r="K3609" s="3" t="s">
        <v>150</v>
      </c>
    </row>
    <row r="3610" spans="1:11" ht="42" customHeight="1">
      <c r="A3610" s="2" t="s">
        <v>9906</v>
      </c>
      <c r="B3610" s="2" t="s">
        <v>9906</v>
      </c>
      <c r="C3610" s="2" t="s">
        <v>17</v>
      </c>
      <c r="D3610" s="2" t="s">
        <v>18</v>
      </c>
      <c r="E3610" s="4">
        <v>-32279</v>
      </c>
      <c r="F3610" s="3" t="s">
        <v>540</v>
      </c>
      <c r="G3610" s="3" t="s">
        <v>91</v>
      </c>
      <c r="H3610" s="2" t="s">
        <v>148</v>
      </c>
      <c r="I3610" s="2" t="s">
        <v>9920</v>
      </c>
      <c r="J3610" s="3" t="str">
        <f>HYPERLINK("https://www.boe.es/gazeta/dias/1811/08/15/pdfs/GMD-1811-227.pdf#page=3","Abrir facsímil")</f>
        <v>Abrir facsímil</v>
      </c>
      <c r="K3610" s="3" t="s">
        <v>150</v>
      </c>
    </row>
    <row r="3611" spans="1:11" ht="42" customHeight="1">
      <c r="A3611" s="2" t="s">
        <v>9906</v>
      </c>
      <c r="B3611" s="2" t="s">
        <v>9906</v>
      </c>
      <c r="C3611" s="2" t="s">
        <v>26</v>
      </c>
      <c r="D3611" s="2" t="s">
        <v>18</v>
      </c>
      <c r="E3611" s="4">
        <v>-32279</v>
      </c>
      <c r="F3611" s="3" t="s">
        <v>540</v>
      </c>
      <c r="G3611" s="3" t="s">
        <v>20</v>
      </c>
      <c r="H3611" s="2" t="s">
        <v>148</v>
      </c>
      <c r="I3611" s="2" t="s">
        <v>9921</v>
      </c>
      <c r="J3611" s="3" t="str">
        <f>HYPERLINK("https://www.boe.es/gazeta/dias/1811/08/15/pdfs/GMD-1811-227.pdf#page=4","Abrir facsímil")</f>
        <v>Abrir facsímil</v>
      </c>
      <c r="K3611" s="3" t="s">
        <v>150</v>
      </c>
    </row>
    <row r="3612" spans="1:11" ht="42" customHeight="1">
      <c r="A3612" s="2" t="s">
        <v>9906</v>
      </c>
      <c r="B3612" s="2" t="s">
        <v>9906</v>
      </c>
      <c r="C3612" s="2" t="s">
        <v>26</v>
      </c>
      <c r="D3612" s="2" t="s">
        <v>141</v>
      </c>
      <c r="E3612" s="4">
        <v>-32249</v>
      </c>
      <c r="F3612" s="3" t="s">
        <v>743</v>
      </c>
      <c r="G3612" s="3" t="s">
        <v>1021</v>
      </c>
      <c r="H3612" s="2" t="s">
        <v>148</v>
      </c>
      <c r="I3612" s="2" t="s">
        <v>9922</v>
      </c>
      <c r="J3612" s="3" t="str">
        <f>HYPERLINK("https://www.boe.es/gazeta/dias/1811/09/14/pdfs/GMD-C-1811-257.pdf#page=2","Abrir facsímil")</f>
        <v>Abrir facsímil</v>
      </c>
      <c r="K3612" s="3" t="s">
        <v>150</v>
      </c>
    </row>
    <row r="3613" spans="1:11" ht="42" customHeight="1">
      <c r="A3613" s="2" t="s">
        <v>9906</v>
      </c>
      <c r="B3613" s="2" t="s">
        <v>9906</v>
      </c>
      <c r="C3613" s="2" t="s">
        <v>17</v>
      </c>
      <c r="D3613" s="2" t="s">
        <v>18</v>
      </c>
      <c r="E3613" s="4">
        <v>-32230</v>
      </c>
      <c r="F3613" s="3" t="s">
        <v>625</v>
      </c>
      <c r="G3613" s="3" t="s">
        <v>1258</v>
      </c>
      <c r="H3613" s="2" t="s">
        <v>148</v>
      </c>
      <c r="I3613" s="2" t="s">
        <v>9923</v>
      </c>
      <c r="J3613" s="3" t="str">
        <f>HYPERLINK("https://www.boe.es/gazeta/dias/1811/10/03/pdfs/GEI-1811-127.pdf#page=8","Abrir facsímil")</f>
        <v>Abrir facsímil</v>
      </c>
      <c r="K3613" s="3" t="s">
        <v>150</v>
      </c>
    </row>
    <row r="3614" spans="1:11" ht="42" customHeight="1">
      <c r="A3614" s="2" t="s">
        <v>9906</v>
      </c>
      <c r="B3614" s="2" t="s">
        <v>9906</v>
      </c>
      <c r="C3614" s="2" t="s">
        <v>84</v>
      </c>
      <c r="D3614" s="2" t="s">
        <v>18</v>
      </c>
      <c r="E3614" s="4">
        <v>-32210</v>
      </c>
      <c r="F3614" s="3" t="s">
        <v>1737</v>
      </c>
      <c r="G3614" s="3" t="s">
        <v>115</v>
      </c>
      <c r="H3614" s="2" t="s">
        <v>148</v>
      </c>
      <c r="I3614" s="2" t="s">
        <v>9924</v>
      </c>
      <c r="J3614" s="3" t="str">
        <f>HYPERLINK("https://www.boe.es/gazeta/dias/1811/10/23/pdfs/GMD-1811-296.pdf#page=3","Abrir facsímil")</f>
        <v>Abrir facsímil</v>
      </c>
      <c r="K3614" s="3" t="s">
        <v>150</v>
      </c>
    </row>
    <row r="3615" spans="1:11" ht="42" customHeight="1">
      <c r="A3615" s="2" t="s">
        <v>9906</v>
      </c>
      <c r="B3615" s="2" t="s">
        <v>9906</v>
      </c>
      <c r="C3615" s="2" t="s">
        <v>26</v>
      </c>
      <c r="D3615" s="2" t="s">
        <v>105</v>
      </c>
      <c r="E3615" s="4">
        <v>-32195</v>
      </c>
      <c r="F3615" s="3" t="s">
        <v>439</v>
      </c>
      <c r="G3615" s="3" t="s">
        <v>440</v>
      </c>
      <c r="H3615" s="2" t="s">
        <v>148</v>
      </c>
      <c r="I3615" s="2" t="s">
        <v>9925</v>
      </c>
      <c r="J3615" s="3" t="str">
        <f>HYPERLINK("https://www.boe.es/gazeta/dias/1811/11/07/pdfs/GEI-1811-144.pdf#page=8","Abrir facsímil")</f>
        <v>Abrir facsímil</v>
      </c>
      <c r="K3615" s="3" t="s">
        <v>150</v>
      </c>
    </row>
    <row r="3616" spans="1:11" ht="42" customHeight="1">
      <c r="A3616" s="2" t="s">
        <v>9906</v>
      </c>
      <c r="B3616" s="2" t="s">
        <v>9906</v>
      </c>
      <c r="C3616" s="2" t="s">
        <v>17</v>
      </c>
      <c r="D3616" s="2" t="s">
        <v>18</v>
      </c>
      <c r="E3616" s="4">
        <v>-32171</v>
      </c>
      <c r="F3616" s="3" t="s">
        <v>157</v>
      </c>
      <c r="G3616" s="3" t="s">
        <v>44</v>
      </c>
      <c r="H3616" s="2" t="s">
        <v>148</v>
      </c>
      <c r="I3616" s="2" t="s">
        <v>9926</v>
      </c>
      <c r="J3616" s="3" t="str">
        <f>HYPERLINK("https://www.boe.es/gazeta/dias/1811/12/01/pdfs/GMD-1811-335.pdf#page=4","Abrir facsímil")</f>
        <v>Abrir facsímil</v>
      </c>
      <c r="K3616" s="3" t="s">
        <v>150</v>
      </c>
    </row>
    <row r="3617" spans="1:11" ht="42" customHeight="1">
      <c r="A3617" s="2" t="s">
        <v>9906</v>
      </c>
      <c r="B3617" s="2" t="s">
        <v>9906</v>
      </c>
      <c r="C3617" s="2" t="s">
        <v>26</v>
      </c>
      <c r="D3617" s="2" t="s">
        <v>18</v>
      </c>
      <c r="E3617" s="4">
        <v>-32153</v>
      </c>
      <c r="F3617" s="3" t="s">
        <v>123</v>
      </c>
      <c r="G3617" s="3" t="s">
        <v>124</v>
      </c>
      <c r="H3617" s="2" t="s">
        <v>148</v>
      </c>
      <c r="I3617" s="2" t="s">
        <v>9927</v>
      </c>
      <c r="J3617" s="3" t="str">
        <f>HYPERLINK("https://www.boe.es/gazeta/dias/1811/12/19/pdfs/GMD-1811-353.pdf#page=6","Abrir facsímil")</f>
        <v>Abrir facsímil</v>
      </c>
      <c r="K3617" s="3" t="s">
        <v>150</v>
      </c>
    </row>
    <row r="3618" spans="1:11" ht="42" customHeight="1">
      <c r="A3618" s="2" t="s">
        <v>9906</v>
      </c>
      <c r="B3618" s="2" t="s">
        <v>9906</v>
      </c>
      <c r="C3618" s="2" t="s">
        <v>17</v>
      </c>
      <c r="D3618" s="2" t="s">
        <v>18</v>
      </c>
      <c r="E3618" s="4">
        <v>-32152</v>
      </c>
      <c r="F3618" s="3" t="s">
        <v>1673</v>
      </c>
      <c r="G3618" s="3" t="s">
        <v>183</v>
      </c>
      <c r="H3618" s="2" t="s">
        <v>148</v>
      </c>
      <c r="I3618" s="2" t="s">
        <v>9928</v>
      </c>
      <c r="J3618" s="3" t="str">
        <f>HYPERLINK("https://www.boe.es/gazeta/dias/1811/12/20/pdfs/GMD-1811-354.pdf#page=4","Abrir facsímil")</f>
        <v>Abrir facsímil</v>
      </c>
      <c r="K3618" s="3" t="s">
        <v>150</v>
      </c>
    </row>
    <row r="3619" spans="1:11" ht="42" customHeight="1">
      <c r="A3619" s="2" t="s">
        <v>9906</v>
      </c>
      <c r="B3619" s="2" t="s">
        <v>9906</v>
      </c>
      <c r="C3619" s="2" t="s">
        <v>17</v>
      </c>
      <c r="D3619" s="2" t="s">
        <v>156</v>
      </c>
      <c r="E3619" s="4">
        <v>-32150</v>
      </c>
      <c r="F3619" s="3" t="s">
        <v>1174</v>
      </c>
      <c r="G3619" s="3" t="s">
        <v>20</v>
      </c>
      <c r="H3619" s="2" t="s">
        <v>148</v>
      </c>
      <c r="I3619" s="2" t="s">
        <v>9929</v>
      </c>
      <c r="J3619" s="3" t="str">
        <f>HYPERLINK("https://www.boe.es/gazeta/dias/1811/12/22/pdfs/GMD-1811-356.pdf#page=4","Abrir facsímil")</f>
        <v>Abrir facsímil</v>
      </c>
      <c r="K3619" s="3" t="s">
        <v>150</v>
      </c>
    </row>
    <row r="3620" spans="1:11" ht="42" customHeight="1">
      <c r="A3620" s="2" t="s">
        <v>9930</v>
      </c>
      <c r="B3620" s="2" t="s">
        <v>9931</v>
      </c>
      <c r="C3620" s="2" t="s">
        <v>17</v>
      </c>
      <c r="D3620" s="2" t="s">
        <v>156</v>
      </c>
      <c r="E3620" s="4">
        <v>-32428</v>
      </c>
      <c r="F3620" s="3" t="s">
        <v>351</v>
      </c>
      <c r="G3620" s="3" t="s">
        <v>115</v>
      </c>
      <c r="H3620" s="2" t="s">
        <v>148</v>
      </c>
      <c r="I3620" s="2" t="s">
        <v>9932</v>
      </c>
      <c r="J3620" s="3" t="str">
        <f>HYPERLINK("https://www.boe.es/gazeta/dias/1811/03/19/pdfs/GMD-1811-78.pdf#page=3","Abrir facsímil")</f>
        <v>Abrir facsímil</v>
      </c>
      <c r="K3620" s="3" t="s">
        <v>150</v>
      </c>
    </row>
    <row r="3621" spans="1:11" ht="42" customHeight="1">
      <c r="A3621" s="2" t="s">
        <v>9933</v>
      </c>
      <c r="B3621" s="2" t="s">
        <v>9934</v>
      </c>
      <c r="C3621" s="2" t="s">
        <v>26</v>
      </c>
      <c r="D3621" s="2" t="s">
        <v>18</v>
      </c>
      <c r="E3621" s="4">
        <v>-32451</v>
      </c>
      <c r="F3621" s="3" t="s">
        <v>2651</v>
      </c>
      <c r="G3621" s="3" t="s">
        <v>2652</v>
      </c>
      <c r="H3621" s="2" t="s">
        <v>148</v>
      </c>
      <c r="I3621" s="2" t="s">
        <v>9935</v>
      </c>
      <c r="J3621" s="3" t="str">
        <f>HYPERLINK("https://www.boe.es/gazeta/dias/1811/02/24/pdfs/GMD-1811-55.pdf#page=4","Abrir facsímil")</f>
        <v>Abrir facsímil</v>
      </c>
      <c r="K3621" s="3" t="s">
        <v>150</v>
      </c>
    </row>
    <row r="3622" spans="1:11" ht="42" customHeight="1">
      <c r="A3622" s="2" t="s">
        <v>9936</v>
      </c>
      <c r="B3622" s="2" t="s">
        <v>9936</v>
      </c>
      <c r="C3622" s="2" t="s">
        <v>26</v>
      </c>
      <c r="D3622" s="2" t="s">
        <v>18</v>
      </c>
      <c r="E3622" s="4">
        <v>-32503</v>
      </c>
      <c r="F3622" s="3" t="s">
        <v>487</v>
      </c>
      <c r="G3622" s="3" t="s">
        <v>1930</v>
      </c>
      <c r="H3622" s="2" t="s">
        <v>148</v>
      </c>
      <c r="I3622" s="2" t="s">
        <v>9937</v>
      </c>
      <c r="J3622" s="3" t="str">
        <f>HYPERLINK("https://www.boe.es/gazeta/dias/1811/01/03/pdfs/GEI-1811-2.pdf#page=8","Abrir facsímil")</f>
        <v>Abrir facsímil</v>
      </c>
      <c r="K3622" s="3" t="s">
        <v>150</v>
      </c>
    </row>
    <row r="3623" spans="1:11" ht="42" customHeight="1">
      <c r="A3623" s="2" t="s">
        <v>9938</v>
      </c>
      <c r="B3623" s="2" t="s">
        <v>9938</v>
      </c>
      <c r="C3623" s="2" t="s">
        <v>26</v>
      </c>
      <c r="D3623" s="2" t="s">
        <v>105</v>
      </c>
      <c r="E3623" s="4">
        <v>-32238</v>
      </c>
      <c r="F3623" s="3" t="s">
        <v>166</v>
      </c>
      <c r="G3623" s="3" t="s">
        <v>657</v>
      </c>
      <c r="H3623" s="2" t="s">
        <v>148</v>
      </c>
      <c r="I3623" s="2" t="s">
        <v>9939</v>
      </c>
      <c r="J3623" s="3" t="str">
        <f>HYPERLINK("https://www.boe.es/gazeta/dias/1811/09/25/pdfs/GMD-C-1811-268.pdf#page=3","Abrir facsímil")</f>
        <v>Abrir facsímil</v>
      </c>
      <c r="K3623" s="3" t="s">
        <v>150</v>
      </c>
    </row>
    <row r="3624" spans="1:11" ht="42" customHeight="1">
      <c r="A3624" s="2" t="s">
        <v>9940</v>
      </c>
      <c r="B3624" s="2" t="s">
        <v>9940</v>
      </c>
      <c r="C3624" s="2" t="s">
        <v>17</v>
      </c>
      <c r="D3624" s="2" t="s">
        <v>18</v>
      </c>
      <c r="E3624" s="4">
        <v>-32162</v>
      </c>
      <c r="F3624" s="3" t="s">
        <v>317</v>
      </c>
      <c r="G3624" s="3" t="s">
        <v>5003</v>
      </c>
      <c r="H3624" s="2" t="s">
        <v>148</v>
      </c>
      <c r="I3624" s="2" t="s">
        <v>9941</v>
      </c>
      <c r="J3624" s="3" t="str">
        <f>HYPERLINK("https://www.boe.es/gazeta/dias/1811/12/10/pdfs/GEI-1811-160.pdf#page=7","Abrir facsímil")</f>
        <v>Abrir facsímil</v>
      </c>
      <c r="K3624" s="3" t="s">
        <v>150</v>
      </c>
    </row>
    <row r="3625" spans="1:11" ht="42" customHeight="1">
      <c r="A3625" s="2" t="s">
        <v>9942</v>
      </c>
      <c r="B3625" s="2" t="s">
        <v>9943</v>
      </c>
      <c r="C3625" s="2" t="s">
        <v>26</v>
      </c>
      <c r="D3625" s="2" t="s">
        <v>18</v>
      </c>
      <c r="E3625" s="4">
        <v>-32461</v>
      </c>
      <c r="F3625" s="3" t="s">
        <v>2429</v>
      </c>
      <c r="G3625" s="3" t="s">
        <v>553</v>
      </c>
      <c r="H3625" s="2" t="s">
        <v>148</v>
      </c>
      <c r="I3625" s="2" t="s">
        <v>9944</v>
      </c>
      <c r="J3625" s="3" t="str">
        <f>HYPERLINK("https://www.boe.es/gazeta/dias/1811/02/14/pdfs/GEI-1811-20.pdf#page=1","Abrir facsímil")</f>
        <v>Abrir facsímil</v>
      </c>
      <c r="K3625" s="3" t="s">
        <v>150</v>
      </c>
    </row>
    <row r="3626" spans="1:11" ht="42" customHeight="1">
      <c r="A3626" s="2" t="s">
        <v>9945</v>
      </c>
      <c r="B3626" s="2" t="s">
        <v>9946</v>
      </c>
      <c r="C3626" s="2" t="s">
        <v>104</v>
      </c>
      <c r="D3626" s="2" t="s">
        <v>18</v>
      </c>
      <c r="E3626" s="4">
        <v>-32459</v>
      </c>
      <c r="F3626" s="3" t="s">
        <v>1034</v>
      </c>
      <c r="G3626" s="3" t="s">
        <v>510</v>
      </c>
      <c r="H3626" s="2" t="s">
        <v>148</v>
      </c>
      <c r="I3626" s="2" t="s">
        <v>9947</v>
      </c>
      <c r="J3626" s="3" t="str">
        <f>HYPERLINK("https://www.boe.es/gazeta/dias/1811/02/16/pdfs/GEI-1811-21.pdf#page=8","Abrir facsímil")</f>
        <v>Abrir facsímil</v>
      </c>
      <c r="K3626" s="3" t="s">
        <v>150</v>
      </c>
    </row>
    <row r="3627" spans="1:11" ht="42" customHeight="1">
      <c r="A3627" s="2" t="s">
        <v>9948</v>
      </c>
      <c r="B3627" s="2" t="s">
        <v>9949</v>
      </c>
      <c r="C3627" s="2" t="s">
        <v>26</v>
      </c>
      <c r="D3627" s="2" t="s">
        <v>18</v>
      </c>
      <c r="E3627" s="4">
        <v>-32505</v>
      </c>
      <c r="F3627" s="3" t="s">
        <v>475</v>
      </c>
      <c r="G3627" s="3" t="s">
        <v>755</v>
      </c>
      <c r="H3627" s="2" t="s">
        <v>148</v>
      </c>
      <c r="I3627" s="2" t="s">
        <v>9950</v>
      </c>
      <c r="J3627" s="3" t="str">
        <f>HYPERLINK("https://www.boe.es/gazeta/dias/1811/01/01/pdfs/GEI-1811-1.pdf#page=8","Abrir facsímil")</f>
        <v>Abrir facsímil</v>
      </c>
      <c r="K3627" s="3" t="s">
        <v>150</v>
      </c>
    </row>
    <row r="3628" spans="1:11" ht="42" customHeight="1">
      <c r="A3628" s="2" t="s">
        <v>9951</v>
      </c>
      <c r="B3628" s="2" t="s">
        <v>9951</v>
      </c>
      <c r="C3628" s="2" t="s">
        <v>17</v>
      </c>
      <c r="D3628" s="2" t="s">
        <v>18</v>
      </c>
      <c r="E3628" s="4">
        <v>-32294</v>
      </c>
      <c r="F3628" s="3" t="s">
        <v>3123</v>
      </c>
      <c r="G3628" s="3" t="s">
        <v>2916</v>
      </c>
      <c r="H3628" s="2" t="s">
        <v>148</v>
      </c>
      <c r="I3628" s="2" t="s">
        <v>9952</v>
      </c>
      <c r="J3628" s="3" t="str">
        <f>HYPERLINK("https://www.boe.es/gazeta/dias/1811/07/31/pdfs/GMD-1811-212.pdf#page=3","Abrir facsímil")</f>
        <v>Abrir facsímil</v>
      </c>
      <c r="K3628" s="3" t="s">
        <v>150</v>
      </c>
    </row>
    <row r="3629" spans="1:11" ht="42" customHeight="1">
      <c r="A3629" s="2" t="s">
        <v>9953</v>
      </c>
      <c r="B3629" s="2" t="s">
        <v>9953</v>
      </c>
      <c r="C3629" s="2" t="s">
        <v>17</v>
      </c>
      <c r="D3629" s="2" t="s">
        <v>156</v>
      </c>
      <c r="E3629" s="4">
        <v>-32466</v>
      </c>
      <c r="F3629" s="3" t="s">
        <v>1514</v>
      </c>
      <c r="G3629" s="3" t="s">
        <v>846</v>
      </c>
      <c r="H3629" s="2" t="s">
        <v>148</v>
      </c>
      <c r="I3629" s="2" t="s">
        <v>9954</v>
      </c>
      <c r="J3629" s="3" t="str">
        <f>HYPERLINK("https://www.boe.es/gazeta/dias/1811/02/09/pdfs/GEI-1811-18.pdf#page=4","Abrir facsímil")</f>
        <v>Abrir facsímil</v>
      </c>
      <c r="K3629" s="3" t="s">
        <v>150</v>
      </c>
    </row>
    <row r="3630" spans="1:11" ht="42" customHeight="1">
      <c r="A3630" s="2" t="s">
        <v>9955</v>
      </c>
      <c r="B3630" s="2" t="s">
        <v>9956</v>
      </c>
      <c r="C3630" s="2" t="s">
        <v>17</v>
      </c>
      <c r="D3630" s="2" t="s">
        <v>156</v>
      </c>
      <c r="E3630" s="4">
        <v>-32498</v>
      </c>
      <c r="F3630" s="3" t="s">
        <v>828</v>
      </c>
      <c r="G3630" s="3" t="s">
        <v>331</v>
      </c>
      <c r="H3630" s="2" t="s">
        <v>148</v>
      </c>
      <c r="I3630" s="2" t="s">
        <v>9957</v>
      </c>
      <c r="J3630" s="3" t="str">
        <f>HYPERLINK("https://www.boe.es/gazeta/dias/1811/01/08/pdfs/GEI-1811-4.pdf#page=3","Abrir facsímil")</f>
        <v>Abrir facsímil</v>
      </c>
      <c r="K3630" s="3" t="s">
        <v>150</v>
      </c>
    </row>
    <row r="3631" spans="1:11" ht="42" customHeight="1">
      <c r="A3631" s="2" t="s">
        <v>9958</v>
      </c>
      <c r="B3631" s="2" t="s">
        <v>9959</v>
      </c>
      <c r="C3631" s="2" t="s">
        <v>17</v>
      </c>
      <c r="D3631" s="2" t="s">
        <v>156</v>
      </c>
      <c r="E3631" s="4">
        <v>-32358</v>
      </c>
      <c r="F3631" s="3" t="s">
        <v>2971</v>
      </c>
      <c r="G3631" s="3" t="s">
        <v>515</v>
      </c>
      <c r="H3631" s="2" t="s">
        <v>148</v>
      </c>
      <c r="I3631" s="2" t="s">
        <v>9960</v>
      </c>
      <c r="J3631" s="3" t="str">
        <f>HYPERLINK("https://www.boe.es/gazeta/dias/1811/05/28/pdfs/GEI-1811-72.pdf#page=1","Abrir facsímil")</f>
        <v>Abrir facsímil</v>
      </c>
      <c r="K3631" s="3" t="s">
        <v>150</v>
      </c>
    </row>
    <row r="3632" spans="1:11" ht="42" customHeight="1">
      <c r="A3632" s="2" t="s">
        <v>9961</v>
      </c>
      <c r="B3632" s="2" t="s">
        <v>9962</v>
      </c>
      <c r="C3632" s="2" t="s">
        <v>17</v>
      </c>
      <c r="D3632" s="2" t="s">
        <v>18</v>
      </c>
      <c r="E3632" s="4">
        <v>-32246</v>
      </c>
      <c r="F3632" s="3" t="s">
        <v>19</v>
      </c>
      <c r="G3632" s="3" t="s">
        <v>3606</v>
      </c>
      <c r="H3632" s="2" t="s">
        <v>148</v>
      </c>
      <c r="I3632" s="2" t="s">
        <v>9963</v>
      </c>
      <c r="J3632" s="3" t="str">
        <f>HYPERLINK("https://www.boe.es/gazeta/dias/1811/09/17/pdfs/GEI-1811-120.pdf#page=8","Abrir facsímil")</f>
        <v>Abrir facsímil</v>
      </c>
      <c r="K3632" s="3" t="s">
        <v>150</v>
      </c>
    </row>
    <row r="3633" spans="1:11" ht="42" customHeight="1">
      <c r="A3633" s="2" t="s">
        <v>9964</v>
      </c>
      <c r="B3633" s="2" t="s">
        <v>9965</v>
      </c>
      <c r="C3633" s="2" t="s">
        <v>17</v>
      </c>
      <c r="D3633" s="2" t="s">
        <v>18</v>
      </c>
      <c r="E3633" s="4">
        <v>-32428</v>
      </c>
      <c r="F3633" s="3" t="s">
        <v>1974</v>
      </c>
      <c r="G3633" s="3" t="s">
        <v>4738</v>
      </c>
      <c r="H3633" s="2" t="s">
        <v>148</v>
      </c>
      <c r="I3633" s="2" t="s">
        <v>9966</v>
      </c>
      <c r="J3633" s="3" t="str">
        <f>HYPERLINK("https://www.boe.es/gazeta/dias/1811/03/19/pdfs/GEI-1811-39.pdf#page=8","Abrir facsímil")</f>
        <v>Abrir facsímil</v>
      </c>
      <c r="K3633" s="3" t="s">
        <v>150</v>
      </c>
    </row>
    <row r="3634" spans="1:11" ht="42" customHeight="1">
      <c r="A3634" s="2" t="s">
        <v>9967</v>
      </c>
      <c r="B3634" s="2" t="s">
        <v>9967</v>
      </c>
      <c r="C3634" s="2" t="s">
        <v>17</v>
      </c>
      <c r="D3634" s="2" t="s">
        <v>105</v>
      </c>
      <c r="E3634" s="4">
        <v>-32204</v>
      </c>
      <c r="F3634" s="3" t="s">
        <v>177</v>
      </c>
      <c r="G3634" s="3" t="s">
        <v>178</v>
      </c>
      <c r="H3634" s="2" t="s">
        <v>148</v>
      </c>
      <c r="I3634" s="2" t="s">
        <v>9968</v>
      </c>
      <c r="J3634" s="3" t="str">
        <f>HYPERLINK("https://www.boe.es/gazeta/dias/1811/10/29/pdfs/GMD-1811-302.pdf#page=2","Abrir facsímil")</f>
        <v>Abrir facsímil</v>
      </c>
      <c r="K3634" s="3" t="s">
        <v>150</v>
      </c>
    </row>
    <row r="3635" spans="1:11" ht="42" customHeight="1">
      <c r="A3635" s="2" t="s">
        <v>9969</v>
      </c>
      <c r="B3635" s="2" t="s">
        <v>9969</v>
      </c>
      <c r="C3635" s="2" t="s">
        <v>26</v>
      </c>
      <c r="D3635" s="2" t="s">
        <v>18</v>
      </c>
      <c r="E3635" s="4">
        <v>-32375</v>
      </c>
      <c r="F3635" s="3" t="s">
        <v>1516</v>
      </c>
      <c r="G3635" s="3" t="s">
        <v>1463</v>
      </c>
      <c r="H3635" s="2" t="s">
        <v>148</v>
      </c>
      <c r="I3635" s="2" t="s">
        <v>9970</v>
      </c>
      <c r="J3635" s="3" t="str">
        <f>HYPERLINK("https://www.boe.es/gazeta/dias/1811/05/11/pdfs/GMD-1811-131.pdf#page=3","Abrir facsímil")</f>
        <v>Abrir facsímil</v>
      </c>
      <c r="K3635" s="3" t="s">
        <v>150</v>
      </c>
    </row>
    <row r="3636" spans="1:11" ht="42" customHeight="1">
      <c r="A3636" s="2" t="s">
        <v>9971</v>
      </c>
      <c r="B3636" s="2" t="s">
        <v>9971</v>
      </c>
      <c r="C3636" s="2" t="s">
        <v>17</v>
      </c>
      <c r="D3636" s="2" t="s">
        <v>105</v>
      </c>
      <c r="E3636" s="4">
        <v>-32267</v>
      </c>
      <c r="F3636" s="3" t="s">
        <v>8812</v>
      </c>
      <c r="G3636" s="3" t="s">
        <v>178</v>
      </c>
      <c r="H3636" s="2" t="s">
        <v>148</v>
      </c>
      <c r="I3636" s="2" t="s">
        <v>9972</v>
      </c>
      <c r="J3636" s="3" t="str">
        <f>HYPERLINK("https://www.boe.es/gazeta/dias/1811/08/27/pdfs/GMD-1811-239.pdf#page=4","Abrir facsímil")</f>
        <v>Abrir facsímil</v>
      </c>
      <c r="K3636" s="3" t="s">
        <v>150</v>
      </c>
    </row>
    <row r="3637" spans="1:11" ht="42" customHeight="1">
      <c r="A3637" s="2" t="s">
        <v>9971</v>
      </c>
      <c r="B3637" s="2" t="s">
        <v>9971</v>
      </c>
      <c r="C3637" s="2" t="s">
        <v>37</v>
      </c>
      <c r="D3637" s="2" t="s">
        <v>18</v>
      </c>
      <c r="E3637" s="4">
        <v>-32223</v>
      </c>
      <c r="F3637" s="3" t="s">
        <v>5139</v>
      </c>
      <c r="G3637" s="3" t="s">
        <v>9973</v>
      </c>
      <c r="H3637" s="2" t="s">
        <v>148</v>
      </c>
      <c r="I3637" s="2" t="s">
        <v>9974</v>
      </c>
      <c r="J3637" s="3" t="str">
        <f>HYPERLINK("https://www.boe.es/gazeta/dias/1811/10/10/pdfs/GMD-1811-283.pdf#page=2","Abrir facsímil")</f>
        <v>Abrir facsímil</v>
      </c>
      <c r="K3637" s="3" t="s">
        <v>150</v>
      </c>
    </row>
    <row r="3638" spans="1:11" ht="42" customHeight="1">
      <c r="A3638" s="2" t="s">
        <v>9975</v>
      </c>
      <c r="B3638" s="2" t="s">
        <v>9975</v>
      </c>
      <c r="C3638" s="2" t="s">
        <v>17</v>
      </c>
      <c r="D3638" s="2" t="s">
        <v>156</v>
      </c>
      <c r="E3638" s="4">
        <v>-32206</v>
      </c>
      <c r="F3638" s="3" t="s">
        <v>9976</v>
      </c>
      <c r="G3638" s="3" t="s">
        <v>9977</v>
      </c>
      <c r="H3638" s="2" t="s">
        <v>148</v>
      </c>
      <c r="I3638" s="2" t="s">
        <v>9978</v>
      </c>
      <c r="J3638" s="3" t="str">
        <f>HYPERLINK("https://www.boe.es/gazeta/dias/1811/10/27/pdfs/GMD-1811-300.pdf#page=3","Abrir facsímil")</f>
        <v>Abrir facsímil</v>
      </c>
      <c r="K3638" s="3" t="s">
        <v>150</v>
      </c>
    </row>
    <row r="3639" spans="1:11" ht="42" customHeight="1">
      <c r="A3639" s="2" t="s">
        <v>9975</v>
      </c>
      <c r="B3639" s="2" t="s">
        <v>9975</v>
      </c>
      <c r="C3639" s="2" t="s">
        <v>17</v>
      </c>
      <c r="D3639" s="2" t="s">
        <v>156</v>
      </c>
      <c r="E3639" s="4">
        <v>-32201</v>
      </c>
      <c r="F3639" s="3" t="s">
        <v>2643</v>
      </c>
      <c r="G3639" s="3" t="s">
        <v>1087</v>
      </c>
      <c r="H3639" s="2" t="s">
        <v>148</v>
      </c>
      <c r="I3639" s="2" t="s">
        <v>9979</v>
      </c>
      <c r="J3639" s="3" t="str">
        <f>HYPERLINK("https://www.boe.es/gazeta/dias/1811/11/01/pdfs/GMD-1811-305.pdf#page=4","Abrir facsímil")</f>
        <v>Abrir facsímil</v>
      </c>
      <c r="K3639" s="3" t="s">
        <v>150</v>
      </c>
    </row>
    <row r="3640" spans="1:11" ht="42" customHeight="1">
      <c r="A3640" s="2" t="s">
        <v>9980</v>
      </c>
      <c r="B3640" s="2" t="s">
        <v>9981</v>
      </c>
      <c r="C3640" s="2" t="s">
        <v>26</v>
      </c>
      <c r="D3640" s="2" t="s">
        <v>18</v>
      </c>
      <c r="E3640" s="4">
        <v>-32200</v>
      </c>
      <c r="F3640" s="3" t="s">
        <v>109</v>
      </c>
      <c r="G3640" s="3" t="s">
        <v>110</v>
      </c>
      <c r="H3640" s="2" t="s">
        <v>148</v>
      </c>
      <c r="I3640" s="2" t="s">
        <v>9982</v>
      </c>
      <c r="J3640" s="3" t="str">
        <f>HYPERLINK("https://www.boe.es/gazeta/dias/1811/11/02/pdfs/GEI-1811-141.pdf#page=6","Abrir facsímil")</f>
        <v>Abrir facsímil</v>
      </c>
      <c r="K3640" s="3" t="s">
        <v>150</v>
      </c>
    </row>
    <row r="3641" spans="1:11" ht="42" customHeight="1">
      <c r="A3641" s="2" t="s">
        <v>9983</v>
      </c>
      <c r="B3641" s="2" t="s">
        <v>9983</v>
      </c>
      <c r="C3641" s="2" t="s">
        <v>17</v>
      </c>
      <c r="D3641" s="2" t="s">
        <v>18</v>
      </c>
      <c r="E3641" s="4">
        <v>-32358</v>
      </c>
      <c r="F3641" s="3" t="s">
        <v>2971</v>
      </c>
      <c r="G3641" s="3" t="s">
        <v>2972</v>
      </c>
      <c r="H3641" s="2" t="s">
        <v>148</v>
      </c>
      <c r="I3641" s="2" t="s">
        <v>9984</v>
      </c>
      <c r="J3641" s="3" t="str">
        <f>HYPERLINK("https://www.boe.es/gazeta/dias/1811/05/28/pdfs/GEI-1811-72.pdf#page=7","Abrir facsímil")</f>
        <v>Abrir facsímil</v>
      </c>
      <c r="K3641" s="3" t="s">
        <v>150</v>
      </c>
    </row>
    <row r="3642" spans="1:11" ht="42" customHeight="1">
      <c r="A3642" s="2" t="s">
        <v>9985</v>
      </c>
      <c r="B3642" s="2" t="s">
        <v>9985</v>
      </c>
      <c r="C3642" s="2" t="s">
        <v>17</v>
      </c>
      <c r="D3642" s="2" t="s">
        <v>156</v>
      </c>
      <c r="E3642" s="4">
        <v>-32232</v>
      </c>
      <c r="F3642" s="3" t="s">
        <v>1879</v>
      </c>
      <c r="G3642" s="3" t="s">
        <v>20</v>
      </c>
      <c r="H3642" s="2" t="s">
        <v>148</v>
      </c>
      <c r="I3642" s="2" t="s">
        <v>9986</v>
      </c>
      <c r="J3642" s="3" t="str">
        <f>HYPERLINK("https://www.boe.es/gazeta/dias/1811/10/01/pdfs/GMD-1811-274.pdf#page=4","Abrir facsímil")</f>
        <v>Abrir facsímil</v>
      </c>
      <c r="K3642" s="3" t="s">
        <v>150</v>
      </c>
    </row>
    <row r="3643" spans="1:11" ht="42" customHeight="1">
      <c r="A3643" s="2" t="s">
        <v>9987</v>
      </c>
      <c r="B3643" s="2" t="s">
        <v>9987</v>
      </c>
      <c r="C3643" s="2" t="s">
        <v>17</v>
      </c>
      <c r="D3643" s="2" t="s">
        <v>156</v>
      </c>
      <c r="E3643" s="4">
        <v>-32356</v>
      </c>
      <c r="F3643" s="3" t="s">
        <v>1992</v>
      </c>
      <c r="G3643" s="3" t="s">
        <v>3613</v>
      </c>
      <c r="H3643" s="2" t="s">
        <v>148</v>
      </c>
      <c r="I3643" s="2" t="s">
        <v>9988</v>
      </c>
      <c r="J3643" s="3" t="str">
        <f>HYPERLINK("https://www.boe.es/gazeta/dias/1811/05/30/pdfs/GEI-1811-73.pdf#page=5","Abrir facsímil")</f>
        <v>Abrir facsímil</v>
      </c>
      <c r="K3643" s="3" t="s">
        <v>150</v>
      </c>
    </row>
    <row r="3644" spans="1:11" ht="42" customHeight="1">
      <c r="A3644" s="2" t="s">
        <v>9989</v>
      </c>
      <c r="B3644" s="2" t="s">
        <v>9989</v>
      </c>
      <c r="C3644" s="2" t="s">
        <v>17</v>
      </c>
      <c r="D3644" s="2" t="s">
        <v>156</v>
      </c>
      <c r="E3644" s="4">
        <v>-32207</v>
      </c>
      <c r="F3644" s="3" t="s">
        <v>152</v>
      </c>
      <c r="G3644" s="3" t="s">
        <v>607</v>
      </c>
      <c r="H3644" s="2" t="s">
        <v>148</v>
      </c>
      <c r="I3644" s="2" t="s">
        <v>9990</v>
      </c>
      <c r="J3644" s="3" t="str">
        <f>HYPERLINK("https://www.boe.es/gazeta/dias/1811/10/26/pdfs/GEI-1811-138.pdf#page=4","Abrir facsímil")</f>
        <v>Abrir facsímil</v>
      </c>
      <c r="K3644" s="3" t="s">
        <v>150</v>
      </c>
    </row>
    <row r="3645" spans="1:11" ht="42" customHeight="1">
      <c r="A3645" s="2" t="s">
        <v>9991</v>
      </c>
      <c r="B3645" s="2" t="s">
        <v>9991</v>
      </c>
      <c r="C3645" s="2" t="s">
        <v>26</v>
      </c>
      <c r="D3645" s="2" t="s">
        <v>18</v>
      </c>
      <c r="E3645" s="4">
        <v>-32192</v>
      </c>
      <c r="F3645" s="3" t="s">
        <v>673</v>
      </c>
      <c r="G3645" s="3" t="s">
        <v>9992</v>
      </c>
      <c r="H3645" s="2" t="s">
        <v>148</v>
      </c>
      <c r="I3645" s="2" t="s">
        <v>9993</v>
      </c>
      <c r="J3645" s="3" t="str">
        <f>HYPERLINK("https://www.boe.es/gazeta/dias/1811/11/10/pdfs/GMD-1811-314.pdf#page=1","Abrir facsímil")</f>
        <v>Abrir facsímil</v>
      </c>
      <c r="K3645" s="3" t="s">
        <v>150</v>
      </c>
    </row>
    <row r="3646" spans="1:11" ht="42" customHeight="1">
      <c r="A3646" s="2" t="s">
        <v>9994</v>
      </c>
      <c r="B3646" s="2" t="s">
        <v>9994</v>
      </c>
      <c r="C3646" s="2" t="s">
        <v>17</v>
      </c>
      <c r="D3646" s="2" t="s">
        <v>156</v>
      </c>
      <c r="E3646" s="4">
        <v>-32372</v>
      </c>
      <c r="F3646" s="3" t="s">
        <v>2690</v>
      </c>
      <c r="G3646" s="3" t="s">
        <v>44</v>
      </c>
      <c r="H3646" s="2" t="s">
        <v>148</v>
      </c>
      <c r="I3646" s="2" t="s">
        <v>9995</v>
      </c>
      <c r="J3646" s="3" t="str">
        <f>HYPERLINK("https://www.boe.es/gazeta/dias/1811/05/14/pdfs/GEI-1811-63.pdf#page=6","Abrir facsímil")</f>
        <v>Abrir facsímil</v>
      </c>
      <c r="K3646" s="3" t="s">
        <v>150</v>
      </c>
    </row>
    <row r="3647" spans="1:11" ht="42" customHeight="1">
      <c r="A3647" s="2" t="s">
        <v>9994</v>
      </c>
      <c r="B3647" s="2" t="s">
        <v>9994</v>
      </c>
      <c r="C3647" s="2" t="s">
        <v>17</v>
      </c>
      <c r="D3647" s="2" t="s">
        <v>18</v>
      </c>
      <c r="E3647" s="4">
        <v>-32354</v>
      </c>
      <c r="F3647" s="3" t="s">
        <v>2914</v>
      </c>
      <c r="G3647" s="3" t="s">
        <v>468</v>
      </c>
      <c r="H3647" s="2" t="s">
        <v>148</v>
      </c>
      <c r="I3647" s="2" t="s">
        <v>9996</v>
      </c>
      <c r="J3647" s="3" t="str">
        <f>HYPERLINK("https://www.boe.es/gazeta/dias/1811/06/01/pdfs/GEI-1811-74.pdf#page=8","Abrir facsímil")</f>
        <v>Abrir facsímil</v>
      </c>
      <c r="K3647" s="3" t="s">
        <v>150</v>
      </c>
    </row>
    <row r="3648" spans="1:11" ht="42" customHeight="1">
      <c r="A3648" s="2" t="s">
        <v>9997</v>
      </c>
      <c r="B3648" s="2" t="s">
        <v>9997</v>
      </c>
      <c r="C3648" s="2" t="s">
        <v>17</v>
      </c>
      <c r="D3648" s="2" t="s">
        <v>18</v>
      </c>
      <c r="E3648" s="4">
        <v>-32221</v>
      </c>
      <c r="F3648" s="3" t="s">
        <v>747</v>
      </c>
      <c r="G3648" s="3" t="s">
        <v>9998</v>
      </c>
      <c r="H3648" s="2" t="s">
        <v>148</v>
      </c>
      <c r="I3648" s="2" t="s">
        <v>9999</v>
      </c>
      <c r="J3648" s="3" t="str">
        <f>HYPERLINK("https://www.boe.es/gazeta/dias/1811/10/12/pdfs/GEI-1811-131.pdf#page=3","Abrir facsímil")</f>
        <v>Abrir facsímil</v>
      </c>
      <c r="K3648" s="3" t="s">
        <v>150</v>
      </c>
    </row>
    <row r="3649" spans="1:11" ht="42" customHeight="1">
      <c r="A3649" s="2" t="s">
        <v>10000</v>
      </c>
      <c r="B3649" s="2" t="s">
        <v>10001</v>
      </c>
      <c r="C3649" s="2" t="s">
        <v>17</v>
      </c>
      <c r="D3649" s="2" t="s">
        <v>156</v>
      </c>
      <c r="E3649" s="4">
        <v>-32211</v>
      </c>
      <c r="F3649" s="3" t="s">
        <v>1074</v>
      </c>
      <c r="G3649" s="3" t="s">
        <v>248</v>
      </c>
      <c r="H3649" s="2" t="s">
        <v>148</v>
      </c>
      <c r="I3649" s="2" t="s">
        <v>10002</v>
      </c>
      <c r="J3649" s="3" t="str">
        <f>HYPERLINK("https://www.boe.es/gazeta/dias/1811/10/22/pdfs/GEI-1811-136.pdf#page=8","Abrir facsímil")</f>
        <v>Abrir facsímil</v>
      </c>
      <c r="K3649" s="3" t="s">
        <v>150</v>
      </c>
    </row>
    <row r="3650" spans="1:11" ht="42" customHeight="1">
      <c r="A3650" s="2" t="s">
        <v>10003</v>
      </c>
      <c r="B3650" s="2" t="s">
        <v>10003</v>
      </c>
      <c r="C3650" s="2" t="s">
        <v>17</v>
      </c>
      <c r="D3650" s="2" t="s">
        <v>156</v>
      </c>
      <c r="E3650" s="4">
        <v>-32340</v>
      </c>
      <c r="F3650" s="3" t="s">
        <v>565</v>
      </c>
      <c r="G3650" s="3" t="s">
        <v>91</v>
      </c>
      <c r="H3650" s="2" t="s">
        <v>148</v>
      </c>
      <c r="I3650" s="2" t="s">
        <v>10004</v>
      </c>
      <c r="J3650" s="3" t="str">
        <f>HYPERLINK("https://www.boe.es/gazeta/dias/1811/06/15/pdfs/GEI-1811-80.pdf#page=2","Abrir facsímil")</f>
        <v>Abrir facsímil</v>
      </c>
      <c r="K3650" s="3" t="s">
        <v>150</v>
      </c>
    </row>
    <row r="3651" spans="1:11" ht="42" customHeight="1">
      <c r="A3651" s="2" t="s">
        <v>10003</v>
      </c>
      <c r="B3651" s="2" t="s">
        <v>10003</v>
      </c>
      <c r="C3651" s="2" t="s">
        <v>17</v>
      </c>
      <c r="D3651" s="2" t="s">
        <v>156</v>
      </c>
      <c r="E3651" s="4">
        <v>-32200</v>
      </c>
      <c r="F3651" s="3" t="s">
        <v>109</v>
      </c>
      <c r="G3651" s="3" t="s">
        <v>630</v>
      </c>
      <c r="H3651" s="2" t="s">
        <v>148</v>
      </c>
      <c r="I3651" s="2" t="s">
        <v>10005</v>
      </c>
      <c r="J3651" s="3" t="str">
        <f>HYPERLINK("https://www.boe.es/gazeta/dias/1811/11/02/pdfs/GEI-1811-141.pdf#page=2","Abrir facsímil")</f>
        <v>Abrir facsímil</v>
      </c>
      <c r="K3651" s="3" t="s">
        <v>150</v>
      </c>
    </row>
    <row r="3652" spans="1:11" ht="42" customHeight="1">
      <c r="A3652" s="2" t="s">
        <v>10003</v>
      </c>
      <c r="B3652" s="2" t="s">
        <v>10003</v>
      </c>
      <c r="C3652" s="2" t="s">
        <v>17</v>
      </c>
      <c r="D3652" s="2" t="s">
        <v>528</v>
      </c>
      <c r="E3652" s="4">
        <v>-32192</v>
      </c>
      <c r="F3652" s="3" t="s">
        <v>2920</v>
      </c>
      <c r="G3652" s="3" t="s">
        <v>2921</v>
      </c>
      <c r="H3652" s="2" t="s">
        <v>148</v>
      </c>
      <c r="I3652" s="2" t="s">
        <v>10006</v>
      </c>
      <c r="J3652" s="3" t="str">
        <f>HYPERLINK("https://www.boe.es/gazeta/dias/1811/11/10/pdfs/GEI-1811-146E.pdf#page=1","Abrir facsímil")</f>
        <v>Abrir facsímil</v>
      </c>
      <c r="K3652" s="3" t="s">
        <v>150</v>
      </c>
    </row>
    <row r="3653" spans="1:11" ht="42" customHeight="1">
      <c r="A3653" s="2" t="s">
        <v>10007</v>
      </c>
      <c r="B3653" s="2" t="s">
        <v>10008</v>
      </c>
      <c r="C3653" s="2" t="s">
        <v>104</v>
      </c>
      <c r="D3653" s="2" t="s">
        <v>141</v>
      </c>
      <c r="E3653" s="4">
        <v>-32249</v>
      </c>
      <c r="F3653" s="3" t="s">
        <v>5222</v>
      </c>
      <c r="G3653" s="3" t="s">
        <v>8569</v>
      </c>
      <c r="H3653" s="2" t="s">
        <v>148</v>
      </c>
      <c r="I3653" s="2" t="s">
        <v>10009</v>
      </c>
      <c r="J3653" s="3" t="str">
        <f>HYPERLINK("https://www.boe.es/gazeta/dias/1811/09/14/pdfs/GEI-D-1811-119.pdf#page=2","Abrir facsímil")</f>
        <v>Abrir facsímil</v>
      </c>
      <c r="K3653" s="3" t="s">
        <v>150</v>
      </c>
    </row>
    <row r="3654" spans="1:11" ht="42" customHeight="1">
      <c r="A3654" s="2" t="s">
        <v>10010</v>
      </c>
      <c r="B3654" s="2" t="s">
        <v>10011</v>
      </c>
      <c r="C3654" s="2" t="s">
        <v>104</v>
      </c>
      <c r="D3654" s="2" t="s">
        <v>18</v>
      </c>
      <c r="E3654" s="4">
        <v>-32246</v>
      </c>
      <c r="F3654" s="3" t="s">
        <v>19</v>
      </c>
      <c r="G3654" s="3" t="s">
        <v>5368</v>
      </c>
      <c r="H3654" s="2" t="s">
        <v>148</v>
      </c>
      <c r="I3654" s="2" t="s">
        <v>10012</v>
      </c>
      <c r="J3654" s="3" t="str">
        <f>HYPERLINK("https://www.boe.es/gazeta/dias/1811/09/17/pdfs/GEI-1811-120.pdf#page=9","Abrir facsímil")</f>
        <v>Abrir facsímil</v>
      </c>
      <c r="K3654" s="3" t="s">
        <v>150</v>
      </c>
    </row>
    <row r="3655" spans="1:11" ht="42" customHeight="1">
      <c r="A3655" s="2" t="s">
        <v>10010</v>
      </c>
      <c r="B3655" s="2" t="s">
        <v>10011</v>
      </c>
      <c r="C3655" s="2" t="s">
        <v>17</v>
      </c>
      <c r="D3655" s="2" t="s">
        <v>18</v>
      </c>
      <c r="E3655" s="4">
        <v>-32246</v>
      </c>
      <c r="F3655" s="3" t="s">
        <v>19</v>
      </c>
      <c r="G3655" s="3" t="s">
        <v>4541</v>
      </c>
      <c r="H3655" s="2" t="s">
        <v>148</v>
      </c>
      <c r="I3655" s="2" t="s">
        <v>10013</v>
      </c>
      <c r="J3655" s="3" t="str">
        <f>HYPERLINK("https://www.boe.es/gazeta/dias/1811/09/17/pdfs/GEI-1811-120.pdf#page=15","Abrir facsímil")</f>
        <v>Abrir facsímil</v>
      </c>
      <c r="K3655" s="3" t="s">
        <v>150</v>
      </c>
    </row>
    <row r="3656" spans="1:11" ht="42" customHeight="1">
      <c r="A3656" s="2" t="s">
        <v>10010</v>
      </c>
      <c r="B3656" s="2" t="s">
        <v>10011</v>
      </c>
      <c r="C3656" s="2" t="s">
        <v>17</v>
      </c>
      <c r="D3656" s="2" t="s">
        <v>18</v>
      </c>
      <c r="E3656" s="4">
        <v>-32211</v>
      </c>
      <c r="F3656" s="3" t="s">
        <v>1074</v>
      </c>
      <c r="G3656" s="3" t="s">
        <v>1058</v>
      </c>
      <c r="H3656" s="2" t="s">
        <v>148</v>
      </c>
      <c r="I3656" s="2" t="s">
        <v>10014</v>
      </c>
      <c r="J3656" s="3" t="str">
        <f>HYPERLINK("https://www.boe.es/gazeta/dias/1811/10/22/pdfs/GEI-1811-136.pdf#page=6","Abrir facsímil")</f>
        <v>Abrir facsímil</v>
      </c>
      <c r="K3656" s="3" t="s">
        <v>150</v>
      </c>
    </row>
    <row r="3657" spans="1:11" ht="42" customHeight="1">
      <c r="A3657" s="2" t="s">
        <v>10015</v>
      </c>
      <c r="B3657" s="2" t="s">
        <v>10015</v>
      </c>
      <c r="C3657" s="2" t="s">
        <v>17</v>
      </c>
      <c r="D3657" s="2" t="s">
        <v>18</v>
      </c>
      <c r="E3657" s="4">
        <v>-32494</v>
      </c>
      <c r="F3657" s="3" t="s">
        <v>585</v>
      </c>
      <c r="G3657" s="3" t="s">
        <v>20</v>
      </c>
      <c r="H3657" s="2" t="s">
        <v>148</v>
      </c>
      <c r="I3657" s="2" t="s">
        <v>10016</v>
      </c>
      <c r="J3657" s="3" t="str">
        <f>HYPERLINK("https://www.boe.es/gazeta/dias/1811/01/12/pdfs/GMD-1811-12.pdf#page=2","Abrir facsímil")</f>
        <v>Abrir facsímil</v>
      </c>
      <c r="K3657" s="3" t="s">
        <v>150</v>
      </c>
    </row>
    <row r="3658" spans="1:11" ht="42" customHeight="1">
      <c r="A3658" s="2" t="s">
        <v>10017</v>
      </c>
      <c r="B3658" s="2" t="s">
        <v>10018</v>
      </c>
      <c r="C3658" s="2" t="s">
        <v>26</v>
      </c>
      <c r="D3658" s="2" t="s">
        <v>18</v>
      </c>
      <c r="E3658" s="4">
        <v>-32172</v>
      </c>
      <c r="F3658" s="3" t="s">
        <v>300</v>
      </c>
      <c r="G3658" s="3" t="s">
        <v>301</v>
      </c>
      <c r="H3658" s="2" t="s">
        <v>148</v>
      </c>
      <c r="I3658" s="2" t="s">
        <v>10019</v>
      </c>
      <c r="J3658" s="3" t="str">
        <f>HYPERLINK("https://www.boe.es/gazeta/dias/1811/11/30/pdfs/GMD-1811-334.pdf#page=4","Abrir facsímil")</f>
        <v>Abrir facsímil</v>
      </c>
      <c r="K3658" s="3" t="s">
        <v>150</v>
      </c>
    </row>
    <row r="3659" spans="1:11" ht="42" customHeight="1">
      <c r="A3659" s="2" t="s">
        <v>10020</v>
      </c>
      <c r="B3659" s="2" t="s">
        <v>10020</v>
      </c>
      <c r="C3659" s="2" t="s">
        <v>17</v>
      </c>
      <c r="D3659" s="2" t="s">
        <v>156</v>
      </c>
      <c r="E3659" s="4">
        <v>-32374</v>
      </c>
      <c r="F3659" s="3" t="s">
        <v>10021</v>
      </c>
      <c r="G3659" s="3" t="s">
        <v>57</v>
      </c>
      <c r="H3659" s="2" t="s">
        <v>148</v>
      </c>
      <c r="I3659" s="2" t="s">
        <v>10022</v>
      </c>
      <c r="J3659" s="3" t="str">
        <f>HYPERLINK("https://www.boe.es/gazeta/dias/1811/05/12/pdfs/GMD-1811-132.pdf#page=2","Abrir facsímil")</f>
        <v>Abrir facsímil</v>
      </c>
      <c r="K3659" s="3" t="s">
        <v>150</v>
      </c>
    </row>
    <row r="3660" spans="1:11" ht="42" customHeight="1">
      <c r="A3660" s="2" t="s">
        <v>10023</v>
      </c>
      <c r="B3660" s="2" t="s">
        <v>10023</v>
      </c>
      <c r="C3660" s="2" t="s">
        <v>26</v>
      </c>
      <c r="D3660" s="2" t="s">
        <v>18</v>
      </c>
      <c r="E3660" s="4">
        <v>-32385</v>
      </c>
      <c r="F3660" s="3" t="s">
        <v>2952</v>
      </c>
      <c r="G3660" s="3" t="s">
        <v>10024</v>
      </c>
      <c r="H3660" s="2" t="s">
        <v>148</v>
      </c>
      <c r="I3660" s="2" t="s">
        <v>10025</v>
      </c>
      <c r="J3660" s="3" t="str">
        <f>HYPERLINK("https://www.boe.es/gazeta/dias/1811/05/01/pdfs/GMD-1811-121.pdf#page=1","Abrir facsímil")</f>
        <v>Abrir facsímil</v>
      </c>
      <c r="K3660" s="3" t="s">
        <v>150</v>
      </c>
    </row>
    <row r="3661" spans="1:11" ht="42" customHeight="1">
      <c r="A3661" s="2" t="s">
        <v>10026</v>
      </c>
      <c r="B3661" s="2" t="s">
        <v>10027</v>
      </c>
      <c r="C3661" s="2" t="s">
        <v>17</v>
      </c>
      <c r="D3661" s="2" t="s">
        <v>18</v>
      </c>
      <c r="E3661" s="4">
        <v>-32421</v>
      </c>
      <c r="F3661" s="3" t="s">
        <v>79</v>
      </c>
      <c r="G3661" s="3" t="s">
        <v>8682</v>
      </c>
      <c r="H3661" s="2" t="s">
        <v>148</v>
      </c>
      <c r="I3661" s="2" t="s">
        <v>10028</v>
      </c>
      <c r="J3661" s="3" t="str">
        <f>HYPERLINK("https://www.boe.es/gazeta/dias/1811/03/26/pdfs/GEI-1811-42.pdf#page=4","Abrir facsímil")</f>
        <v>Abrir facsímil</v>
      </c>
      <c r="K3661" s="3" t="s">
        <v>150</v>
      </c>
    </row>
    <row r="3662" spans="1:11" ht="42" customHeight="1">
      <c r="A3662" s="2" t="s">
        <v>10029</v>
      </c>
      <c r="B3662" s="2" t="s">
        <v>10030</v>
      </c>
      <c r="C3662" s="2" t="s">
        <v>17</v>
      </c>
      <c r="D3662" s="2" t="s">
        <v>156</v>
      </c>
      <c r="E3662" s="4">
        <v>-32158</v>
      </c>
      <c r="F3662" s="3" t="s">
        <v>46</v>
      </c>
      <c r="G3662" s="3" t="s">
        <v>47</v>
      </c>
      <c r="H3662" s="2" t="s">
        <v>148</v>
      </c>
      <c r="I3662" s="2" t="s">
        <v>10031</v>
      </c>
      <c r="J3662" s="3" t="str">
        <f>HYPERLINK("https://www.boe.es/gazeta/dias/1811/12/14/pdfs/GEI-1811-162.pdf#page=7","Abrir facsímil")</f>
        <v>Abrir facsímil</v>
      </c>
      <c r="K3662" s="3" t="s">
        <v>150</v>
      </c>
    </row>
    <row r="3663" spans="1:11" ht="42" customHeight="1">
      <c r="A3663" s="2" t="s">
        <v>10032</v>
      </c>
      <c r="B3663" s="2" t="s">
        <v>10032</v>
      </c>
      <c r="C3663" s="2" t="s">
        <v>84</v>
      </c>
      <c r="D3663" s="2" t="s">
        <v>18</v>
      </c>
      <c r="E3663" s="4">
        <v>-32204</v>
      </c>
      <c r="F3663" s="3" t="s">
        <v>1053</v>
      </c>
      <c r="G3663" s="3" t="s">
        <v>62</v>
      </c>
      <c r="H3663" s="2" t="s">
        <v>148</v>
      </c>
      <c r="I3663" s="2" t="s">
        <v>10033</v>
      </c>
      <c r="J3663" s="3" t="str">
        <f>HYPERLINK("https://www.boe.es/gazeta/dias/1811/10/29/pdfs/GEI-1811-139.pdf#page=5","Abrir facsímil")</f>
        <v>Abrir facsímil</v>
      </c>
      <c r="K3663" s="3" t="s">
        <v>150</v>
      </c>
    </row>
    <row r="3664" spans="1:11" ht="42" customHeight="1">
      <c r="A3664" s="2" t="s">
        <v>10034</v>
      </c>
      <c r="B3664" s="2" t="s">
        <v>10034</v>
      </c>
      <c r="C3664" s="2" t="s">
        <v>26</v>
      </c>
      <c r="D3664" s="2" t="s">
        <v>18</v>
      </c>
      <c r="E3664" s="4">
        <v>-32187</v>
      </c>
      <c r="F3664" s="3" t="s">
        <v>1775</v>
      </c>
      <c r="G3664" s="3" t="s">
        <v>44</v>
      </c>
      <c r="H3664" s="2" t="s">
        <v>148</v>
      </c>
      <c r="I3664" s="2" t="s">
        <v>10035</v>
      </c>
      <c r="J3664" s="3" t="str">
        <f>HYPERLINK("https://www.boe.es/gazeta/dias/1811/11/15/pdfs/GMD-1811-319.pdf#page=2","Abrir facsímil")</f>
        <v>Abrir facsímil</v>
      </c>
      <c r="K3664" s="3" t="s">
        <v>150</v>
      </c>
    </row>
    <row r="3665" spans="1:11" ht="42" customHeight="1">
      <c r="A3665" s="2" t="s">
        <v>10036</v>
      </c>
      <c r="B3665" s="2" t="s">
        <v>10036</v>
      </c>
      <c r="C3665" s="2" t="s">
        <v>17</v>
      </c>
      <c r="D3665" s="2" t="s">
        <v>18</v>
      </c>
      <c r="E3665" s="4">
        <v>-32495</v>
      </c>
      <c r="F3665" s="3" t="s">
        <v>1681</v>
      </c>
      <c r="G3665" s="3" t="s">
        <v>129</v>
      </c>
      <c r="H3665" s="2" t="s">
        <v>148</v>
      </c>
      <c r="I3665" s="2" t="s">
        <v>10037</v>
      </c>
      <c r="J3665" s="3" t="str">
        <f>HYPERLINK("https://www.boe.es/gazeta/dias/1811/01/11/pdfs/GMD-1811-11.pdf#page=4","Abrir facsímil")</f>
        <v>Abrir facsímil</v>
      </c>
      <c r="K3665" s="3" t="s">
        <v>150</v>
      </c>
    </row>
    <row r="3666" spans="1:11" ht="42" customHeight="1">
      <c r="A3666" s="2" t="s">
        <v>10038</v>
      </c>
      <c r="B3666" s="2" t="s">
        <v>10038</v>
      </c>
      <c r="C3666" s="2" t="s">
        <v>17</v>
      </c>
      <c r="D3666" s="2" t="s">
        <v>18</v>
      </c>
      <c r="E3666" s="4">
        <v>-32498</v>
      </c>
      <c r="F3666" s="3" t="s">
        <v>828</v>
      </c>
      <c r="G3666" s="3" t="s">
        <v>20</v>
      </c>
      <c r="H3666" s="2" t="s">
        <v>148</v>
      </c>
      <c r="I3666" s="2" t="s">
        <v>10039</v>
      </c>
      <c r="J3666" s="3" t="str">
        <f>HYPERLINK("https://www.boe.es/gazeta/dias/1811/01/08/pdfs/GEI-1811-4.pdf#page=6","Abrir facsímil")</f>
        <v>Abrir facsímil</v>
      </c>
      <c r="K3666" s="3" t="s">
        <v>150</v>
      </c>
    </row>
    <row r="3667" spans="1:11" ht="42" customHeight="1">
      <c r="A3667" s="2" t="s">
        <v>10040</v>
      </c>
      <c r="B3667" s="2" t="s">
        <v>10041</v>
      </c>
      <c r="C3667" s="2" t="s">
        <v>37</v>
      </c>
      <c r="D3667" s="2" t="s">
        <v>18</v>
      </c>
      <c r="E3667" s="4">
        <v>-32463</v>
      </c>
      <c r="F3667" s="3" t="s">
        <v>734</v>
      </c>
      <c r="G3667" s="3" t="s">
        <v>735</v>
      </c>
      <c r="H3667" s="2" t="s">
        <v>148</v>
      </c>
      <c r="I3667" s="2" t="s">
        <v>10042</v>
      </c>
      <c r="J3667" s="3" t="str">
        <f>HYPERLINK("https://www.boe.es/gazeta/dias/1811/02/12/pdfs/GEI-1811-19.pdf#page=8","Abrir facsímil")</f>
        <v>Abrir facsímil</v>
      </c>
      <c r="K3667" s="3" t="s">
        <v>150</v>
      </c>
    </row>
    <row r="3668" spans="1:11" ht="42" customHeight="1">
      <c r="A3668" s="2" t="s">
        <v>10043</v>
      </c>
      <c r="B3668" s="2" t="s">
        <v>10044</v>
      </c>
      <c r="C3668" s="2" t="s">
        <v>17</v>
      </c>
      <c r="D3668" s="2" t="s">
        <v>18</v>
      </c>
      <c r="E3668" s="4">
        <v>-32246</v>
      </c>
      <c r="F3668" s="3" t="s">
        <v>19</v>
      </c>
      <c r="G3668" s="3" t="s">
        <v>3606</v>
      </c>
      <c r="H3668" s="2" t="s">
        <v>148</v>
      </c>
      <c r="I3668" s="2" t="s">
        <v>10045</v>
      </c>
      <c r="J3668" s="3" t="str">
        <f>HYPERLINK("https://www.boe.es/gazeta/dias/1811/09/17/pdfs/GEI-1811-120.pdf#page=8","Abrir facsímil")</f>
        <v>Abrir facsímil</v>
      </c>
      <c r="K3668" s="3" t="s">
        <v>150</v>
      </c>
    </row>
    <row r="3669" spans="1:11" ht="42" customHeight="1">
      <c r="A3669" s="2" t="s">
        <v>10046</v>
      </c>
      <c r="B3669" s="2" t="s">
        <v>10047</v>
      </c>
      <c r="C3669" s="2" t="s">
        <v>37</v>
      </c>
      <c r="D3669" s="2" t="s">
        <v>18</v>
      </c>
      <c r="E3669" s="4">
        <v>-32158</v>
      </c>
      <c r="F3669" s="3" t="s">
        <v>46</v>
      </c>
      <c r="G3669" s="3" t="s">
        <v>9321</v>
      </c>
      <c r="H3669" s="2" t="s">
        <v>148</v>
      </c>
      <c r="I3669" s="2" t="s">
        <v>10048</v>
      </c>
      <c r="J3669" s="3" t="str">
        <f>HYPERLINK("https://www.boe.es/gazeta/dias/1811/12/14/pdfs/GEI-1811-162.pdf#page=1","Abrir facsímil")</f>
        <v>Abrir facsímil</v>
      </c>
      <c r="K3669" s="3" t="s">
        <v>150</v>
      </c>
    </row>
    <row r="3670" spans="1:11" ht="42" customHeight="1">
      <c r="A3670" s="2" t="s">
        <v>10049</v>
      </c>
      <c r="B3670" s="2" t="s">
        <v>10049</v>
      </c>
      <c r="C3670" s="2" t="s">
        <v>17</v>
      </c>
      <c r="D3670" s="2" t="s">
        <v>18</v>
      </c>
      <c r="E3670" s="4">
        <v>-32237</v>
      </c>
      <c r="F3670" s="3" t="s">
        <v>717</v>
      </c>
      <c r="G3670" s="3" t="s">
        <v>4065</v>
      </c>
      <c r="H3670" s="2" t="s">
        <v>148</v>
      </c>
      <c r="I3670" s="2" t="s">
        <v>10050</v>
      </c>
      <c r="J3670" s="3" t="str">
        <f>HYPERLINK("https://www.boe.es/gazeta/dias/1811/09/26/pdfs/GEI-1811-124.pdf#page=1","Abrir facsímil")</f>
        <v>Abrir facsímil</v>
      </c>
      <c r="K3670" s="3" t="s">
        <v>150</v>
      </c>
    </row>
    <row r="3671" spans="1:11" ht="42" customHeight="1">
      <c r="A3671" s="2" t="s">
        <v>10051</v>
      </c>
      <c r="B3671" s="2" t="s">
        <v>10052</v>
      </c>
      <c r="C3671" s="2" t="s">
        <v>104</v>
      </c>
      <c r="D3671" s="2" t="s">
        <v>18</v>
      </c>
      <c r="E3671" s="4">
        <v>-32302</v>
      </c>
      <c r="F3671" s="3" t="s">
        <v>864</v>
      </c>
      <c r="G3671" s="3" t="s">
        <v>10053</v>
      </c>
      <c r="H3671" s="2" t="s">
        <v>148</v>
      </c>
      <c r="I3671" s="2" t="s">
        <v>10054</v>
      </c>
      <c r="J3671" s="3" t="str">
        <f>HYPERLINK("https://www.boe.es/gazeta/dias/1811/07/23/pdfs/GEI-1811-96.pdf#page=5","Abrir facsímil")</f>
        <v>Abrir facsímil</v>
      </c>
      <c r="K3671" s="3" t="s">
        <v>150</v>
      </c>
    </row>
    <row r="3672" spans="1:11" ht="42" customHeight="1">
      <c r="A3672" s="2" t="s">
        <v>10055</v>
      </c>
      <c r="B3672" s="2" t="s">
        <v>10056</v>
      </c>
      <c r="C3672" s="2" t="s">
        <v>26</v>
      </c>
      <c r="D3672" s="2" t="s">
        <v>18</v>
      </c>
      <c r="E3672" s="4">
        <v>-32235</v>
      </c>
      <c r="F3672" s="3" t="s">
        <v>190</v>
      </c>
      <c r="G3672" s="3" t="s">
        <v>188</v>
      </c>
      <c r="H3672" s="2" t="s">
        <v>148</v>
      </c>
      <c r="I3672" s="2" t="s">
        <v>10057</v>
      </c>
      <c r="J3672" s="3" t="str">
        <f>HYPERLINK("https://www.boe.es/gazeta/dias/1811/09/28/pdfs/GEI-1811-125.pdf#page=8","Abrir facsímil")</f>
        <v>Abrir facsímil</v>
      </c>
      <c r="K3672" s="3" t="s">
        <v>150</v>
      </c>
    </row>
    <row r="3673" spans="1:11" ht="42" customHeight="1">
      <c r="A3673" s="2" t="s">
        <v>10058</v>
      </c>
      <c r="B3673" s="2" t="s">
        <v>10059</v>
      </c>
      <c r="C3673" s="2" t="s">
        <v>37</v>
      </c>
      <c r="D3673" s="2" t="s">
        <v>18</v>
      </c>
      <c r="E3673" s="4">
        <v>-32258</v>
      </c>
      <c r="F3673" s="3" t="s">
        <v>449</v>
      </c>
      <c r="G3673" s="3" t="s">
        <v>10060</v>
      </c>
      <c r="H3673" s="2" t="s">
        <v>21</v>
      </c>
      <c r="I3673" s="2" t="s">
        <v>10061</v>
      </c>
      <c r="J3673" s="3" t="str">
        <f>HYPERLINK("https://www.boe.es/gazeta/dias/1811/09/05/pdfs/GEI-1811-115.pdf#page=2","Abrir facsímil")</f>
        <v>Abrir facsímil</v>
      </c>
      <c r="K3673" s="3" t="s">
        <v>23</v>
      </c>
    </row>
    <row r="3674" spans="1:11" ht="42" customHeight="1">
      <c r="A3674" s="2" t="s">
        <v>10062</v>
      </c>
      <c r="B3674" s="2" t="s">
        <v>10063</v>
      </c>
      <c r="C3674" s="2" t="s">
        <v>26</v>
      </c>
      <c r="D3674" s="2" t="s">
        <v>18</v>
      </c>
      <c r="E3674" s="4">
        <v>-32344</v>
      </c>
      <c r="F3674" s="3" t="s">
        <v>761</v>
      </c>
      <c r="G3674" s="3" t="s">
        <v>44</v>
      </c>
      <c r="H3674" s="2" t="s">
        <v>148</v>
      </c>
      <c r="I3674" s="2" t="s">
        <v>10064</v>
      </c>
      <c r="J3674" s="3" t="str">
        <f>HYPERLINK("https://www.boe.es/gazeta/dias/1811/06/11/pdfs/GEI-1811-78.pdf#page=7","Abrir facsímil")</f>
        <v>Abrir facsímil</v>
      </c>
      <c r="K3674" s="3" t="s">
        <v>150</v>
      </c>
    </row>
    <row r="3675" spans="1:11" ht="42" customHeight="1">
      <c r="A3675" s="2" t="s">
        <v>10065</v>
      </c>
      <c r="B3675" s="2" t="s">
        <v>10066</v>
      </c>
      <c r="C3675" s="2" t="s">
        <v>122</v>
      </c>
      <c r="D3675" s="2" t="s">
        <v>18</v>
      </c>
      <c r="E3675" s="4">
        <v>-32302</v>
      </c>
      <c r="F3675" s="3" t="s">
        <v>864</v>
      </c>
      <c r="G3675" s="3" t="s">
        <v>47</v>
      </c>
      <c r="H3675" s="2" t="s">
        <v>148</v>
      </c>
      <c r="I3675" s="2" t="s">
        <v>10067</v>
      </c>
      <c r="J3675" s="3" t="str">
        <f>HYPERLINK("https://www.boe.es/gazeta/dias/1811/07/23/pdfs/GEI-1811-96.pdf#page=4","Abrir facsímil")</f>
        <v>Abrir facsímil</v>
      </c>
      <c r="K3675" s="3" t="s">
        <v>150</v>
      </c>
    </row>
    <row r="3676" spans="1:11" ht="42" customHeight="1">
      <c r="A3676" s="2" t="s">
        <v>10065</v>
      </c>
      <c r="B3676" s="2" t="s">
        <v>10066</v>
      </c>
      <c r="C3676" s="2" t="s">
        <v>26</v>
      </c>
      <c r="D3676" s="2" t="s">
        <v>18</v>
      </c>
      <c r="E3676" s="4">
        <v>-32258</v>
      </c>
      <c r="F3676" s="3" t="s">
        <v>449</v>
      </c>
      <c r="G3676" s="3" t="s">
        <v>10060</v>
      </c>
      <c r="H3676" s="2" t="s">
        <v>148</v>
      </c>
      <c r="I3676" s="2" t="s">
        <v>10068</v>
      </c>
      <c r="J3676" s="3" t="str">
        <f>HYPERLINK("https://www.boe.es/gazeta/dias/1811/09/05/pdfs/GEI-1811-115.pdf#page=2","Abrir facsímil")</f>
        <v>Abrir facsímil</v>
      </c>
      <c r="K3676" s="3" t="s">
        <v>150</v>
      </c>
    </row>
    <row r="3677" spans="1:11" ht="42" customHeight="1">
      <c r="A3677" s="2" t="s">
        <v>10069</v>
      </c>
      <c r="B3677" s="2" t="s">
        <v>10070</v>
      </c>
      <c r="C3677" s="2" t="s">
        <v>26</v>
      </c>
      <c r="D3677" s="2" t="s">
        <v>18</v>
      </c>
      <c r="E3677" s="4">
        <v>-32283</v>
      </c>
      <c r="F3677" s="3" t="s">
        <v>90</v>
      </c>
      <c r="G3677" s="3" t="s">
        <v>91</v>
      </c>
      <c r="H3677" s="2" t="s">
        <v>148</v>
      </c>
      <c r="I3677" s="2" t="s">
        <v>10071</v>
      </c>
      <c r="J3677" s="3" t="str">
        <f>HYPERLINK("https://www.boe.es/gazeta/dias/1811/08/11/pdfs/GMD-1811-223.pdf#page=4","Abrir facsímil")</f>
        <v>Abrir facsímil</v>
      </c>
      <c r="K3677" s="3" t="s">
        <v>150</v>
      </c>
    </row>
    <row r="3678" spans="1:11" ht="42" customHeight="1">
      <c r="A3678" s="2" t="s">
        <v>10072</v>
      </c>
      <c r="B3678" s="2" t="s">
        <v>10073</v>
      </c>
      <c r="C3678" s="2" t="s">
        <v>26</v>
      </c>
      <c r="D3678" s="2" t="s">
        <v>18</v>
      </c>
      <c r="E3678" s="4">
        <v>-32251</v>
      </c>
      <c r="F3678" s="3" t="s">
        <v>726</v>
      </c>
      <c r="G3678" s="3" t="s">
        <v>44</v>
      </c>
      <c r="H3678" s="2" t="s">
        <v>148</v>
      </c>
      <c r="I3678" s="2" t="s">
        <v>10074</v>
      </c>
      <c r="J3678" s="3" t="str">
        <f>HYPERLINK("https://www.boe.es/gazeta/dias/1811/09/12/pdfs/GEI-1811-118.pdf#page=7","Abrir facsímil")</f>
        <v>Abrir facsímil</v>
      </c>
      <c r="K3678" s="3" t="s">
        <v>150</v>
      </c>
    </row>
    <row r="3679" spans="1:11" ht="42" customHeight="1">
      <c r="A3679" s="2" t="s">
        <v>10075</v>
      </c>
      <c r="B3679" s="2" t="s">
        <v>10076</v>
      </c>
      <c r="C3679" s="2" t="s">
        <v>26</v>
      </c>
      <c r="D3679" s="2" t="s">
        <v>18</v>
      </c>
      <c r="E3679" s="4">
        <v>-32249</v>
      </c>
      <c r="F3679" s="3" t="s">
        <v>182</v>
      </c>
      <c r="G3679" s="3" t="s">
        <v>44</v>
      </c>
      <c r="H3679" s="2" t="s">
        <v>148</v>
      </c>
      <c r="I3679" s="2" t="s">
        <v>10077</v>
      </c>
      <c r="J3679" s="3" t="str">
        <f>HYPERLINK("https://www.boe.es/gazeta/dias/1811/09/14/pdfs/GMD-1811-257.pdf#page=3","Abrir facsímil")</f>
        <v>Abrir facsímil</v>
      </c>
      <c r="K3679" s="3" t="s">
        <v>150</v>
      </c>
    </row>
    <row r="3680" spans="1:11" ht="42" customHeight="1">
      <c r="A3680" s="2" t="s">
        <v>10078</v>
      </c>
      <c r="B3680" s="2" t="s">
        <v>10078</v>
      </c>
      <c r="C3680" s="2" t="s">
        <v>17</v>
      </c>
      <c r="D3680" s="2" t="s">
        <v>18</v>
      </c>
      <c r="E3680" s="4">
        <v>-32225</v>
      </c>
      <c r="F3680" s="3" t="s">
        <v>2347</v>
      </c>
      <c r="G3680" s="3" t="s">
        <v>178</v>
      </c>
      <c r="H3680" s="2" t="s">
        <v>148</v>
      </c>
      <c r="I3680" s="2" t="s">
        <v>10079</v>
      </c>
      <c r="J3680" s="3" t="str">
        <f>HYPERLINK("https://www.boe.es/gazeta/dias/1811/10/08/pdfs/GMD-1811-281.pdf#page=2","Abrir facsímil")</f>
        <v>Abrir facsímil</v>
      </c>
      <c r="K3680" s="3" t="s">
        <v>150</v>
      </c>
    </row>
    <row r="3681" spans="1:11" ht="42" customHeight="1">
      <c r="A3681" s="2" t="s">
        <v>10078</v>
      </c>
      <c r="B3681" s="2" t="s">
        <v>10078</v>
      </c>
      <c r="C3681" s="2" t="s">
        <v>17</v>
      </c>
      <c r="D3681" s="2" t="s">
        <v>18</v>
      </c>
      <c r="E3681" s="4">
        <v>-32218</v>
      </c>
      <c r="F3681" s="3" t="s">
        <v>545</v>
      </c>
      <c r="G3681" s="3" t="s">
        <v>110</v>
      </c>
      <c r="H3681" s="2" t="s">
        <v>148</v>
      </c>
      <c r="I3681" s="2" t="s">
        <v>10080</v>
      </c>
      <c r="J3681" s="3" t="str">
        <f>HYPERLINK("https://www.boe.es/gazeta/dias/1811/10/15/pdfs/GMD-1811-288.pdf#page=2","Abrir facsímil")</f>
        <v>Abrir facsímil</v>
      </c>
      <c r="K3681" s="3" t="s">
        <v>150</v>
      </c>
    </row>
    <row r="3682" spans="1:11" ht="42" customHeight="1">
      <c r="A3682" s="2" t="s">
        <v>10081</v>
      </c>
      <c r="B3682" s="2" t="s">
        <v>10081</v>
      </c>
      <c r="C3682" s="2" t="s">
        <v>17</v>
      </c>
      <c r="D3682" s="2" t="s">
        <v>18</v>
      </c>
      <c r="E3682" s="4">
        <v>-32428</v>
      </c>
      <c r="F3682" s="3" t="s">
        <v>351</v>
      </c>
      <c r="G3682" s="3" t="s">
        <v>352</v>
      </c>
      <c r="H3682" s="2" t="s">
        <v>148</v>
      </c>
      <c r="I3682" s="2" t="s">
        <v>10082</v>
      </c>
      <c r="J3682" s="3" t="str">
        <f>HYPERLINK("https://www.boe.es/gazeta/dias/1811/03/19/pdfs/GMD-1811-78.pdf#page=4","Abrir facsímil")</f>
        <v>Abrir facsímil</v>
      </c>
      <c r="K3682" s="3" t="s">
        <v>150</v>
      </c>
    </row>
    <row r="3683" spans="1:11" ht="42" customHeight="1">
      <c r="A3683" s="2" t="s">
        <v>10083</v>
      </c>
      <c r="B3683" s="2" t="s">
        <v>10084</v>
      </c>
      <c r="C3683" s="2" t="s">
        <v>26</v>
      </c>
      <c r="D3683" s="2" t="s">
        <v>18</v>
      </c>
      <c r="E3683" s="4">
        <v>-32155</v>
      </c>
      <c r="F3683" s="3" t="s">
        <v>263</v>
      </c>
      <c r="G3683" s="3" t="s">
        <v>264</v>
      </c>
      <c r="H3683" s="2" t="s">
        <v>148</v>
      </c>
      <c r="I3683" s="2" t="s">
        <v>10085</v>
      </c>
      <c r="J3683" s="3" t="str">
        <f>HYPERLINK("https://www.boe.es/gazeta/dias/1811/12/17/pdfs/GEI-1811-163.pdf#page=8","Abrir facsímil")</f>
        <v>Abrir facsímil</v>
      </c>
      <c r="K3683" s="3" t="s">
        <v>150</v>
      </c>
    </row>
    <row r="3684" spans="1:11" ht="42" customHeight="1">
      <c r="A3684" s="2" t="s">
        <v>10086</v>
      </c>
      <c r="B3684" s="2" t="s">
        <v>10087</v>
      </c>
      <c r="C3684" s="2" t="s">
        <v>26</v>
      </c>
      <c r="D3684" s="2" t="s">
        <v>18</v>
      </c>
      <c r="E3684" s="4">
        <v>-32416</v>
      </c>
      <c r="F3684" s="3" t="s">
        <v>954</v>
      </c>
      <c r="G3684" s="3" t="s">
        <v>183</v>
      </c>
      <c r="H3684" s="2" t="s">
        <v>148</v>
      </c>
      <c r="I3684" s="2" t="s">
        <v>10088</v>
      </c>
      <c r="J3684" s="3" t="str">
        <f>HYPERLINK("https://www.boe.es/gazeta/dias/1811/03/31/pdfs/GMD-1811-90.pdf#page=4","Abrir facsímil")</f>
        <v>Abrir facsímil</v>
      </c>
      <c r="K3684" s="3" t="s">
        <v>150</v>
      </c>
    </row>
    <row r="3685" spans="1:11" ht="42" customHeight="1">
      <c r="A3685" s="2" t="s">
        <v>10089</v>
      </c>
      <c r="B3685" s="2" t="s">
        <v>10090</v>
      </c>
      <c r="C3685" s="2" t="s">
        <v>26</v>
      </c>
      <c r="D3685" s="2" t="s">
        <v>18</v>
      </c>
      <c r="E3685" s="4">
        <v>-32295</v>
      </c>
      <c r="F3685" s="3" t="s">
        <v>279</v>
      </c>
      <c r="G3685" s="3" t="s">
        <v>44</v>
      </c>
      <c r="H3685" s="2" t="s">
        <v>148</v>
      </c>
      <c r="I3685" s="2" t="s">
        <v>10091</v>
      </c>
      <c r="J3685" s="3" t="str">
        <f>HYPERLINK("https://www.boe.es/gazeta/dias/1811/07/30/pdfs/GEI-1811-99.pdf#page=8","Abrir facsímil")</f>
        <v>Abrir facsímil</v>
      </c>
      <c r="K3685" s="3" t="s">
        <v>150</v>
      </c>
    </row>
    <row r="3686" spans="1:11" ht="42" customHeight="1">
      <c r="A3686" s="2" t="s">
        <v>10092</v>
      </c>
      <c r="B3686" s="2" t="s">
        <v>10092</v>
      </c>
      <c r="C3686" s="2" t="s">
        <v>17</v>
      </c>
      <c r="D3686" s="2" t="s">
        <v>18</v>
      </c>
      <c r="E3686" s="4">
        <v>-32283</v>
      </c>
      <c r="F3686" s="3" t="s">
        <v>90</v>
      </c>
      <c r="G3686" s="3" t="s">
        <v>515</v>
      </c>
      <c r="H3686" s="2" t="s">
        <v>148</v>
      </c>
      <c r="I3686" s="2" t="s">
        <v>10093</v>
      </c>
      <c r="J3686" s="3" t="str">
        <f>HYPERLINK("https://www.boe.es/gazeta/dias/1811/08/11/pdfs/GMD-1811-223.pdf#page=3","Abrir facsímil")</f>
        <v>Abrir facsímil</v>
      </c>
      <c r="K3686" s="3" t="s">
        <v>150</v>
      </c>
    </row>
    <row r="3687" spans="1:11" ht="42" customHeight="1">
      <c r="A3687" s="2" t="s">
        <v>10094</v>
      </c>
      <c r="B3687" s="2" t="s">
        <v>10094</v>
      </c>
      <c r="C3687" s="2" t="s">
        <v>17</v>
      </c>
      <c r="D3687" s="2" t="s">
        <v>18</v>
      </c>
      <c r="E3687" s="4">
        <v>-32207</v>
      </c>
      <c r="F3687" s="3" t="s">
        <v>152</v>
      </c>
      <c r="G3687" s="3" t="s">
        <v>193</v>
      </c>
      <c r="H3687" s="2" t="s">
        <v>148</v>
      </c>
      <c r="I3687" s="2" t="s">
        <v>10095</v>
      </c>
      <c r="J3687" s="3" t="str">
        <f>HYPERLINK("https://www.boe.es/gazeta/dias/1811/10/26/pdfs/GEI-1811-138.pdf#page=7","Abrir facsímil")</f>
        <v>Abrir facsímil</v>
      </c>
      <c r="K3687" s="3" t="s">
        <v>150</v>
      </c>
    </row>
    <row r="3688" spans="1:11" ht="42" customHeight="1">
      <c r="A3688" s="2" t="s">
        <v>10096</v>
      </c>
      <c r="B3688" s="2" t="s">
        <v>10097</v>
      </c>
      <c r="C3688" s="2" t="s">
        <v>17</v>
      </c>
      <c r="D3688" s="2" t="s">
        <v>156</v>
      </c>
      <c r="E3688" s="4">
        <v>-32459</v>
      </c>
      <c r="F3688" s="3" t="s">
        <v>1034</v>
      </c>
      <c r="G3688" s="3" t="s">
        <v>2256</v>
      </c>
      <c r="H3688" s="2" t="s">
        <v>21</v>
      </c>
      <c r="I3688" s="2" t="s">
        <v>10098</v>
      </c>
      <c r="J3688" s="3" t="str">
        <f>HYPERLINK("https://www.boe.es/gazeta/dias/1811/02/16/pdfs/GEI-1811-21.pdf#page=6","Abrir facsímil")</f>
        <v>Abrir facsímil</v>
      </c>
      <c r="K3688" s="3" t="s">
        <v>23</v>
      </c>
    </row>
    <row r="3689" spans="1:11" ht="42" customHeight="1">
      <c r="A3689" s="2" t="s">
        <v>10096</v>
      </c>
      <c r="B3689" s="2" t="s">
        <v>10097</v>
      </c>
      <c r="C3689" s="2" t="s">
        <v>17</v>
      </c>
      <c r="D3689" s="2" t="s">
        <v>156</v>
      </c>
      <c r="E3689" s="4">
        <v>-32235</v>
      </c>
      <c r="F3689" s="3" t="s">
        <v>190</v>
      </c>
      <c r="G3689" s="3" t="s">
        <v>188</v>
      </c>
      <c r="H3689" s="2" t="s">
        <v>21</v>
      </c>
      <c r="I3689" s="2" t="s">
        <v>10099</v>
      </c>
      <c r="J3689" s="3" t="str">
        <f>HYPERLINK("https://www.boe.es/gazeta/dias/1811/09/28/pdfs/GEI-1811-125.pdf#page=8","Abrir facsímil")</f>
        <v>Abrir facsímil</v>
      </c>
      <c r="K3689" s="3" t="s">
        <v>23</v>
      </c>
    </row>
    <row r="3690" spans="1:11" ht="42" customHeight="1">
      <c r="A3690" s="2" t="s">
        <v>10100</v>
      </c>
      <c r="B3690" s="2" t="s">
        <v>10101</v>
      </c>
      <c r="C3690" s="2" t="s">
        <v>66</v>
      </c>
      <c r="D3690" s="2" t="s">
        <v>105</v>
      </c>
      <c r="E3690" s="4">
        <v>-32416</v>
      </c>
      <c r="F3690" s="3" t="s">
        <v>954</v>
      </c>
      <c r="G3690" s="3" t="s">
        <v>47</v>
      </c>
      <c r="H3690" s="2" t="s">
        <v>21</v>
      </c>
      <c r="I3690" s="2" t="s">
        <v>10102</v>
      </c>
      <c r="J3690" s="3" t="str">
        <f>HYPERLINK("https://www.boe.es/gazeta/dias/1811/03/31/pdfs/GMD-1811-90.pdf#page=3","Abrir facsímil")</f>
        <v>Abrir facsímil</v>
      </c>
      <c r="K3690" s="3" t="s">
        <v>23</v>
      </c>
    </row>
    <row r="3691" spans="1:11" ht="42" customHeight="1">
      <c r="A3691" s="2" t="s">
        <v>10103</v>
      </c>
      <c r="B3691" s="2" t="s">
        <v>10104</v>
      </c>
      <c r="C3691" s="2" t="s">
        <v>104</v>
      </c>
      <c r="D3691" s="2" t="s">
        <v>18</v>
      </c>
      <c r="E3691" s="4">
        <v>-32421</v>
      </c>
      <c r="F3691" s="3" t="s">
        <v>79</v>
      </c>
      <c r="G3691" s="3" t="s">
        <v>80</v>
      </c>
      <c r="H3691" s="2" t="s">
        <v>21</v>
      </c>
      <c r="I3691" s="2" t="s">
        <v>10105</v>
      </c>
      <c r="J3691" s="3" t="str">
        <f>HYPERLINK("https://www.boe.es/gazeta/dias/1811/03/26/pdfs/GEI-1811-42.pdf#page=7","Abrir facsímil")</f>
        <v>Abrir facsímil</v>
      </c>
      <c r="K3691" s="3" t="s">
        <v>23</v>
      </c>
    </row>
    <row r="3692" spans="1:11" ht="42" customHeight="1">
      <c r="A3692" s="2" t="s">
        <v>10106</v>
      </c>
      <c r="B3692" s="2" t="s">
        <v>10107</v>
      </c>
      <c r="C3692" s="2" t="s">
        <v>17</v>
      </c>
      <c r="D3692" s="2" t="s">
        <v>528</v>
      </c>
      <c r="E3692" s="4">
        <v>-32191</v>
      </c>
      <c r="F3692" s="3" t="s">
        <v>2538</v>
      </c>
      <c r="G3692" s="3" t="s">
        <v>9436</v>
      </c>
      <c r="H3692" s="2" t="s">
        <v>21</v>
      </c>
      <c r="I3692" s="2" t="s">
        <v>10108</v>
      </c>
      <c r="J3692" s="3" t="str">
        <f>HYPERLINK("https://www.boe.es/gazeta/dias/1811/11/11/pdfs/GEI-1811-147E.pdf#page=6","Abrir facsímil")</f>
        <v>Abrir facsímil</v>
      </c>
      <c r="K3692" s="3" t="s">
        <v>23</v>
      </c>
    </row>
    <row r="3693" spans="1:11" ht="42" customHeight="1">
      <c r="A3693" s="2" t="s">
        <v>10109</v>
      </c>
      <c r="B3693" s="2" t="s">
        <v>10110</v>
      </c>
      <c r="C3693" s="2" t="s">
        <v>17</v>
      </c>
      <c r="D3693" s="2" t="s">
        <v>156</v>
      </c>
      <c r="E3693" s="4">
        <v>-32452</v>
      </c>
      <c r="F3693" s="3" t="s">
        <v>106</v>
      </c>
      <c r="G3693" s="3" t="s">
        <v>47</v>
      </c>
      <c r="H3693" s="2" t="s">
        <v>21</v>
      </c>
      <c r="I3693" s="2" t="s">
        <v>10111</v>
      </c>
      <c r="J3693" s="3" t="str">
        <f>HYPERLINK("https://www.boe.es/gazeta/dias/1811/02/23/pdfs/GEI-1811-24.pdf#page=3","Abrir facsímil")</f>
        <v>Abrir facsímil</v>
      </c>
      <c r="K3693" s="3" t="s">
        <v>23</v>
      </c>
    </row>
    <row r="3694" spans="1:11" ht="42" customHeight="1">
      <c r="A3694" s="2" t="s">
        <v>10112</v>
      </c>
      <c r="B3694" s="2" t="s">
        <v>10113</v>
      </c>
      <c r="C3694" s="2" t="s">
        <v>104</v>
      </c>
      <c r="D3694" s="2" t="s">
        <v>18</v>
      </c>
      <c r="E3694" s="4">
        <v>-32181</v>
      </c>
      <c r="F3694" s="3" t="s">
        <v>1169</v>
      </c>
      <c r="G3694" s="3" t="s">
        <v>1170</v>
      </c>
      <c r="H3694" s="2" t="s">
        <v>21</v>
      </c>
      <c r="I3694" s="2" t="s">
        <v>10114</v>
      </c>
      <c r="J3694" s="3" t="str">
        <f>HYPERLINK("https://www.boe.es/gazeta/dias/1811/11/21/pdfs/GMD-1811-325.pdf#page=4","Abrir facsímil")</f>
        <v>Abrir facsímil</v>
      </c>
      <c r="K3694" s="3" t="s">
        <v>23</v>
      </c>
    </row>
    <row r="3695" spans="1:11" ht="42" customHeight="1">
      <c r="A3695" s="2" t="s">
        <v>10115</v>
      </c>
      <c r="B3695" s="2" t="s">
        <v>10116</v>
      </c>
      <c r="C3695" s="2" t="s">
        <v>122</v>
      </c>
      <c r="D3695" s="2" t="s">
        <v>18</v>
      </c>
      <c r="E3695" s="4">
        <v>-32226</v>
      </c>
      <c r="F3695" s="3" t="s">
        <v>618</v>
      </c>
      <c r="G3695" s="3" t="s">
        <v>1565</v>
      </c>
      <c r="H3695" s="2" t="s">
        <v>148</v>
      </c>
      <c r="I3695" s="2" t="s">
        <v>10117</v>
      </c>
      <c r="J3695" s="3" t="str">
        <f>HYPERLINK("https://www.boe.es/gazeta/dias/1811/10/07/pdfs/GMD-1811-280.pdf#page=4","Abrir facsímil")</f>
        <v>Abrir facsímil</v>
      </c>
      <c r="K3695" s="3" t="s">
        <v>150</v>
      </c>
    </row>
    <row r="3696" spans="1:11" ht="42" customHeight="1">
      <c r="A3696" s="2" t="s">
        <v>10118</v>
      </c>
      <c r="B3696" s="2" t="s">
        <v>10119</v>
      </c>
      <c r="C3696" s="2" t="s">
        <v>17</v>
      </c>
      <c r="D3696" s="2" t="s">
        <v>18</v>
      </c>
      <c r="E3696" s="4">
        <v>-32449</v>
      </c>
      <c r="F3696" s="3" t="s">
        <v>381</v>
      </c>
      <c r="G3696" s="3" t="s">
        <v>8960</v>
      </c>
      <c r="H3696" s="2" t="s">
        <v>148</v>
      </c>
      <c r="I3696" s="2" t="s">
        <v>10120</v>
      </c>
      <c r="J3696" s="3" t="str">
        <f>HYPERLINK("https://www.boe.es/gazeta/dias/1811/02/26/pdfs/GEI-1811-25.pdf#page=4","Abrir facsímil")</f>
        <v>Abrir facsímil</v>
      </c>
      <c r="K3696" s="3" t="s">
        <v>150</v>
      </c>
    </row>
    <row r="3697" spans="1:11" ht="42" customHeight="1">
      <c r="A3697" s="2" t="s">
        <v>10121</v>
      </c>
      <c r="B3697" s="2" t="s">
        <v>10122</v>
      </c>
      <c r="C3697" s="2" t="s">
        <v>26</v>
      </c>
      <c r="D3697" s="2" t="s">
        <v>18</v>
      </c>
      <c r="E3697" s="4">
        <v>-32302</v>
      </c>
      <c r="F3697" s="3" t="s">
        <v>864</v>
      </c>
      <c r="G3697" s="3" t="s">
        <v>865</v>
      </c>
      <c r="H3697" s="2" t="s">
        <v>148</v>
      </c>
      <c r="I3697" s="2" t="s">
        <v>10123</v>
      </c>
      <c r="J3697" s="3" t="str">
        <f>HYPERLINK("https://www.boe.es/gazeta/dias/1811/07/23/pdfs/GEI-1811-96.pdf#page=2","Abrir facsímil")</f>
        <v>Abrir facsímil</v>
      </c>
      <c r="K3697" s="3" t="s">
        <v>150</v>
      </c>
    </row>
    <row r="3698" spans="1:11" ht="42" customHeight="1">
      <c r="A3698" s="2" t="s">
        <v>10124</v>
      </c>
      <c r="B3698" s="2" t="s">
        <v>10125</v>
      </c>
      <c r="C3698" s="2" t="s">
        <v>26</v>
      </c>
      <c r="D3698" s="2" t="s">
        <v>105</v>
      </c>
      <c r="E3698" s="4">
        <v>-32249</v>
      </c>
      <c r="F3698" s="3" t="s">
        <v>743</v>
      </c>
      <c r="G3698" s="3" t="s">
        <v>468</v>
      </c>
      <c r="H3698" s="2" t="s">
        <v>148</v>
      </c>
      <c r="I3698" s="2" t="s">
        <v>10126</v>
      </c>
      <c r="J3698" s="3" t="str">
        <f>HYPERLINK("https://www.boe.es/gazeta/dias/1811/09/14/pdfs/GMD-C-1811-257.pdf#page=1","Abrir facsímil")</f>
        <v>Abrir facsímil</v>
      </c>
      <c r="K3698" s="3" t="s">
        <v>150</v>
      </c>
    </row>
    <row r="3699" spans="1:11" ht="42" customHeight="1">
      <c r="A3699" s="2" t="s">
        <v>10127</v>
      </c>
      <c r="B3699" s="2" t="s">
        <v>10128</v>
      </c>
      <c r="C3699" s="2" t="s">
        <v>17</v>
      </c>
      <c r="D3699" s="2" t="s">
        <v>18</v>
      </c>
      <c r="E3699" s="4">
        <v>-32337</v>
      </c>
      <c r="F3699" s="3" t="s">
        <v>5266</v>
      </c>
      <c r="G3699" s="3" t="s">
        <v>4049</v>
      </c>
      <c r="H3699" s="2" t="s">
        <v>148</v>
      </c>
      <c r="I3699" s="2" t="s">
        <v>10129</v>
      </c>
      <c r="J3699" s="3" t="str">
        <f>HYPERLINK("https://www.boe.es/gazeta/dias/1811/06/18/pdfs/GEI-1811-81.pdf#page=5","Abrir facsímil")</f>
        <v>Abrir facsímil</v>
      </c>
      <c r="K3699" s="3" t="s">
        <v>150</v>
      </c>
    </row>
    <row r="3700" spans="1:11" ht="42" customHeight="1">
      <c r="A3700" s="2" t="s">
        <v>10130</v>
      </c>
      <c r="B3700" s="2" t="s">
        <v>10131</v>
      </c>
      <c r="C3700" s="2" t="s">
        <v>26</v>
      </c>
      <c r="D3700" s="2" t="s">
        <v>18</v>
      </c>
      <c r="E3700" s="4">
        <v>-32158</v>
      </c>
      <c r="F3700" s="3" t="s">
        <v>46</v>
      </c>
      <c r="G3700" s="3" t="s">
        <v>47</v>
      </c>
      <c r="H3700" s="2" t="s">
        <v>148</v>
      </c>
      <c r="I3700" s="2" t="s">
        <v>10132</v>
      </c>
      <c r="J3700" s="3" t="str">
        <f>HYPERLINK("https://www.boe.es/gazeta/dias/1811/12/14/pdfs/GEI-1811-162.pdf#page=7","Abrir facsímil")</f>
        <v>Abrir facsímil</v>
      </c>
      <c r="K3700" s="3" t="s">
        <v>150</v>
      </c>
    </row>
    <row r="3701" spans="1:11" ht="42" customHeight="1">
      <c r="A3701" s="2" t="s">
        <v>10133</v>
      </c>
      <c r="B3701" s="2" t="s">
        <v>10134</v>
      </c>
      <c r="C3701" s="2" t="s">
        <v>17</v>
      </c>
      <c r="D3701" s="2" t="s">
        <v>18</v>
      </c>
      <c r="E3701" s="4">
        <v>-32328</v>
      </c>
      <c r="F3701" s="3" t="s">
        <v>1653</v>
      </c>
      <c r="G3701" s="3" t="s">
        <v>2555</v>
      </c>
      <c r="H3701" s="2" t="s">
        <v>148</v>
      </c>
      <c r="I3701" s="2" t="s">
        <v>10135</v>
      </c>
      <c r="J3701" s="3" t="str">
        <f>HYPERLINK("https://www.boe.es/gazeta/dias/1811/06/27/pdfs/GEI-1811-85.pdf#page=7","Abrir facsímil")</f>
        <v>Abrir facsímil</v>
      </c>
      <c r="K3701" s="3" t="s">
        <v>150</v>
      </c>
    </row>
    <row r="3702" spans="1:11" ht="42" customHeight="1">
      <c r="A3702" s="2" t="s">
        <v>10136</v>
      </c>
      <c r="B3702" s="2" t="s">
        <v>10136</v>
      </c>
      <c r="C3702" s="2" t="s">
        <v>17</v>
      </c>
      <c r="D3702" s="2" t="s">
        <v>156</v>
      </c>
      <c r="E3702" s="4">
        <v>-32438</v>
      </c>
      <c r="F3702" s="3" t="s">
        <v>114</v>
      </c>
      <c r="G3702" s="3" t="s">
        <v>183</v>
      </c>
      <c r="H3702" s="2" t="s">
        <v>148</v>
      </c>
      <c r="I3702" s="2" t="s">
        <v>10137</v>
      </c>
      <c r="J3702" s="3" t="str">
        <f>HYPERLINK("https://www.boe.es/gazeta/dias/1811/03/09/pdfs/GEI-1811-33.pdf#page=4","Abrir facsímil")</f>
        <v>Abrir facsímil</v>
      </c>
      <c r="K3702" s="3" t="s">
        <v>150</v>
      </c>
    </row>
    <row r="3703" spans="1:11" ht="42" customHeight="1">
      <c r="A3703" s="2" t="s">
        <v>10136</v>
      </c>
      <c r="B3703" s="2" t="s">
        <v>10136</v>
      </c>
      <c r="C3703" s="2" t="s">
        <v>17</v>
      </c>
      <c r="D3703" s="2" t="s">
        <v>105</v>
      </c>
      <c r="E3703" s="4">
        <v>-32428</v>
      </c>
      <c r="F3703" s="3" t="s">
        <v>351</v>
      </c>
      <c r="G3703" s="3" t="s">
        <v>115</v>
      </c>
      <c r="H3703" s="2" t="s">
        <v>148</v>
      </c>
      <c r="I3703" s="2" t="s">
        <v>10138</v>
      </c>
      <c r="J3703" s="3" t="str">
        <f>HYPERLINK("https://www.boe.es/gazeta/dias/1811/03/19/pdfs/GMD-1811-78.pdf#page=3","Abrir facsímil")</f>
        <v>Abrir facsímil</v>
      </c>
      <c r="K3703" s="3" t="s">
        <v>150</v>
      </c>
    </row>
    <row r="3704" spans="1:11" ht="42" customHeight="1">
      <c r="A3704" s="2" t="s">
        <v>10136</v>
      </c>
      <c r="B3704" s="2" t="s">
        <v>10136</v>
      </c>
      <c r="C3704" s="2" t="s">
        <v>84</v>
      </c>
      <c r="D3704" s="2" t="s">
        <v>18</v>
      </c>
      <c r="E3704" s="4">
        <v>-32237</v>
      </c>
      <c r="F3704" s="3" t="s">
        <v>136</v>
      </c>
      <c r="G3704" s="3" t="s">
        <v>162</v>
      </c>
      <c r="H3704" s="2" t="s">
        <v>148</v>
      </c>
      <c r="I3704" s="2" t="s">
        <v>10139</v>
      </c>
      <c r="J3704" s="3" t="str">
        <f>HYPERLINK("https://www.boe.es/gazeta/dias/1811/09/26/pdfs/GMD-1811-269.pdf#page=4","Abrir facsímil")</f>
        <v>Abrir facsímil</v>
      </c>
      <c r="K3704" s="3" t="s">
        <v>150</v>
      </c>
    </row>
    <row r="3705" spans="1:11" ht="42" customHeight="1">
      <c r="A3705" s="2" t="s">
        <v>10140</v>
      </c>
      <c r="B3705" s="2" t="s">
        <v>10140</v>
      </c>
      <c r="C3705" s="2" t="s">
        <v>17</v>
      </c>
      <c r="D3705" s="2" t="s">
        <v>156</v>
      </c>
      <c r="E3705" s="4">
        <v>-32316</v>
      </c>
      <c r="F3705" s="3" t="s">
        <v>5337</v>
      </c>
      <c r="G3705" s="3" t="s">
        <v>57</v>
      </c>
      <c r="H3705" s="2" t="s">
        <v>148</v>
      </c>
      <c r="I3705" s="2" t="s">
        <v>10141</v>
      </c>
      <c r="J3705" s="3" t="str">
        <f>HYPERLINK("https://www.boe.es/gazeta/dias/1811/07/09/pdfs/GEI-1811-90.pdf#page=2","Abrir facsímil")</f>
        <v>Abrir facsímil</v>
      </c>
      <c r="K3705" s="3" t="s">
        <v>150</v>
      </c>
    </row>
    <row r="3706" spans="1:11" ht="42" customHeight="1">
      <c r="A3706" s="2" t="s">
        <v>10142</v>
      </c>
      <c r="B3706" s="2" t="s">
        <v>10143</v>
      </c>
      <c r="C3706" s="2" t="s">
        <v>26</v>
      </c>
      <c r="D3706" s="2" t="s">
        <v>18</v>
      </c>
      <c r="E3706" s="4">
        <v>-32475</v>
      </c>
      <c r="F3706" s="3" t="s">
        <v>259</v>
      </c>
      <c r="G3706" s="3" t="s">
        <v>115</v>
      </c>
      <c r="H3706" s="2" t="s">
        <v>148</v>
      </c>
      <c r="I3706" s="2" t="s">
        <v>10144</v>
      </c>
      <c r="J3706" s="3" t="str">
        <f>HYPERLINK("https://www.boe.es/gazeta/dias/1811/01/31/pdfs/GMD-1811-31.pdf#page=3","Abrir facsímil")</f>
        <v>Abrir facsímil</v>
      </c>
      <c r="K3706" s="3" t="s">
        <v>150</v>
      </c>
    </row>
    <row r="3707" spans="1:11" ht="42" customHeight="1">
      <c r="A3707" s="2" t="s">
        <v>10145</v>
      </c>
      <c r="B3707" s="2" t="s">
        <v>10145</v>
      </c>
      <c r="C3707" s="2" t="s">
        <v>17</v>
      </c>
      <c r="D3707" s="2" t="s">
        <v>156</v>
      </c>
      <c r="E3707" s="4">
        <v>-32330</v>
      </c>
      <c r="F3707" s="3" t="s">
        <v>1997</v>
      </c>
      <c r="G3707" s="3" t="s">
        <v>2404</v>
      </c>
      <c r="H3707" s="2" t="s">
        <v>148</v>
      </c>
      <c r="I3707" s="2" t="s">
        <v>10146</v>
      </c>
      <c r="J3707" s="3" t="str">
        <f>HYPERLINK("https://www.boe.es/gazeta/dias/1811/06/25/pdfs/GMD-1811-176.pdf#page=4","Abrir facsímil")</f>
        <v>Abrir facsímil</v>
      </c>
      <c r="K3707" s="3" t="s">
        <v>150</v>
      </c>
    </row>
    <row r="3708" spans="1:11" ht="42" customHeight="1">
      <c r="A3708" s="2" t="s">
        <v>10147</v>
      </c>
      <c r="B3708" s="2" t="s">
        <v>10148</v>
      </c>
      <c r="C3708" s="2" t="s">
        <v>26</v>
      </c>
      <c r="D3708" s="2" t="s">
        <v>18</v>
      </c>
      <c r="E3708" s="4">
        <v>-32188</v>
      </c>
      <c r="F3708" s="3" t="s">
        <v>356</v>
      </c>
      <c r="G3708" s="3" t="s">
        <v>248</v>
      </c>
      <c r="H3708" s="2" t="s">
        <v>148</v>
      </c>
      <c r="I3708" s="2" t="s">
        <v>10149</v>
      </c>
      <c r="J3708" s="3" t="str">
        <f>HYPERLINK("https://www.boe.es/gazeta/dias/1811/11/14/pdfs/GMD-1811-318.pdf#page=5","Abrir facsímil")</f>
        <v>Abrir facsímil</v>
      </c>
      <c r="K3708" s="3" t="s">
        <v>150</v>
      </c>
    </row>
    <row r="3709" spans="1:11" ht="42" customHeight="1">
      <c r="A3709" s="2" t="s">
        <v>10150</v>
      </c>
      <c r="B3709" s="2" t="s">
        <v>10151</v>
      </c>
      <c r="C3709" s="2" t="s">
        <v>17</v>
      </c>
      <c r="D3709" s="2" t="s">
        <v>18</v>
      </c>
      <c r="E3709" s="4">
        <v>-32386</v>
      </c>
      <c r="F3709" s="3" t="s">
        <v>6053</v>
      </c>
      <c r="G3709" s="3" t="s">
        <v>8226</v>
      </c>
      <c r="H3709" s="2" t="s">
        <v>148</v>
      </c>
      <c r="I3709" s="2" t="s">
        <v>10152</v>
      </c>
      <c r="J3709" s="3" t="str">
        <f>HYPERLINK("https://www.boe.es/gazeta/dias/1811/04/30/pdfs/GMD-1811-120.pdf#page=1","Abrir facsímil")</f>
        <v>Abrir facsímil</v>
      </c>
      <c r="K3709" s="3" t="s">
        <v>150</v>
      </c>
    </row>
    <row r="3710" spans="1:11" ht="42" customHeight="1">
      <c r="A3710" s="2" t="s">
        <v>10153</v>
      </c>
      <c r="B3710" s="2" t="s">
        <v>10153</v>
      </c>
      <c r="C3710" s="2" t="s">
        <v>17</v>
      </c>
      <c r="D3710" s="2" t="s">
        <v>18</v>
      </c>
      <c r="E3710" s="4">
        <v>-32454</v>
      </c>
      <c r="F3710" s="3" t="s">
        <v>2268</v>
      </c>
      <c r="G3710" s="3" t="s">
        <v>5554</v>
      </c>
      <c r="H3710" s="2" t="s">
        <v>148</v>
      </c>
      <c r="I3710" s="2" t="s">
        <v>10154</v>
      </c>
      <c r="J3710" s="3" t="str">
        <f>HYPERLINK("https://www.boe.es/gazeta/dias/1811/02/21/pdfs/GEI-1811-23.pdf#page=3","Abrir facsímil")</f>
        <v>Abrir facsímil</v>
      </c>
      <c r="K3710" s="3" t="s">
        <v>150</v>
      </c>
    </row>
    <row r="3711" spans="1:11" ht="42" customHeight="1">
      <c r="A3711" s="2" t="s">
        <v>10155</v>
      </c>
      <c r="B3711" s="2" t="s">
        <v>10156</v>
      </c>
      <c r="C3711" s="2" t="s">
        <v>26</v>
      </c>
      <c r="D3711" s="2" t="s">
        <v>18</v>
      </c>
      <c r="E3711" s="4">
        <v>-32155</v>
      </c>
      <c r="F3711" s="3" t="s">
        <v>263</v>
      </c>
      <c r="G3711" s="3" t="s">
        <v>264</v>
      </c>
      <c r="H3711" s="2" t="s">
        <v>148</v>
      </c>
      <c r="I3711" s="2" t="s">
        <v>10157</v>
      </c>
      <c r="J3711" s="3" t="str">
        <f>HYPERLINK("https://www.boe.es/gazeta/dias/1811/12/17/pdfs/GEI-1811-163.pdf#page=8","Abrir facsímil")</f>
        <v>Abrir facsímil</v>
      </c>
      <c r="K3711" s="3" t="s">
        <v>150</v>
      </c>
    </row>
    <row r="3712" spans="1:11" ht="42" customHeight="1">
      <c r="A3712" s="2" t="s">
        <v>10158</v>
      </c>
      <c r="B3712" s="2" t="s">
        <v>10158</v>
      </c>
      <c r="C3712" s="2" t="s">
        <v>17</v>
      </c>
      <c r="D3712" s="2" t="s">
        <v>204</v>
      </c>
      <c r="E3712" s="4">
        <v>-32328</v>
      </c>
      <c r="F3712" s="3" t="s">
        <v>2055</v>
      </c>
      <c r="G3712" s="3" t="s">
        <v>4049</v>
      </c>
      <c r="H3712" s="2" t="s">
        <v>148</v>
      </c>
      <c r="I3712" s="2" t="s">
        <v>10159</v>
      </c>
      <c r="J3712" s="3" t="str">
        <f>HYPERLINK("https://www.boe.es/gazeta/dias/1811/06/27/pdfs/GMD-1811-178.pdf#page=2","Abrir facsímil")</f>
        <v>Abrir facsímil</v>
      </c>
      <c r="K3712" s="3" t="s">
        <v>150</v>
      </c>
    </row>
    <row r="3713" spans="1:11" ht="42" customHeight="1">
      <c r="A3713" s="2" t="s">
        <v>10160</v>
      </c>
      <c r="B3713" s="2" t="s">
        <v>10161</v>
      </c>
      <c r="C3713" s="2" t="s">
        <v>26</v>
      </c>
      <c r="D3713" s="2" t="s">
        <v>18</v>
      </c>
      <c r="E3713" s="4">
        <v>-32235</v>
      </c>
      <c r="F3713" s="3" t="s">
        <v>190</v>
      </c>
      <c r="G3713" s="3" t="s">
        <v>188</v>
      </c>
      <c r="H3713" s="2" t="s">
        <v>148</v>
      </c>
      <c r="I3713" s="2" t="s">
        <v>10162</v>
      </c>
      <c r="J3713" s="3" t="str">
        <f>HYPERLINK("https://www.boe.es/gazeta/dias/1811/09/28/pdfs/GEI-1811-125.pdf#page=8","Abrir facsímil")</f>
        <v>Abrir facsímil</v>
      </c>
      <c r="K3713" s="3" t="s">
        <v>150</v>
      </c>
    </row>
    <row r="3714" spans="1:11" ht="42" customHeight="1">
      <c r="A3714" s="2" t="s">
        <v>10163</v>
      </c>
      <c r="B3714" s="2" t="s">
        <v>10164</v>
      </c>
      <c r="C3714" s="2" t="s">
        <v>26</v>
      </c>
      <c r="D3714" s="2" t="s">
        <v>18</v>
      </c>
      <c r="E3714" s="4">
        <v>-32289</v>
      </c>
      <c r="F3714" s="3" t="s">
        <v>10165</v>
      </c>
      <c r="G3714" s="3" t="s">
        <v>52</v>
      </c>
      <c r="H3714" s="2" t="s">
        <v>148</v>
      </c>
      <c r="I3714" s="2" t="s">
        <v>10166</v>
      </c>
      <c r="J3714" s="3" t="str">
        <f>HYPERLINK("https://www.boe.es/gazeta/dias/1811/08/05/pdfs/GMD-1811-217.pdf#page=3","Abrir facsímil")</f>
        <v>Abrir facsímil</v>
      </c>
      <c r="K3714" s="3" t="s">
        <v>150</v>
      </c>
    </row>
    <row r="3715" spans="1:11" ht="42" customHeight="1">
      <c r="A3715" s="2" t="s">
        <v>10167</v>
      </c>
      <c r="B3715" s="2" t="s">
        <v>10168</v>
      </c>
      <c r="C3715" s="2" t="s">
        <v>104</v>
      </c>
      <c r="D3715" s="2" t="s">
        <v>18</v>
      </c>
      <c r="E3715" s="4">
        <v>-32241</v>
      </c>
      <c r="F3715" s="3" t="s">
        <v>514</v>
      </c>
      <c r="G3715" s="3" t="s">
        <v>515</v>
      </c>
      <c r="H3715" s="2" t="s">
        <v>148</v>
      </c>
      <c r="I3715" s="2" t="s">
        <v>10169</v>
      </c>
      <c r="J3715" s="3" t="str">
        <f>HYPERLINK("https://www.boe.es/gazeta/dias/1811/09/22/pdfs/GMD-1811-265.pdf#page=4","Abrir facsímil")</f>
        <v>Abrir facsímil</v>
      </c>
      <c r="K3715" s="3" t="s">
        <v>150</v>
      </c>
    </row>
    <row r="3716" spans="1:11" ht="42" customHeight="1">
      <c r="A3716" s="2" t="s">
        <v>10170</v>
      </c>
      <c r="B3716" s="2" t="s">
        <v>10171</v>
      </c>
      <c r="C3716" s="2" t="s">
        <v>26</v>
      </c>
      <c r="D3716" s="2" t="s">
        <v>18</v>
      </c>
      <c r="E3716" s="4">
        <v>-32489</v>
      </c>
      <c r="F3716" s="3" t="s">
        <v>2073</v>
      </c>
      <c r="G3716" s="3" t="s">
        <v>44</v>
      </c>
      <c r="H3716" s="2" t="s">
        <v>148</v>
      </c>
      <c r="I3716" s="2" t="s">
        <v>10172</v>
      </c>
      <c r="J3716" s="3" t="str">
        <f>HYPERLINK("https://www.boe.es/gazeta/dias/1811/01/17/pdfs/GEI-1811-8.pdf#page=8","Abrir facsímil")</f>
        <v>Abrir facsímil</v>
      </c>
      <c r="K3716" s="3" t="s">
        <v>150</v>
      </c>
    </row>
    <row r="3717" spans="1:11" ht="42" customHeight="1">
      <c r="A3717" s="2" t="s">
        <v>10173</v>
      </c>
      <c r="B3717" s="2" t="s">
        <v>10174</v>
      </c>
      <c r="C3717" s="2" t="s">
        <v>26</v>
      </c>
      <c r="D3717" s="2" t="s">
        <v>105</v>
      </c>
      <c r="E3717" s="4">
        <v>-32298</v>
      </c>
      <c r="F3717" s="3" t="s">
        <v>133</v>
      </c>
      <c r="G3717" s="3" t="s">
        <v>134</v>
      </c>
      <c r="H3717" s="2" t="s">
        <v>148</v>
      </c>
      <c r="I3717" s="2" t="s">
        <v>10175</v>
      </c>
      <c r="J3717" s="3" t="str">
        <f>HYPERLINK("https://www.boe.es/gazeta/dias/1811/07/27/pdfs/GEI-1811-98.pdf#page=7","Abrir facsímil")</f>
        <v>Abrir facsímil</v>
      </c>
      <c r="K3717" s="3" t="s">
        <v>150</v>
      </c>
    </row>
    <row r="3718" spans="1:11" ht="42" customHeight="1">
      <c r="A3718" s="2" t="s">
        <v>10176</v>
      </c>
      <c r="B3718" s="2" t="s">
        <v>10177</v>
      </c>
      <c r="C3718" s="2" t="s">
        <v>37</v>
      </c>
      <c r="D3718" s="2" t="s">
        <v>105</v>
      </c>
      <c r="E3718" s="4">
        <v>-32433</v>
      </c>
      <c r="F3718" s="3" t="s">
        <v>209</v>
      </c>
      <c r="G3718" s="3" t="s">
        <v>488</v>
      </c>
      <c r="H3718" s="2" t="s">
        <v>148</v>
      </c>
      <c r="I3718" s="2" t="s">
        <v>10178</v>
      </c>
      <c r="J3718" s="3" t="str">
        <f>HYPERLINK("https://www.boe.es/gazeta/dias/1811/03/14/pdfs/GMD-1811-73.pdf#page=2","Abrir facsímil")</f>
        <v>Abrir facsímil</v>
      </c>
      <c r="K3718" s="3" t="s">
        <v>150</v>
      </c>
    </row>
    <row r="3719" spans="1:11" ht="42" customHeight="1">
      <c r="A3719" s="2" t="s">
        <v>10179</v>
      </c>
      <c r="B3719" s="2" t="s">
        <v>10180</v>
      </c>
      <c r="C3719" s="2" t="s">
        <v>26</v>
      </c>
      <c r="D3719" s="2" t="s">
        <v>18</v>
      </c>
      <c r="E3719" s="4">
        <v>-32153</v>
      </c>
      <c r="F3719" s="3" t="s">
        <v>123</v>
      </c>
      <c r="G3719" s="3" t="s">
        <v>288</v>
      </c>
      <c r="H3719" s="2" t="s">
        <v>148</v>
      </c>
      <c r="I3719" s="2" t="s">
        <v>10181</v>
      </c>
      <c r="J3719" s="3" t="str">
        <f>HYPERLINK("https://www.boe.es/gazeta/dias/1811/12/19/pdfs/GMD-1811-353.pdf#page=4","Abrir facsímil")</f>
        <v>Abrir facsímil</v>
      </c>
      <c r="K3719" s="3" t="s">
        <v>150</v>
      </c>
    </row>
    <row r="3720" spans="1:11" ht="42" customHeight="1">
      <c r="A3720" s="2" t="s">
        <v>10182</v>
      </c>
      <c r="B3720" s="2" t="s">
        <v>10183</v>
      </c>
      <c r="C3720" s="2" t="s">
        <v>841</v>
      </c>
      <c r="D3720" s="2" t="s">
        <v>18</v>
      </c>
      <c r="E3720" s="4">
        <v>-32470</v>
      </c>
      <c r="F3720" s="3" t="s">
        <v>1432</v>
      </c>
      <c r="G3720" s="3" t="s">
        <v>515</v>
      </c>
      <c r="H3720" s="2" t="s">
        <v>148</v>
      </c>
      <c r="I3720" s="2" t="s">
        <v>10184</v>
      </c>
      <c r="J3720" s="3" t="str">
        <f>HYPERLINK("https://www.boe.es/gazeta/dias/1811/02/05/pdfs/GEI-1811-16.pdf#page=1","Abrir facsímil")</f>
        <v>Abrir facsímil</v>
      </c>
      <c r="K3720" s="3" t="s">
        <v>150</v>
      </c>
    </row>
    <row r="3721" spans="1:11" ht="42" customHeight="1">
      <c r="A3721" s="2" t="s">
        <v>10185</v>
      </c>
      <c r="B3721" s="2" t="s">
        <v>10186</v>
      </c>
      <c r="C3721" s="2" t="s">
        <v>37</v>
      </c>
      <c r="D3721" s="2" t="s">
        <v>105</v>
      </c>
      <c r="E3721" s="4">
        <v>-32249</v>
      </c>
      <c r="F3721" s="3" t="s">
        <v>182</v>
      </c>
      <c r="G3721" s="3" t="s">
        <v>183</v>
      </c>
      <c r="H3721" s="2" t="s">
        <v>148</v>
      </c>
      <c r="I3721" s="2" t="s">
        <v>10187</v>
      </c>
      <c r="J3721" s="3" t="str">
        <f>HYPERLINK("https://www.boe.es/gazeta/dias/1811/09/14/pdfs/GMD-1811-257.pdf#page=4","Abrir facsímil")</f>
        <v>Abrir facsímil</v>
      </c>
      <c r="K3721" s="3" t="s">
        <v>150</v>
      </c>
    </row>
    <row r="3722" spans="1:11" ht="42" customHeight="1">
      <c r="A3722" s="2" t="s">
        <v>10188</v>
      </c>
      <c r="B3722" s="2" t="s">
        <v>10189</v>
      </c>
      <c r="C3722" s="2" t="s">
        <v>37</v>
      </c>
      <c r="D3722" s="2" t="s">
        <v>18</v>
      </c>
      <c r="E3722" s="4">
        <v>-32416</v>
      </c>
      <c r="F3722" s="3" t="s">
        <v>954</v>
      </c>
      <c r="G3722" s="3" t="s">
        <v>183</v>
      </c>
      <c r="H3722" s="2" t="s">
        <v>148</v>
      </c>
      <c r="I3722" s="2" t="s">
        <v>10190</v>
      </c>
      <c r="J3722" s="3" t="str">
        <f>HYPERLINK("https://www.boe.es/gazeta/dias/1811/03/31/pdfs/GMD-1811-90.pdf#page=4","Abrir facsímil")</f>
        <v>Abrir facsímil</v>
      </c>
      <c r="K3722" s="3" t="s">
        <v>150</v>
      </c>
    </row>
    <row r="3723" spans="1:11" ht="42" customHeight="1">
      <c r="A3723" s="2" t="s">
        <v>10191</v>
      </c>
      <c r="B3723" s="2" t="s">
        <v>10192</v>
      </c>
      <c r="C3723" s="2" t="s">
        <v>26</v>
      </c>
      <c r="D3723" s="2" t="s">
        <v>18</v>
      </c>
      <c r="E3723" s="4">
        <v>-32433</v>
      </c>
      <c r="F3723" s="3" t="s">
        <v>209</v>
      </c>
      <c r="G3723" s="3" t="s">
        <v>488</v>
      </c>
      <c r="H3723" s="2" t="s">
        <v>148</v>
      </c>
      <c r="I3723" s="2" t="s">
        <v>10193</v>
      </c>
      <c r="J3723" s="3" t="str">
        <f>HYPERLINK("https://www.boe.es/gazeta/dias/1811/03/14/pdfs/GMD-1811-73.pdf#page=2","Abrir facsímil")</f>
        <v>Abrir facsímil</v>
      </c>
      <c r="K3723" s="3" t="s">
        <v>150</v>
      </c>
    </row>
    <row r="3724" spans="1:11" ht="42" customHeight="1">
      <c r="A3724" s="2" t="s">
        <v>10194</v>
      </c>
      <c r="B3724" s="2" t="s">
        <v>10195</v>
      </c>
      <c r="C3724" s="2" t="s">
        <v>26</v>
      </c>
      <c r="D3724" s="2" t="s">
        <v>18</v>
      </c>
      <c r="E3724" s="4">
        <v>-32433</v>
      </c>
      <c r="F3724" s="3" t="s">
        <v>209</v>
      </c>
      <c r="G3724" s="3" t="s">
        <v>488</v>
      </c>
      <c r="H3724" s="2" t="s">
        <v>148</v>
      </c>
      <c r="I3724" s="2" t="s">
        <v>10196</v>
      </c>
      <c r="J3724" s="3" t="str">
        <f>HYPERLINK("https://www.boe.es/gazeta/dias/1811/03/14/pdfs/GMD-1811-73.pdf#page=2","Abrir facsímil")</f>
        <v>Abrir facsímil</v>
      </c>
      <c r="K3724" s="3" t="s">
        <v>150</v>
      </c>
    </row>
    <row r="3725" spans="1:11" ht="42" customHeight="1">
      <c r="A3725" s="2" t="s">
        <v>10197</v>
      </c>
      <c r="B3725" s="2" t="s">
        <v>10198</v>
      </c>
      <c r="C3725" s="2" t="s">
        <v>26</v>
      </c>
      <c r="D3725" s="2" t="s">
        <v>204</v>
      </c>
      <c r="E3725" s="4">
        <v>-32189</v>
      </c>
      <c r="F3725" s="3" t="s">
        <v>8935</v>
      </c>
      <c r="G3725" s="3" t="s">
        <v>1551</v>
      </c>
      <c r="H3725" s="2" t="s">
        <v>148</v>
      </c>
      <c r="I3725" s="2" t="s">
        <v>10199</v>
      </c>
      <c r="J3725" s="3" t="str">
        <f>HYPERLINK("https://www.boe.es/gazeta/dias/1811/11/13/pdfs/GMD-1811-317.pdf#page=1","Abrir facsímil")</f>
        <v>Abrir facsímil</v>
      </c>
      <c r="K3725" s="3" t="s">
        <v>150</v>
      </c>
    </row>
    <row r="3726" spans="1:11" ht="42" customHeight="1">
      <c r="A3726" s="2" t="s">
        <v>10200</v>
      </c>
      <c r="B3726" s="2" t="s">
        <v>10200</v>
      </c>
      <c r="C3726" s="2" t="s">
        <v>26</v>
      </c>
      <c r="D3726" s="2" t="s">
        <v>204</v>
      </c>
      <c r="E3726" s="4">
        <v>-32160</v>
      </c>
      <c r="F3726" s="3" t="s">
        <v>205</v>
      </c>
      <c r="G3726" s="3" t="s">
        <v>20</v>
      </c>
      <c r="H3726" s="2" t="s">
        <v>148</v>
      </c>
      <c r="I3726" s="2" t="s">
        <v>10201</v>
      </c>
      <c r="J3726" s="3" t="str">
        <f>HYPERLINK("https://www.boe.es/gazeta/dias/1811/12/12/pdfs/GMD-1811-346.pdf#page=2","Abrir facsímil")</f>
        <v>Abrir facsímil</v>
      </c>
      <c r="K3726" s="3" t="s">
        <v>150</v>
      </c>
    </row>
    <row r="3727" spans="1:11" ht="42" customHeight="1">
      <c r="A3727" s="2" t="s">
        <v>10202</v>
      </c>
      <c r="B3727" s="2" t="s">
        <v>10203</v>
      </c>
      <c r="C3727" s="2" t="s">
        <v>17</v>
      </c>
      <c r="D3727" s="2" t="s">
        <v>18</v>
      </c>
      <c r="E3727" s="4">
        <v>-32414</v>
      </c>
      <c r="F3727" s="3" t="s">
        <v>213</v>
      </c>
      <c r="G3727" s="3" t="s">
        <v>3249</v>
      </c>
      <c r="H3727" s="2" t="s">
        <v>148</v>
      </c>
      <c r="I3727" s="2" t="s">
        <v>10204</v>
      </c>
      <c r="J3727" s="3" t="str">
        <f>HYPERLINK("https://www.boe.es/gazeta/dias/1811/04/02/pdfs/GEI-1811-45.pdf#page=8","Abrir facsímil")</f>
        <v>Abrir facsímil</v>
      </c>
      <c r="K3727" s="3" t="s">
        <v>150</v>
      </c>
    </row>
    <row r="3728" spans="1:11" ht="42" customHeight="1">
      <c r="A3728" s="2" t="s">
        <v>10205</v>
      </c>
      <c r="B3728" s="2" t="s">
        <v>10206</v>
      </c>
      <c r="C3728" s="2" t="s">
        <v>17</v>
      </c>
      <c r="D3728" s="2" t="s">
        <v>18</v>
      </c>
      <c r="E3728" s="4">
        <v>-32192</v>
      </c>
      <c r="F3728" s="3" t="s">
        <v>673</v>
      </c>
      <c r="G3728" s="3" t="s">
        <v>305</v>
      </c>
      <c r="H3728" s="2" t="s">
        <v>148</v>
      </c>
      <c r="I3728" s="2" t="s">
        <v>10207</v>
      </c>
      <c r="J3728" s="3" t="str">
        <f>HYPERLINK("https://www.boe.es/gazeta/dias/1811/11/10/pdfs/GMD-1811-314.pdf#page=4","Abrir facsímil")</f>
        <v>Abrir facsímil</v>
      </c>
      <c r="K3728" s="3" t="s">
        <v>150</v>
      </c>
    </row>
    <row r="3729" spans="1:11" ht="42" customHeight="1">
      <c r="A3729" s="2" t="s">
        <v>10208</v>
      </c>
      <c r="B3729" s="2" t="s">
        <v>10209</v>
      </c>
      <c r="C3729" s="2" t="s">
        <v>17</v>
      </c>
      <c r="D3729" s="2" t="s">
        <v>141</v>
      </c>
      <c r="E3729" s="4">
        <v>-32211</v>
      </c>
      <c r="F3729" s="3" t="s">
        <v>2887</v>
      </c>
      <c r="G3729" s="3" t="s">
        <v>10210</v>
      </c>
      <c r="H3729" s="2" t="s">
        <v>148</v>
      </c>
      <c r="I3729" s="2" t="s">
        <v>10211</v>
      </c>
      <c r="J3729" s="3" t="str">
        <f>HYPERLINK("https://www.boe.es/gazeta/dias/1811/10/22/pdfs/GEI-D-1811-136.pdf#page=3","Abrir facsímil")</f>
        <v>Abrir facsímil</v>
      </c>
      <c r="K3729" s="3" t="s">
        <v>150</v>
      </c>
    </row>
    <row r="3730" spans="1:11" ht="42" customHeight="1">
      <c r="A3730" s="2" t="s">
        <v>10212</v>
      </c>
      <c r="B3730" s="2" t="s">
        <v>10213</v>
      </c>
      <c r="C3730" s="2" t="s">
        <v>26</v>
      </c>
      <c r="D3730" s="2" t="s">
        <v>141</v>
      </c>
      <c r="E3730" s="4">
        <v>-32280</v>
      </c>
      <c r="F3730" s="3" t="s">
        <v>142</v>
      </c>
      <c r="G3730" s="3" t="s">
        <v>597</v>
      </c>
      <c r="H3730" s="2" t="s">
        <v>148</v>
      </c>
      <c r="I3730" s="2" t="s">
        <v>10214</v>
      </c>
      <c r="J3730" s="3" t="str">
        <f>HYPERLINK("https://www.boe.es/gazeta/dias/1811/08/14/pdfs/GMD-C-1811-226.pdf#page=2","Abrir facsímil")</f>
        <v>Abrir facsímil</v>
      </c>
      <c r="K3730" s="3" t="s">
        <v>150</v>
      </c>
    </row>
    <row r="3731" spans="1:11" ht="42" customHeight="1">
      <c r="A3731" s="2" t="s">
        <v>10215</v>
      </c>
      <c r="B3731" s="2" t="s">
        <v>10216</v>
      </c>
      <c r="C3731" s="2" t="s">
        <v>26</v>
      </c>
      <c r="D3731" s="2" t="s">
        <v>105</v>
      </c>
      <c r="E3731" s="4">
        <v>-32280</v>
      </c>
      <c r="F3731" s="3" t="s">
        <v>142</v>
      </c>
      <c r="G3731" s="3" t="s">
        <v>597</v>
      </c>
      <c r="H3731" s="2" t="s">
        <v>148</v>
      </c>
      <c r="I3731" s="2" t="s">
        <v>10217</v>
      </c>
      <c r="J3731" s="3" t="str">
        <f>HYPERLINK("https://www.boe.es/gazeta/dias/1811/08/14/pdfs/GMD-C-1811-226.pdf#page=2","Abrir facsímil")</f>
        <v>Abrir facsímil</v>
      </c>
      <c r="K3731" s="3" t="s">
        <v>150</v>
      </c>
    </row>
    <row r="3732" spans="1:11" ht="42" customHeight="1">
      <c r="A3732" s="2" t="s">
        <v>10218</v>
      </c>
      <c r="B3732" s="2" t="s">
        <v>10219</v>
      </c>
      <c r="C3732" s="2" t="s">
        <v>26</v>
      </c>
      <c r="D3732" s="2" t="s">
        <v>18</v>
      </c>
      <c r="E3732" s="4">
        <v>-32242</v>
      </c>
      <c r="F3732" s="3" t="s">
        <v>3015</v>
      </c>
      <c r="G3732" s="3" t="s">
        <v>7851</v>
      </c>
      <c r="H3732" s="2" t="s">
        <v>148</v>
      </c>
      <c r="I3732" s="2" t="s">
        <v>10220</v>
      </c>
      <c r="J3732" s="3" t="str">
        <f>HYPERLINK("https://www.boe.es/gazeta/dias/1811/09/21/pdfs/GMD-1811-264.pdf#page=3","Abrir facsímil")</f>
        <v>Abrir facsímil</v>
      </c>
      <c r="K3732" s="3" t="s">
        <v>150</v>
      </c>
    </row>
    <row r="3733" spans="1:11" ht="42" customHeight="1">
      <c r="A3733" s="2" t="s">
        <v>10221</v>
      </c>
      <c r="B3733" s="2" t="s">
        <v>10222</v>
      </c>
      <c r="C3733" s="2" t="s">
        <v>17</v>
      </c>
      <c r="D3733" s="2" t="s">
        <v>141</v>
      </c>
      <c r="E3733" s="4">
        <v>-32249</v>
      </c>
      <c r="F3733" s="3" t="s">
        <v>5222</v>
      </c>
      <c r="G3733" s="3" t="s">
        <v>20</v>
      </c>
      <c r="H3733" s="2" t="s">
        <v>148</v>
      </c>
      <c r="I3733" s="2" t="s">
        <v>10223</v>
      </c>
      <c r="J3733" s="3" t="str">
        <f>HYPERLINK("https://www.boe.es/gazeta/dias/1811/09/14/pdfs/GEI-D-1811-119.pdf#page=3","Abrir facsímil")</f>
        <v>Abrir facsímil</v>
      </c>
      <c r="K3733" s="3" t="s">
        <v>150</v>
      </c>
    </row>
    <row r="3734" spans="1:11" ht="42" customHeight="1">
      <c r="A3734" s="2" t="s">
        <v>10224</v>
      </c>
      <c r="B3734" s="2" t="s">
        <v>10225</v>
      </c>
      <c r="C3734" s="2" t="s">
        <v>26</v>
      </c>
      <c r="D3734" s="2" t="s">
        <v>141</v>
      </c>
      <c r="E3734" s="4">
        <v>-32238</v>
      </c>
      <c r="F3734" s="3" t="s">
        <v>166</v>
      </c>
      <c r="G3734" s="3" t="s">
        <v>129</v>
      </c>
      <c r="H3734" s="2" t="s">
        <v>148</v>
      </c>
      <c r="I3734" s="2" t="s">
        <v>10226</v>
      </c>
      <c r="J3734" s="3" t="str">
        <f>HYPERLINK("https://www.boe.es/gazeta/dias/1811/09/25/pdfs/GMD-C-1811-268.pdf#page=1","Abrir facsímil")</f>
        <v>Abrir facsímil</v>
      </c>
      <c r="K3734" s="3" t="s">
        <v>150</v>
      </c>
    </row>
    <row r="3735" spans="1:11" ht="42" customHeight="1">
      <c r="A3735" s="2" t="s">
        <v>10227</v>
      </c>
      <c r="B3735" s="2" t="s">
        <v>10228</v>
      </c>
      <c r="C3735" s="2" t="s">
        <v>26</v>
      </c>
      <c r="D3735" s="2" t="s">
        <v>105</v>
      </c>
      <c r="E3735" s="4">
        <v>-32238</v>
      </c>
      <c r="F3735" s="3" t="s">
        <v>166</v>
      </c>
      <c r="G3735" s="3" t="s">
        <v>657</v>
      </c>
      <c r="H3735" s="2" t="s">
        <v>148</v>
      </c>
      <c r="I3735" s="2" t="s">
        <v>10229</v>
      </c>
      <c r="J3735" s="3" t="str">
        <f>HYPERLINK("https://www.boe.es/gazeta/dias/1811/09/25/pdfs/GMD-C-1811-268.pdf#page=3","Abrir facsímil")</f>
        <v>Abrir facsímil</v>
      </c>
      <c r="K3735" s="3" t="s">
        <v>150</v>
      </c>
    </row>
    <row r="3736" spans="1:11" ht="42" customHeight="1">
      <c r="A3736" s="2" t="s">
        <v>10230</v>
      </c>
      <c r="B3736" s="2" t="s">
        <v>10231</v>
      </c>
      <c r="C3736" s="2" t="s">
        <v>17</v>
      </c>
      <c r="D3736" s="2" t="s">
        <v>156</v>
      </c>
      <c r="E3736" s="4">
        <v>-32277</v>
      </c>
      <c r="F3736" s="3" t="s">
        <v>1765</v>
      </c>
      <c r="G3736" s="3" t="s">
        <v>10232</v>
      </c>
      <c r="H3736" s="2" t="s">
        <v>148</v>
      </c>
      <c r="I3736" s="2" t="s">
        <v>10233</v>
      </c>
      <c r="J3736" s="3" t="str">
        <f>HYPERLINK("https://www.boe.es/gazeta/dias/1811/08/17/pdfs/GEI-1811-107.pdf#page=3","Abrir facsímil")</f>
        <v>Abrir facsímil</v>
      </c>
      <c r="K3736" s="3" t="s">
        <v>150</v>
      </c>
    </row>
    <row r="3737" spans="1:11" ht="42" customHeight="1">
      <c r="A3737" s="2" t="s">
        <v>10234</v>
      </c>
      <c r="B3737" s="2" t="s">
        <v>10235</v>
      </c>
      <c r="C3737" s="2" t="s">
        <v>26</v>
      </c>
      <c r="D3737" s="2" t="s">
        <v>18</v>
      </c>
      <c r="E3737" s="4">
        <v>-32300</v>
      </c>
      <c r="F3737" s="3" t="s">
        <v>492</v>
      </c>
      <c r="G3737" s="3" t="s">
        <v>20</v>
      </c>
      <c r="H3737" s="2" t="s">
        <v>148</v>
      </c>
      <c r="I3737" s="2" t="s">
        <v>10236</v>
      </c>
      <c r="J3737" s="3" t="str">
        <f>HYPERLINK("https://www.boe.es/gazeta/dias/1811/07/25/pdfs/GMD-1811-206.pdf#page=3","Abrir facsímil")</f>
        <v>Abrir facsímil</v>
      </c>
      <c r="K3737" s="3" t="s">
        <v>150</v>
      </c>
    </row>
    <row r="3738" spans="1:11" ht="42" customHeight="1">
      <c r="A3738" s="2" t="s">
        <v>10237</v>
      </c>
      <c r="B3738" s="2" t="s">
        <v>10238</v>
      </c>
      <c r="C3738" s="2" t="s">
        <v>17</v>
      </c>
      <c r="D3738" s="2" t="s">
        <v>156</v>
      </c>
      <c r="E3738" s="4">
        <v>-32179</v>
      </c>
      <c r="F3738" s="3" t="s">
        <v>614</v>
      </c>
      <c r="G3738" s="3" t="s">
        <v>47</v>
      </c>
      <c r="H3738" s="2" t="s">
        <v>148</v>
      </c>
      <c r="I3738" s="2" t="s">
        <v>10239</v>
      </c>
      <c r="J3738" s="3" t="str">
        <f>HYPERLINK("https://www.boe.es/gazeta/dias/1811/11/23/pdfs/GEI-1811-153.pdf#page=8","Abrir facsímil")</f>
        <v>Abrir facsímil</v>
      </c>
      <c r="K3738" s="3" t="s">
        <v>150</v>
      </c>
    </row>
    <row r="3739" spans="1:11" ht="42" customHeight="1">
      <c r="A3739" s="2" t="s">
        <v>10240</v>
      </c>
      <c r="B3739" s="2" t="s">
        <v>10240</v>
      </c>
      <c r="C3739" s="2" t="s">
        <v>17</v>
      </c>
      <c r="D3739" s="2" t="s">
        <v>156</v>
      </c>
      <c r="E3739" s="4">
        <v>-32144</v>
      </c>
      <c r="F3739" s="3" t="s">
        <v>10241</v>
      </c>
      <c r="G3739" s="3" t="s">
        <v>10242</v>
      </c>
      <c r="H3739" s="2" t="s">
        <v>148</v>
      </c>
      <c r="I3739" s="2" t="s">
        <v>10243</v>
      </c>
      <c r="J3739" s="3" t="str">
        <f>HYPERLINK("https://www.boe.es/gazeta/dias/1811/12/28/pdfs/GMD-1811-362.pdf#page=1","Abrir facsímil")</f>
        <v>Abrir facsímil</v>
      </c>
      <c r="K3739" s="3" t="s">
        <v>150</v>
      </c>
    </row>
    <row r="3740" spans="1:11" ht="42" customHeight="1">
      <c r="A3740" s="2" t="s">
        <v>10244</v>
      </c>
      <c r="B3740" s="2" t="s">
        <v>10245</v>
      </c>
      <c r="C3740" s="2" t="s">
        <v>26</v>
      </c>
      <c r="D3740" s="2" t="s">
        <v>18</v>
      </c>
      <c r="E3740" s="4">
        <v>-32153</v>
      </c>
      <c r="F3740" s="3" t="s">
        <v>123</v>
      </c>
      <c r="G3740" s="3" t="s">
        <v>288</v>
      </c>
      <c r="H3740" s="2" t="s">
        <v>148</v>
      </c>
      <c r="I3740" s="2" t="s">
        <v>10246</v>
      </c>
      <c r="J3740" s="3" t="str">
        <f>HYPERLINK("https://www.boe.es/gazeta/dias/1811/12/19/pdfs/GMD-1811-353.pdf#page=4","Abrir facsímil")</f>
        <v>Abrir facsímil</v>
      </c>
      <c r="K3740" s="3" t="s">
        <v>150</v>
      </c>
    </row>
    <row r="3741" spans="1:11" ht="42" customHeight="1">
      <c r="A3741" s="2" t="s">
        <v>10247</v>
      </c>
      <c r="B3741" s="2" t="s">
        <v>10248</v>
      </c>
      <c r="C3741" s="2" t="s">
        <v>26</v>
      </c>
      <c r="D3741" s="2" t="s">
        <v>18</v>
      </c>
      <c r="E3741" s="4">
        <v>-32297</v>
      </c>
      <c r="F3741" s="3" t="s">
        <v>2174</v>
      </c>
      <c r="G3741" s="3" t="s">
        <v>183</v>
      </c>
      <c r="H3741" s="2" t="s">
        <v>148</v>
      </c>
      <c r="I3741" s="2" t="s">
        <v>10249</v>
      </c>
      <c r="J3741" s="3" t="str">
        <f>HYPERLINK("https://www.boe.es/gazeta/dias/1811/07/28/pdfs/GMD-1811-209.pdf#page=4","Abrir facsímil")</f>
        <v>Abrir facsímil</v>
      </c>
      <c r="K3741" s="3" t="s">
        <v>150</v>
      </c>
    </row>
    <row r="3742" spans="1:11" ht="42" customHeight="1">
      <c r="A3742" s="2" t="s">
        <v>10250</v>
      </c>
      <c r="B3742" s="2" t="s">
        <v>10251</v>
      </c>
      <c r="C3742" s="2" t="s">
        <v>17</v>
      </c>
      <c r="D3742" s="2" t="s">
        <v>18</v>
      </c>
      <c r="E3742" s="4">
        <v>-32248</v>
      </c>
      <c r="F3742" s="3" t="s">
        <v>622</v>
      </c>
      <c r="G3742" s="3" t="s">
        <v>115</v>
      </c>
      <c r="H3742" s="2" t="s">
        <v>148</v>
      </c>
      <c r="I3742" s="2" t="s">
        <v>10252</v>
      </c>
      <c r="J3742" s="3" t="str">
        <f>HYPERLINK("https://www.boe.es/gazeta/dias/1811/09/15/pdfs/GMD-1811-258.pdf#page=3","Abrir facsímil")</f>
        <v>Abrir facsímil</v>
      </c>
      <c r="K3742" s="3" t="s">
        <v>150</v>
      </c>
    </row>
    <row r="3743" spans="1:11" ht="42" customHeight="1">
      <c r="A3743" s="2" t="s">
        <v>10253</v>
      </c>
      <c r="B3743" s="2" t="s">
        <v>10253</v>
      </c>
      <c r="C3743" s="2" t="s">
        <v>17</v>
      </c>
      <c r="D3743" s="2" t="s">
        <v>156</v>
      </c>
      <c r="E3743" s="4">
        <v>-32405</v>
      </c>
      <c r="F3743" s="3" t="s">
        <v>1413</v>
      </c>
      <c r="G3743" s="3" t="s">
        <v>1623</v>
      </c>
      <c r="H3743" s="2" t="s">
        <v>148</v>
      </c>
      <c r="I3743" s="2" t="s">
        <v>10254</v>
      </c>
      <c r="J3743" s="3" t="str">
        <f>HYPERLINK("https://www.boe.es/gazeta/dias/1811/04/11/pdfs/GEI-1811-49.pdf#page=3","Abrir facsímil")</f>
        <v>Abrir facsímil</v>
      </c>
      <c r="K3743" s="3" t="s">
        <v>150</v>
      </c>
    </row>
    <row r="3744" spans="1:11" ht="42" customHeight="1">
      <c r="A3744" s="2" t="s">
        <v>10255</v>
      </c>
      <c r="B3744" s="2" t="s">
        <v>10256</v>
      </c>
      <c r="C3744" s="2" t="s">
        <v>17</v>
      </c>
      <c r="D3744" s="2" t="s">
        <v>105</v>
      </c>
      <c r="E3744" s="4">
        <v>-32433</v>
      </c>
      <c r="F3744" s="3" t="s">
        <v>209</v>
      </c>
      <c r="G3744" s="3" t="s">
        <v>115</v>
      </c>
      <c r="H3744" s="2" t="s">
        <v>148</v>
      </c>
      <c r="I3744" s="2" t="s">
        <v>10257</v>
      </c>
      <c r="J3744" s="3" t="str">
        <f>HYPERLINK("https://www.boe.es/gazeta/dias/1811/03/14/pdfs/GMD-1811-73.pdf#page=3","Abrir facsímil")</f>
        <v>Abrir facsímil</v>
      </c>
      <c r="K3744" s="3" t="s">
        <v>150</v>
      </c>
    </row>
    <row r="3745" spans="1:11" ht="42" customHeight="1">
      <c r="A3745" s="2" t="s">
        <v>10258</v>
      </c>
      <c r="B3745" s="2" t="s">
        <v>10259</v>
      </c>
      <c r="C3745" s="2" t="s">
        <v>26</v>
      </c>
      <c r="D3745" s="2" t="s">
        <v>18</v>
      </c>
      <c r="E3745" s="4">
        <v>-32241</v>
      </c>
      <c r="F3745" s="3" t="s">
        <v>514</v>
      </c>
      <c r="G3745" s="3" t="s">
        <v>515</v>
      </c>
      <c r="H3745" s="2" t="s">
        <v>148</v>
      </c>
      <c r="I3745" s="2" t="s">
        <v>10260</v>
      </c>
      <c r="J3745" s="3" t="str">
        <f>HYPERLINK("https://www.boe.es/gazeta/dias/1811/09/22/pdfs/GMD-1811-265.pdf#page=4","Abrir facsímil")</f>
        <v>Abrir facsímil</v>
      </c>
      <c r="K3745" s="3" t="s">
        <v>150</v>
      </c>
    </row>
    <row r="3746" spans="1:11" ht="42" customHeight="1">
      <c r="A3746" s="2" t="s">
        <v>10261</v>
      </c>
      <c r="B3746" s="2" t="s">
        <v>10262</v>
      </c>
      <c r="C3746" s="2" t="s">
        <v>17</v>
      </c>
      <c r="D3746" s="2" t="s">
        <v>18</v>
      </c>
      <c r="E3746" s="4">
        <v>-32200</v>
      </c>
      <c r="F3746" s="3" t="s">
        <v>109</v>
      </c>
      <c r="G3746" s="3" t="s">
        <v>586</v>
      </c>
      <c r="H3746" s="2" t="s">
        <v>148</v>
      </c>
      <c r="I3746" s="2" t="s">
        <v>10263</v>
      </c>
      <c r="J3746" s="3" t="str">
        <f>HYPERLINK("https://www.boe.es/gazeta/dias/1811/11/02/pdfs/GEI-1811-141.pdf#page=8","Abrir facsímil")</f>
        <v>Abrir facsímil</v>
      </c>
      <c r="K3746" s="3" t="s">
        <v>150</v>
      </c>
    </row>
    <row r="3747" spans="1:11" ht="42" customHeight="1">
      <c r="A3747" s="2" t="s">
        <v>10264</v>
      </c>
      <c r="B3747" s="2" t="s">
        <v>10265</v>
      </c>
      <c r="C3747" s="2" t="s">
        <v>26</v>
      </c>
      <c r="D3747" s="2" t="s">
        <v>18</v>
      </c>
      <c r="E3747" s="4">
        <v>-32242</v>
      </c>
      <c r="F3747" s="3" t="s">
        <v>1295</v>
      </c>
      <c r="G3747" s="3" t="s">
        <v>1296</v>
      </c>
      <c r="H3747" s="2" t="s">
        <v>148</v>
      </c>
      <c r="I3747" s="2" t="s">
        <v>10266</v>
      </c>
      <c r="J3747" s="3" t="str">
        <f>HYPERLINK("https://www.boe.es/gazeta/dias/1811/09/21/pdfs/GEI-1811-122.pdf#page=8","Abrir facsímil")</f>
        <v>Abrir facsímil</v>
      </c>
      <c r="K3747" s="3" t="s">
        <v>150</v>
      </c>
    </row>
    <row r="3748" spans="1:11" ht="42" customHeight="1">
      <c r="A3748" s="2" t="s">
        <v>10267</v>
      </c>
      <c r="B3748" s="2" t="s">
        <v>10268</v>
      </c>
      <c r="C3748" s="2" t="s">
        <v>26</v>
      </c>
      <c r="D3748" s="2" t="s">
        <v>18</v>
      </c>
      <c r="E3748" s="4">
        <v>-32417</v>
      </c>
      <c r="F3748" s="3" t="s">
        <v>604</v>
      </c>
      <c r="G3748" s="3" t="s">
        <v>178</v>
      </c>
      <c r="H3748" s="2" t="s">
        <v>148</v>
      </c>
      <c r="I3748" s="2" t="s">
        <v>10269</v>
      </c>
      <c r="J3748" s="3" t="str">
        <f>HYPERLINK("https://www.boe.es/gazeta/dias/1811/03/30/pdfs/GMD-1811-89.pdf#page=3","Abrir facsímil")</f>
        <v>Abrir facsímil</v>
      </c>
      <c r="K3748" s="3" t="s">
        <v>150</v>
      </c>
    </row>
    <row r="3749" spans="1:11" ht="42" customHeight="1">
      <c r="A3749" s="2" t="s">
        <v>10270</v>
      </c>
      <c r="B3749" s="2" t="s">
        <v>10270</v>
      </c>
      <c r="C3749" s="2" t="s">
        <v>17</v>
      </c>
      <c r="D3749" s="2" t="s">
        <v>18</v>
      </c>
      <c r="E3749" s="4">
        <v>-32424</v>
      </c>
      <c r="F3749" s="3" t="s">
        <v>1028</v>
      </c>
      <c r="G3749" s="3" t="s">
        <v>343</v>
      </c>
      <c r="H3749" s="2" t="s">
        <v>148</v>
      </c>
      <c r="I3749" s="2" t="s">
        <v>10271</v>
      </c>
      <c r="J3749" s="3" t="str">
        <f>HYPERLINK("https://www.boe.es/gazeta/dias/1811/03/23/pdfs/GEI-1811-41.pdf#page=3","Abrir facsímil")</f>
        <v>Abrir facsímil</v>
      </c>
      <c r="K3749" s="3" t="s">
        <v>150</v>
      </c>
    </row>
    <row r="3750" spans="1:11" ht="42" customHeight="1">
      <c r="A3750" s="2" t="s">
        <v>10272</v>
      </c>
      <c r="B3750" s="2" t="s">
        <v>10273</v>
      </c>
      <c r="C3750" s="2" t="s">
        <v>37</v>
      </c>
      <c r="D3750" s="2" t="s">
        <v>141</v>
      </c>
      <c r="E3750" s="4">
        <v>-32188</v>
      </c>
      <c r="F3750" s="3" t="s">
        <v>505</v>
      </c>
      <c r="G3750" s="3" t="s">
        <v>47</v>
      </c>
      <c r="H3750" s="2" t="s">
        <v>148</v>
      </c>
      <c r="I3750" s="2" t="s">
        <v>10274</v>
      </c>
      <c r="J3750" s="3" t="str">
        <f>HYPERLINK("https://www.boe.es/gazeta/dias/1811/11/14/pdfs/GEI-D-1811-149.pdf#page=3","Abrir facsímil")</f>
        <v>Abrir facsímil</v>
      </c>
      <c r="K3750" s="3" t="s">
        <v>150</v>
      </c>
    </row>
    <row r="3751" spans="1:11" ht="42" customHeight="1">
      <c r="A3751" s="2" t="s">
        <v>10275</v>
      </c>
      <c r="B3751" s="2" t="s">
        <v>10276</v>
      </c>
      <c r="C3751" s="2" t="s">
        <v>26</v>
      </c>
      <c r="D3751" s="2" t="s">
        <v>18</v>
      </c>
      <c r="E3751" s="4">
        <v>-32228</v>
      </c>
      <c r="F3751" s="3" t="s">
        <v>372</v>
      </c>
      <c r="G3751" s="3" t="s">
        <v>373</v>
      </c>
      <c r="H3751" s="2" t="s">
        <v>148</v>
      </c>
      <c r="I3751" s="2" t="s">
        <v>10277</v>
      </c>
      <c r="J3751" s="3" t="str">
        <f>HYPERLINK("https://www.boe.es/gazeta/dias/1811/10/05/pdfs/GEI-1811-128.pdf#page=7","Abrir facsímil")</f>
        <v>Abrir facsímil</v>
      </c>
      <c r="K3751" s="3" t="s">
        <v>150</v>
      </c>
    </row>
    <row r="3752" spans="1:11" ht="42" customHeight="1">
      <c r="A3752" s="2" t="s">
        <v>10278</v>
      </c>
      <c r="B3752" s="2" t="s">
        <v>10279</v>
      </c>
      <c r="C3752" s="2" t="s">
        <v>37</v>
      </c>
      <c r="D3752" s="2" t="s">
        <v>141</v>
      </c>
      <c r="E3752" s="4">
        <v>-32188</v>
      </c>
      <c r="F3752" s="3" t="s">
        <v>505</v>
      </c>
      <c r="G3752" s="3" t="s">
        <v>47</v>
      </c>
      <c r="H3752" s="2" t="s">
        <v>148</v>
      </c>
      <c r="I3752" s="2" t="s">
        <v>10280</v>
      </c>
      <c r="J3752" s="3" t="str">
        <f>HYPERLINK("https://www.boe.es/gazeta/dias/1811/11/14/pdfs/GEI-D-1811-149.pdf#page=3","Abrir facsímil")</f>
        <v>Abrir facsímil</v>
      </c>
      <c r="K3752" s="3" t="s">
        <v>150</v>
      </c>
    </row>
    <row r="3753" spans="1:11" ht="42" customHeight="1">
      <c r="A3753" s="2" t="s">
        <v>10281</v>
      </c>
      <c r="B3753" s="2" t="s">
        <v>10282</v>
      </c>
      <c r="C3753" s="2" t="s">
        <v>17</v>
      </c>
      <c r="D3753" s="2" t="s">
        <v>18</v>
      </c>
      <c r="E3753" s="4">
        <v>-32503</v>
      </c>
      <c r="F3753" s="3" t="s">
        <v>487</v>
      </c>
      <c r="G3753" s="3" t="s">
        <v>846</v>
      </c>
      <c r="H3753" s="2" t="s">
        <v>148</v>
      </c>
      <c r="I3753" s="2" t="s">
        <v>10283</v>
      </c>
      <c r="J3753" s="3" t="str">
        <f>HYPERLINK("https://www.boe.es/gazeta/dias/1811/01/03/pdfs/GEI-1811-2.pdf#page=6","Abrir facsímil")</f>
        <v>Abrir facsímil</v>
      </c>
      <c r="K3753" s="3" t="s">
        <v>150</v>
      </c>
    </row>
    <row r="3754" spans="1:11" ht="42" customHeight="1">
      <c r="A3754" s="2" t="s">
        <v>10284</v>
      </c>
      <c r="B3754" s="2" t="s">
        <v>10285</v>
      </c>
      <c r="C3754" s="2" t="s">
        <v>26</v>
      </c>
      <c r="D3754" s="2" t="s">
        <v>141</v>
      </c>
      <c r="E3754" s="4">
        <v>-32396</v>
      </c>
      <c r="F3754" s="3" t="s">
        <v>804</v>
      </c>
      <c r="G3754" s="3" t="s">
        <v>805</v>
      </c>
      <c r="H3754" s="2" t="s">
        <v>148</v>
      </c>
      <c r="I3754" s="2" t="s">
        <v>10286</v>
      </c>
      <c r="J3754" s="3" t="str">
        <f>HYPERLINK("https://www.boe.es/gazeta/dias/1811/04/20/pdfs/GEI-D-1811-53.pdf#page=4","Abrir facsímil")</f>
        <v>Abrir facsímil</v>
      </c>
      <c r="K3754" s="3" t="s">
        <v>150</v>
      </c>
    </row>
    <row r="3755" spans="1:11" ht="42" customHeight="1">
      <c r="A3755" s="2" t="s">
        <v>10287</v>
      </c>
      <c r="B3755" s="2" t="s">
        <v>10288</v>
      </c>
      <c r="C3755" s="2" t="s">
        <v>17</v>
      </c>
      <c r="D3755" s="2" t="s">
        <v>18</v>
      </c>
      <c r="E3755" s="4">
        <v>-32288</v>
      </c>
      <c r="F3755" s="3" t="s">
        <v>95</v>
      </c>
      <c r="G3755" s="3" t="s">
        <v>47</v>
      </c>
      <c r="H3755" s="2" t="s">
        <v>148</v>
      </c>
      <c r="I3755" s="2" t="s">
        <v>10289</v>
      </c>
      <c r="J3755" s="3" t="str">
        <f>HYPERLINK("https://www.boe.es/gazeta/dias/1811/08/06/pdfs/GEI-1811-102.pdf#page=4","Abrir facsímil")</f>
        <v>Abrir facsímil</v>
      </c>
      <c r="K3755" s="3" t="s">
        <v>150</v>
      </c>
    </row>
    <row r="3756" spans="1:11" ht="42" customHeight="1">
      <c r="A3756" s="2" t="s">
        <v>10290</v>
      </c>
      <c r="B3756" s="2" t="s">
        <v>10291</v>
      </c>
      <c r="C3756" s="2" t="s">
        <v>17</v>
      </c>
      <c r="D3756" s="2" t="s">
        <v>18</v>
      </c>
      <c r="E3756" s="4">
        <v>-32300</v>
      </c>
      <c r="F3756" s="3" t="s">
        <v>61</v>
      </c>
      <c r="G3756" s="3" t="s">
        <v>62</v>
      </c>
      <c r="H3756" s="2" t="s">
        <v>148</v>
      </c>
      <c r="I3756" s="2" t="s">
        <v>10292</v>
      </c>
      <c r="J3756" s="3" t="str">
        <f>HYPERLINK("https://www.boe.es/gazeta/dias/1811/07/25/pdfs/GEI-1811-97.pdf#page=5","Abrir facsímil")</f>
        <v>Abrir facsímil</v>
      </c>
      <c r="K3756" s="3" t="s">
        <v>150</v>
      </c>
    </row>
    <row r="3757" spans="1:11" ht="42" customHeight="1">
      <c r="A3757" s="2" t="s">
        <v>10293</v>
      </c>
      <c r="B3757" s="2" t="s">
        <v>10293</v>
      </c>
      <c r="C3757" s="2" t="s">
        <v>17</v>
      </c>
      <c r="D3757" s="2" t="s">
        <v>156</v>
      </c>
      <c r="E3757" s="4">
        <v>-32434</v>
      </c>
      <c r="F3757" s="3" t="s">
        <v>1932</v>
      </c>
      <c r="G3757" s="3" t="s">
        <v>468</v>
      </c>
      <c r="H3757" s="2" t="s">
        <v>148</v>
      </c>
      <c r="I3757" s="2" t="s">
        <v>10294</v>
      </c>
      <c r="J3757" s="3" t="str">
        <f>HYPERLINK("https://www.boe.es/gazeta/dias/1811/03/13/pdfs/GMD-1811-72.pdf#page=4","Abrir facsímil")</f>
        <v>Abrir facsímil</v>
      </c>
      <c r="K3757" s="3" t="s">
        <v>150</v>
      </c>
    </row>
    <row r="3758" spans="1:11" ht="42" customHeight="1">
      <c r="A3758" s="2" t="s">
        <v>10293</v>
      </c>
      <c r="B3758" s="2" t="s">
        <v>10293</v>
      </c>
      <c r="C3758" s="2" t="s">
        <v>17</v>
      </c>
      <c r="D3758" s="2" t="s">
        <v>18</v>
      </c>
      <c r="E3758" s="4">
        <v>-32391</v>
      </c>
      <c r="F3758" s="3" t="s">
        <v>2998</v>
      </c>
      <c r="G3758" s="3" t="s">
        <v>178</v>
      </c>
      <c r="H3758" s="2" t="s">
        <v>148</v>
      </c>
      <c r="I3758" s="2" t="s">
        <v>10295</v>
      </c>
      <c r="J3758" s="3" t="str">
        <f>HYPERLINK("https://www.boe.es/gazeta/dias/1811/04/25/pdfs/GMD-1811-115.pdf#page=3","Abrir facsímil")</f>
        <v>Abrir facsímil</v>
      </c>
      <c r="K3758" s="3" t="s">
        <v>150</v>
      </c>
    </row>
    <row r="3759" spans="1:11" ht="42" customHeight="1">
      <c r="A3759" s="2" t="s">
        <v>10293</v>
      </c>
      <c r="B3759" s="2" t="s">
        <v>10293</v>
      </c>
      <c r="C3759" s="2" t="s">
        <v>17</v>
      </c>
      <c r="D3759" s="2" t="s">
        <v>18</v>
      </c>
      <c r="E3759" s="4">
        <v>-32333</v>
      </c>
      <c r="F3759" s="3" t="s">
        <v>292</v>
      </c>
      <c r="G3759" s="3" t="s">
        <v>10296</v>
      </c>
      <c r="H3759" s="2" t="s">
        <v>148</v>
      </c>
      <c r="I3759" s="2" t="s">
        <v>10297</v>
      </c>
      <c r="J3759" s="3" t="str">
        <f>HYPERLINK("https://www.boe.es/gazeta/dias/1811/06/22/pdfs/GEI-1811-83.pdf#page=2","Abrir facsímil")</f>
        <v>Abrir facsímil</v>
      </c>
      <c r="K3759" s="3" t="s">
        <v>150</v>
      </c>
    </row>
    <row r="3760" spans="1:11" ht="42" customHeight="1">
      <c r="A3760" s="2" t="s">
        <v>10293</v>
      </c>
      <c r="B3760" s="2" t="s">
        <v>10293</v>
      </c>
      <c r="C3760" s="2" t="s">
        <v>26</v>
      </c>
      <c r="D3760" s="2" t="s">
        <v>18</v>
      </c>
      <c r="E3760" s="4">
        <v>-32250</v>
      </c>
      <c r="F3760" s="3" t="s">
        <v>2823</v>
      </c>
      <c r="G3760" s="3" t="s">
        <v>3947</v>
      </c>
      <c r="H3760" s="2" t="s">
        <v>148</v>
      </c>
      <c r="I3760" s="2" t="s">
        <v>10298</v>
      </c>
      <c r="J3760" s="3" t="str">
        <f>HYPERLINK("https://www.boe.es/gazeta/dias/1811/09/13/pdfs/GMD-1811-256.pdf#page=4","Abrir facsímil")</f>
        <v>Abrir facsímil</v>
      </c>
      <c r="K3760" s="3" t="s">
        <v>150</v>
      </c>
    </row>
    <row r="3761" spans="1:11" ht="42" customHeight="1">
      <c r="A3761" s="2" t="s">
        <v>10293</v>
      </c>
      <c r="B3761" s="2" t="s">
        <v>10293</v>
      </c>
      <c r="C3761" s="2" t="s">
        <v>17</v>
      </c>
      <c r="D3761" s="2" t="s">
        <v>18</v>
      </c>
      <c r="E3761" s="4">
        <v>-32221</v>
      </c>
      <c r="F3761" s="3" t="s">
        <v>747</v>
      </c>
      <c r="G3761" s="3" t="s">
        <v>10299</v>
      </c>
      <c r="H3761" s="2" t="s">
        <v>148</v>
      </c>
      <c r="I3761" s="2" t="s">
        <v>10300</v>
      </c>
      <c r="J3761" s="3" t="str">
        <f>HYPERLINK("https://www.boe.es/gazeta/dias/1811/10/12/pdfs/GEI-1811-131.pdf#page=2","Abrir facsímil")</f>
        <v>Abrir facsímil</v>
      </c>
      <c r="K3761" s="3" t="s">
        <v>150</v>
      </c>
    </row>
    <row r="3762" spans="1:11" ht="42" customHeight="1">
      <c r="A3762" s="2" t="s">
        <v>10301</v>
      </c>
      <c r="B3762" s="2" t="s">
        <v>10302</v>
      </c>
      <c r="C3762" s="2" t="s">
        <v>26</v>
      </c>
      <c r="D3762" s="2" t="s">
        <v>18</v>
      </c>
      <c r="E3762" s="4">
        <v>-32270</v>
      </c>
      <c r="F3762" s="3" t="s">
        <v>431</v>
      </c>
      <c r="G3762" s="3" t="s">
        <v>2080</v>
      </c>
      <c r="H3762" s="2" t="s">
        <v>148</v>
      </c>
      <c r="I3762" s="2" t="s">
        <v>10303</v>
      </c>
      <c r="J3762" s="3" t="str">
        <f>HYPERLINK("https://www.boe.es/gazeta/dias/1811/08/24/pdfs/GEI-1811-110.pdf#page=5","Abrir facsímil")</f>
        <v>Abrir facsímil</v>
      </c>
      <c r="K3762" s="3" t="s">
        <v>150</v>
      </c>
    </row>
    <row r="3763" spans="1:11" ht="42" customHeight="1">
      <c r="A3763" s="2" t="s">
        <v>10304</v>
      </c>
      <c r="B3763" s="2" t="s">
        <v>10305</v>
      </c>
      <c r="C3763" s="2" t="s">
        <v>26</v>
      </c>
      <c r="D3763" s="2" t="s">
        <v>105</v>
      </c>
      <c r="E3763" s="4">
        <v>-32195</v>
      </c>
      <c r="F3763" s="3" t="s">
        <v>439</v>
      </c>
      <c r="G3763" s="3" t="s">
        <v>2092</v>
      </c>
      <c r="H3763" s="2" t="s">
        <v>148</v>
      </c>
      <c r="I3763" s="2" t="s">
        <v>10306</v>
      </c>
      <c r="J3763" s="3" t="str">
        <f>HYPERLINK("https://www.boe.es/gazeta/dias/1811/11/07/pdfs/GEI-1811-144.pdf#page=7","Abrir facsímil")</f>
        <v>Abrir facsímil</v>
      </c>
      <c r="K3763" s="3" t="s">
        <v>150</v>
      </c>
    </row>
    <row r="3764" spans="1:11" ht="42" customHeight="1">
      <c r="A3764" s="2" t="s">
        <v>10307</v>
      </c>
      <c r="B3764" s="2" t="s">
        <v>10308</v>
      </c>
      <c r="C3764" s="2" t="s">
        <v>84</v>
      </c>
      <c r="D3764" s="2" t="s">
        <v>105</v>
      </c>
      <c r="E3764" s="4">
        <v>-32463</v>
      </c>
      <c r="F3764" s="3" t="s">
        <v>734</v>
      </c>
      <c r="G3764" s="3" t="s">
        <v>735</v>
      </c>
      <c r="H3764" s="2" t="s">
        <v>148</v>
      </c>
      <c r="I3764" s="2" t="s">
        <v>10309</v>
      </c>
      <c r="J3764" s="3" t="str">
        <f>HYPERLINK("https://www.boe.es/gazeta/dias/1811/02/12/pdfs/GEI-1811-19.pdf#page=8","Abrir facsímil")</f>
        <v>Abrir facsímil</v>
      </c>
      <c r="K3764" s="3" t="s">
        <v>150</v>
      </c>
    </row>
    <row r="3765" spans="1:11" ht="42" customHeight="1">
      <c r="A3765" s="2" t="s">
        <v>10307</v>
      </c>
      <c r="B3765" s="2" t="s">
        <v>10308</v>
      </c>
      <c r="C3765" s="2" t="s">
        <v>17</v>
      </c>
      <c r="D3765" s="2" t="s">
        <v>18</v>
      </c>
      <c r="E3765" s="4">
        <v>-32200</v>
      </c>
      <c r="F3765" s="3" t="s">
        <v>109</v>
      </c>
      <c r="G3765" s="3" t="s">
        <v>268</v>
      </c>
      <c r="H3765" s="2" t="s">
        <v>148</v>
      </c>
      <c r="I3765" s="2" t="s">
        <v>10310</v>
      </c>
      <c r="J3765" s="3" t="str">
        <f>HYPERLINK("https://www.boe.es/gazeta/dias/1811/11/02/pdfs/GEI-1811-141.pdf#page=7","Abrir facsímil")</f>
        <v>Abrir facsímil</v>
      </c>
      <c r="K3765" s="3" t="s">
        <v>150</v>
      </c>
    </row>
    <row r="3766" spans="1:11" ht="42" customHeight="1">
      <c r="A3766" s="2" t="s">
        <v>10311</v>
      </c>
      <c r="B3766" s="2" t="s">
        <v>10312</v>
      </c>
      <c r="C3766" s="2" t="s">
        <v>26</v>
      </c>
      <c r="D3766" s="2" t="s">
        <v>141</v>
      </c>
      <c r="E3766" s="4">
        <v>-32188</v>
      </c>
      <c r="F3766" s="3" t="s">
        <v>505</v>
      </c>
      <c r="G3766" s="3" t="s">
        <v>162</v>
      </c>
      <c r="H3766" s="2" t="s">
        <v>148</v>
      </c>
      <c r="I3766" s="2" t="s">
        <v>10313</v>
      </c>
      <c r="J3766" s="3" t="str">
        <f>HYPERLINK("https://www.boe.es/gazeta/dias/1811/11/14/pdfs/GEI-D-1811-149.pdf#page=4","Abrir facsímil")</f>
        <v>Abrir facsímil</v>
      </c>
      <c r="K3766" s="3" t="s">
        <v>150</v>
      </c>
    </row>
    <row r="3767" spans="1:11" ht="42" customHeight="1">
      <c r="A3767" s="2" t="s">
        <v>10314</v>
      </c>
      <c r="B3767" s="2" t="s">
        <v>10315</v>
      </c>
      <c r="C3767" s="2" t="s">
        <v>26</v>
      </c>
      <c r="D3767" s="2" t="s">
        <v>18</v>
      </c>
      <c r="E3767" s="4">
        <v>-32249</v>
      </c>
      <c r="F3767" s="3" t="s">
        <v>182</v>
      </c>
      <c r="G3767" s="3" t="s">
        <v>183</v>
      </c>
      <c r="H3767" s="2" t="s">
        <v>148</v>
      </c>
      <c r="I3767" s="2" t="s">
        <v>10316</v>
      </c>
      <c r="J3767" s="3" t="str">
        <f>HYPERLINK("https://www.boe.es/gazeta/dias/1811/09/14/pdfs/GMD-1811-257.pdf#page=4","Abrir facsímil")</f>
        <v>Abrir facsímil</v>
      </c>
      <c r="K3767" s="3" t="s">
        <v>150</v>
      </c>
    </row>
    <row r="3768" spans="1:11" ht="42" customHeight="1">
      <c r="A3768" s="2" t="s">
        <v>10317</v>
      </c>
      <c r="B3768" s="2" t="s">
        <v>10318</v>
      </c>
      <c r="C3768" s="2" t="s">
        <v>26</v>
      </c>
      <c r="D3768" s="2" t="s">
        <v>18</v>
      </c>
      <c r="E3768" s="4">
        <v>-32141</v>
      </c>
      <c r="F3768" s="3" t="s">
        <v>327</v>
      </c>
      <c r="G3768" s="3" t="s">
        <v>20</v>
      </c>
      <c r="H3768" s="2" t="s">
        <v>148</v>
      </c>
      <c r="I3768" s="2" t="s">
        <v>10319</v>
      </c>
      <c r="J3768" s="3" t="str">
        <f>HYPERLINK("https://www.boe.es/gazeta/dias/1811/12/31/pdfs/GMD-1811-365.pdf#page=4","Abrir facsímil")</f>
        <v>Abrir facsímil</v>
      </c>
      <c r="K3768" s="3" t="s">
        <v>150</v>
      </c>
    </row>
    <row r="3769" spans="1:11" ht="42" customHeight="1">
      <c r="A3769" s="2" t="s">
        <v>10320</v>
      </c>
      <c r="B3769" s="2" t="s">
        <v>10321</v>
      </c>
      <c r="C3769" s="2" t="s">
        <v>26</v>
      </c>
      <c r="D3769" s="2" t="s">
        <v>18</v>
      </c>
      <c r="E3769" s="4">
        <v>-32242</v>
      </c>
      <c r="F3769" s="3" t="s">
        <v>1295</v>
      </c>
      <c r="G3769" s="3" t="s">
        <v>1296</v>
      </c>
      <c r="H3769" s="2" t="s">
        <v>148</v>
      </c>
      <c r="I3769" s="2" t="s">
        <v>10322</v>
      </c>
      <c r="J3769" s="3" t="str">
        <f>HYPERLINK("https://www.boe.es/gazeta/dias/1811/09/21/pdfs/GEI-1811-122.pdf#page=8","Abrir facsímil")</f>
        <v>Abrir facsímil</v>
      </c>
      <c r="K3769" s="3" t="s">
        <v>150</v>
      </c>
    </row>
    <row r="3770" spans="1:11" ht="42" customHeight="1">
      <c r="A3770" s="2" t="s">
        <v>10323</v>
      </c>
      <c r="B3770" s="2" t="s">
        <v>10324</v>
      </c>
      <c r="C3770" s="2" t="s">
        <v>26</v>
      </c>
      <c r="D3770" s="2" t="s">
        <v>18</v>
      </c>
      <c r="E3770" s="4">
        <v>-32200</v>
      </c>
      <c r="F3770" s="3" t="s">
        <v>109</v>
      </c>
      <c r="G3770" s="3" t="s">
        <v>268</v>
      </c>
      <c r="H3770" s="2" t="s">
        <v>148</v>
      </c>
      <c r="I3770" s="2" t="s">
        <v>10325</v>
      </c>
      <c r="J3770" s="3" t="str">
        <f>HYPERLINK("https://www.boe.es/gazeta/dias/1811/11/02/pdfs/GEI-1811-141.pdf#page=7","Abrir facsímil")</f>
        <v>Abrir facsímil</v>
      </c>
      <c r="K3770" s="3" t="s">
        <v>150</v>
      </c>
    </row>
    <row r="3771" spans="1:11" ht="42" customHeight="1">
      <c r="A3771" s="2" t="s">
        <v>10326</v>
      </c>
      <c r="B3771" s="2" t="s">
        <v>10327</v>
      </c>
      <c r="C3771" s="2" t="s">
        <v>26</v>
      </c>
      <c r="D3771" s="2" t="s">
        <v>18</v>
      </c>
      <c r="E3771" s="4">
        <v>-32230</v>
      </c>
      <c r="F3771" s="3" t="s">
        <v>625</v>
      </c>
      <c r="G3771" s="3" t="s">
        <v>162</v>
      </c>
      <c r="H3771" s="2" t="s">
        <v>148</v>
      </c>
      <c r="I3771" s="2" t="s">
        <v>10328</v>
      </c>
      <c r="J3771" s="3" t="str">
        <f>HYPERLINK("https://www.boe.es/gazeta/dias/1811/10/03/pdfs/GEI-1811-127.pdf#page=7","Abrir facsímil")</f>
        <v>Abrir facsímil</v>
      </c>
      <c r="K3771" s="3" t="s">
        <v>150</v>
      </c>
    </row>
    <row r="3772" spans="1:11" ht="42" customHeight="1">
      <c r="A3772" s="2" t="s">
        <v>10326</v>
      </c>
      <c r="B3772" s="2" t="s">
        <v>10327</v>
      </c>
      <c r="C3772" s="2" t="s">
        <v>26</v>
      </c>
      <c r="D3772" s="2" t="s">
        <v>18</v>
      </c>
      <c r="E3772" s="4">
        <v>-32200</v>
      </c>
      <c r="F3772" s="3" t="s">
        <v>109</v>
      </c>
      <c r="G3772" s="3" t="s">
        <v>268</v>
      </c>
      <c r="H3772" s="2" t="s">
        <v>148</v>
      </c>
      <c r="I3772" s="2" t="s">
        <v>10329</v>
      </c>
      <c r="J3772" s="3" t="str">
        <f>HYPERLINK("https://www.boe.es/gazeta/dias/1811/11/02/pdfs/GEI-1811-141.pdf#page=7","Abrir facsímil")</f>
        <v>Abrir facsímil</v>
      </c>
      <c r="K3772" s="3" t="s">
        <v>150</v>
      </c>
    </row>
    <row r="3773" spans="1:11" ht="42" customHeight="1">
      <c r="A3773" s="2" t="s">
        <v>10326</v>
      </c>
      <c r="B3773" s="2" t="s">
        <v>10327</v>
      </c>
      <c r="C3773" s="2" t="s">
        <v>26</v>
      </c>
      <c r="D3773" s="2" t="s">
        <v>18</v>
      </c>
      <c r="E3773" s="4">
        <v>-32172</v>
      </c>
      <c r="F3773" s="3" t="s">
        <v>300</v>
      </c>
      <c r="G3773" s="3" t="s">
        <v>301</v>
      </c>
      <c r="H3773" s="2" t="s">
        <v>148</v>
      </c>
      <c r="I3773" s="2" t="s">
        <v>10330</v>
      </c>
      <c r="J3773" s="3" t="str">
        <f>HYPERLINK("https://www.boe.es/gazeta/dias/1811/11/30/pdfs/GMD-1811-334.pdf#page=4","Abrir facsímil")</f>
        <v>Abrir facsímil</v>
      </c>
      <c r="K3773" s="3" t="s">
        <v>150</v>
      </c>
    </row>
    <row r="3774" spans="1:11" ht="42" customHeight="1">
      <c r="A3774" s="2" t="s">
        <v>10331</v>
      </c>
      <c r="B3774" s="2" t="s">
        <v>10332</v>
      </c>
      <c r="C3774" s="2" t="s">
        <v>26</v>
      </c>
      <c r="D3774" s="2" t="s">
        <v>18</v>
      </c>
      <c r="E3774" s="4">
        <v>-32188</v>
      </c>
      <c r="F3774" s="3" t="s">
        <v>356</v>
      </c>
      <c r="G3774" s="3" t="s">
        <v>248</v>
      </c>
      <c r="H3774" s="2" t="s">
        <v>148</v>
      </c>
      <c r="I3774" s="2" t="s">
        <v>10333</v>
      </c>
      <c r="J3774" s="3" t="str">
        <f>HYPERLINK("https://www.boe.es/gazeta/dias/1811/11/14/pdfs/GMD-1811-318.pdf#page=5","Abrir facsímil")</f>
        <v>Abrir facsímil</v>
      </c>
      <c r="K3774" s="3" t="s">
        <v>150</v>
      </c>
    </row>
    <row r="3775" spans="1:11" ht="42" customHeight="1">
      <c r="A3775" s="2" t="s">
        <v>10334</v>
      </c>
      <c r="B3775" s="2" t="s">
        <v>10335</v>
      </c>
      <c r="C3775" s="2" t="s">
        <v>26</v>
      </c>
      <c r="D3775" s="2" t="s">
        <v>18</v>
      </c>
      <c r="E3775" s="4">
        <v>-32379</v>
      </c>
      <c r="F3775" s="3" t="s">
        <v>462</v>
      </c>
      <c r="G3775" s="3" t="s">
        <v>463</v>
      </c>
      <c r="H3775" s="2" t="s">
        <v>148</v>
      </c>
      <c r="I3775" s="2" t="s">
        <v>10336</v>
      </c>
      <c r="J3775" s="3" t="str">
        <f>HYPERLINK("https://www.boe.es/gazeta/dias/1811/05/07/pdfs/GEI-1811-60.pdf#page=8","Abrir facsímil")</f>
        <v>Abrir facsímil</v>
      </c>
      <c r="K3775" s="3" t="s">
        <v>150</v>
      </c>
    </row>
    <row r="3776" spans="1:11" ht="42" customHeight="1">
      <c r="A3776" s="2" t="s">
        <v>10337</v>
      </c>
      <c r="B3776" s="2" t="s">
        <v>10338</v>
      </c>
      <c r="C3776" s="2" t="s">
        <v>26</v>
      </c>
      <c r="D3776" s="2" t="s">
        <v>18</v>
      </c>
      <c r="E3776" s="4">
        <v>-32288</v>
      </c>
      <c r="F3776" s="3" t="s">
        <v>95</v>
      </c>
      <c r="G3776" s="3" t="s">
        <v>47</v>
      </c>
      <c r="H3776" s="2" t="s">
        <v>148</v>
      </c>
      <c r="I3776" s="2" t="s">
        <v>10339</v>
      </c>
      <c r="J3776" s="3" t="str">
        <f>HYPERLINK("https://www.boe.es/gazeta/dias/1811/08/06/pdfs/GEI-1811-102.pdf#page=8","Abrir facsímil")</f>
        <v>Abrir facsímil</v>
      </c>
      <c r="K3776" s="3" t="s">
        <v>150</v>
      </c>
    </row>
    <row r="3777" spans="1:11" ht="42" customHeight="1">
      <c r="A3777" s="2" t="s">
        <v>10340</v>
      </c>
      <c r="B3777" s="2" t="s">
        <v>10341</v>
      </c>
      <c r="C3777" s="2" t="s">
        <v>26</v>
      </c>
      <c r="D3777" s="2" t="s">
        <v>105</v>
      </c>
      <c r="E3777" s="4">
        <v>-32263</v>
      </c>
      <c r="F3777" s="3" t="s">
        <v>3780</v>
      </c>
      <c r="G3777" s="3" t="s">
        <v>3781</v>
      </c>
      <c r="H3777" s="2" t="s">
        <v>148</v>
      </c>
      <c r="I3777" s="2" t="s">
        <v>10342</v>
      </c>
      <c r="J3777" s="3" t="str">
        <f>HYPERLINK("https://www.boe.es/gazeta/dias/1811/08/31/pdfs/GMD-1811-243.pdf#page=4","Abrir facsímil")</f>
        <v>Abrir facsímil</v>
      </c>
      <c r="K3777" s="3" t="s">
        <v>150</v>
      </c>
    </row>
    <row r="3778" spans="1:11" ht="42" customHeight="1">
      <c r="A3778" s="2" t="s">
        <v>10343</v>
      </c>
      <c r="B3778" s="2" t="s">
        <v>10344</v>
      </c>
      <c r="C3778" s="2" t="s">
        <v>26</v>
      </c>
      <c r="D3778" s="2" t="s">
        <v>18</v>
      </c>
      <c r="E3778" s="4">
        <v>-32173</v>
      </c>
      <c r="F3778" s="3" t="s">
        <v>2701</v>
      </c>
      <c r="G3778" s="3" t="s">
        <v>178</v>
      </c>
      <c r="H3778" s="2" t="s">
        <v>148</v>
      </c>
      <c r="I3778" s="2" t="s">
        <v>10345</v>
      </c>
      <c r="J3778" s="3" t="str">
        <f>HYPERLINK("https://www.boe.es/gazeta/dias/1811/11/29/pdfs/GMD-1811-333.pdf#page=4","Abrir facsímil")</f>
        <v>Abrir facsímil</v>
      </c>
      <c r="K3778" s="3" t="s">
        <v>150</v>
      </c>
    </row>
    <row r="3779" spans="1:11" ht="42" customHeight="1">
      <c r="A3779" s="2" t="s">
        <v>10346</v>
      </c>
      <c r="B3779" s="2" t="s">
        <v>10347</v>
      </c>
      <c r="C3779" s="2" t="s">
        <v>26</v>
      </c>
      <c r="D3779" s="2" t="s">
        <v>18</v>
      </c>
      <c r="E3779" s="4">
        <v>-32379</v>
      </c>
      <c r="F3779" s="3" t="s">
        <v>462</v>
      </c>
      <c r="G3779" s="3" t="s">
        <v>463</v>
      </c>
      <c r="H3779" s="2" t="s">
        <v>148</v>
      </c>
      <c r="I3779" s="2" t="s">
        <v>10348</v>
      </c>
      <c r="J3779" s="3" t="str">
        <f>HYPERLINK("https://www.boe.es/gazeta/dias/1811/05/07/pdfs/GEI-1811-60.pdf#page=8","Abrir facsímil")</f>
        <v>Abrir facsímil</v>
      </c>
      <c r="K3779" s="3" t="s">
        <v>150</v>
      </c>
    </row>
    <row r="3780" spans="1:11" ht="42" customHeight="1">
      <c r="A3780" s="2" t="s">
        <v>10346</v>
      </c>
      <c r="B3780" s="2" t="s">
        <v>10347</v>
      </c>
      <c r="C3780" s="2" t="s">
        <v>26</v>
      </c>
      <c r="D3780" s="2" t="s">
        <v>141</v>
      </c>
      <c r="E3780" s="4">
        <v>-32188</v>
      </c>
      <c r="F3780" s="3" t="s">
        <v>505</v>
      </c>
      <c r="G3780" s="3" t="s">
        <v>47</v>
      </c>
      <c r="H3780" s="2" t="s">
        <v>148</v>
      </c>
      <c r="I3780" s="2" t="s">
        <v>10349</v>
      </c>
      <c r="J3780" s="3" t="str">
        <f>HYPERLINK("https://www.boe.es/gazeta/dias/1811/11/14/pdfs/GEI-D-1811-149.pdf#page=3","Abrir facsímil")</f>
        <v>Abrir facsímil</v>
      </c>
      <c r="K3780" s="3" t="s">
        <v>150</v>
      </c>
    </row>
    <row r="3781" spans="1:11" ht="42" customHeight="1">
      <c r="A3781" s="2" t="s">
        <v>10346</v>
      </c>
      <c r="B3781" s="2" t="s">
        <v>10347</v>
      </c>
      <c r="C3781" s="2" t="s">
        <v>26</v>
      </c>
      <c r="D3781" s="2" t="s">
        <v>18</v>
      </c>
      <c r="E3781" s="4">
        <v>-32158</v>
      </c>
      <c r="F3781" s="3" t="s">
        <v>46</v>
      </c>
      <c r="G3781" s="3" t="s">
        <v>47</v>
      </c>
      <c r="H3781" s="2" t="s">
        <v>148</v>
      </c>
      <c r="I3781" s="2" t="s">
        <v>10350</v>
      </c>
      <c r="J3781" s="3" t="str">
        <f>HYPERLINK("https://www.boe.es/gazeta/dias/1811/12/14/pdfs/GEI-1811-162.pdf#page=7","Abrir facsímil")</f>
        <v>Abrir facsímil</v>
      </c>
      <c r="K3781" s="3" t="s">
        <v>150</v>
      </c>
    </row>
    <row r="3782" spans="1:11" ht="42" customHeight="1">
      <c r="A3782" s="2" t="s">
        <v>10346</v>
      </c>
      <c r="B3782" s="2" t="s">
        <v>10347</v>
      </c>
      <c r="C3782" s="2" t="s">
        <v>17</v>
      </c>
      <c r="D3782" s="2" t="s">
        <v>156</v>
      </c>
      <c r="E3782" s="4">
        <v>-32155</v>
      </c>
      <c r="F3782" s="3" t="s">
        <v>263</v>
      </c>
      <c r="G3782" s="3" t="s">
        <v>1800</v>
      </c>
      <c r="H3782" s="2" t="s">
        <v>148</v>
      </c>
      <c r="I3782" s="2" t="s">
        <v>10351</v>
      </c>
      <c r="J3782" s="3" t="str">
        <f>HYPERLINK("https://www.boe.es/gazeta/dias/1811/12/17/pdfs/GEI-1811-163.pdf#page=7","Abrir facsímil")</f>
        <v>Abrir facsímil</v>
      </c>
      <c r="K3782" s="3" t="s">
        <v>150</v>
      </c>
    </row>
    <row r="3783" spans="1:11" ht="42" customHeight="1">
      <c r="A3783" s="2" t="s">
        <v>10352</v>
      </c>
      <c r="B3783" s="2" t="s">
        <v>10353</v>
      </c>
      <c r="C3783" s="2" t="s">
        <v>17</v>
      </c>
      <c r="D3783" s="2" t="s">
        <v>156</v>
      </c>
      <c r="E3783" s="4">
        <v>-32489</v>
      </c>
      <c r="F3783" s="3" t="s">
        <v>2073</v>
      </c>
      <c r="G3783" s="3" t="s">
        <v>44</v>
      </c>
      <c r="H3783" s="2" t="s">
        <v>148</v>
      </c>
      <c r="I3783" s="2" t="s">
        <v>10354</v>
      </c>
      <c r="J3783" s="3" t="str">
        <f>HYPERLINK("https://www.boe.es/gazeta/dias/1811/01/17/pdfs/GEI-1811-8.pdf#page=8","Abrir facsímil")</f>
        <v>Abrir facsímil</v>
      </c>
      <c r="K3783" s="3" t="s">
        <v>150</v>
      </c>
    </row>
    <row r="3784" spans="1:11" ht="42" customHeight="1">
      <c r="A3784" s="2" t="s">
        <v>10355</v>
      </c>
      <c r="B3784" s="2" t="s">
        <v>10356</v>
      </c>
      <c r="C3784" s="2" t="s">
        <v>37</v>
      </c>
      <c r="D3784" s="2" t="s">
        <v>18</v>
      </c>
      <c r="E3784" s="4">
        <v>-32389</v>
      </c>
      <c r="F3784" s="3" t="s">
        <v>5334</v>
      </c>
      <c r="G3784" s="3" t="s">
        <v>47</v>
      </c>
      <c r="H3784" s="2" t="s">
        <v>148</v>
      </c>
      <c r="I3784" s="2" t="s">
        <v>10357</v>
      </c>
      <c r="J3784" s="3" t="str">
        <f>HYPERLINK("https://www.boe.es/gazeta/dias/1811/04/27/pdfs/GEI-1811-56.pdf#page=3","Abrir facsímil")</f>
        <v>Abrir facsímil</v>
      </c>
      <c r="K3784" s="3" t="s">
        <v>150</v>
      </c>
    </row>
    <row r="3785" spans="1:11" ht="42" customHeight="1">
      <c r="A3785" s="2" t="s">
        <v>10358</v>
      </c>
      <c r="B3785" s="2" t="s">
        <v>10359</v>
      </c>
      <c r="C3785" s="2" t="s">
        <v>17</v>
      </c>
      <c r="D3785" s="2" t="s">
        <v>156</v>
      </c>
      <c r="E3785" s="4">
        <v>-32235</v>
      </c>
      <c r="F3785" s="3" t="s">
        <v>190</v>
      </c>
      <c r="G3785" s="3" t="s">
        <v>188</v>
      </c>
      <c r="H3785" s="2" t="s">
        <v>148</v>
      </c>
      <c r="I3785" s="2" t="s">
        <v>10360</v>
      </c>
      <c r="J3785" s="3" t="str">
        <f>HYPERLINK("https://www.boe.es/gazeta/dias/1811/09/28/pdfs/GEI-1811-125.pdf#page=8","Abrir facsímil")</f>
        <v>Abrir facsímil</v>
      </c>
      <c r="K3785" s="3" t="s">
        <v>150</v>
      </c>
    </row>
    <row r="3786" spans="1:11" ht="42" customHeight="1">
      <c r="A3786" s="2" t="s">
        <v>10361</v>
      </c>
      <c r="B3786" s="2" t="s">
        <v>10362</v>
      </c>
      <c r="C3786" s="2" t="s">
        <v>26</v>
      </c>
      <c r="D3786" s="2" t="s">
        <v>18</v>
      </c>
      <c r="E3786" s="4">
        <v>-32153</v>
      </c>
      <c r="F3786" s="3" t="s">
        <v>123</v>
      </c>
      <c r="G3786" s="3" t="s">
        <v>288</v>
      </c>
      <c r="H3786" s="2" t="s">
        <v>148</v>
      </c>
      <c r="I3786" s="2" t="s">
        <v>10363</v>
      </c>
      <c r="J3786" s="3" t="str">
        <f>HYPERLINK("https://www.boe.es/gazeta/dias/1811/12/19/pdfs/GMD-1811-353.pdf#page=4","Abrir facsímil")</f>
        <v>Abrir facsímil</v>
      </c>
      <c r="K3786" s="3" t="s">
        <v>150</v>
      </c>
    </row>
    <row r="3787" spans="1:11" ht="42" customHeight="1">
      <c r="A3787" s="2" t="s">
        <v>10364</v>
      </c>
      <c r="B3787" s="2" t="s">
        <v>10365</v>
      </c>
      <c r="C3787" s="2" t="s">
        <v>17</v>
      </c>
      <c r="D3787" s="2" t="s">
        <v>141</v>
      </c>
      <c r="E3787" s="4">
        <v>-32238</v>
      </c>
      <c r="F3787" s="3" t="s">
        <v>166</v>
      </c>
      <c r="G3787" s="3" t="s">
        <v>39</v>
      </c>
      <c r="H3787" s="2" t="s">
        <v>148</v>
      </c>
      <c r="I3787" s="2" t="s">
        <v>10366</v>
      </c>
      <c r="J3787" s="3" t="str">
        <f>HYPERLINK("https://www.boe.es/gazeta/dias/1811/09/25/pdfs/GMD-C-1811-268.pdf#page=2","Abrir facsímil")</f>
        <v>Abrir facsímil</v>
      </c>
      <c r="K3787" s="3" t="s">
        <v>150</v>
      </c>
    </row>
    <row r="3788" spans="1:11" ht="42" customHeight="1">
      <c r="A3788" s="2" t="s">
        <v>10367</v>
      </c>
      <c r="B3788" s="2" t="s">
        <v>10368</v>
      </c>
      <c r="C3788" s="2" t="s">
        <v>26</v>
      </c>
      <c r="D3788" s="2" t="s">
        <v>18</v>
      </c>
      <c r="E3788" s="4">
        <v>-32242</v>
      </c>
      <c r="F3788" s="3" t="s">
        <v>1295</v>
      </c>
      <c r="G3788" s="3" t="s">
        <v>1296</v>
      </c>
      <c r="H3788" s="2" t="s">
        <v>148</v>
      </c>
      <c r="I3788" s="2" t="s">
        <v>10369</v>
      </c>
      <c r="J3788" s="3" t="str">
        <f>HYPERLINK("https://www.boe.es/gazeta/dias/1811/09/21/pdfs/GEI-1811-122.pdf#page=8","Abrir facsímil")</f>
        <v>Abrir facsímil</v>
      </c>
      <c r="K3788" s="3" t="s">
        <v>150</v>
      </c>
    </row>
    <row r="3789" spans="1:11" ht="42" customHeight="1">
      <c r="A3789" s="2" t="s">
        <v>10367</v>
      </c>
      <c r="B3789" s="2" t="s">
        <v>10368</v>
      </c>
      <c r="C3789" s="2" t="s">
        <v>26</v>
      </c>
      <c r="D3789" s="2" t="s">
        <v>18</v>
      </c>
      <c r="E3789" s="4">
        <v>-32230</v>
      </c>
      <c r="F3789" s="3" t="s">
        <v>625</v>
      </c>
      <c r="G3789" s="3" t="s">
        <v>162</v>
      </c>
      <c r="H3789" s="2" t="s">
        <v>148</v>
      </c>
      <c r="I3789" s="2" t="s">
        <v>10370</v>
      </c>
      <c r="J3789" s="3" t="str">
        <f>HYPERLINK("https://www.boe.es/gazeta/dias/1811/10/03/pdfs/GEI-1811-127.pdf#page=7","Abrir facsímil")</f>
        <v>Abrir facsímil</v>
      </c>
      <c r="K3789" s="3" t="s">
        <v>150</v>
      </c>
    </row>
    <row r="3790" spans="1:11" ht="42" customHeight="1">
      <c r="A3790" s="2" t="s">
        <v>10367</v>
      </c>
      <c r="B3790" s="2" t="s">
        <v>10368</v>
      </c>
      <c r="C3790" s="2" t="s">
        <v>122</v>
      </c>
      <c r="D3790" s="2" t="s">
        <v>18</v>
      </c>
      <c r="E3790" s="4">
        <v>-32192</v>
      </c>
      <c r="F3790" s="3" t="s">
        <v>673</v>
      </c>
      <c r="G3790" s="3" t="s">
        <v>305</v>
      </c>
      <c r="H3790" s="2" t="s">
        <v>148</v>
      </c>
      <c r="I3790" s="2" t="s">
        <v>10371</v>
      </c>
      <c r="J3790" s="3" t="str">
        <f>HYPERLINK("https://www.boe.es/gazeta/dias/1811/11/10/pdfs/GMD-1811-314.pdf#page=4","Abrir facsímil")</f>
        <v>Abrir facsímil</v>
      </c>
      <c r="K3790" s="3" t="s">
        <v>150</v>
      </c>
    </row>
    <row r="3791" spans="1:11" ht="42" customHeight="1">
      <c r="A3791" s="2" t="s">
        <v>10372</v>
      </c>
      <c r="B3791" s="2" t="s">
        <v>10373</v>
      </c>
      <c r="C3791" s="2" t="s">
        <v>26</v>
      </c>
      <c r="D3791" s="2" t="s">
        <v>141</v>
      </c>
      <c r="E3791" s="4">
        <v>-32188</v>
      </c>
      <c r="F3791" s="3" t="s">
        <v>505</v>
      </c>
      <c r="G3791" s="3" t="s">
        <v>162</v>
      </c>
      <c r="H3791" s="2" t="s">
        <v>148</v>
      </c>
      <c r="I3791" s="2" t="s">
        <v>10374</v>
      </c>
      <c r="J3791" s="3" t="str">
        <f>HYPERLINK("https://www.boe.es/gazeta/dias/1811/11/14/pdfs/GEI-D-1811-149.pdf#page=4","Abrir facsímil")</f>
        <v>Abrir facsímil</v>
      </c>
      <c r="K3791" s="3" t="s">
        <v>150</v>
      </c>
    </row>
    <row r="3792" spans="1:11" ht="42" customHeight="1">
      <c r="A3792" s="2" t="s">
        <v>10375</v>
      </c>
      <c r="B3792" s="2" t="s">
        <v>10376</v>
      </c>
      <c r="C3792" s="2" t="s">
        <v>17</v>
      </c>
      <c r="D3792" s="2" t="s">
        <v>156</v>
      </c>
      <c r="E3792" s="4">
        <v>-32417</v>
      </c>
      <c r="F3792" s="3" t="s">
        <v>7066</v>
      </c>
      <c r="G3792" s="3" t="s">
        <v>10377</v>
      </c>
      <c r="H3792" s="2" t="s">
        <v>148</v>
      </c>
      <c r="I3792" s="2" t="s">
        <v>10378</v>
      </c>
      <c r="J3792" s="3" t="str">
        <f>HYPERLINK("https://www.boe.es/gazeta/dias/1811/03/30/pdfs/GEI-1811-44.pdf#page=7","Abrir facsímil")</f>
        <v>Abrir facsímil</v>
      </c>
      <c r="K3792" s="3" t="s">
        <v>150</v>
      </c>
    </row>
    <row r="3793" spans="1:11" ht="42" customHeight="1">
      <c r="A3793" s="2" t="s">
        <v>10379</v>
      </c>
      <c r="B3793" s="2" t="s">
        <v>10380</v>
      </c>
      <c r="C3793" s="2" t="s">
        <v>17</v>
      </c>
      <c r="D3793" s="2" t="s">
        <v>156</v>
      </c>
      <c r="E3793" s="4">
        <v>-32235</v>
      </c>
      <c r="F3793" s="3" t="s">
        <v>190</v>
      </c>
      <c r="G3793" s="3" t="s">
        <v>188</v>
      </c>
      <c r="H3793" s="2" t="s">
        <v>148</v>
      </c>
      <c r="I3793" s="2" t="s">
        <v>10381</v>
      </c>
      <c r="J3793" s="3" t="str">
        <f>HYPERLINK("https://www.boe.es/gazeta/dias/1811/09/28/pdfs/GEI-1811-125.pdf#page=8","Abrir facsímil")</f>
        <v>Abrir facsímil</v>
      </c>
      <c r="K3793" s="3" t="s">
        <v>150</v>
      </c>
    </row>
    <row r="3794" spans="1:11" ht="42" customHeight="1">
      <c r="A3794" s="2" t="s">
        <v>10382</v>
      </c>
      <c r="B3794" s="2" t="s">
        <v>10383</v>
      </c>
      <c r="C3794" s="2" t="s">
        <v>17</v>
      </c>
      <c r="D3794" s="2" t="s">
        <v>156</v>
      </c>
      <c r="E3794" s="4">
        <v>-32230</v>
      </c>
      <c r="F3794" s="3" t="s">
        <v>625</v>
      </c>
      <c r="G3794" s="3" t="s">
        <v>1258</v>
      </c>
      <c r="H3794" s="2" t="s">
        <v>148</v>
      </c>
      <c r="I3794" s="2" t="s">
        <v>10384</v>
      </c>
      <c r="J3794" s="3" t="str">
        <f>HYPERLINK("https://www.boe.es/gazeta/dias/1811/10/03/pdfs/GEI-1811-127.pdf#page=8","Abrir facsímil")</f>
        <v>Abrir facsímil</v>
      </c>
      <c r="K3794" s="3" t="s">
        <v>150</v>
      </c>
    </row>
    <row r="3795" spans="1:11" ht="42" customHeight="1">
      <c r="A3795" s="2" t="s">
        <v>10385</v>
      </c>
      <c r="B3795" s="2" t="s">
        <v>10386</v>
      </c>
      <c r="C3795" s="2" t="s">
        <v>17</v>
      </c>
      <c r="D3795" s="2" t="s">
        <v>18</v>
      </c>
      <c r="E3795" s="4">
        <v>-32209</v>
      </c>
      <c r="F3795" s="3" t="s">
        <v>9303</v>
      </c>
      <c r="G3795" s="3" t="s">
        <v>10387</v>
      </c>
      <c r="H3795" s="2" t="s">
        <v>148</v>
      </c>
      <c r="I3795" s="2" t="s">
        <v>10388</v>
      </c>
      <c r="J3795" s="3" t="str">
        <f>HYPERLINK("https://www.boe.es/gazeta/dias/1811/10/24/pdfs/GEI-1811-137.pdf#page=8","Abrir facsímil")</f>
        <v>Abrir facsímil</v>
      </c>
      <c r="K3795" s="3" t="s">
        <v>150</v>
      </c>
    </row>
    <row r="3796" spans="1:11" ht="42" customHeight="1">
      <c r="A3796" s="2" t="s">
        <v>10389</v>
      </c>
      <c r="B3796" s="2" t="s">
        <v>10390</v>
      </c>
      <c r="C3796" s="2" t="s">
        <v>122</v>
      </c>
      <c r="D3796" s="2" t="s">
        <v>141</v>
      </c>
      <c r="E3796" s="4">
        <v>-32280</v>
      </c>
      <c r="F3796" s="3" t="s">
        <v>142</v>
      </c>
      <c r="G3796" s="3" t="s">
        <v>597</v>
      </c>
      <c r="H3796" s="2" t="s">
        <v>148</v>
      </c>
      <c r="I3796" s="2" t="s">
        <v>10391</v>
      </c>
      <c r="J3796" s="3" t="str">
        <f>HYPERLINK("https://www.boe.es/gazeta/dias/1811/08/14/pdfs/GMD-C-1811-226.pdf#page=2","Abrir facsímil")</f>
        <v>Abrir facsímil</v>
      </c>
      <c r="K3796" s="3" t="s">
        <v>150</v>
      </c>
    </row>
    <row r="3797" spans="1:11" ht="42" customHeight="1">
      <c r="A3797" s="2" t="s">
        <v>10392</v>
      </c>
      <c r="B3797" s="2" t="s">
        <v>10393</v>
      </c>
      <c r="C3797" s="2" t="s">
        <v>26</v>
      </c>
      <c r="D3797" s="2" t="s">
        <v>18</v>
      </c>
      <c r="E3797" s="4">
        <v>-32218</v>
      </c>
      <c r="F3797" s="3" t="s">
        <v>938</v>
      </c>
      <c r="G3797" s="3" t="s">
        <v>9559</v>
      </c>
      <c r="H3797" s="2" t="s">
        <v>148</v>
      </c>
      <c r="I3797" s="2" t="s">
        <v>10394</v>
      </c>
      <c r="J3797" s="3" t="str">
        <f>HYPERLINK("https://www.boe.es/gazeta/dias/1811/10/15/pdfs/GEI-1811-133.pdf#page=2","Abrir facsímil")</f>
        <v>Abrir facsímil</v>
      </c>
      <c r="K3797" s="3" t="s">
        <v>150</v>
      </c>
    </row>
    <row r="3798" spans="1:11" ht="42" customHeight="1">
      <c r="A3798" s="2" t="s">
        <v>10395</v>
      </c>
      <c r="B3798" s="2" t="s">
        <v>10396</v>
      </c>
      <c r="C3798" s="2" t="s">
        <v>26</v>
      </c>
      <c r="D3798" s="2" t="s">
        <v>18</v>
      </c>
      <c r="E3798" s="4">
        <v>-32200</v>
      </c>
      <c r="F3798" s="3" t="s">
        <v>109</v>
      </c>
      <c r="G3798" s="3" t="s">
        <v>268</v>
      </c>
      <c r="H3798" s="2" t="s">
        <v>148</v>
      </c>
      <c r="I3798" s="2" t="s">
        <v>10397</v>
      </c>
      <c r="J3798" s="3" t="str">
        <f>HYPERLINK("https://www.boe.es/gazeta/dias/1811/11/02/pdfs/GEI-1811-141.pdf#page=7","Abrir facsímil")</f>
        <v>Abrir facsímil</v>
      </c>
      <c r="K3798" s="3" t="s">
        <v>150</v>
      </c>
    </row>
    <row r="3799" spans="1:11" ht="42" customHeight="1">
      <c r="A3799" s="2" t="s">
        <v>10398</v>
      </c>
      <c r="B3799" s="2" t="s">
        <v>10399</v>
      </c>
      <c r="C3799" s="2" t="s">
        <v>26</v>
      </c>
      <c r="D3799" s="2" t="s">
        <v>105</v>
      </c>
      <c r="E3799" s="4">
        <v>-32276</v>
      </c>
      <c r="F3799" s="3" t="s">
        <v>1361</v>
      </c>
      <c r="G3799" s="3" t="s">
        <v>183</v>
      </c>
      <c r="H3799" s="2" t="s">
        <v>148</v>
      </c>
      <c r="I3799" s="2" t="s">
        <v>10400</v>
      </c>
      <c r="J3799" s="3" t="str">
        <f>HYPERLINK("https://www.boe.es/gazeta/dias/1811/08/18/pdfs/GMD-1811-230.pdf#page=4","Abrir facsímil")</f>
        <v>Abrir facsímil</v>
      </c>
      <c r="K3799" s="3" t="s">
        <v>150</v>
      </c>
    </row>
    <row r="3800" spans="1:11" ht="42" customHeight="1">
      <c r="A3800" s="2" t="s">
        <v>10398</v>
      </c>
      <c r="B3800" s="2" t="s">
        <v>10399</v>
      </c>
      <c r="C3800" s="2" t="s">
        <v>122</v>
      </c>
      <c r="D3800" s="2" t="s">
        <v>18</v>
      </c>
      <c r="E3800" s="4">
        <v>-32236</v>
      </c>
      <c r="F3800" s="3" t="s">
        <v>8973</v>
      </c>
      <c r="G3800" s="3" t="s">
        <v>4896</v>
      </c>
      <c r="H3800" s="2" t="s">
        <v>148</v>
      </c>
      <c r="I3800" s="2" t="s">
        <v>10401</v>
      </c>
      <c r="J3800" s="3" t="str">
        <f>HYPERLINK("https://www.boe.es/gazeta/dias/1811/09/27/pdfs/GMD-1811-270.pdf#page=3","Abrir facsímil")</f>
        <v>Abrir facsímil</v>
      </c>
      <c r="K3800" s="3" t="s">
        <v>150</v>
      </c>
    </row>
    <row r="3801" spans="1:11" ht="42" customHeight="1">
      <c r="A3801" s="2" t="s">
        <v>10398</v>
      </c>
      <c r="B3801" s="2" t="s">
        <v>10399</v>
      </c>
      <c r="C3801" s="2" t="s">
        <v>26</v>
      </c>
      <c r="D3801" s="2" t="s">
        <v>18</v>
      </c>
      <c r="E3801" s="4">
        <v>-32200</v>
      </c>
      <c r="F3801" s="3" t="s">
        <v>109</v>
      </c>
      <c r="G3801" s="3" t="s">
        <v>268</v>
      </c>
      <c r="H3801" s="2" t="s">
        <v>148</v>
      </c>
      <c r="I3801" s="2" t="s">
        <v>10402</v>
      </c>
      <c r="J3801" s="3" t="str">
        <f>HYPERLINK("https://www.boe.es/gazeta/dias/1811/11/02/pdfs/GEI-1811-141.pdf#page=7","Abrir facsímil")</f>
        <v>Abrir facsímil</v>
      </c>
      <c r="K3801" s="3" t="s">
        <v>150</v>
      </c>
    </row>
    <row r="3802" spans="1:11" ht="42" customHeight="1">
      <c r="A3802" s="2" t="s">
        <v>10398</v>
      </c>
      <c r="B3802" s="2" t="s">
        <v>10399</v>
      </c>
      <c r="C3802" s="2" t="s">
        <v>26</v>
      </c>
      <c r="D3802" s="2" t="s">
        <v>18</v>
      </c>
      <c r="E3802" s="4">
        <v>-32153</v>
      </c>
      <c r="F3802" s="3" t="s">
        <v>123</v>
      </c>
      <c r="G3802" s="3" t="s">
        <v>1067</v>
      </c>
      <c r="H3802" s="2" t="s">
        <v>148</v>
      </c>
      <c r="I3802" s="2" t="s">
        <v>10403</v>
      </c>
      <c r="J3802" s="3" t="str">
        <f>HYPERLINK("https://www.boe.es/gazeta/dias/1811/12/19/pdfs/GMD-1811-353.pdf#page=5","Abrir facsímil")</f>
        <v>Abrir facsímil</v>
      </c>
      <c r="K3802" s="3" t="s">
        <v>150</v>
      </c>
    </row>
    <row r="3803" spans="1:11" ht="42" customHeight="1">
      <c r="A3803" s="2" t="s">
        <v>10404</v>
      </c>
      <c r="B3803" s="2" t="s">
        <v>10405</v>
      </c>
      <c r="C3803" s="2" t="s">
        <v>26</v>
      </c>
      <c r="D3803" s="2" t="s">
        <v>18</v>
      </c>
      <c r="E3803" s="4">
        <v>-32221</v>
      </c>
      <c r="F3803" s="3" t="s">
        <v>747</v>
      </c>
      <c r="G3803" s="3" t="s">
        <v>39</v>
      </c>
      <c r="H3803" s="2" t="s">
        <v>148</v>
      </c>
      <c r="I3803" s="2" t="s">
        <v>10406</v>
      </c>
      <c r="J3803" s="3" t="str">
        <f>HYPERLINK("https://www.boe.es/gazeta/dias/1811/10/12/pdfs/GEI-1811-131.pdf#page=1","Abrir facsímil")</f>
        <v>Abrir facsímil</v>
      </c>
      <c r="K3803" s="3" t="s">
        <v>150</v>
      </c>
    </row>
    <row r="3804" spans="1:11" ht="42" customHeight="1">
      <c r="A3804" s="2" t="s">
        <v>10407</v>
      </c>
      <c r="B3804" s="2" t="s">
        <v>10408</v>
      </c>
      <c r="C3804" s="2" t="s">
        <v>26</v>
      </c>
      <c r="D3804" s="2" t="s">
        <v>18</v>
      </c>
      <c r="E3804" s="4">
        <v>-32242</v>
      </c>
      <c r="F3804" s="3" t="s">
        <v>1295</v>
      </c>
      <c r="G3804" s="3" t="s">
        <v>1296</v>
      </c>
      <c r="H3804" s="2" t="s">
        <v>148</v>
      </c>
      <c r="I3804" s="2" t="s">
        <v>10409</v>
      </c>
      <c r="J3804" s="3" t="str">
        <f>HYPERLINK("https://www.boe.es/gazeta/dias/1811/09/21/pdfs/GEI-1811-122.pdf#page=8","Abrir facsímil")</f>
        <v>Abrir facsímil</v>
      </c>
      <c r="K3804" s="3" t="s">
        <v>150</v>
      </c>
    </row>
    <row r="3805" spans="1:11" ht="42" customHeight="1">
      <c r="A3805" s="2" t="s">
        <v>10410</v>
      </c>
      <c r="B3805" s="2" t="s">
        <v>10411</v>
      </c>
      <c r="C3805" s="2" t="s">
        <v>26</v>
      </c>
      <c r="D3805" s="2" t="s">
        <v>18</v>
      </c>
      <c r="E3805" s="4">
        <v>-32270</v>
      </c>
      <c r="F3805" s="3" t="s">
        <v>431</v>
      </c>
      <c r="G3805" s="3" t="s">
        <v>2080</v>
      </c>
      <c r="H3805" s="2" t="s">
        <v>148</v>
      </c>
      <c r="I3805" s="2" t="s">
        <v>10412</v>
      </c>
      <c r="J3805" s="3" t="str">
        <f>HYPERLINK("https://www.boe.es/gazeta/dias/1811/08/24/pdfs/GEI-1811-110.pdf#page=5","Abrir facsímil")</f>
        <v>Abrir facsímil</v>
      </c>
      <c r="K3805" s="3" t="s">
        <v>150</v>
      </c>
    </row>
    <row r="3806" spans="1:11" ht="42" customHeight="1">
      <c r="A3806" s="2" t="s">
        <v>10413</v>
      </c>
      <c r="B3806" s="2" t="s">
        <v>10414</v>
      </c>
      <c r="C3806" s="2" t="s">
        <v>26</v>
      </c>
      <c r="D3806" s="2" t="s">
        <v>18</v>
      </c>
      <c r="E3806" s="4">
        <v>-32155</v>
      </c>
      <c r="F3806" s="3" t="s">
        <v>263</v>
      </c>
      <c r="G3806" s="3" t="s">
        <v>1800</v>
      </c>
      <c r="H3806" s="2" t="s">
        <v>148</v>
      </c>
      <c r="I3806" s="2" t="s">
        <v>10415</v>
      </c>
      <c r="J3806" s="3" t="str">
        <f>HYPERLINK("https://www.boe.es/gazeta/dias/1811/12/17/pdfs/GEI-1811-163.pdf#page=7","Abrir facsímil")</f>
        <v>Abrir facsímil</v>
      </c>
      <c r="K3806" s="3" t="s">
        <v>150</v>
      </c>
    </row>
    <row r="3807" spans="1:11" ht="42" customHeight="1">
      <c r="A3807" s="2" t="s">
        <v>10416</v>
      </c>
      <c r="B3807" s="2" t="s">
        <v>10417</v>
      </c>
      <c r="C3807" s="2" t="s">
        <v>17</v>
      </c>
      <c r="D3807" s="2" t="s">
        <v>18</v>
      </c>
      <c r="E3807" s="4">
        <v>-32309</v>
      </c>
      <c r="F3807" s="3" t="s">
        <v>2496</v>
      </c>
      <c r="G3807" s="3" t="s">
        <v>47</v>
      </c>
      <c r="H3807" s="2" t="s">
        <v>148</v>
      </c>
      <c r="I3807" s="2" t="s">
        <v>10418</v>
      </c>
      <c r="J3807" s="3" t="str">
        <f>HYPERLINK("https://www.boe.es/gazeta/dias/1811/07/16/pdfs/GEI-1811-93.pdf#page=8","Abrir facsímil")</f>
        <v>Abrir facsímil</v>
      </c>
      <c r="K3807" s="3" t="s">
        <v>150</v>
      </c>
    </row>
    <row r="3808" spans="1:11" ht="42" customHeight="1">
      <c r="A3808" s="2" t="s">
        <v>10419</v>
      </c>
      <c r="B3808" s="2" t="s">
        <v>10420</v>
      </c>
      <c r="C3808" s="2" t="s">
        <v>17</v>
      </c>
      <c r="D3808" s="2" t="s">
        <v>18</v>
      </c>
      <c r="E3808" s="4">
        <v>-32270</v>
      </c>
      <c r="F3808" s="3" t="s">
        <v>431</v>
      </c>
      <c r="G3808" s="3" t="s">
        <v>432</v>
      </c>
      <c r="H3808" s="2" t="s">
        <v>148</v>
      </c>
      <c r="I3808" s="2" t="s">
        <v>10421</v>
      </c>
      <c r="J3808" s="3" t="str">
        <f>HYPERLINK("https://www.boe.es/gazeta/dias/1811/08/24/pdfs/GEI-1811-110.pdf#page=4","Abrir facsímil")</f>
        <v>Abrir facsímil</v>
      </c>
      <c r="K3808" s="3" t="s">
        <v>150</v>
      </c>
    </row>
    <row r="3809" spans="1:11" ht="42" customHeight="1">
      <c r="A3809" s="2" t="s">
        <v>10419</v>
      </c>
      <c r="B3809" s="2" t="s">
        <v>10420</v>
      </c>
      <c r="C3809" s="2" t="s">
        <v>26</v>
      </c>
      <c r="D3809" s="2" t="s">
        <v>18</v>
      </c>
      <c r="E3809" s="4">
        <v>-32213</v>
      </c>
      <c r="F3809" s="3" t="s">
        <v>4653</v>
      </c>
      <c r="G3809" s="3" t="s">
        <v>1930</v>
      </c>
      <c r="H3809" s="2" t="s">
        <v>148</v>
      </c>
      <c r="I3809" s="2" t="s">
        <v>10422</v>
      </c>
      <c r="J3809" s="3" t="str">
        <f>HYPERLINK("https://www.boe.es/gazeta/dias/1811/10/20/pdfs/GMD-1811-293.pdf#page=4","Abrir facsímil")</f>
        <v>Abrir facsímil</v>
      </c>
      <c r="K3809" s="3" t="s">
        <v>150</v>
      </c>
    </row>
    <row r="3810" spans="1:11" ht="42" customHeight="1">
      <c r="A3810" s="2" t="s">
        <v>10419</v>
      </c>
      <c r="B3810" s="2" t="s">
        <v>10420</v>
      </c>
      <c r="C3810" s="2" t="s">
        <v>104</v>
      </c>
      <c r="D3810" s="2" t="s">
        <v>105</v>
      </c>
      <c r="E3810" s="4">
        <v>-32152</v>
      </c>
      <c r="F3810" s="3" t="s">
        <v>1673</v>
      </c>
      <c r="G3810" s="3" t="s">
        <v>183</v>
      </c>
      <c r="H3810" s="2" t="s">
        <v>148</v>
      </c>
      <c r="I3810" s="2" t="s">
        <v>10423</v>
      </c>
      <c r="J3810" s="3" t="str">
        <f>HYPERLINK("https://www.boe.es/gazeta/dias/1811/12/20/pdfs/GMD-1811-354.pdf#page=4","Abrir facsímil")</f>
        <v>Abrir facsímil</v>
      </c>
      <c r="K3810" s="3" t="s">
        <v>150</v>
      </c>
    </row>
    <row r="3811" spans="1:11" ht="42" customHeight="1">
      <c r="A3811" s="2" t="s">
        <v>10424</v>
      </c>
      <c r="B3811" s="2" t="s">
        <v>10425</v>
      </c>
      <c r="C3811" s="2" t="s">
        <v>37</v>
      </c>
      <c r="D3811" s="2" t="s">
        <v>18</v>
      </c>
      <c r="E3811" s="4">
        <v>-32258</v>
      </c>
      <c r="F3811" s="3" t="s">
        <v>449</v>
      </c>
      <c r="G3811" s="3" t="s">
        <v>903</v>
      </c>
      <c r="H3811" s="2" t="s">
        <v>148</v>
      </c>
      <c r="I3811" s="2" t="s">
        <v>10426</v>
      </c>
      <c r="J3811" s="3" t="str">
        <f>HYPERLINK("https://www.boe.es/gazeta/dias/1811/09/05/pdfs/GEI-1811-115.pdf#page=4","Abrir facsímil")</f>
        <v>Abrir facsímil</v>
      </c>
      <c r="K3811" s="3" t="s">
        <v>150</v>
      </c>
    </row>
    <row r="3812" spans="1:11" ht="42" customHeight="1">
      <c r="A3812" s="2" t="s">
        <v>10427</v>
      </c>
      <c r="B3812" s="2" t="s">
        <v>10428</v>
      </c>
      <c r="C3812" s="2" t="s">
        <v>26</v>
      </c>
      <c r="D3812" s="2" t="s">
        <v>18</v>
      </c>
      <c r="E3812" s="4">
        <v>-32141</v>
      </c>
      <c r="F3812" s="3" t="s">
        <v>327</v>
      </c>
      <c r="G3812" s="3" t="s">
        <v>115</v>
      </c>
      <c r="H3812" s="2" t="s">
        <v>148</v>
      </c>
      <c r="I3812" s="2" t="s">
        <v>10429</v>
      </c>
      <c r="J3812" s="3" t="str">
        <f>HYPERLINK("https://www.boe.es/gazeta/dias/1811/12/31/pdfs/GMD-1811-365.pdf#page=3","Abrir facsímil")</f>
        <v>Abrir facsímil</v>
      </c>
      <c r="K3812" s="3" t="s">
        <v>150</v>
      </c>
    </row>
    <row r="3813" spans="1:11" ht="42" customHeight="1">
      <c r="A3813" s="2" t="s">
        <v>10430</v>
      </c>
      <c r="B3813" s="2" t="s">
        <v>10431</v>
      </c>
      <c r="C3813" s="2" t="s">
        <v>26</v>
      </c>
      <c r="D3813" s="2" t="s">
        <v>18</v>
      </c>
      <c r="E3813" s="4">
        <v>-32153</v>
      </c>
      <c r="F3813" s="3" t="s">
        <v>123</v>
      </c>
      <c r="G3813" s="3" t="s">
        <v>288</v>
      </c>
      <c r="H3813" s="2" t="s">
        <v>148</v>
      </c>
      <c r="I3813" s="2" t="s">
        <v>10432</v>
      </c>
      <c r="J3813" s="3" t="str">
        <f>HYPERLINK("https://www.boe.es/gazeta/dias/1811/12/19/pdfs/GMD-1811-353.pdf#page=4","Abrir facsímil")</f>
        <v>Abrir facsímil</v>
      </c>
      <c r="K3813" s="3" t="s">
        <v>150</v>
      </c>
    </row>
    <row r="3814" spans="1:11" ht="42" customHeight="1">
      <c r="A3814" s="2" t="s">
        <v>10433</v>
      </c>
      <c r="B3814" s="2" t="s">
        <v>10433</v>
      </c>
      <c r="C3814" s="2" t="s">
        <v>17</v>
      </c>
      <c r="D3814" s="2" t="s">
        <v>18</v>
      </c>
      <c r="E3814" s="4">
        <v>-32504</v>
      </c>
      <c r="F3814" s="3" t="s">
        <v>5988</v>
      </c>
      <c r="G3814" s="3" t="s">
        <v>44</v>
      </c>
      <c r="H3814" s="2" t="s">
        <v>148</v>
      </c>
      <c r="I3814" s="2" t="s">
        <v>10434</v>
      </c>
      <c r="J3814" s="3" t="str">
        <f>HYPERLINK("https://www.boe.es/gazeta/dias/1811/01/02/pdfs/GMD-1811-2.pdf#page=2","Abrir facsímil")</f>
        <v>Abrir facsímil</v>
      </c>
      <c r="K3814" s="3" t="s">
        <v>150</v>
      </c>
    </row>
    <row r="3815" spans="1:11" ht="42" customHeight="1">
      <c r="A3815" s="2" t="s">
        <v>10433</v>
      </c>
      <c r="B3815" s="2" t="s">
        <v>10433</v>
      </c>
      <c r="C3815" s="2" t="s">
        <v>17</v>
      </c>
      <c r="D3815" s="2" t="s">
        <v>18</v>
      </c>
      <c r="E3815" s="4">
        <v>-32489</v>
      </c>
      <c r="F3815" s="3" t="s">
        <v>2073</v>
      </c>
      <c r="G3815" s="3" t="s">
        <v>2408</v>
      </c>
      <c r="H3815" s="2" t="s">
        <v>148</v>
      </c>
      <c r="I3815" s="2" t="s">
        <v>10435</v>
      </c>
      <c r="J3815" s="3" t="str">
        <f>HYPERLINK("https://www.boe.es/gazeta/dias/1811/01/17/pdfs/GEI-1811-8.pdf#page=2","Abrir facsímil")</f>
        <v>Abrir facsímil</v>
      </c>
      <c r="K3815" s="3" t="s">
        <v>150</v>
      </c>
    </row>
    <row r="3816" spans="1:11" ht="42" customHeight="1">
      <c r="A3816" s="2" t="s">
        <v>10433</v>
      </c>
      <c r="B3816" s="2" t="s">
        <v>10433</v>
      </c>
      <c r="C3816" s="2" t="s">
        <v>17</v>
      </c>
      <c r="D3816" s="2" t="s">
        <v>156</v>
      </c>
      <c r="E3816" s="4">
        <v>-32484</v>
      </c>
      <c r="F3816" s="3" t="s">
        <v>467</v>
      </c>
      <c r="G3816" s="3" t="s">
        <v>1384</v>
      </c>
      <c r="H3816" s="2" t="s">
        <v>148</v>
      </c>
      <c r="I3816" s="2" t="s">
        <v>10436</v>
      </c>
      <c r="J3816" s="3" t="str">
        <f>HYPERLINK("https://www.boe.es/gazeta/dias/1811/01/22/pdfs/GEI-1811-10.pdf#page=1","Abrir facsímil")</f>
        <v>Abrir facsímil</v>
      </c>
      <c r="K3816" s="3" t="s">
        <v>150</v>
      </c>
    </row>
    <row r="3817" spans="1:11" ht="42" customHeight="1">
      <c r="A3817" s="2" t="s">
        <v>10433</v>
      </c>
      <c r="B3817" s="2" t="s">
        <v>10433</v>
      </c>
      <c r="C3817" s="2" t="s">
        <v>17</v>
      </c>
      <c r="D3817" s="2" t="s">
        <v>156</v>
      </c>
      <c r="E3817" s="4">
        <v>-32481</v>
      </c>
      <c r="F3817" s="3" t="s">
        <v>1687</v>
      </c>
      <c r="G3817" s="3" t="s">
        <v>178</v>
      </c>
      <c r="H3817" s="2" t="s">
        <v>148</v>
      </c>
      <c r="I3817" s="2" t="s">
        <v>10437</v>
      </c>
      <c r="J3817" s="3" t="str">
        <f>HYPERLINK("https://www.boe.es/gazeta/dias/1811/01/25/pdfs/GMD-1811-25.pdf#page=2","Abrir facsímil")</f>
        <v>Abrir facsímil</v>
      </c>
      <c r="K3817" s="3" t="s">
        <v>150</v>
      </c>
    </row>
    <row r="3818" spans="1:11" ht="42" customHeight="1">
      <c r="A3818" s="2" t="s">
        <v>10433</v>
      </c>
      <c r="B3818" s="2" t="s">
        <v>10433</v>
      </c>
      <c r="C3818" s="2" t="s">
        <v>17</v>
      </c>
      <c r="D3818" s="2" t="s">
        <v>18</v>
      </c>
      <c r="E3818" s="4">
        <v>-32470</v>
      </c>
      <c r="F3818" s="3" t="s">
        <v>10438</v>
      </c>
      <c r="G3818" s="3" t="s">
        <v>10439</v>
      </c>
      <c r="H3818" s="2" t="s">
        <v>148</v>
      </c>
      <c r="I3818" s="2" t="s">
        <v>10440</v>
      </c>
      <c r="J3818" s="3" t="str">
        <f>HYPERLINK("https://www.boe.es/gazeta/dias/1811/02/05/pdfs/GMD-1811-36.pdf#page=2","Abrir facsímil")</f>
        <v>Abrir facsímil</v>
      </c>
      <c r="K3818" s="3" t="s">
        <v>150</v>
      </c>
    </row>
    <row r="3819" spans="1:11" ht="42" customHeight="1">
      <c r="A3819" s="2" t="s">
        <v>10441</v>
      </c>
      <c r="B3819" s="2" t="s">
        <v>10442</v>
      </c>
      <c r="C3819" s="2" t="s">
        <v>841</v>
      </c>
      <c r="D3819" s="2" t="s">
        <v>18</v>
      </c>
      <c r="E3819" s="4">
        <v>-32228</v>
      </c>
      <c r="F3819" s="3" t="s">
        <v>372</v>
      </c>
      <c r="G3819" s="3" t="s">
        <v>20</v>
      </c>
      <c r="H3819" s="2" t="s">
        <v>148</v>
      </c>
      <c r="I3819" s="2" t="s">
        <v>10443</v>
      </c>
      <c r="J3819" s="3" t="str">
        <f>HYPERLINK("https://www.boe.es/gazeta/dias/1811/10/05/pdfs/GEI-1811-128.pdf#page=8","Abrir facsímil")</f>
        <v>Abrir facsímil</v>
      </c>
      <c r="K3819" s="3" t="s">
        <v>150</v>
      </c>
    </row>
    <row r="3820" spans="1:11" ht="42" customHeight="1">
      <c r="A3820" s="2" t="s">
        <v>10444</v>
      </c>
      <c r="B3820" s="2" t="s">
        <v>10445</v>
      </c>
      <c r="C3820" s="2" t="s">
        <v>26</v>
      </c>
      <c r="D3820" s="2" t="s">
        <v>141</v>
      </c>
      <c r="E3820" s="4">
        <v>-32238</v>
      </c>
      <c r="F3820" s="3" t="s">
        <v>166</v>
      </c>
      <c r="G3820" s="3" t="s">
        <v>178</v>
      </c>
      <c r="H3820" s="2" t="s">
        <v>148</v>
      </c>
      <c r="I3820" s="2" t="s">
        <v>10446</v>
      </c>
      <c r="J3820" s="3" t="str">
        <f>HYPERLINK("https://www.boe.es/gazeta/dias/1811/09/25/pdfs/GMD-C-1811-268.pdf#page=4","Abrir facsímil")</f>
        <v>Abrir facsímil</v>
      </c>
      <c r="K3820" s="3" t="s">
        <v>150</v>
      </c>
    </row>
    <row r="3821" spans="1:11" ht="42" customHeight="1">
      <c r="A3821" s="2" t="s">
        <v>10447</v>
      </c>
      <c r="B3821" s="2" t="s">
        <v>10448</v>
      </c>
      <c r="C3821" s="2" t="s">
        <v>26</v>
      </c>
      <c r="D3821" s="2" t="s">
        <v>141</v>
      </c>
      <c r="E3821" s="4">
        <v>-32238</v>
      </c>
      <c r="F3821" s="3" t="s">
        <v>166</v>
      </c>
      <c r="G3821" s="3" t="s">
        <v>178</v>
      </c>
      <c r="H3821" s="2" t="s">
        <v>148</v>
      </c>
      <c r="I3821" s="2" t="s">
        <v>10449</v>
      </c>
      <c r="J3821" s="3" t="str">
        <f>HYPERLINK("https://www.boe.es/gazeta/dias/1811/09/25/pdfs/GMD-C-1811-268.pdf#page=4","Abrir facsímil")</f>
        <v>Abrir facsímil</v>
      </c>
      <c r="K3821" s="3" t="s">
        <v>150</v>
      </c>
    </row>
    <row r="3822" spans="1:11" ht="42" customHeight="1">
      <c r="A3822" s="2" t="s">
        <v>10450</v>
      </c>
      <c r="B3822" s="2" t="s">
        <v>10451</v>
      </c>
      <c r="C3822" s="2" t="s">
        <v>84</v>
      </c>
      <c r="D3822" s="2" t="s">
        <v>105</v>
      </c>
      <c r="E3822" s="4">
        <v>-32235</v>
      </c>
      <c r="F3822" s="3" t="s">
        <v>190</v>
      </c>
      <c r="G3822" s="3" t="s">
        <v>188</v>
      </c>
      <c r="H3822" s="2" t="s">
        <v>148</v>
      </c>
      <c r="I3822" s="2" t="s">
        <v>10452</v>
      </c>
      <c r="J3822" s="3" t="str">
        <f>HYPERLINK("https://www.boe.es/gazeta/dias/1811/09/28/pdfs/GEI-1811-125.pdf#page=8","Abrir facsímil")</f>
        <v>Abrir facsímil</v>
      </c>
      <c r="K3822" s="3" t="s">
        <v>150</v>
      </c>
    </row>
    <row r="3823" spans="1:11" ht="42" customHeight="1">
      <c r="A3823" s="2" t="s">
        <v>10453</v>
      </c>
      <c r="B3823" s="2" t="s">
        <v>10454</v>
      </c>
      <c r="C3823" s="2" t="s">
        <v>17</v>
      </c>
      <c r="D3823" s="2" t="s">
        <v>18</v>
      </c>
      <c r="E3823" s="4">
        <v>-32375</v>
      </c>
      <c r="F3823" s="3" t="s">
        <v>1209</v>
      </c>
      <c r="G3823" s="3" t="s">
        <v>440</v>
      </c>
      <c r="H3823" s="2" t="s">
        <v>148</v>
      </c>
      <c r="I3823" s="2" t="s">
        <v>10455</v>
      </c>
      <c r="J3823" s="3" t="str">
        <f>HYPERLINK("https://www.boe.es/gazeta/dias/1811/05/11/pdfs/GEI-1811-62.pdf#page=6","Abrir facsímil")</f>
        <v>Abrir facsímil</v>
      </c>
      <c r="K3823" s="3" t="s">
        <v>150</v>
      </c>
    </row>
    <row r="3824" spans="1:11" ht="42" customHeight="1">
      <c r="A3824" s="2" t="s">
        <v>10456</v>
      </c>
      <c r="B3824" s="2" t="s">
        <v>10456</v>
      </c>
      <c r="C3824" s="2" t="s">
        <v>26</v>
      </c>
      <c r="D3824" s="2" t="s">
        <v>105</v>
      </c>
      <c r="E3824" s="4">
        <v>-32505</v>
      </c>
      <c r="F3824" s="3" t="s">
        <v>661</v>
      </c>
      <c r="G3824" s="3" t="s">
        <v>530</v>
      </c>
      <c r="H3824" s="2" t="s">
        <v>148</v>
      </c>
      <c r="I3824" s="2" t="s">
        <v>10457</v>
      </c>
      <c r="J3824" s="3" t="str">
        <f>HYPERLINK("https://www.boe.es/gazeta/dias/1811/01/01/pdfs/GMD-1811-1.pdf#page=3","Abrir facsímil")</f>
        <v>Abrir facsímil</v>
      </c>
      <c r="K3824" s="3" t="s">
        <v>150</v>
      </c>
    </row>
    <row r="3825" spans="1:11" ht="42" customHeight="1">
      <c r="A3825" s="2" t="s">
        <v>10456</v>
      </c>
      <c r="B3825" s="2" t="s">
        <v>10456</v>
      </c>
      <c r="C3825" s="2" t="s">
        <v>26</v>
      </c>
      <c r="D3825" s="2" t="s">
        <v>18</v>
      </c>
      <c r="E3825" s="4">
        <v>-32403</v>
      </c>
      <c r="F3825" s="3" t="s">
        <v>4861</v>
      </c>
      <c r="G3825" s="3" t="s">
        <v>91</v>
      </c>
      <c r="H3825" s="2" t="s">
        <v>148</v>
      </c>
      <c r="I3825" s="2" t="s">
        <v>10458</v>
      </c>
      <c r="J3825" s="3" t="str">
        <f>HYPERLINK("https://www.boe.es/gazeta/dias/1811/04/13/pdfs/GMD-1811-103.pdf#page=3","Abrir facsímil")</f>
        <v>Abrir facsímil</v>
      </c>
      <c r="K3825" s="3" t="s">
        <v>150</v>
      </c>
    </row>
    <row r="3826" spans="1:11" ht="42" customHeight="1">
      <c r="A3826" s="2" t="s">
        <v>10459</v>
      </c>
      <c r="B3826" s="2" t="s">
        <v>10460</v>
      </c>
      <c r="C3826" s="2" t="s">
        <v>26</v>
      </c>
      <c r="D3826" s="2" t="s">
        <v>18</v>
      </c>
      <c r="E3826" s="4">
        <v>-32300</v>
      </c>
      <c r="F3826" s="3" t="s">
        <v>492</v>
      </c>
      <c r="G3826" s="3" t="s">
        <v>20</v>
      </c>
      <c r="H3826" s="2" t="s">
        <v>148</v>
      </c>
      <c r="I3826" s="2" t="s">
        <v>10461</v>
      </c>
      <c r="J3826" s="3" t="str">
        <f>HYPERLINK("https://www.boe.es/gazeta/dias/1811/07/25/pdfs/GMD-1811-206.pdf#page=3","Abrir facsímil")</f>
        <v>Abrir facsímil</v>
      </c>
      <c r="K3826" s="3" t="s">
        <v>150</v>
      </c>
    </row>
    <row r="3827" spans="1:11" ht="42" customHeight="1">
      <c r="A3827" s="2" t="s">
        <v>10462</v>
      </c>
      <c r="B3827" s="2" t="s">
        <v>10463</v>
      </c>
      <c r="C3827" s="2" t="s">
        <v>17</v>
      </c>
      <c r="D3827" s="2" t="s">
        <v>156</v>
      </c>
      <c r="E3827" s="4">
        <v>-32298</v>
      </c>
      <c r="F3827" s="3" t="s">
        <v>133</v>
      </c>
      <c r="G3827" s="3" t="s">
        <v>134</v>
      </c>
      <c r="H3827" s="2" t="s">
        <v>148</v>
      </c>
      <c r="I3827" s="2" t="s">
        <v>10464</v>
      </c>
      <c r="J3827" s="3" t="str">
        <f>HYPERLINK("https://www.boe.es/gazeta/dias/1811/07/27/pdfs/GEI-1811-98.pdf#page=7","Abrir facsímil")</f>
        <v>Abrir facsímil</v>
      </c>
      <c r="K3827" s="3" t="s">
        <v>150</v>
      </c>
    </row>
    <row r="3828" spans="1:11" ht="42" customHeight="1">
      <c r="A3828" s="2" t="s">
        <v>10465</v>
      </c>
      <c r="B3828" s="2" t="s">
        <v>10466</v>
      </c>
      <c r="C3828" s="2" t="s">
        <v>26</v>
      </c>
      <c r="D3828" s="2" t="s">
        <v>18</v>
      </c>
      <c r="E3828" s="4">
        <v>-32162</v>
      </c>
      <c r="F3828" s="3" t="s">
        <v>317</v>
      </c>
      <c r="G3828" s="3" t="s">
        <v>318</v>
      </c>
      <c r="H3828" s="2" t="s">
        <v>148</v>
      </c>
      <c r="I3828" s="2" t="s">
        <v>10467</v>
      </c>
      <c r="J3828" s="3" t="str">
        <f>HYPERLINK("https://www.boe.es/gazeta/dias/1811/12/10/pdfs/GEI-1811-160.pdf#page=8","Abrir facsímil")</f>
        <v>Abrir facsímil</v>
      </c>
      <c r="K3828" s="3" t="s">
        <v>150</v>
      </c>
    </row>
    <row r="3829" spans="1:11" ht="42" customHeight="1">
      <c r="A3829" s="2" t="s">
        <v>10468</v>
      </c>
      <c r="B3829" s="2" t="s">
        <v>10469</v>
      </c>
      <c r="C3829" s="2" t="s">
        <v>26</v>
      </c>
      <c r="D3829" s="2" t="s">
        <v>18</v>
      </c>
      <c r="E3829" s="4">
        <v>-32145</v>
      </c>
      <c r="F3829" s="3" t="s">
        <v>417</v>
      </c>
      <c r="G3829" s="3" t="s">
        <v>418</v>
      </c>
      <c r="H3829" s="2" t="s">
        <v>148</v>
      </c>
      <c r="I3829" s="2" t="s">
        <v>10470</v>
      </c>
      <c r="J3829" s="3" t="str">
        <f>HYPERLINK("https://www.boe.es/gazeta/dias/1811/12/27/pdfs/GMD-1811-361.pdf#page=4","Abrir facsímil")</f>
        <v>Abrir facsímil</v>
      </c>
      <c r="K3829" s="3" t="s">
        <v>150</v>
      </c>
    </row>
    <row r="3830" spans="1:11" ht="42" customHeight="1">
      <c r="A3830" s="2" t="s">
        <v>10471</v>
      </c>
      <c r="B3830" s="2" t="s">
        <v>10472</v>
      </c>
      <c r="C3830" s="2" t="s">
        <v>26</v>
      </c>
      <c r="D3830" s="2" t="s">
        <v>18</v>
      </c>
      <c r="E3830" s="4">
        <v>-32492</v>
      </c>
      <c r="F3830" s="3" t="s">
        <v>1512</v>
      </c>
      <c r="G3830" s="3" t="s">
        <v>183</v>
      </c>
      <c r="H3830" s="2" t="s">
        <v>148</v>
      </c>
      <c r="I3830" s="2" t="s">
        <v>10473</v>
      </c>
      <c r="J3830" s="3" t="str">
        <f>HYPERLINK("https://www.boe.es/gazeta/dias/1811/01/14/pdfs/GMD-1811-14.pdf#page=4","Abrir facsímil")</f>
        <v>Abrir facsímil</v>
      </c>
      <c r="K3830" s="3" t="s">
        <v>150</v>
      </c>
    </row>
    <row r="3831" spans="1:11" ht="42" customHeight="1">
      <c r="A3831" s="2" t="s">
        <v>10471</v>
      </c>
      <c r="B3831" s="2" t="s">
        <v>10472</v>
      </c>
      <c r="C3831" s="2" t="s">
        <v>104</v>
      </c>
      <c r="D3831" s="2" t="s">
        <v>18</v>
      </c>
      <c r="E3831" s="4">
        <v>-32310</v>
      </c>
      <c r="F3831" s="3" t="s">
        <v>2317</v>
      </c>
      <c r="G3831" s="3" t="s">
        <v>468</v>
      </c>
      <c r="H3831" s="2" t="s">
        <v>148</v>
      </c>
      <c r="I3831" s="2" t="s">
        <v>10474</v>
      </c>
      <c r="J3831" s="3" t="str">
        <f>HYPERLINK("https://www.boe.es/gazeta/dias/1811/07/15/pdfs/GMD-1811-196.pdf#page=4","Abrir facsímil")</f>
        <v>Abrir facsímil</v>
      </c>
      <c r="K3831" s="3" t="s">
        <v>150</v>
      </c>
    </row>
    <row r="3832" spans="1:11" ht="42" customHeight="1">
      <c r="A3832" s="2" t="s">
        <v>10475</v>
      </c>
      <c r="B3832" s="2" t="s">
        <v>10476</v>
      </c>
      <c r="C3832" s="2" t="s">
        <v>26</v>
      </c>
      <c r="D3832" s="2" t="s">
        <v>18</v>
      </c>
      <c r="E3832" s="4">
        <v>-32249</v>
      </c>
      <c r="F3832" s="3" t="s">
        <v>182</v>
      </c>
      <c r="G3832" s="3" t="s">
        <v>183</v>
      </c>
      <c r="H3832" s="2" t="s">
        <v>148</v>
      </c>
      <c r="I3832" s="2" t="s">
        <v>10477</v>
      </c>
      <c r="J3832" s="3" t="str">
        <f>HYPERLINK("https://www.boe.es/gazeta/dias/1811/09/14/pdfs/GMD-1811-257.pdf#page=4","Abrir facsímil")</f>
        <v>Abrir facsímil</v>
      </c>
      <c r="K3832" s="3" t="s">
        <v>150</v>
      </c>
    </row>
    <row r="3833" spans="1:11" ht="42" customHeight="1">
      <c r="A3833" s="2" t="s">
        <v>10478</v>
      </c>
      <c r="B3833" s="2" t="s">
        <v>10479</v>
      </c>
      <c r="C3833" s="2" t="s">
        <v>26</v>
      </c>
      <c r="D3833" s="2" t="s">
        <v>18</v>
      </c>
      <c r="E3833" s="4">
        <v>-32225</v>
      </c>
      <c r="F3833" s="3" t="s">
        <v>390</v>
      </c>
      <c r="G3833" s="3" t="s">
        <v>391</v>
      </c>
      <c r="H3833" s="2" t="s">
        <v>148</v>
      </c>
      <c r="I3833" s="2" t="s">
        <v>10480</v>
      </c>
      <c r="J3833" s="3" t="str">
        <f>HYPERLINK("https://www.boe.es/gazeta/dias/1811/10/08/pdfs/GEI-1811-129.pdf#page=7","Abrir facsímil")</f>
        <v>Abrir facsímil</v>
      </c>
      <c r="K3833" s="3" t="s">
        <v>150</v>
      </c>
    </row>
    <row r="3834" spans="1:11" ht="42" customHeight="1">
      <c r="A3834" s="2" t="s">
        <v>10481</v>
      </c>
      <c r="B3834" s="2" t="s">
        <v>10482</v>
      </c>
      <c r="C3834" s="2" t="s">
        <v>26</v>
      </c>
      <c r="D3834" s="2" t="s">
        <v>18</v>
      </c>
      <c r="E3834" s="4">
        <v>-32235</v>
      </c>
      <c r="F3834" s="3" t="s">
        <v>190</v>
      </c>
      <c r="G3834" s="3" t="s">
        <v>188</v>
      </c>
      <c r="H3834" s="2" t="s">
        <v>148</v>
      </c>
      <c r="I3834" s="2" t="s">
        <v>10483</v>
      </c>
      <c r="J3834" s="3" t="str">
        <f>HYPERLINK("https://www.boe.es/gazeta/dias/1811/09/28/pdfs/GEI-1811-125.pdf#page=8","Abrir facsímil")</f>
        <v>Abrir facsímil</v>
      </c>
      <c r="K3834" s="3" t="s">
        <v>150</v>
      </c>
    </row>
    <row r="3835" spans="1:11" ht="42" customHeight="1">
      <c r="A3835" s="2" t="s">
        <v>10484</v>
      </c>
      <c r="B3835" s="2" t="s">
        <v>10485</v>
      </c>
      <c r="C3835" s="2" t="s">
        <v>26</v>
      </c>
      <c r="D3835" s="2" t="s">
        <v>18</v>
      </c>
      <c r="E3835" s="4">
        <v>-32300</v>
      </c>
      <c r="F3835" s="3" t="s">
        <v>61</v>
      </c>
      <c r="G3835" s="3" t="s">
        <v>62</v>
      </c>
      <c r="H3835" s="2" t="s">
        <v>148</v>
      </c>
      <c r="I3835" s="2" t="s">
        <v>10486</v>
      </c>
      <c r="J3835" s="3" t="str">
        <f>HYPERLINK("https://www.boe.es/gazeta/dias/1811/07/25/pdfs/GEI-1811-97.pdf#page=5","Abrir facsímil")</f>
        <v>Abrir facsímil</v>
      </c>
      <c r="K3835" s="3" t="s">
        <v>150</v>
      </c>
    </row>
    <row r="3836" spans="1:11" ht="42" customHeight="1">
      <c r="A3836" s="2" t="s">
        <v>10487</v>
      </c>
      <c r="B3836" s="2" t="s">
        <v>10488</v>
      </c>
      <c r="C3836" s="2" t="s">
        <v>367</v>
      </c>
      <c r="D3836" s="2" t="s">
        <v>18</v>
      </c>
      <c r="E3836" s="4">
        <v>-32153</v>
      </c>
      <c r="F3836" s="3" t="s">
        <v>123</v>
      </c>
      <c r="G3836" s="3" t="s">
        <v>288</v>
      </c>
      <c r="H3836" s="2" t="s">
        <v>148</v>
      </c>
      <c r="I3836" s="2" t="s">
        <v>10489</v>
      </c>
      <c r="J3836" s="3" t="str">
        <f>HYPERLINK("https://www.boe.es/gazeta/dias/1811/12/19/pdfs/GMD-1811-353.pdf#page=4","Abrir facsímil")</f>
        <v>Abrir facsímil</v>
      </c>
      <c r="K3836" s="3" t="s">
        <v>150</v>
      </c>
    </row>
    <row r="3837" spans="1:11" ht="42" customHeight="1">
      <c r="A3837" s="2" t="s">
        <v>10490</v>
      </c>
      <c r="B3837" s="2" t="s">
        <v>10491</v>
      </c>
      <c r="C3837" s="2" t="s">
        <v>26</v>
      </c>
      <c r="D3837" s="2" t="s">
        <v>18</v>
      </c>
      <c r="E3837" s="4">
        <v>-32200</v>
      </c>
      <c r="F3837" s="3" t="s">
        <v>109</v>
      </c>
      <c r="G3837" s="3" t="s">
        <v>268</v>
      </c>
      <c r="H3837" s="2" t="s">
        <v>148</v>
      </c>
      <c r="I3837" s="2" t="s">
        <v>10492</v>
      </c>
      <c r="J3837" s="3" t="str">
        <f>HYPERLINK("https://www.boe.es/gazeta/dias/1811/11/02/pdfs/GEI-1811-141.pdf#page=7","Abrir facsímil")</f>
        <v>Abrir facsímil</v>
      </c>
      <c r="K3837" s="3" t="s">
        <v>150</v>
      </c>
    </row>
    <row r="3838" spans="1:11" ht="42" customHeight="1">
      <c r="A3838" s="2" t="s">
        <v>10493</v>
      </c>
      <c r="B3838" s="2" t="s">
        <v>10493</v>
      </c>
      <c r="C3838" s="2" t="s">
        <v>17</v>
      </c>
      <c r="D3838" s="2" t="s">
        <v>18</v>
      </c>
      <c r="E3838" s="4">
        <v>-32272</v>
      </c>
      <c r="F3838" s="3" t="s">
        <v>1121</v>
      </c>
      <c r="G3838" s="3" t="s">
        <v>510</v>
      </c>
      <c r="H3838" s="2" t="s">
        <v>148</v>
      </c>
      <c r="I3838" s="2" t="s">
        <v>10494</v>
      </c>
      <c r="J3838" s="3" t="str">
        <f>HYPERLINK("https://www.boe.es/gazeta/dias/1811/08/22/pdfs/GEI-1811-109.pdf#page=8","Abrir facsímil")</f>
        <v>Abrir facsímil</v>
      </c>
      <c r="K3838" s="3" t="s">
        <v>150</v>
      </c>
    </row>
    <row r="3839" spans="1:11" ht="42" customHeight="1">
      <c r="A3839" s="2" t="s">
        <v>10495</v>
      </c>
      <c r="B3839" s="2" t="s">
        <v>10496</v>
      </c>
      <c r="C3839" s="2" t="s">
        <v>26</v>
      </c>
      <c r="D3839" s="2" t="s">
        <v>18</v>
      </c>
      <c r="E3839" s="4">
        <v>-32288</v>
      </c>
      <c r="F3839" s="3" t="s">
        <v>95</v>
      </c>
      <c r="G3839" s="3" t="s">
        <v>47</v>
      </c>
      <c r="H3839" s="2" t="s">
        <v>148</v>
      </c>
      <c r="I3839" s="2" t="s">
        <v>10497</v>
      </c>
      <c r="J3839" s="3" t="str">
        <f>HYPERLINK("https://www.boe.es/gazeta/dias/1811/08/06/pdfs/GEI-1811-102.pdf#page=8","Abrir facsímil")</f>
        <v>Abrir facsímil</v>
      </c>
      <c r="K3839" s="3" t="s">
        <v>150</v>
      </c>
    </row>
    <row r="3840" spans="1:11" ht="42" customHeight="1">
      <c r="A3840" s="2" t="s">
        <v>10498</v>
      </c>
      <c r="B3840" s="2" t="s">
        <v>10498</v>
      </c>
      <c r="C3840" s="2" t="s">
        <v>17</v>
      </c>
      <c r="D3840" s="2" t="s">
        <v>18</v>
      </c>
      <c r="E3840" s="4">
        <v>-32482</v>
      </c>
      <c r="F3840" s="3" t="s">
        <v>924</v>
      </c>
      <c r="G3840" s="3" t="s">
        <v>586</v>
      </c>
      <c r="H3840" s="2" t="s">
        <v>148</v>
      </c>
      <c r="I3840" s="2" t="s">
        <v>10499</v>
      </c>
      <c r="J3840" s="3" t="str">
        <f>HYPERLINK("https://www.boe.es/gazeta/dias/1811/01/24/pdfs/GEI-1811-11.pdf#page=7","Abrir facsímil")</f>
        <v>Abrir facsímil</v>
      </c>
      <c r="K3840" s="3" t="s">
        <v>150</v>
      </c>
    </row>
    <row r="3841" spans="1:11" ht="42" customHeight="1">
      <c r="A3841" s="2" t="s">
        <v>10500</v>
      </c>
      <c r="B3841" s="2" t="s">
        <v>10500</v>
      </c>
      <c r="C3841" s="2" t="s">
        <v>17</v>
      </c>
      <c r="D3841" s="2" t="s">
        <v>156</v>
      </c>
      <c r="E3841" s="4">
        <v>-32171</v>
      </c>
      <c r="F3841" s="3" t="s">
        <v>157</v>
      </c>
      <c r="G3841" s="3" t="s">
        <v>44</v>
      </c>
      <c r="H3841" s="2" t="s">
        <v>148</v>
      </c>
      <c r="I3841" s="2" t="s">
        <v>10501</v>
      </c>
      <c r="J3841" s="3" t="str">
        <f>HYPERLINK("https://www.boe.es/gazeta/dias/1811/12/01/pdfs/GMD-1811-335.pdf#page=4","Abrir facsímil")</f>
        <v>Abrir facsímil</v>
      </c>
      <c r="K3841" s="3" t="s">
        <v>150</v>
      </c>
    </row>
    <row r="3842" spans="1:11" ht="42" customHeight="1">
      <c r="A3842" s="2" t="s">
        <v>10502</v>
      </c>
      <c r="B3842" s="2" t="s">
        <v>10503</v>
      </c>
      <c r="C3842" s="2" t="s">
        <v>26</v>
      </c>
      <c r="D3842" s="2" t="s">
        <v>18</v>
      </c>
      <c r="E3842" s="4">
        <v>-32284</v>
      </c>
      <c r="F3842" s="3" t="s">
        <v>170</v>
      </c>
      <c r="G3842" s="3" t="s">
        <v>1388</v>
      </c>
      <c r="H3842" s="2" t="s">
        <v>148</v>
      </c>
      <c r="I3842" s="2" t="s">
        <v>10504</v>
      </c>
      <c r="J3842" s="3" t="str">
        <f>HYPERLINK("https://www.boe.es/gazeta/dias/1811/08/10/pdfs/GEI-1811-104.pdf#page=8","Abrir facsímil")</f>
        <v>Abrir facsímil</v>
      </c>
      <c r="K3842" s="3" t="s">
        <v>150</v>
      </c>
    </row>
    <row r="3843" spans="1:11" ht="42" customHeight="1">
      <c r="A3843" s="2" t="s">
        <v>10505</v>
      </c>
      <c r="B3843" s="2" t="s">
        <v>10505</v>
      </c>
      <c r="C3843" s="2" t="s">
        <v>17</v>
      </c>
      <c r="D3843" s="2" t="s">
        <v>18</v>
      </c>
      <c r="E3843" s="4">
        <v>-32251</v>
      </c>
      <c r="F3843" s="3" t="s">
        <v>726</v>
      </c>
      <c r="G3843" s="3" t="s">
        <v>62</v>
      </c>
      <c r="H3843" s="2" t="s">
        <v>148</v>
      </c>
      <c r="I3843" s="2" t="s">
        <v>10506</v>
      </c>
      <c r="J3843" s="3" t="str">
        <f>HYPERLINK("https://www.boe.es/gazeta/dias/1811/09/12/pdfs/GEI-1811-118.pdf#page=5","Abrir facsímil")</f>
        <v>Abrir facsímil</v>
      </c>
      <c r="K3843" s="3" t="s">
        <v>150</v>
      </c>
    </row>
    <row r="3844" spans="1:11" ht="42" customHeight="1">
      <c r="A3844" s="2" t="s">
        <v>10507</v>
      </c>
      <c r="B3844" s="2" t="s">
        <v>10507</v>
      </c>
      <c r="C3844" s="2" t="s">
        <v>17</v>
      </c>
      <c r="D3844" s="2" t="s">
        <v>18</v>
      </c>
      <c r="E3844" s="4">
        <v>-32349</v>
      </c>
      <c r="F3844" s="3" t="s">
        <v>239</v>
      </c>
      <c r="G3844" s="3" t="s">
        <v>162</v>
      </c>
      <c r="H3844" s="2" t="s">
        <v>148</v>
      </c>
      <c r="I3844" s="2" t="s">
        <v>10508</v>
      </c>
      <c r="J3844" s="3" t="str">
        <f>HYPERLINK("https://www.boe.es/gazeta/dias/1811/06/06/pdfs/GEI-1811-76.pdf#page=2","Abrir facsímil")</f>
        <v>Abrir facsímil</v>
      </c>
      <c r="K3844" s="3" t="s">
        <v>150</v>
      </c>
    </row>
    <row r="3845" spans="1:11" ht="42" customHeight="1">
      <c r="A3845" s="2" t="s">
        <v>10509</v>
      </c>
      <c r="B3845" s="2" t="s">
        <v>10509</v>
      </c>
      <c r="C3845" s="2" t="s">
        <v>26</v>
      </c>
      <c r="D3845" s="2" t="s">
        <v>18</v>
      </c>
      <c r="E3845" s="4">
        <v>-32141</v>
      </c>
      <c r="F3845" s="3" t="s">
        <v>327</v>
      </c>
      <c r="G3845" s="3" t="s">
        <v>20</v>
      </c>
      <c r="H3845" s="2" t="s">
        <v>148</v>
      </c>
      <c r="I3845" s="2" t="s">
        <v>10510</v>
      </c>
      <c r="J3845" s="3" t="str">
        <f>HYPERLINK("https://www.boe.es/gazeta/dias/1811/12/31/pdfs/GMD-1811-365.pdf#page=4","Abrir facsímil")</f>
        <v>Abrir facsímil</v>
      </c>
      <c r="K3845" s="3" t="s">
        <v>150</v>
      </c>
    </row>
    <row r="3846" spans="1:11" ht="42" customHeight="1">
      <c r="A3846" s="2" t="s">
        <v>10511</v>
      </c>
      <c r="B3846" s="2" t="s">
        <v>10512</v>
      </c>
      <c r="C3846" s="2" t="s">
        <v>17</v>
      </c>
      <c r="D3846" s="2" t="s">
        <v>141</v>
      </c>
      <c r="E3846" s="4">
        <v>-32319</v>
      </c>
      <c r="F3846" s="3" t="s">
        <v>907</v>
      </c>
      <c r="G3846" s="3" t="s">
        <v>134</v>
      </c>
      <c r="H3846" s="2" t="s">
        <v>148</v>
      </c>
      <c r="I3846" s="2" t="s">
        <v>10513</v>
      </c>
      <c r="J3846" s="3" t="str">
        <f>HYPERLINK("https://www.boe.es/gazeta/dias/1811/07/06/pdfs/GEI-D-1811-89.pdf#page=4","Abrir facsímil")</f>
        <v>Abrir facsímil</v>
      </c>
      <c r="K3846" s="3" t="s">
        <v>150</v>
      </c>
    </row>
    <row r="3847" spans="1:11" ht="42" customHeight="1">
      <c r="A3847" s="2" t="s">
        <v>10514</v>
      </c>
      <c r="B3847" s="2" t="s">
        <v>10515</v>
      </c>
      <c r="C3847" s="2" t="s">
        <v>26</v>
      </c>
      <c r="D3847" s="2" t="s">
        <v>18</v>
      </c>
      <c r="E3847" s="4">
        <v>-32147</v>
      </c>
      <c r="F3847" s="3" t="s">
        <v>1922</v>
      </c>
      <c r="G3847" s="3" t="s">
        <v>1923</v>
      </c>
      <c r="H3847" s="2" t="s">
        <v>148</v>
      </c>
      <c r="I3847" s="2" t="s">
        <v>10516</v>
      </c>
      <c r="J3847" s="3" t="str">
        <f>HYPERLINK("https://www.boe.es/gazeta/dias/1811/12/25/pdfs/GMD-1811-359.pdf#page=4","Abrir facsímil")</f>
        <v>Abrir facsímil</v>
      </c>
      <c r="K3847" s="3" t="s">
        <v>150</v>
      </c>
    </row>
    <row r="3848" spans="1:11" ht="42" customHeight="1">
      <c r="A3848" s="2" t="s">
        <v>10517</v>
      </c>
      <c r="B3848" s="2" t="s">
        <v>10517</v>
      </c>
      <c r="C3848" s="2" t="s">
        <v>17</v>
      </c>
      <c r="D3848" s="2" t="s">
        <v>18</v>
      </c>
      <c r="E3848" s="4">
        <v>-32307</v>
      </c>
      <c r="F3848" s="3" t="s">
        <v>1112</v>
      </c>
      <c r="G3848" s="3" t="s">
        <v>10518</v>
      </c>
      <c r="H3848" s="2" t="s">
        <v>148</v>
      </c>
      <c r="I3848" s="2" t="s">
        <v>10519</v>
      </c>
      <c r="J3848" s="3" t="str">
        <f>HYPERLINK("https://www.boe.es/gazeta/dias/1811/07/18/pdfs/GEI-1811-94.pdf#page=5","Abrir facsímil")</f>
        <v>Abrir facsímil</v>
      </c>
      <c r="K3848" s="3" t="s">
        <v>150</v>
      </c>
    </row>
    <row r="3849" spans="1:11" ht="42" customHeight="1">
      <c r="A3849" s="2" t="s">
        <v>10520</v>
      </c>
      <c r="B3849" s="2" t="s">
        <v>10520</v>
      </c>
      <c r="C3849" s="2" t="s">
        <v>17</v>
      </c>
      <c r="D3849" s="2" t="s">
        <v>18</v>
      </c>
      <c r="E3849" s="4">
        <v>-32442</v>
      </c>
      <c r="F3849" s="3" t="s">
        <v>634</v>
      </c>
      <c r="G3849" s="3" t="s">
        <v>3243</v>
      </c>
      <c r="H3849" s="2" t="s">
        <v>148</v>
      </c>
      <c r="I3849" s="2" t="s">
        <v>10521</v>
      </c>
      <c r="J3849" s="3" t="str">
        <f>HYPERLINK("https://www.boe.es/gazeta/dias/1811/03/05/pdfs/GEI-1811-29.pdf#page=5","Abrir facsímil")</f>
        <v>Abrir facsímil</v>
      </c>
      <c r="K3849" s="3" t="s">
        <v>150</v>
      </c>
    </row>
    <row r="3850" spans="1:11" ht="42" customHeight="1">
      <c r="A3850" s="2" t="s">
        <v>10520</v>
      </c>
      <c r="B3850" s="2" t="s">
        <v>10520</v>
      </c>
      <c r="C3850" s="2" t="s">
        <v>17</v>
      </c>
      <c r="D3850" s="2" t="s">
        <v>18</v>
      </c>
      <c r="E3850" s="4">
        <v>-32442</v>
      </c>
      <c r="F3850" s="3" t="s">
        <v>634</v>
      </c>
      <c r="G3850" s="3" t="s">
        <v>755</v>
      </c>
      <c r="H3850" s="2" t="s">
        <v>148</v>
      </c>
      <c r="I3850" s="2" t="s">
        <v>10522</v>
      </c>
      <c r="J3850" s="3" t="str">
        <f>HYPERLINK("https://www.boe.es/gazeta/dias/1811/03/05/pdfs/GEI-1811-29.pdf#page=6","Abrir facsímil")</f>
        <v>Abrir facsímil</v>
      </c>
      <c r="K3850" s="3" t="s">
        <v>150</v>
      </c>
    </row>
    <row r="3851" spans="1:11" ht="42" customHeight="1">
      <c r="A3851" s="2" t="s">
        <v>10523</v>
      </c>
      <c r="B3851" s="2" t="s">
        <v>10523</v>
      </c>
      <c r="C3851" s="2" t="s">
        <v>17</v>
      </c>
      <c r="D3851" s="2" t="s">
        <v>18</v>
      </c>
      <c r="E3851" s="4">
        <v>-32171</v>
      </c>
      <c r="F3851" s="3" t="s">
        <v>157</v>
      </c>
      <c r="G3851" s="3" t="s">
        <v>44</v>
      </c>
      <c r="H3851" s="2" t="s">
        <v>148</v>
      </c>
      <c r="I3851" s="2" t="s">
        <v>10524</v>
      </c>
      <c r="J3851" s="3" t="str">
        <f>HYPERLINK("https://www.boe.es/gazeta/dias/1811/12/01/pdfs/GMD-1811-335.pdf#page=4","Abrir facsímil")</f>
        <v>Abrir facsímil</v>
      </c>
      <c r="K3851" s="3" t="s">
        <v>150</v>
      </c>
    </row>
    <row r="3852" spans="1:11" ht="42" customHeight="1">
      <c r="A3852" s="2" t="s">
        <v>10525</v>
      </c>
      <c r="B3852" s="2" t="s">
        <v>10526</v>
      </c>
      <c r="C3852" s="2" t="s">
        <v>17</v>
      </c>
      <c r="D3852" s="2" t="s">
        <v>156</v>
      </c>
      <c r="E3852" s="4">
        <v>-32200</v>
      </c>
      <c r="F3852" s="3" t="s">
        <v>109</v>
      </c>
      <c r="G3852" s="3" t="s">
        <v>110</v>
      </c>
      <c r="H3852" s="2" t="s">
        <v>148</v>
      </c>
      <c r="I3852" s="2" t="s">
        <v>10527</v>
      </c>
      <c r="J3852" s="3" t="str">
        <f>HYPERLINK("https://www.boe.es/gazeta/dias/1811/11/02/pdfs/GEI-1811-141.pdf#page=6","Abrir facsímil")</f>
        <v>Abrir facsímil</v>
      </c>
      <c r="K3852" s="3" t="s">
        <v>150</v>
      </c>
    </row>
    <row r="3853" spans="1:11" ht="42" customHeight="1">
      <c r="A3853" s="2" t="s">
        <v>10528</v>
      </c>
      <c r="B3853" s="2" t="s">
        <v>10529</v>
      </c>
      <c r="C3853" s="2" t="s">
        <v>26</v>
      </c>
      <c r="D3853" s="2" t="s">
        <v>141</v>
      </c>
      <c r="E3853" s="4">
        <v>-32249</v>
      </c>
      <c r="F3853" s="3" t="s">
        <v>743</v>
      </c>
      <c r="G3853" s="3" t="s">
        <v>468</v>
      </c>
      <c r="H3853" s="2" t="s">
        <v>148</v>
      </c>
      <c r="I3853" s="2" t="s">
        <v>10530</v>
      </c>
      <c r="J3853" s="3" t="str">
        <f>HYPERLINK("https://www.boe.es/gazeta/dias/1811/09/14/pdfs/GMD-C-1811-257.pdf#page=1","Abrir facsímil")</f>
        <v>Abrir facsímil</v>
      </c>
      <c r="K3853" s="3" t="s">
        <v>150</v>
      </c>
    </row>
    <row r="3854" spans="1:11" ht="42" customHeight="1">
      <c r="A3854" s="2" t="s">
        <v>10531</v>
      </c>
      <c r="B3854" s="2" t="s">
        <v>10532</v>
      </c>
      <c r="C3854" s="2" t="s">
        <v>104</v>
      </c>
      <c r="D3854" s="2" t="s">
        <v>141</v>
      </c>
      <c r="E3854" s="4">
        <v>-32272</v>
      </c>
      <c r="F3854" s="3" t="s">
        <v>1150</v>
      </c>
      <c r="G3854" s="3" t="s">
        <v>248</v>
      </c>
      <c r="H3854" s="2" t="s">
        <v>148</v>
      </c>
      <c r="I3854" s="2" t="s">
        <v>10533</v>
      </c>
      <c r="J3854" s="3" t="str">
        <f>HYPERLINK("https://www.boe.es/gazeta/dias/1811/08/22/pdfs/GMD-C-1811-234.pdf#page=1","Abrir facsímil")</f>
        <v>Abrir facsímil</v>
      </c>
      <c r="K3854" s="3" t="s">
        <v>150</v>
      </c>
    </row>
    <row r="3855" spans="1:11" ht="42" customHeight="1">
      <c r="A3855" s="2" t="s">
        <v>10534</v>
      </c>
      <c r="B3855" s="2" t="s">
        <v>10535</v>
      </c>
      <c r="C3855" s="2" t="s">
        <v>26</v>
      </c>
      <c r="D3855" s="2" t="s">
        <v>141</v>
      </c>
      <c r="E3855" s="4">
        <v>-32272</v>
      </c>
      <c r="F3855" s="3" t="s">
        <v>1150</v>
      </c>
      <c r="G3855" s="3" t="s">
        <v>468</v>
      </c>
      <c r="H3855" s="2" t="s">
        <v>148</v>
      </c>
      <c r="I3855" s="2" t="s">
        <v>10536</v>
      </c>
      <c r="J3855" s="3" t="str">
        <f>HYPERLINK("https://www.boe.es/gazeta/dias/1811/08/22/pdfs/GMD-C-1811-234.pdf#page=2","Abrir facsímil")</f>
        <v>Abrir facsímil</v>
      </c>
      <c r="K3855" s="3" t="s">
        <v>150</v>
      </c>
    </row>
    <row r="3856" spans="1:11" ht="42" customHeight="1">
      <c r="A3856" s="2" t="s">
        <v>10537</v>
      </c>
      <c r="B3856" s="2" t="s">
        <v>10537</v>
      </c>
      <c r="C3856" s="2" t="s">
        <v>17</v>
      </c>
      <c r="D3856" s="2" t="s">
        <v>18</v>
      </c>
      <c r="E3856" s="4">
        <v>-32186</v>
      </c>
      <c r="F3856" s="3" t="s">
        <v>1425</v>
      </c>
      <c r="G3856" s="3" t="s">
        <v>256</v>
      </c>
      <c r="H3856" s="2" t="s">
        <v>148</v>
      </c>
      <c r="I3856" s="2" t="s">
        <v>10538</v>
      </c>
      <c r="J3856" s="3" t="str">
        <f>HYPERLINK("https://www.boe.es/gazeta/dias/1811/11/16/pdfs/GEI-1811-150.pdf#page=3","Abrir facsímil")</f>
        <v>Abrir facsímil</v>
      </c>
      <c r="K3856" s="3" t="s">
        <v>150</v>
      </c>
    </row>
    <row r="3857" spans="1:11" ht="42" customHeight="1">
      <c r="A3857" s="2" t="s">
        <v>10537</v>
      </c>
      <c r="B3857" s="2" t="s">
        <v>10537</v>
      </c>
      <c r="C3857" s="2" t="s">
        <v>17</v>
      </c>
      <c r="D3857" s="2" t="s">
        <v>156</v>
      </c>
      <c r="E3857" s="4">
        <v>-32186</v>
      </c>
      <c r="F3857" s="3" t="s">
        <v>1425</v>
      </c>
      <c r="G3857" s="3" t="s">
        <v>47</v>
      </c>
      <c r="H3857" s="2" t="s">
        <v>148</v>
      </c>
      <c r="I3857" s="2" t="s">
        <v>10539</v>
      </c>
      <c r="J3857" s="3" t="str">
        <f>HYPERLINK("https://www.boe.es/gazeta/dias/1811/11/16/pdfs/GEI-1811-150.pdf#page=4","Abrir facsímil")</f>
        <v>Abrir facsímil</v>
      </c>
      <c r="K3857" s="3" t="s">
        <v>150</v>
      </c>
    </row>
    <row r="3858" spans="1:11" ht="42" customHeight="1">
      <c r="A3858" s="2" t="s">
        <v>10540</v>
      </c>
      <c r="B3858" s="2" t="s">
        <v>10541</v>
      </c>
      <c r="C3858" s="2" t="s">
        <v>26</v>
      </c>
      <c r="D3858" s="2" t="s">
        <v>18</v>
      </c>
      <c r="E3858" s="4">
        <v>-32503</v>
      </c>
      <c r="F3858" s="3" t="s">
        <v>487</v>
      </c>
      <c r="G3858" s="3" t="s">
        <v>305</v>
      </c>
      <c r="H3858" s="2" t="s">
        <v>148</v>
      </c>
      <c r="I3858" s="2" t="s">
        <v>10542</v>
      </c>
      <c r="J3858" s="3" t="str">
        <f>HYPERLINK("https://www.boe.es/gazeta/dias/1811/01/03/pdfs/GEI-1811-2.pdf#page=5","Abrir facsímil")</f>
        <v>Abrir facsímil</v>
      </c>
      <c r="K3858" s="3" t="s">
        <v>150</v>
      </c>
    </row>
    <row r="3859" spans="1:11" ht="42" customHeight="1">
      <c r="A3859" s="2" t="s">
        <v>10543</v>
      </c>
      <c r="B3859" s="2" t="s">
        <v>10543</v>
      </c>
      <c r="C3859" s="2" t="s">
        <v>17</v>
      </c>
      <c r="D3859" s="2" t="s">
        <v>18</v>
      </c>
      <c r="E3859" s="4">
        <v>-32435</v>
      </c>
      <c r="F3859" s="3" t="s">
        <v>224</v>
      </c>
      <c r="G3859" s="3" t="s">
        <v>10544</v>
      </c>
      <c r="H3859" s="2" t="s">
        <v>148</v>
      </c>
      <c r="I3859" s="2" t="s">
        <v>10545</v>
      </c>
      <c r="J3859" s="3" t="str">
        <f>HYPERLINK("https://www.boe.es/gazeta/dias/1811/03/12/pdfs/GEI-1811-35.pdf#page=3","Abrir facsímil")</f>
        <v>Abrir facsímil</v>
      </c>
      <c r="K3859" s="3" t="s">
        <v>150</v>
      </c>
    </row>
    <row r="3860" spans="1:11" ht="42" customHeight="1">
      <c r="A3860" s="2" t="s">
        <v>10546</v>
      </c>
      <c r="B3860" s="2" t="s">
        <v>10547</v>
      </c>
      <c r="C3860" s="2" t="s">
        <v>37</v>
      </c>
      <c r="D3860" s="2" t="s">
        <v>528</v>
      </c>
      <c r="E3860" s="4">
        <v>-32219</v>
      </c>
      <c r="F3860" s="3" t="s">
        <v>529</v>
      </c>
      <c r="G3860" s="3" t="s">
        <v>530</v>
      </c>
      <c r="H3860" s="2" t="s">
        <v>148</v>
      </c>
      <c r="I3860" s="2" t="s">
        <v>10548</v>
      </c>
      <c r="J3860" s="3" t="str">
        <f>HYPERLINK("https://www.boe.es/gazeta/dias/1811/10/14/pdfs/GEI-1811-132E.pdf#page=4","Abrir facsímil")</f>
        <v>Abrir facsímil</v>
      </c>
      <c r="K3860" s="3" t="s">
        <v>150</v>
      </c>
    </row>
    <row r="3861" spans="1:11" ht="42" customHeight="1">
      <c r="A3861" s="2" t="s">
        <v>10549</v>
      </c>
      <c r="B3861" s="2" t="s">
        <v>10550</v>
      </c>
      <c r="C3861" s="2" t="s">
        <v>17</v>
      </c>
      <c r="D3861" s="2" t="s">
        <v>156</v>
      </c>
      <c r="E3861" s="4">
        <v>-32242</v>
      </c>
      <c r="F3861" s="3" t="s">
        <v>1295</v>
      </c>
      <c r="G3861" s="3" t="s">
        <v>10551</v>
      </c>
      <c r="H3861" s="2" t="s">
        <v>148</v>
      </c>
      <c r="I3861" s="2" t="s">
        <v>10552</v>
      </c>
      <c r="J3861" s="3" t="str">
        <f>HYPERLINK("https://www.boe.es/gazeta/dias/1811/09/21/pdfs/GEI-1811-122.pdf#page=7","Abrir facsímil")</f>
        <v>Abrir facsímil</v>
      </c>
      <c r="K3861" s="3" t="s">
        <v>150</v>
      </c>
    </row>
    <row r="3862" spans="1:11" ht="42" customHeight="1">
      <c r="A3862" s="2" t="s">
        <v>10553</v>
      </c>
      <c r="B3862" s="2" t="s">
        <v>10553</v>
      </c>
      <c r="C3862" s="2" t="s">
        <v>26</v>
      </c>
      <c r="D3862" s="2" t="s">
        <v>105</v>
      </c>
      <c r="E3862" s="4">
        <v>-32274</v>
      </c>
      <c r="F3862" s="3" t="s">
        <v>5081</v>
      </c>
      <c r="G3862" s="3" t="s">
        <v>468</v>
      </c>
      <c r="H3862" s="2" t="s">
        <v>148</v>
      </c>
      <c r="I3862" s="2" t="s">
        <v>10554</v>
      </c>
      <c r="J3862" s="3" t="str">
        <f>HYPERLINK("https://www.boe.es/gazeta/dias/1811/08/20/pdfs/GEI-1811-108.pdf#page=3","Abrir facsímil")</f>
        <v>Abrir facsímil</v>
      </c>
      <c r="K3862" s="3" t="s">
        <v>150</v>
      </c>
    </row>
    <row r="3863" spans="1:11" ht="42" customHeight="1">
      <c r="A3863" s="2" t="s">
        <v>10555</v>
      </c>
      <c r="B3863" s="2" t="s">
        <v>10555</v>
      </c>
      <c r="C3863" s="2" t="s">
        <v>17</v>
      </c>
      <c r="D3863" s="2" t="s">
        <v>18</v>
      </c>
      <c r="E3863" s="4">
        <v>-32487</v>
      </c>
      <c r="F3863" s="3" t="s">
        <v>842</v>
      </c>
      <c r="G3863" s="3" t="s">
        <v>162</v>
      </c>
      <c r="H3863" s="2" t="s">
        <v>148</v>
      </c>
      <c r="I3863" s="2" t="s">
        <v>10556</v>
      </c>
      <c r="J3863" s="3" t="str">
        <f>HYPERLINK("https://www.boe.es/gazeta/dias/1811/01/19/pdfs/GEI-1811-9.pdf#page=4","Abrir facsímil")</f>
        <v>Abrir facsímil</v>
      </c>
      <c r="K3863" s="3" t="s">
        <v>150</v>
      </c>
    </row>
    <row r="3864" spans="1:11" ht="42" customHeight="1">
      <c r="A3864" s="2" t="s">
        <v>10555</v>
      </c>
      <c r="B3864" s="2" t="s">
        <v>10555</v>
      </c>
      <c r="C3864" s="2" t="s">
        <v>17</v>
      </c>
      <c r="D3864" s="2" t="s">
        <v>18</v>
      </c>
      <c r="E3864" s="4">
        <v>-32484</v>
      </c>
      <c r="F3864" s="3" t="s">
        <v>467</v>
      </c>
      <c r="G3864" s="3" t="s">
        <v>1912</v>
      </c>
      <c r="H3864" s="2" t="s">
        <v>148</v>
      </c>
      <c r="I3864" s="2" t="s">
        <v>10557</v>
      </c>
      <c r="J3864" s="3" t="str">
        <f>HYPERLINK("https://www.boe.es/gazeta/dias/1811/01/22/pdfs/GEI-1811-10.pdf#page=7","Abrir facsímil")</f>
        <v>Abrir facsímil</v>
      </c>
      <c r="K3864" s="3" t="s">
        <v>150</v>
      </c>
    </row>
    <row r="3865" spans="1:11" ht="42" customHeight="1">
      <c r="A3865" s="2" t="s">
        <v>10555</v>
      </c>
      <c r="B3865" s="2" t="s">
        <v>10555</v>
      </c>
      <c r="C3865" s="2" t="s">
        <v>17</v>
      </c>
      <c r="D3865" s="2" t="s">
        <v>18</v>
      </c>
      <c r="E3865" s="4">
        <v>-32434</v>
      </c>
      <c r="F3865" s="3" t="s">
        <v>1932</v>
      </c>
      <c r="G3865" s="3" t="s">
        <v>178</v>
      </c>
      <c r="H3865" s="2" t="s">
        <v>148</v>
      </c>
      <c r="I3865" s="2" t="s">
        <v>10558</v>
      </c>
      <c r="J3865" s="3" t="str">
        <f>HYPERLINK("https://www.boe.es/gazeta/dias/1811/03/13/pdfs/GMD-1811-72.pdf#page=2","Abrir facsímil")</f>
        <v>Abrir facsímil</v>
      </c>
      <c r="K3865" s="3" t="s">
        <v>150</v>
      </c>
    </row>
    <row r="3866" spans="1:11" ht="42" customHeight="1">
      <c r="A3866" s="2" t="s">
        <v>10555</v>
      </c>
      <c r="B3866" s="2" t="s">
        <v>10555</v>
      </c>
      <c r="C3866" s="2" t="s">
        <v>17</v>
      </c>
      <c r="D3866" s="2" t="s">
        <v>18</v>
      </c>
      <c r="E3866" s="4">
        <v>-32356</v>
      </c>
      <c r="F3866" s="3" t="s">
        <v>1992</v>
      </c>
      <c r="G3866" s="3" t="s">
        <v>10559</v>
      </c>
      <c r="H3866" s="2" t="s">
        <v>148</v>
      </c>
      <c r="I3866" s="2" t="s">
        <v>10560</v>
      </c>
      <c r="J3866" s="3" t="str">
        <f>HYPERLINK("https://www.boe.es/gazeta/dias/1811/05/30/pdfs/GEI-1811-73.pdf#page=8","Abrir facsímil")</f>
        <v>Abrir facsímil</v>
      </c>
      <c r="K3866" s="3" t="s">
        <v>150</v>
      </c>
    </row>
    <row r="3867" spans="1:11" ht="42" customHeight="1">
      <c r="A3867" s="2" t="s">
        <v>10555</v>
      </c>
      <c r="B3867" s="2" t="s">
        <v>10555</v>
      </c>
      <c r="C3867" s="2" t="s">
        <v>17</v>
      </c>
      <c r="D3867" s="2" t="s">
        <v>18</v>
      </c>
      <c r="E3867" s="4">
        <v>-32323</v>
      </c>
      <c r="F3867" s="3" t="s">
        <v>322</v>
      </c>
      <c r="G3867" s="3" t="s">
        <v>1482</v>
      </c>
      <c r="H3867" s="2" t="s">
        <v>148</v>
      </c>
      <c r="I3867" s="2" t="s">
        <v>10561</v>
      </c>
      <c r="J3867" s="3" t="str">
        <f>HYPERLINK("https://www.boe.es/gazeta/dias/1811/07/02/pdfs/GEI-1811-87.pdf#page=3","Abrir facsímil")</f>
        <v>Abrir facsímil</v>
      </c>
      <c r="K3867" s="3" t="s">
        <v>150</v>
      </c>
    </row>
    <row r="3868" spans="1:11" ht="42" customHeight="1">
      <c r="A3868" s="2" t="s">
        <v>10555</v>
      </c>
      <c r="B3868" s="2" t="s">
        <v>10555</v>
      </c>
      <c r="C3868" s="2" t="s">
        <v>17</v>
      </c>
      <c r="D3868" s="2" t="s">
        <v>156</v>
      </c>
      <c r="E3868" s="4">
        <v>-32303</v>
      </c>
      <c r="F3868" s="3" t="s">
        <v>2811</v>
      </c>
      <c r="G3868" s="3" t="s">
        <v>3577</v>
      </c>
      <c r="H3868" s="2" t="s">
        <v>148</v>
      </c>
      <c r="I3868" s="2" t="s">
        <v>10562</v>
      </c>
      <c r="J3868" s="3" t="str">
        <f>HYPERLINK("https://www.boe.es/gazeta/dias/1811/07/22/pdfs/GMD-1811-203.pdf#page=4","Abrir facsímil")</f>
        <v>Abrir facsímil</v>
      </c>
      <c r="K3868" s="3" t="s">
        <v>150</v>
      </c>
    </row>
    <row r="3869" spans="1:11" ht="42" customHeight="1">
      <c r="A3869" s="2" t="s">
        <v>10563</v>
      </c>
      <c r="B3869" s="2" t="s">
        <v>10564</v>
      </c>
      <c r="C3869" s="2" t="s">
        <v>17</v>
      </c>
      <c r="D3869" s="2" t="s">
        <v>156</v>
      </c>
      <c r="E3869" s="4">
        <v>-32452</v>
      </c>
      <c r="F3869" s="3" t="s">
        <v>106</v>
      </c>
      <c r="G3869" s="3" t="s">
        <v>20</v>
      </c>
      <c r="H3869" s="2" t="s">
        <v>148</v>
      </c>
      <c r="I3869" s="2" t="s">
        <v>10565</v>
      </c>
      <c r="J3869" s="3" t="str">
        <f>HYPERLINK("https://www.boe.es/gazeta/dias/1811/02/23/pdfs/GEI-1811-24.pdf#page=8","Abrir facsímil")</f>
        <v>Abrir facsímil</v>
      </c>
      <c r="K3869" s="3" t="s">
        <v>150</v>
      </c>
    </row>
    <row r="3870" spans="1:11" ht="42" customHeight="1">
      <c r="A3870" s="2" t="s">
        <v>10566</v>
      </c>
      <c r="B3870" s="2" t="s">
        <v>10567</v>
      </c>
      <c r="C3870" s="2" t="s">
        <v>17</v>
      </c>
      <c r="D3870" s="2" t="s">
        <v>18</v>
      </c>
      <c r="E3870" s="4">
        <v>-32309</v>
      </c>
      <c r="F3870" s="3" t="s">
        <v>2496</v>
      </c>
      <c r="G3870" s="3" t="s">
        <v>3169</v>
      </c>
      <c r="H3870" s="2" t="s">
        <v>21</v>
      </c>
      <c r="I3870" s="2" t="s">
        <v>10568</v>
      </c>
      <c r="J3870" s="3" t="str">
        <f>HYPERLINK("https://www.boe.es/gazeta/dias/1811/07/16/pdfs/GEI-1811-93.pdf#page=1","Abrir facsímil")</f>
        <v>Abrir facsímil</v>
      </c>
      <c r="K3870" s="3" t="s">
        <v>23</v>
      </c>
    </row>
    <row r="3871" spans="1:11" ht="42" customHeight="1">
      <c r="A3871" s="2" t="s">
        <v>10569</v>
      </c>
      <c r="B3871" s="2" t="s">
        <v>10569</v>
      </c>
      <c r="C3871" s="2" t="s">
        <v>17</v>
      </c>
      <c r="D3871" s="2" t="s">
        <v>18</v>
      </c>
      <c r="E3871" s="4">
        <v>-32482</v>
      </c>
      <c r="F3871" s="3" t="s">
        <v>924</v>
      </c>
      <c r="G3871" s="3" t="s">
        <v>925</v>
      </c>
      <c r="H3871" s="2" t="s">
        <v>148</v>
      </c>
      <c r="I3871" s="2" t="s">
        <v>10570</v>
      </c>
      <c r="J3871" s="3" t="str">
        <f>HYPERLINK("https://www.boe.es/gazeta/dias/1811/01/24/pdfs/GEI-1811-11.pdf#page=6","Abrir facsímil")</f>
        <v>Abrir facsímil</v>
      </c>
      <c r="K3871" s="3" t="s">
        <v>150</v>
      </c>
    </row>
    <row r="3872" spans="1:11" ht="42" customHeight="1">
      <c r="A3872" s="2" t="s">
        <v>10571</v>
      </c>
      <c r="B3872" s="2" t="s">
        <v>10572</v>
      </c>
      <c r="C3872" s="2" t="s">
        <v>26</v>
      </c>
      <c r="D3872" s="2" t="s">
        <v>18</v>
      </c>
      <c r="E3872" s="4">
        <v>-32179</v>
      </c>
      <c r="F3872" s="3" t="s">
        <v>614</v>
      </c>
      <c r="G3872" s="3" t="s">
        <v>47</v>
      </c>
      <c r="H3872" s="2" t="s">
        <v>148</v>
      </c>
      <c r="I3872" s="2" t="s">
        <v>10573</v>
      </c>
      <c r="J3872" s="3" t="str">
        <f>HYPERLINK("https://www.boe.es/gazeta/dias/1811/11/23/pdfs/GEI-1811-153.pdf#page=8","Abrir facsímil")</f>
        <v>Abrir facsímil</v>
      </c>
      <c r="K3872" s="3" t="s">
        <v>150</v>
      </c>
    </row>
    <row r="3873" spans="1:11" ht="42" customHeight="1">
      <c r="A3873" s="2" t="s">
        <v>10574</v>
      </c>
      <c r="B3873" s="2" t="s">
        <v>10575</v>
      </c>
      <c r="C3873" s="2" t="s">
        <v>17</v>
      </c>
      <c r="D3873" s="2" t="s">
        <v>18</v>
      </c>
      <c r="E3873" s="4">
        <v>-32371</v>
      </c>
      <c r="F3873" s="3" t="s">
        <v>1518</v>
      </c>
      <c r="G3873" s="3" t="s">
        <v>597</v>
      </c>
      <c r="H3873" s="2" t="s">
        <v>148</v>
      </c>
      <c r="I3873" s="2" t="s">
        <v>10576</v>
      </c>
      <c r="J3873" s="3" t="str">
        <f>HYPERLINK("https://www.boe.es/gazeta/dias/1811/05/15/pdfs/GMD-1811-135.pdf#page=2","Abrir facsímil")</f>
        <v>Abrir facsímil</v>
      </c>
      <c r="K3873" s="3" t="s">
        <v>150</v>
      </c>
    </row>
    <row r="3874" spans="1:11" ht="42" customHeight="1">
      <c r="A3874" s="2" t="s">
        <v>10577</v>
      </c>
      <c r="B3874" s="2" t="s">
        <v>10578</v>
      </c>
      <c r="C3874" s="2" t="s">
        <v>17</v>
      </c>
      <c r="D3874" s="2" t="s">
        <v>156</v>
      </c>
      <c r="E3874" s="4">
        <v>-32390</v>
      </c>
      <c r="F3874" s="3" t="s">
        <v>6268</v>
      </c>
      <c r="G3874" s="3" t="s">
        <v>115</v>
      </c>
      <c r="H3874" s="2" t="s">
        <v>148</v>
      </c>
      <c r="I3874" s="2" t="s">
        <v>10579</v>
      </c>
      <c r="J3874" s="3" t="str">
        <f>HYPERLINK("https://www.boe.es/gazeta/dias/1811/04/26/pdfs/GMD-1811-116.pdf#page=3","Abrir facsímil")</f>
        <v>Abrir facsímil</v>
      </c>
      <c r="K3874" s="3" t="s">
        <v>150</v>
      </c>
    </row>
    <row r="3875" spans="1:11" ht="42" customHeight="1">
      <c r="A3875" s="2" t="s">
        <v>10580</v>
      </c>
      <c r="B3875" s="2" t="s">
        <v>10580</v>
      </c>
      <c r="C3875" s="2" t="s">
        <v>17</v>
      </c>
      <c r="D3875" s="2" t="s">
        <v>18</v>
      </c>
      <c r="E3875" s="4">
        <v>-32429</v>
      </c>
      <c r="F3875" s="3" t="s">
        <v>770</v>
      </c>
      <c r="G3875" s="3" t="s">
        <v>846</v>
      </c>
      <c r="H3875" s="2" t="s">
        <v>148</v>
      </c>
      <c r="I3875" s="2" t="s">
        <v>10581</v>
      </c>
      <c r="J3875" s="3" t="str">
        <f>HYPERLINK("https://www.boe.es/gazeta/dias/1811/03/18/pdfs/GMD-1811-77.pdf#page=2","Abrir facsímil")</f>
        <v>Abrir facsímil</v>
      </c>
      <c r="K3875" s="3" t="s">
        <v>150</v>
      </c>
    </row>
    <row r="3876" spans="1:11" ht="42" customHeight="1">
      <c r="A3876" s="2" t="s">
        <v>10582</v>
      </c>
      <c r="B3876" s="2" t="s">
        <v>10582</v>
      </c>
      <c r="C3876" s="2" t="s">
        <v>17</v>
      </c>
      <c r="D3876" s="2" t="s">
        <v>18</v>
      </c>
      <c r="E3876" s="4">
        <v>-32423</v>
      </c>
      <c r="F3876" s="3" t="s">
        <v>6379</v>
      </c>
      <c r="G3876" s="3" t="s">
        <v>245</v>
      </c>
      <c r="H3876" s="2" t="s">
        <v>148</v>
      </c>
      <c r="I3876" s="2" t="s">
        <v>10583</v>
      </c>
      <c r="J3876" s="3" t="str">
        <f>HYPERLINK("https://www.boe.es/gazeta/dias/1811/03/24/pdfs/GMD-1811-83.pdf#page=3","Abrir facsímil")</f>
        <v>Abrir facsímil</v>
      </c>
      <c r="K3876" s="3" t="s">
        <v>150</v>
      </c>
    </row>
    <row r="3877" spans="1:11" ht="42" customHeight="1">
      <c r="A3877" s="2" t="s">
        <v>10584</v>
      </c>
      <c r="B3877" s="2" t="s">
        <v>10584</v>
      </c>
      <c r="C3877" s="2" t="s">
        <v>26</v>
      </c>
      <c r="D3877" s="2" t="s">
        <v>18</v>
      </c>
      <c r="E3877" s="4">
        <v>-32279</v>
      </c>
      <c r="F3877" s="3" t="s">
        <v>540</v>
      </c>
      <c r="G3877" s="3" t="s">
        <v>20</v>
      </c>
      <c r="H3877" s="2" t="s">
        <v>148</v>
      </c>
      <c r="I3877" s="2" t="s">
        <v>10585</v>
      </c>
      <c r="J3877" s="3" t="str">
        <f>HYPERLINK("https://www.boe.es/gazeta/dias/1811/08/15/pdfs/GMD-1811-227.pdf#page=4","Abrir facsímil")</f>
        <v>Abrir facsímil</v>
      </c>
      <c r="K3877" s="3" t="s">
        <v>150</v>
      </c>
    </row>
    <row r="3878" spans="1:11" ht="42" customHeight="1">
      <c r="A3878" s="2" t="s">
        <v>10586</v>
      </c>
      <c r="B3878" s="2" t="s">
        <v>10586</v>
      </c>
      <c r="C3878" s="2" t="s">
        <v>26</v>
      </c>
      <c r="D3878" s="2" t="s">
        <v>18</v>
      </c>
      <c r="E3878" s="4">
        <v>-32414</v>
      </c>
      <c r="F3878" s="3" t="s">
        <v>2588</v>
      </c>
      <c r="G3878" s="3" t="s">
        <v>2714</v>
      </c>
      <c r="H3878" s="2" t="s">
        <v>148</v>
      </c>
      <c r="I3878" s="2" t="s">
        <v>10587</v>
      </c>
      <c r="J3878" s="3" t="str">
        <f>HYPERLINK("https://www.boe.es/gazeta/dias/1811/04/02/pdfs/GMD-1811-92.pdf#page=2","Abrir facsímil")</f>
        <v>Abrir facsímil</v>
      </c>
      <c r="K3878" s="3" t="s">
        <v>150</v>
      </c>
    </row>
    <row r="3879" spans="1:11" ht="42" customHeight="1">
      <c r="A3879" s="2" t="s">
        <v>10588</v>
      </c>
      <c r="B3879" s="2" t="s">
        <v>10588</v>
      </c>
      <c r="C3879" s="2" t="s">
        <v>26</v>
      </c>
      <c r="D3879" s="2" t="s">
        <v>18</v>
      </c>
      <c r="E3879" s="4">
        <v>-32195</v>
      </c>
      <c r="F3879" s="3" t="s">
        <v>439</v>
      </c>
      <c r="G3879" s="3" t="s">
        <v>440</v>
      </c>
      <c r="H3879" s="2" t="s">
        <v>148</v>
      </c>
      <c r="I3879" s="2" t="s">
        <v>10589</v>
      </c>
      <c r="J3879" s="3" t="str">
        <f>HYPERLINK("https://www.boe.es/gazeta/dias/1811/11/07/pdfs/GEI-1811-144.pdf#page=8","Abrir facsímil")</f>
        <v>Abrir facsímil</v>
      </c>
      <c r="K3879" s="3" t="s">
        <v>150</v>
      </c>
    </row>
    <row r="3880" spans="1:11" ht="42" customHeight="1">
      <c r="A3880" s="2" t="s">
        <v>10590</v>
      </c>
      <c r="B3880" s="2" t="s">
        <v>10590</v>
      </c>
      <c r="C3880" s="2" t="s">
        <v>84</v>
      </c>
      <c r="D3880" s="2" t="s">
        <v>141</v>
      </c>
      <c r="E3880" s="4">
        <v>-32188</v>
      </c>
      <c r="F3880" s="3" t="s">
        <v>505</v>
      </c>
      <c r="G3880" s="3" t="s">
        <v>162</v>
      </c>
      <c r="H3880" s="2" t="s">
        <v>148</v>
      </c>
      <c r="I3880" s="2" t="s">
        <v>10591</v>
      </c>
      <c r="J3880" s="3" t="str">
        <f>HYPERLINK("https://www.boe.es/gazeta/dias/1811/11/14/pdfs/GEI-D-1811-149.pdf#page=4","Abrir facsímil")</f>
        <v>Abrir facsímil</v>
      </c>
      <c r="K3880" s="3" t="s">
        <v>150</v>
      </c>
    </row>
    <row r="3881" spans="1:11" ht="42" customHeight="1">
      <c r="A3881" s="2" t="s">
        <v>10592</v>
      </c>
      <c r="B3881" s="2" t="s">
        <v>10592</v>
      </c>
      <c r="C3881" s="2" t="s">
        <v>17</v>
      </c>
      <c r="D3881" s="2" t="s">
        <v>156</v>
      </c>
      <c r="E3881" s="4">
        <v>-32428</v>
      </c>
      <c r="F3881" s="3" t="s">
        <v>351</v>
      </c>
      <c r="G3881" s="3" t="s">
        <v>57</v>
      </c>
      <c r="H3881" s="2" t="s">
        <v>148</v>
      </c>
      <c r="I3881" s="2" t="s">
        <v>10593</v>
      </c>
      <c r="J3881" s="3" t="str">
        <f>HYPERLINK("https://www.boe.es/gazeta/dias/1811/03/19/pdfs/GMD-1811-78.pdf#page=2","Abrir facsímil")</f>
        <v>Abrir facsímil</v>
      </c>
      <c r="K3881" s="3" t="s">
        <v>150</v>
      </c>
    </row>
    <row r="3882" spans="1:11" ht="42" customHeight="1">
      <c r="A3882" s="2" t="s">
        <v>10594</v>
      </c>
      <c r="B3882" s="2" t="s">
        <v>10595</v>
      </c>
      <c r="C3882" s="2" t="s">
        <v>122</v>
      </c>
      <c r="D3882" s="2" t="s">
        <v>18</v>
      </c>
      <c r="E3882" s="4">
        <v>-32349</v>
      </c>
      <c r="F3882" s="3" t="s">
        <v>3983</v>
      </c>
      <c r="G3882" s="3" t="s">
        <v>10596</v>
      </c>
      <c r="H3882" s="2" t="s">
        <v>148</v>
      </c>
      <c r="I3882" s="2" t="s">
        <v>10597</v>
      </c>
      <c r="J3882" s="3" t="str">
        <f>HYPERLINK("https://www.boe.es/gazeta/dias/1811/06/06/pdfs/GMD-1811-157.pdf#page=3","Abrir facsímil")</f>
        <v>Abrir facsímil</v>
      </c>
      <c r="K3882" s="3" t="s">
        <v>150</v>
      </c>
    </row>
    <row r="3883" spans="1:11" ht="42" customHeight="1">
      <c r="A3883" s="2" t="s">
        <v>10598</v>
      </c>
      <c r="B3883" s="2" t="s">
        <v>10598</v>
      </c>
      <c r="C3883" s="2" t="s">
        <v>17</v>
      </c>
      <c r="D3883" s="2" t="s">
        <v>18</v>
      </c>
      <c r="E3883" s="4">
        <v>-32194</v>
      </c>
      <c r="F3883" s="3" t="s">
        <v>1062</v>
      </c>
      <c r="G3883" s="3" t="s">
        <v>1063</v>
      </c>
      <c r="H3883" s="2" t="s">
        <v>148</v>
      </c>
      <c r="I3883" s="2" t="s">
        <v>10599</v>
      </c>
      <c r="J3883" s="3" t="str">
        <f>HYPERLINK("https://www.boe.es/gazeta/dias/1811/11/08/pdfs/GMD-1811-312.pdf#page=4","Abrir facsímil")</f>
        <v>Abrir facsímil</v>
      </c>
      <c r="K3883" s="3" t="s">
        <v>150</v>
      </c>
    </row>
    <row r="3884" spans="1:11" ht="42" customHeight="1">
      <c r="A3884" s="2" t="s">
        <v>10600</v>
      </c>
      <c r="B3884" s="2" t="s">
        <v>10601</v>
      </c>
      <c r="C3884" s="2" t="s">
        <v>17</v>
      </c>
      <c r="D3884" s="2" t="s">
        <v>156</v>
      </c>
      <c r="E3884" s="4">
        <v>-32146</v>
      </c>
      <c r="F3884" s="3" t="s">
        <v>777</v>
      </c>
      <c r="G3884" s="3" t="s">
        <v>846</v>
      </c>
      <c r="H3884" s="2" t="s">
        <v>148</v>
      </c>
      <c r="I3884" s="2" t="s">
        <v>10602</v>
      </c>
      <c r="J3884" s="3" t="str">
        <f>HYPERLINK("https://www.boe.es/gazeta/dias/1811/12/26/pdfs/GEI-1811-167.pdf#page=8","Abrir facsímil")</f>
        <v>Abrir facsímil</v>
      </c>
      <c r="K3884" s="3" t="s">
        <v>150</v>
      </c>
    </row>
    <row r="3885" spans="1:11" ht="42" customHeight="1">
      <c r="A3885" s="2" t="s">
        <v>10603</v>
      </c>
      <c r="B3885" s="2" t="s">
        <v>10603</v>
      </c>
      <c r="C3885" s="2" t="s">
        <v>17</v>
      </c>
      <c r="D3885" s="2" t="s">
        <v>18</v>
      </c>
      <c r="E3885" s="4">
        <v>-32270</v>
      </c>
      <c r="F3885" s="3" t="s">
        <v>2617</v>
      </c>
      <c r="G3885" s="3" t="s">
        <v>846</v>
      </c>
      <c r="H3885" s="2" t="s">
        <v>148</v>
      </c>
      <c r="I3885" s="2" t="s">
        <v>10604</v>
      </c>
      <c r="J3885" s="3" t="str">
        <f>HYPERLINK("https://www.boe.es/gazeta/dias/1811/08/24/pdfs/GMD-1811-236.pdf#page=3","Abrir facsímil")</f>
        <v>Abrir facsímil</v>
      </c>
      <c r="K3885" s="3" t="s">
        <v>150</v>
      </c>
    </row>
    <row r="3886" spans="1:11" ht="42" customHeight="1">
      <c r="A3886" s="2" t="s">
        <v>10605</v>
      </c>
      <c r="B3886" s="2" t="s">
        <v>10605</v>
      </c>
      <c r="C3886" s="2" t="s">
        <v>17</v>
      </c>
      <c r="D3886" s="2" t="s">
        <v>204</v>
      </c>
      <c r="E3886" s="4">
        <v>-32349</v>
      </c>
      <c r="F3886" s="3" t="s">
        <v>3983</v>
      </c>
      <c r="G3886" s="3" t="s">
        <v>183</v>
      </c>
      <c r="H3886" s="2" t="s">
        <v>148</v>
      </c>
      <c r="I3886" s="2" t="s">
        <v>10606</v>
      </c>
      <c r="J3886" s="3" t="str">
        <f>HYPERLINK("https://www.boe.es/gazeta/dias/1811/06/06/pdfs/GMD-1811-157.pdf#page=4","Abrir facsímil")</f>
        <v>Abrir facsímil</v>
      </c>
      <c r="K3886" s="3" t="s">
        <v>150</v>
      </c>
    </row>
    <row r="3887" spans="1:11" ht="42" customHeight="1">
      <c r="A3887" s="2" t="s">
        <v>10607</v>
      </c>
      <c r="B3887" s="2" t="s">
        <v>10607</v>
      </c>
      <c r="C3887" s="2" t="s">
        <v>37</v>
      </c>
      <c r="D3887" s="2" t="s">
        <v>18</v>
      </c>
      <c r="E3887" s="4">
        <v>-32503</v>
      </c>
      <c r="F3887" s="3" t="s">
        <v>10608</v>
      </c>
      <c r="G3887" s="3" t="s">
        <v>162</v>
      </c>
      <c r="H3887" s="2" t="s">
        <v>148</v>
      </c>
      <c r="I3887" s="2" t="s">
        <v>10609</v>
      </c>
      <c r="J3887" s="3" t="str">
        <f>HYPERLINK("https://www.boe.es/gazeta/dias/1811/01/03/pdfs/GMD-1811-3.pdf#page=1","Abrir facsímil")</f>
        <v>Abrir facsímil</v>
      </c>
      <c r="K3887" s="3" t="s">
        <v>150</v>
      </c>
    </row>
    <row r="3888" spans="1:11" ht="42" customHeight="1">
      <c r="A3888" s="2" t="s">
        <v>10610</v>
      </c>
      <c r="B3888" s="2" t="s">
        <v>10611</v>
      </c>
      <c r="C3888" s="2" t="s">
        <v>26</v>
      </c>
      <c r="D3888" s="2" t="s">
        <v>18</v>
      </c>
      <c r="E3888" s="4">
        <v>-32155</v>
      </c>
      <c r="F3888" s="3" t="s">
        <v>263</v>
      </c>
      <c r="G3888" s="3" t="s">
        <v>1800</v>
      </c>
      <c r="H3888" s="2" t="s">
        <v>148</v>
      </c>
      <c r="I3888" s="2" t="s">
        <v>10612</v>
      </c>
      <c r="J3888" s="3" t="str">
        <f>HYPERLINK("https://www.boe.es/gazeta/dias/1811/12/17/pdfs/GEI-1811-163.pdf#page=7","Abrir facsímil")</f>
        <v>Abrir facsímil</v>
      </c>
      <c r="K3888" s="3" t="s">
        <v>150</v>
      </c>
    </row>
    <row r="3889" spans="1:11" ht="42" customHeight="1">
      <c r="A3889" s="2" t="s">
        <v>10613</v>
      </c>
      <c r="B3889" s="2" t="s">
        <v>10614</v>
      </c>
      <c r="C3889" s="2" t="s">
        <v>17</v>
      </c>
      <c r="D3889" s="2" t="s">
        <v>156</v>
      </c>
      <c r="E3889" s="4">
        <v>-32312</v>
      </c>
      <c r="F3889" s="3" t="s">
        <v>2640</v>
      </c>
      <c r="G3889" s="3" t="s">
        <v>10615</v>
      </c>
      <c r="H3889" s="2" t="s">
        <v>148</v>
      </c>
      <c r="I3889" s="2" t="s">
        <v>10616</v>
      </c>
      <c r="J3889" s="3" t="str">
        <f>HYPERLINK("https://www.boe.es/gazeta/dias/1811/07/13/pdfs/GEI-1811-92.pdf#page=6","Abrir facsímil")</f>
        <v>Abrir facsímil</v>
      </c>
      <c r="K3889" s="3" t="s">
        <v>150</v>
      </c>
    </row>
    <row r="3890" spans="1:11" ht="42" customHeight="1">
      <c r="A3890" s="2" t="s">
        <v>10617</v>
      </c>
      <c r="B3890" s="2" t="s">
        <v>10618</v>
      </c>
      <c r="C3890" s="2" t="s">
        <v>26</v>
      </c>
      <c r="D3890" s="2" t="s">
        <v>18</v>
      </c>
      <c r="E3890" s="4">
        <v>-32487</v>
      </c>
      <c r="F3890" s="3" t="s">
        <v>842</v>
      </c>
      <c r="G3890" s="3" t="s">
        <v>440</v>
      </c>
      <c r="H3890" s="2" t="s">
        <v>148</v>
      </c>
      <c r="I3890" s="2" t="s">
        <v>10619</v>
      </c>
      <c r="J3890" s="3" t="str">
        <f>HYPERLINK("https://www.boe.es/gazeta/dias/1811/01/19/pdfs/GEI-1811-9.pdf#page=2","Abrir facsímil")</f>
        <v>Abrir facsímil</v>
      </c>
      <c r="K3890" s="3" t="s">
        <v>150</v>
      </c>
    </row>
    <row r="3891" spans="1:11" ht="42" customHeight="1">
      <c r="A3891" s="2" t="s">
        <v>10620</v>
      </c>
      <c r="B3891" s="2" t="s">
        <v>10621</v>
      </c>
      <c r="C3891" s="2" t="s">
        <v>37</v>
      </c>
      <c r="D3891" s="2" t="s">
        <v>156</v>
      </c>
      <c r="E3891" s="4">
        <v>-32237</v>
      </c>
      <c r="F3891" s="3" t="s">
        <v>717</v>
      </c>
      <c r="G3891" s="3" t="s">
        <v>1128</v>
      </c>
      <c r="H3891" s="2" t="s">
        <v>148</v>
      </c>
      <c r="I3891" s="2" t="s">
        <v>10622</v>
      </c>
      <c r="J3891" s="3" t="str">
        <f>HYPERLINK("https://www.boe.es/gazeta/dias/1811/09/26/pdfs/GEI-1811-124.pdf#page=8","Abrir facsímil")</f>
        <v>Abrir facsímil</v>
      </c>
      <c r="K3891" s="3" t="s">
        <v>150</v>
      </c>
    </row>
    <row r="3892" spans="1:11" ht="42" customHeight="1">
      <c r="A3892" s="2" t="s">
        <v>10623</v>
      </c>
      <c r="B3892" s="2" t="s">
        <v>10623</v>
      </c>
      <c r="C3892" s="2" t="s">
        <v>17</v>
      </c>
      <c r="D3892" s="2" t="s">
        <v>156</v>
      </c>
      <c r="E3892" s="4">
        <v>-32428</v>
      </c>
      <c r="F3892" s="3" t="s">
        <v>351</v>
      </c>
      <c r="G3892" s="3" t="s">
        <v>57</v>
      </c>
      <c r="H3892" s="2" t="s">
        <v>148</v>
      </c>
      <c r="I3892" s="2" t="s">
        <v>10624</v>
      </c>
      <c r="J3892" s="3" t="str">
        <f>HYPERLINK("https://www.boe.es/gazeta/dias/1811/03/19/pdfs/GMD-1811-78.pdf#page=2","Abrir facsímil")</f>
        <v>Abrir facsímil</v>
      </c>
      <c r="K3892" s="3" t="s">
        <v>150</v>
      </c>
    </row>
    <row r="3893" spans="1:11" ht="42" customHeight="1">
      <c r="A3893" s="2" t="s">
        <v>10625</v>
      </c>
      <c r="B3893" s="2" t="s">
        <v>10626</v>
      </c>
      <c r="C3893" s="2" t="s">
        <v>84</v>
      </c>
      <c r="D3893" s="2" t="s">
        <v>18</v>
      </c>
      <c r="E3893" s="4">
        <v>-32190</v>
      </c>
      <c r="F3893" s="3" t="s">
        <v>1282</v>
      </c>
      <c r="G3893" s="3" t="s">
        <v>468</v>
      </c>
      <c r="H3893" s="2" t="s">
        <v>148</v>
      </c>
      <c r="I3893" s="2" t="s">
        <v>10627</v>
      </c>
      <c r="J3893" s="3" t="str">
        <f>HYPERLINK("https://www.boe.es/gazeta/dias/1811/11/12/pdfs/GMD-1811-316.pdf#page=4","Abrir facsímil")</f>
        <v>Abrir facsímil</v>
      </c>
      <c r="K3893" s="3" t="s">
        <v>150</v>
      </c>
    </row>
    <row r="3894" spans="1:11" ht="42" customHeight="1">
      <c r="A3894" s="2" t="s">
        <v>10628</v>
      </c>
      <c r="B3894" s="2" t="s">
        <v>10629</v>
      </c>
      <c r="C3894" s="2" t="s">
        <v>17</v>
      </c>
      <c r="D3894" s="2" t="s">
        <v>156</v>
      </c>
      <c r="E3894" s="4">
        <v>-32365</v>
      </c>
      <c r="F3894" s="3" t="s">
        <v>1304</v>
      </c>
      <c r="G3894" s="3" t="s">
        <v>120</v>
      </c>
      <c r="H3894" s="2" t="s">
        <v>148</v>
      </c>
      <c r="I3894" s="2" t="s">
        <v>10630</v>
      </c>
      <c r="J3894" s="3" t="str">
        <f>HYPERLINK("https://www.boe.es/gazeta/dias/1811/05/21/pdfs/GEI-D-1811-67.pdf#page=4","Abrir facsímil")</f>
        <v>Abrir facsímil</v>
      </c>
      <c r="K3894" s="3" t="s">
        <v>150</v>
      </c>
    </row>
    <row r="3895" spans="1:11" ht="42" customHeight="1">
      <c r="A3895" s="2" t="s">
        <v>10631</v>
      </c>
      <c r="B3895" s="2" t="s">
        <v>10632</v>
      </c>
      <c r="C3895" s="2" t="s">
        <v>26</v>
      </c>
      <c r="D3895" s="2" t="s">
        <v>141</v>
      </c>
      <c r="E3895" s="4">
        <v>-32355</v>
      </c>
      <c r="F3895" s="3" t="s">
        <v>537</v>
      </c>
      <c r="G3895" s="3" t="s">
        <v>593</v>
      </c>
      <c r="H3895" s="2" t="s">
        <v>148</v>
      </c>
      <c r="I3895" s="2" t="s">
        <v>10633</v>
      </c>
      <c r="J3895" s="3" t="str">
        <f>HYPERLINK("https://www.boe.es/gazeta/dias/1811/05/31/pdfs/GMD-C-1811-151.pdf#page=15","Abrir facsímil")</f>
        <v>Abrir facsímil</v>
      </c>
      <c r="K3895" s="3" t="s">
        <v>150</v>
      </c>
    </row>
    <row r="3896" spans="1:11" ht="42" customHeight="1">
      <c r="A3896" s="2" t="s">
        <v>10634</v>
      </c>
      <c r="B3896" s="2" t="s">
        <v>10635</v>
      </c>
      <c r="C3896" s="2" t="s">
        <v>26</v>
      </c>
      <c r="D3896" s="2" t="s">
        <v>18</v>
      </c>
      <c r="E3896" s="4">
        <v>-32265</v>
      </c>
      <c r="F3896" s="3" t="s">
        <v>2375</v>
      </c>
      <c r="G3896" s="3" t="s">
        <v>2376</v>
      </c>
      <c r="H3896" s="2" t="s">
        <v>148</v>
      </c>
      <c r="I3896" s="2" t="s">
        <v>10636</v>
      </c>
      <c r="J3896" s="3" t="str">
        <f>HYPERLINK("https://www.boe.es/gazeta/dias/1811/08/29/pdfs/GEI-1811-112.pdf#page=5","Abrir facsímil")</f>
        <v>Abrir facsímil</v>
      </c>
      <c r="K3896" s="3" t="s">
        <v>150</v>
      </c>
    </row>
    <row r="3897" spans="1:11" ht="42" customHeight="1">
      <c r="A3897" s="2" t="s">
        <v>10637</v>
      </c>
      <c r="B3897" s="2" t="s">
        <v>10638</v>
      </c>
      <c r="C3897" s="2" t="s">
        <v>26</v>
      </c>
      <c r="D3897" s="2" t="s">
        <v>18</v>
      </c>
      <c r="E3897" s="4">
        <v>-32174</v>
      </c>
      <c r="F3897" s="3" t="s">
        <v>172</v>
      </c>
      <c r="G3897" s="3" t="s">
        <v>4759</v>
      </c>
      <c r="H3897" s="2" t="s">
        <v>148</v>
      </c>
      <c r="I3897" s="2" t="s">
        <v>10639</v>
      </c>
      <c r="J3897" s="3" t="str">
        <f>HYPERLINK("https://www.boe.es/gazeta/dias/1811/11/28/pdfs/GEI-1811-155.pdf#page=4","Abrir facsímil")</f>
        <v>Abrir facsímil</v>
      </c>
      <c r="K3897" s="3" t="s">
        <v>150</v>
      </c>
    </row>
    <row r="3898" spans="1:11" ht="42" customHeight="1">
      <c r="A3898" s="2" t="s">
        <v>10640</v>
      </c>
      <c r="B3898" s="2" t="s">
        <v>10641</v>
      </c>
      <c r="C3898" s="2" t="s">
        <v>17</v>
      </c>
      <c r="D3898" s="2" t="s">
        <v>18</v>
      </c>
      <c r="E3898" s="4">
        <v>-32428</v>
      </c>
      <c r="F3898" s="3" t="s">
        <v>1974</v>
      </c>
      <c r="G3898" s="3" t="s">
        <v>4738</v>
      </c>
      <c r="H3898" s="2" t="s">
        <v>148</v>
      </c>
      <c r="I3898" s="2" t="s">
        <v>10642</v>
      </c>
      <c r="J3898" s="3" t="str">
        <f>HYPERLINK("https://www.boe.es/gazeta/dias/1811/03/19/pdfs/GEI-1811-39.pdf#page=8","Abrir facsímil")</f>
        <v>Abrir facsímil</v>
      </c>
      <c r="K3898" s="3" t="s">
        <v>150</v>
      </c>
    </row>
    <row r="3899" spans="1:11" ht="42" customHeight="1">
      <c r="A3899" s="2" t="s">
        <v>10643</v>
      </c>
      <c r="B3899" s="2" t="s">
        <v>10644</v>
      </c>
      <c r="C3899" s="2" t="s">
        <v>26</v>
      </c>
      <c r="D3899" s="2" t="s">
        <v>18</v>
      </c>
      <c r="E3899" s="4">
        <v>-32428</v>
      </c>
      <c r="F3899" s="3" t="s">
        <v>1974</v>
      </c>
      <c r="G3899" s="3" t="s">
        <v>4738</v>
      </c>
      <c r="H3899" s="2" t="s">
        <v>148</v>
      </c>
      <c r="I3899" s="2" t="s">
        <v>10645</v>
      </c>
      <c r="J3899" s="3" t="str">
        <f>HYPERLINK("https://www.boe.es/gazeta/dias/1811/03/19/pdfs/GEI-1811-39.pdf#page=8","Abrir facsímil")</f>
        <v>Abrir facsímil</v>
      </c>
      <c r="K3899" s="3" t="s">
        <v>150</v>
      </c>
    </row>
    <row r="3900" spans="1:11" ht="42" customHeight="1">
      <c r="A3900" s="2" t="s">
        <v>10646</v>
      </c>
      <c r="B3900" s="2" t="s">
        <v>10646</v>
      </c>
      <c r="C3900" s="2" t="s">
        <v>17</v>
      </c>
      <c r="D3900" s="2" t="s">
        <v>18</v>
      </c>
      <c r="E3900" s="4">
        <v>-32434</v>
      </c>
      <c r="F3900" s="3" t="s">
        <v>1932</v>
      </c>
      <c r="G3900" s="3" t="s">
        <v>1784</v>
      </c>
      <c r="H3900" s="2" t="s">
        <v>148</v>
      </c>
      <c r="I3900" s="2" t="s">
        <v>10647</v>
      </c>
      <c r="J3900" s="3" t="str">
        <f>HYPERLINK("https://www.boe.es/gazeta/dias/1811/03/13/pdfs/GMD-1811-72.pdf#page=3","Abrir facsímil")</f>
        <v>Abrir facsímil</v>
      </c>
      <c r="K3900" s="3" t="s">
        <v>150</v>
      </c>
    </row>
    <row r="3901" spans="1:11" ht="42" customHeight="1">
      <c r="A3901" s="2" t="s">
        <v>10648</v>
      </c>
      <c r="B3901" s="2" t="s">
        <v>10649</v>
      </c>
      <c r="C3901" s="2" t="s">
        <v>104</v>
      </c>
      <c r="D3901" s="2" t="s">
        <v>18</v>
      </c>
      <c r="E3901" s="4">
        <v>-32384</v>
      </c>
      <c r="F3901" s="3" t="s">
        <v>338</v>
      </c>
      <c r="G3901" s="3" t="s">
        <v>339</v>
      </c>
      <c r="H3901" s="2" t="s">
        <v>148</v>
      </c>
      <c r="I3901" s="2" t="s">
        <v>10650</v>
      </c>
      <c r="J3901" s="3" t="str">
        <f>HYPERLINK("https://www.boe.es/gazeta/dias/1811/05/02/pdfs/GEI-1811-58.pdf#page=8","Abrir facsímil")</f>
        <v>Abrir facsímil</v>
      </c>
      <c r="K3901" s="3" t="s">
        <v>150</v>
      </c>
    </row>
    <row r="3902" spans="1:11" ht="42" customHeight="1">
      <c r="A3902" s="2" t="s">
        <v>10651</v>
      </c>
      <c r="B3902" s="2" t="s">
        <v>10651</v>
      </c>
      <c r="C3902" s="2" t="s">
        <v>37</v>
      </c>
      <c r="D3902" s="2" t="s">
        <v>18</v>
      </c>
      <c r="E3902" s="4">
        <v>-32345</v>
      </c>
      <c r="F3902" s="3" t="s">
        <v>9686</v>
      </c>
      <c r="G3902" s="3" t="s">
        <v>9687</v>
      </c>
      <c r="H3902" s="2" t="s">
        <v>148</v>
      </c>
      <c r="I3902" s="2" t="s">
        <v>10652</v>
      </c>
      <c r="J3902" s="3" t="str">
        <f>HYPERLINK("https://www.boe.es/gazeta/dias/1811/06/10/pdfs/GMD-1811-161.pdf#page=1","Abrir facsímil")</f>
        <v>Abrir facsímil</v>
      </c>
      <c r="K3902" s="3" t="s">
        <v>150</v>
      </c>
    </row>
    <row r="3903" spans="1:11" ht="42" customHeight="1">
      <c r="A3903" s="2" t="s">
        <v>10653</v>
      </c>
      <c r="B3903" s="2" t="s">
        <v>10653</v>
      </c>
      <c r="C3903" s="2" t="s">
        <v>26</v>
      </c>
      <c r="D3903" s="2" t="s">
        <v>105</v>
      </c>
      <c r="E3903" s="4">
        <v>-32242</v>
      </c>
      <c r="F3903" s="3" t="s">
        <v>3015</v>
      </c>
      <c r="G3903" s="3" t="s">
        <v>7851</v>
      </c>
      <c r="H3903" s="2" t="s">
        <v>148</v>
      </c>
      <c r="I3903" s="2" t="s">
        <v>10654</v>
      </c>
      <c r="J3903" s="3" t="str">
        <f>HYPERLINK("https://www.boe.es/gazeta/dias/1811/09/21/pdfs/GMD-1811-264.pdf#page=3","Abrir facsímil")</f>
        <v>Abrir facsímil</v>
      </c>
      <c r="K3903" s="3" t="s">
        <v>150</v>
      </c>
    </row>
    <row r="3904" spans="1:11" ht="42" customHeight="1">
      <c r="A3904" s="2" t="s">
        <v>10655</v>
      </c>
      <c r="B3904" s="2" t="s">
        <v>10656</v>
      </c>
      <c r="C3904" s="2" t="s">
        <v>26</v>
      </c>
      <c r="D3904" s="2" t="s">
        <v>18</v>
      </c>
      <c r="E3904" s="4">
        <v>-32489</v>
      </c>
      <c r="F3904" s="3" t="s">
        <v>2073</v>
      </c>
      <c r="G3904" s="3" t="s">
        <v>44</v>
      </c>
      <c r="H3904" s="2" t="s">
        <v>148</v>
      </c>
      <c r="I3904" s="2" t="s">
        <v>10657</v>
      </c>
      <c r="J3904" s="3" t="str">
        <f>HYPERLINK("https://www.boe.es/gazeta/dias/1811/01/17/pdfs/GEI-1811-8.pdf#page=8","Abrir facsímil")</f>
        <v>Abrir facsímil</v>
      </c>
      <c r="K3904" s="3" t="s">
        <v>150</v>
      </c>
    </row>
    <row r="3905" spans="1:11" ht="42" customHeight="1">
      <c r="A3905" s="2" t="s">
        <v>10658</v>
      </c>
      <c r="B3905" s="2" t="s">
        <v>10659</v>
      </c>
      <c r="C3905" s="2" t="s">
        <v>26</v>
      </c>
      <c r="D3905" s="2" t="s">
        <v>18</v>
      </c>
      <c r="E3905" s="4">
        <v>-32188</v>
      </c>
      <c r="F3905" s="3" t="s">
        <v>356</v>
      </c>
      <c r="G3905" s="3" t="s">
        <v>468</v>
      </c>
      <c r="H3905" s="2" t="s">
        <v>148</v>
      </c>
      <c r="I3905" s="2" t="s">
        <v>10660</v>
      </c>
      <c r="J3905" s="3" t="str">
        <f>HYPERLINK("https://www.boe.es/gazeta/dias/1811/11/14/pdfs/GMD-1811-318.pdf#page=6","Abrir facsímil")</f>
        <v>Abrir facsímil</v>
      </c>
      <c r="K3905" s="3" t="s">
        <v>150</v>
      </c>
    </row>
    <row r="3906" spans="1:11" ht="42" customHeight="1">
      <c r="A3906" s="2" t="s">
        <v>10661</v>
      </c>
      <c r="B3906" s="2" t="s">
        <v>10662</v>
      </c>
      <c r="C3906" s="2" t="s">
        <v>26</v>
      </c>
      <c r="D3906" s="2" t="s">
        <v>18</v>
      </c>
      <c r="E3906" s="4">
        <v>-32267</v>
      </c>
      <c r="F3906" s="3" t="s">
        <v>1045</v>
      </c>
      <c r="G3906" s="3" t="s">
        <v>178</v>
      </c>
      <c r="H3906" s="2" t="s">
        <v>148</v>
      </c>
      <c r="I3906" s="2" t="s">
        <v>10663</v>
      </c>
      <c r="J3906" s="3" t="str">
        <f>HYPERLINK("https://www.boe.es/gazeta/dias/1811/08/27/pdfs/GEI-1811-111.pdf#page=5","Abrir facsímil")</f>
        <v>Abrir facsímil</v>
      </c>
      <c r="K3906" s="3" t="s">
        <v>150</v>
      </c>
    </row>
    <row r="3907" spans="1:11" ht="42" customHeight="1">
      <c r="A3907" s="2" t="s">
        <v>10664</v>
      </c>
      <c r="B3907" s="2" t="s">
        <v>10665</v>
      </c>
      <c r="C3907" s="2" t="s">
        <v>37</v>
      </c>
      <c r="D3907" s="2" t="s">
        <v>18</v>
      </c>
      <c r="E3907" s="4">
        <v>-32179</v>
      </c>
      <c r="F3907" s="3" t="s">
        <v>614</v>
      </c>
      <c r="G3907" s="3" t="s">
        <v>5164</v>
      </c>
      <c r="H3907" s="2" t="s">
        <v>148</v>
      </c>
      <c r="I3907" s="2" t="s">
        <v>10666</v>
      </c>
      <c r="J3907" s="3" t="str">
        <f>HYPERLINK("https://www.boe.es/gazeta/dias/1811/11/23/pdfs/GEI-1811-153.pdf#page=7","Abrir facsímil")</f>
        <v>Abrir facsímil</v>
      </c>
      <c r="K3907" s="3" t="s">
        <v>150</v>
      </c>
    </row>
    <row r="3908" spans="1:11" ht="42" customHeight="1">
      <c r="A3908" s="2" t="s">
        <v>10667</v>
      </c>
      <c r="B3908" s="2" t="s">
        <v>10667</v>
      </c>
      <c r="C3908" s="2" t="s">
        <v>17</v>
      </c>
      <c r="D3908" s="2" t="s">
        <v>18</v>
      </c>
      <c r="E3908" s="4">
        <v>-32232</v>
      </c>
      <c r="F3908" s="3" t="s">
        <v>1816</v>
      </c>
      <c r="G3908" s="3" t="s">
        <v>115</v>
      </c>
      <c r="H3908" s="2" t="s">
        <v>148</v>
      </c>
      <c r="I3908" s="2" t="s">
        <v>10668</v>
      </c>
      <c r="J3908" s="3" t="str">
        <f>HYPERLINK("https://www.boe.es/gazeta/dias/1811/10/01/pdfs/GEI-1811-126.pdf#page=3","Abrir facsímil")</f>
        <v>Abrir facsímil</v>
      </c>
      <c r="K3908" s="3" t="s">
        <v>150</v>
      </c>
    </row>
    <row r="3909" spans="1:11" ht="42" customHeight="1">
      <c r="A3909" s="2" t="s">
        <v>10667</v>
      </c>
      <c r="B3909" s="2" t="s">
        <v>10667</v>
      </c>
      <c r="C3909" s="2" t="s">
        <v>17</v>
      </c>
      <c r="D3909" s="2" t="s">
        <v>156</v>
      </c>
      <c r="E3909" s="4">
        <v>-32151</v>
      </c>
      <c r="F3909" s="3" t="s">
        <v>313</v>
      </c>
      <c r="G3909" s="3" t="s">
        <v>515</v>
      </c>
      <c r="H3909" s="2" t="s">
        <v>148</v>
      </c>
      <c r="I3909" s="2" t="s">
        <v>10669</v>
      </c>
      <c r="J3909" s="3" t="str">
        <f>HYPERLINK("https://www.boe.es/gazeta/dias/1811/12/21/pdfs/GEI-1811-165.pdf#page=3","Abrir facsímil")</f>
        <v>Abrir facsímil</v>
      </c>
      <c r="K3909" s="3" t="s">
        <v>150</v>
      </c>
    </row>
    <row r="3910" spans="1:11" ht="42" customHeight="1">
      <c r="A3910" s="2" t="s">
        <v>10670</v>
      </c>
      <c r="B3910" s="2" t="s">
        <v>10670</v>
      </c>
      <c r="C3910" s="2" t="s">
        <v>17</v>
      </c>
      <c r="D3910" s="2" t="s">
        <v>18</v>
      </c>
      <c r="E3910" s="4">
        <v>-32494</v>
      </c>
      <c r="F3910" s="3" t="s">
        <v>3050</v>
      </c>
      <c r="G3910" s="3" t="s">
        <v>1179</v>
      </c>
      <c r="H3910" s="2" t="s">
        <v>148</v>
      </c>
      <c r="I3910" s="2" t="s">
        <v>10671</v>
      </c>
      <c r="J3910" s="3" t="str">
        <f>HYPERLINK("https://www.boe.es/gazeta/dias/1811/01/12/pdfs/GEI-1811-6.pdf#page=7","Abrir facsímil")</f>
        <v>Abrir facsímil</v>
      </c>
      <c r="K3910" s="3" t="s">
        <v>150</v>
      </c>
    </row>
    <row r="3911" spans="1:11" ht="42" customHeight="1">
      <c r="A3911" s="2" t="s">
        <v>10670</v>
      </c>
      <c r="B3911" s="2" t="s">
        <v>10670</v>
      </c>
      <c r="C3911" s="2" t="s">
        <v>17</v>
      </c>
      <c r="D3911" s="2" t="s">
        <v>156</v>
      </c>
      <c r="E3911" s="4">
        <v>-32434</v>
      </c>
      <c r="F3911" s="3" t="s">
        <v>1932</v>
      </c>
      <c r="G3911" s="3" t="s">
        <v>178</v>
      </c>
      <c r="H3911" s="2" t="s">
        <v>148</v>
      </c>
      <c r="I3911" s="2" t="s">
        <v>10672</v>
      </c>
      <c r="J3911" s="3" t="str">
        <f>HYPERLINK("https://www.boe.es/gazeta/dias/1811/03/13/pdfs/GMD-1811-72.pdf#page=2","Abrir facsímil")</f>
        <v>Abrir facsímil</v>
      </c>
      <c r="K3911" s="3" t="s">
        <v>150</v>
      </c>
    </row>
    <row r="3912" spans="1:11" ht="42" customHeight="1">
      <c r="A3912" s="2" t="s">
        <v>10670</v>
      </c>
      <c r="B3912" s="2" t="s">
        <v>10670</v>
      </c>
      <c r="C3912" s="2" t="s">
        <v>17</v>
      </c>
      <c r="D3912" s="2" t="s">
        <v>18</v>
      </c>
      <c r="E3912" s="4">
        <v>-32434</v>
      </c>
      <c r="F3912" s="3" t="s">
        <v>1932</v>
      </c>
      <c r="G3912" s="3" t="s">
        <v>1784</v>
      </c>
      <c r="H3912" s="2" t="s">
        <v>148</v>
      </c>
      <c r="I3912" s="2" t="s">
        <v>10673</v>
      </c>
      <c r="J3912" s="3" t="str">
        <f>HYPERLINK("https://www.boe.es/gazeta/dias/1811/03/13/pdfs/GMD-1811-72.pdf#page=3","Abrir facsímil")</f>
        <v>Abrir facsímil</v>
      </c>
      <c r="K3912" s="3" t="s">
        <v>150</v>
      </c>
    </row>
    <row r="3913" spans="1:11" ht="42" customHeight="1">
      <c r="A3913" s="2" t="s">
        <v>10674</v>
      </c>
      <c r="B3913" s="2" t="s">
        <v>10674</v>
      </c>
      <c r="C3913" s="2" t="s">
        <v>17</v>
      </c>
      <c r="D3913" s="2" t="s">
        <v>18</v>
      </c>
      <c r="E3913" s="4">
        <v>-32249</v>
      </c>
      <c r="F3913" s="3" t="s">
        <v>824</v>
      </c>
      <c r="G3913" s="3" t="s">
        <v>900</v>
      </c>
      <c r="H3913" s="2" t="s">
        <v>148</v>
      </c>
      <c r="I3913" s="2" t="s">
        <v>10675</v>
      </c>
      <c r="J3913" s="3" t="str">
        <f>HYPERLINK("https://www.boe.es/gazeta/dias/1811/09/14/pdfs/GEI-1811-119.pdf#page=8","Abrir facsímil")</f>
        <v>Abrir facsímil</v>
      </c>
      <c r="K3913" s="3" t="s">
        <v>150</v>
      </c>
    </row>
    <row r="3914" spans="1:11" ht="42" customHeight="1">
      <c r="A3914" s="2" t="s">
        <v>10670</v>
      </c>
      <c r="B3914" s="2" t="s">
        <v>10670</v>
      </c>
      <c r="C3914" s="2" t="s">
        <v>17</v>
      </c>
      <c r="D3914" s="2" t="s">
        <v>18</v>
      </c>
      <c r="E3914" s="4">
        <v>-32237</v>
      </c>
      <c r="F3914" s="3" t="s">
        <v>136</v>
      </c>
      <c r="G3914" s="3" t="s">
        <v>57</v>
      </c>
      <c r="H3914" s="2" t="s">
        <v>148</v>
      </c>
      <c r="I3914" s="2" t="s">
        <v>10676</v>
      </c>
      <c r="J3914" s="3" t="str">
        <f>HYPERLINK("https://www.boe.es/gazeta/dias/1811/09/26/pdfs/GMD-1811-269.pdf#page=2","Abrir facsímil")</f>
        <v>Abrir facsímil</v>
      </c>
      <c r="K3914" s="3" t="s">
        <v>150</v>
      </c>
    </row>
    <row r="3915" spans="1:11" ht="42" customHeight="1">
      <c r="A3915" s="2" t="s">
        <v>10670</v>
      </c>
      <c r="B3915" s="2" t="s">
        <v>10670</v>
      </c>
      <c r="C3915" s="2" t="s">
        <v>17</v>
      </c>
      <c r="D3915" s="2" t="s">
        <v>156</v>
      </c>
      <c r="E3915" s="4">
        <v>-32198</v>
      </c>
      <c r="F3915" s="3" t="s">
        <v>6209</v>
      </c>
      <c r="G3915" s="3" t="s">
        <v>10677</v>
      </c>
      <c r="H3915" s="2" t="s">
        <v>148</v>
      </c>
      <c r="I3915" s="2" t="s">
        <v>10678</v>
      </c>
      <c r="J3915" s="3" t="str">
        <f>HYPERLINK("https://www.boe.es/gazeta/dias/1811/11/04/pdfs/GEI-1811-142E.pdf#page=2","Abrir facsímil")</f>
        <v>Abrir facsímil</v>
      </c>
      <c r="K3915" s="3" t="s">
        <v>150</v>
      </c>
    </row>
    <row r="3916" spans="1:11" ht="42" customHeight="1">
      <c r="A3916" s="2" t="s">
        <v>10670</v>
      </c>
      <c r="B3916" s="2" t="s">
        <v>10670</v>
      </c>
      <c r="C3916" s="2" t="s">
        <v>17</v>
      </c>
      <c r="D3916" s="2" t="s">
        <v>528</v>
      </c>
      <c r="E3916" s="4">
        <v>-32198</v>
      </c>
      <c r="F3916" s="3" t="s">
        <v>6209</v>
      </c>
      <c r="G3916" s="3" t="s">
        <v>6210</v>
      </c>
      <c r="H3916" s="2" t="s">
        <v>148</v>
      </c>
      <c r="I3916" s="2" t="s">
        <v>10679</v>
      </c>
      <c r="J3916" s="3" t="str">
        <f>HYPERLINK("https://www.boe.es/gazeta/dias/1811/11/04/pdfs/GEI-1811-142E.pdf#page=3","Abrir facsímil")</f>
        <v>Abrir facsímil</v>
      </c>
      <c r="K3916" s="3" t="s">
        <v>150</v>
      </c>
    </row>
    <row r="3917" spans="1:11" ht="42" customHeight="1">
      <c r="A3917" s="2" t="s">
        <v>10670</v>
      </c>
      <c r="B3917" s="2" t="s">
        <v>10670</v>
      </c>
      <c r="C3917" s="2" t="s">
        <v>17</v>
      </c>
      <c r="D3917" s="2" t="s">
        <v>18</v>
      </c>
      <c r="E3917" s="4">
        <v>-32193</v>
      </c>
      <c r="F3917" s="3" t="s">
        <v>1037</v>
      </c>
      <c r="G3917" s="3" t="s">
        <v>10680</v>
      </c>
      <c r="H3917" s="2" t="s">
        <v>148</v>
      </c>
      <c r="I3917" s="2" t="s">
        <v>10681</v>
      </c>
      <c r="J3917" s="3" t="str">
        <f>HYPERLINK("https://www.boe.es/gazeta/dias/1811/11/09/pdfs/GEI-1811-145.pdf#page=2","Abrir facsímil")</f>
        <v>Abrir facsímil</v>
      </c>
      <c r="K3917" s="3" t="s">
        <v>150</v>
      </c>
    </row>
    <row r="3918" spans="1:11" ht="42" customHeight="1">
      <c r="A3918" s="2" t="s">
        <v>10670</v>
      </c>
      <c r="B3918" s="2" t="s">
        <v>10670</v>
      </c>
      <c r="C3918" s="2" t="s">
        <v>17</v>
      </c>
      <c r="D3918" s="2" t="s">
        <v>156</v>
      </c>
      <c r="E3918" s="4">
        <v>-32191</v>
      </c>
      <c r="F3918" s="3" t="s">
        <v>2538</v>
      </c>
      <c r="G3918" s="3" t="s">
        <v>178</v>
      </c>
      <c r="H3918" s="2" t="s">
        <v>148</v>
      </c>
      <c r="I3918" s="2" t="s">
        <v>10682</v>
      </c>
      <c r="J3918" s="3" t="str">
        <f>HYPERLINK("https://www.boe.es/gazeta/dias/1811/11/11/pdfs/GEI-1811-147E.pdf#page=2","Abrir facsímil")</f>
        <v>Abrir facsímil</v>
      </c>
      <c r="K3918" s="3" t="s">
        <v>150</v>
      </c>
    </row>
    <row r="3919" spans="1:11" ht="42" customHeight="1">
      <c r="A3919" s="2" t="s">
        <v>10670</v>
      </c>
      <c r="B3919" s="2" t="s">
        <v>10670</v>
      </c>
      <c r="C3919" s="2" t="s">
        <v>17</v>
      </c>
      <c r="D3919" s="2" t="s">
        <v>528</v>
      </c>
      <c r="E3919" s="4">
        <v>-32191</v>
      </c>
      <c r="F3919" s="3" t="s">
        <v>2538</v>
      </c>
      <c r="G3919" s="3" t="s">
        <v>10683</v>
      </c>
      <c r="H3919" s="2" t="s">
        <v>148</v>
      </c>
      <c r="I3919" s="2" t="s">
        <v>10684</v>
      </c>
      <c r="J3919" s="3" t="str">
        <f>HYPERLINK("https://www.boe.es/gazeta/dias/1811/11/11/pdfs/GEI-1811-147E.pdf#page=3","Abrir facsímil")</f>
        <v>Abrir facsímil</v>
      </c>
      <c r="K3919" s="3" t="s">
        <v>150</v>
      </c>
    </row>
    <row r="3920" spans="1:11" ht="42" customHeight="1">
      <c r="A3920" s="2" t="s">
        <v>10670</v>
      </c>
      <c r="B3920" s="2" t="s">
        <v>10670</v>
      </c>
      <c r="C3920" s="2" t="s">
        <v>17</v>
      </c>
      <c r="D3920" s="2" t="s">
        <v>528</v>
      </c>
      <c r="E3920" s="4">
        <v>-32191</v>
      </c>
      <c r="F3920" s="3" t="s">
        <v>2538</v>
      </c>
      <c r="G3920" s="3" t="s">
        <v>162</v>
      </c>
      <c r="H3920" s="2" t="s">
        <v>148</v>
      </c>
      <c r="I3920" s="2" t="s">
        <v>10685</v>
      </c>
      <c r="J3920" s="3" t="str">
        <f>HYPERLINK("https://www.boe.es/gazeta/dias/1811/11/11/pdfs/GEI-1811-147E.pdf#page=5","Abrir facsímil")</f>
        <v>Abrir facsímil</v>
      </c>
      <c r="K3920" s="3" t="s">
        <v>150</v>
      </c>
    </row>
    <row r="3921" spans="1:11" ht="42" customHeight="1">
      <c r="A3921" s="2" t="s">
        <v>10670</v>
      </c>
      <c r="B3921" s="2" t="s">
        <v>10670</v>
      </c>
      <c r="C3921" s="2" t="s">
        <v>17</v>
      </c>
      <c r="D3921" s="2" t="s">
        <v>528</v>
      </c>
      <c r="E3921" s="4">
        <v>-32191</v>
      </c>
      <c r="F3921" s="3" t="s">
        <v>2538</v>
      </c>
      <c r="G3921" s="3" t="s">
        <v>2539</v>
      </c>
      <c r="H3921" s="2" t="s">
        <v>148</v>
      </c>
      <c r="I3921" s="2" t="s">
        <v>10686</v>
      </c>
      <c r="J3921" s="3" t="str">
        <f>HYPERLINK("https://www.boe.es/gazeta/dias/1811/11/11/pdfs/GEI-1811-147E.pdf#page=7","Abrir facsímil")</f>
        <v>Abrir facsímil</v>
      </c>
      <c r="K3921" s="3" t="s">
        <v>150</v>
      </c>
    </row>
    <row r="3922" spans="1:11" ht="42" customHeight="1">
      <c r="A3922" s="2" t="s">
        <v>10670</v>
      </c>
      <c r="B3922" s="2" t="s">
        <v>10670</v>
      </c>
      <c r="C3922" s="2" t="s">
        <v>17</v>
      </c>
      <c r="D3922" s="2" t="s">
        <v>156</v>
      </c>
      <c r="E3922" s="4">
        <v>-32167</v>
      </c>
      <c r="F3922" s="3" t="s">
        <v>195</v>
      </c>
      <c r="G3922" s="3" t="s">
        <v>3543</v>
      </c>
      <c r="H3922" s="2" t="s">
        <v>148</v>
      </c>
      <c r="I3922" s="2" t="s">
        <v>10687</v>
      </c>
      <c r="J3922" s="3" t="str">
        <f>HYPERLINK("https://www.boe.es/gazeta/dias/1811/12/05/pdfs/GEI-1811-158.pdf#page=8","Abrir facsímil")</f>
        <v>Abrir facsímil</v>
      </c>
      <c r="K3922" s="3" t="s">
        <v>150</v>
      </c>
    </row>
    <row r="3923" spans="1:11" ht="42" customHeight="1">
      <c r="A3923" s="2" t="s">
        <v>10688</v>
      </c>
      <c r="B3923" s="2" t="s">
        <v>10689</v>
      </c>
      <c r="C3923" s="2" t="s">
        <v>26</v>
      </c>
      <c r="D3923" s="2" t="s">
        <v>18</v>
      </c>
      <c r="E3923" s="4">
        <v>-32150</v>
      </c>
      <c r="F3923" s="3" t="s">
        <v>1174</v>
      </c>
      <c r="G3923" s="3" t="s">
        <v>20</v>
      </c>
      <c r="H3923" s="2" t="s">
        <v>148</v>
      </c>
      <c r="I3923" s="2" t="s">
        <v>10690</v>
      </c>
      <c r="J3923" s="3" t="str">
        <f>HYPERLINK("https://www.boe.es/gazeta/dias/1811/12/22/pdfs/GMD-1811-356.pdf#page=4","Abrir facsímil")</f>
        <v>Abrir facsímil</v>
      </c>
      <c r="K3923" s="3" t="s">
        <v>150</v>
      </c>
    </row>
    <row r="3924" spans="1:11" ht="42" customHeight="1">
      <c r="A3924" s="2" t="s">
        <v>10691</v>
      </c>
      <c r="B3924" s="2" t="s">
        <v>10692</v>
      </c>
      <c r="C3924" s="2" t="s">
        <v>26</v>
      </c>
      <c r="D3924" s="2" t="s">
        <v>105</v>
      </c>
      <c r="E3924" s="4">
        <v>-32272</v>
      </c>
      <c r="F3924" s="3" t="s">
        <v>1150</v>
      </c>
      <c r="G3924" s="3" t="s">
        <v>248</v>
      </c>
      <c r="H3924" s="2" t="s">
        <v>148</v>
      </c>
      <c r="I3924" s="2" t="s">
        <v>10693</v>
      </c>
      <c r="J3924" s="3" t="str">
        <f>HYPERLINK("https://www.boe.es/gazeta/dias/1811/08/22/pdfs/GMD-C-1811-234.pdf#page=1","Abrir facsímil")</f>
        <v>Abrir facsímil</v>
      </c>
      <c r="K3924" s="3" t="s">
        <v>150</v>
      </c>
    </row>
    <row r="3925" spans="1:11" ht="42" customHeight="1">
      <c r="A3925" s="2" t="s">
        <v>10694</v>
      </c>
      <c r="B3925" s="2" t="s">
        <v>10695</v>
      </c>
      <c r="C3925" s="2" t="s">
        <v>26</v>
      </c>
      <c r="D3925" s="2" t="s">
        <v>18</v>
      </c>
      <c r="E3925" s="4">
        <v>-32153</v>
      </c>
      <c r="F3925" s="3" t="s">
        <v>123</v>
      </c>
      <c r="G3925" s="3" t="s">
        <v>1067</v>
      </c>
      <c r="H3925" s="2" t="s">
        <v>148</v>
      </c>
      <c r="I3925" s="2" t="s">
        <v>10696</v>
      </c>
      <c r="J3925" s="3" t="str">
        <f>HYPERLINK("https://www.boe.es/gazeta/dias/1811/12/19/pdfs/GMD-1811-353.pdf#page=5","Abrir facsímil")</f>
        <v>Abrir facsímil</v>
      </c>
      <c r="K3925" s="3" t="s">
        <v>150</v>
      </c>
    </row>
    <row r="3926" spans="1:11" ht="42" customHeight="1">
      <c r="A3926" s="2" t="s">
        <v>10697</v>
      </c>
      <c r="B3926" s="2" t="s">
        <v>10698</v>
      </c>
      <c r="C3926" s="2" t="s">
        <v>26</v>
      </c>
      <c r="D3926" s="2" t="s">
        <v>18</v>
      </c>
      <c r="E3926" s="4">
        <v>-32384</v>
      </c>
      <c r="F3926" s="3" t="s">
        <v>338</v>
      </c>
      <c r="G3926" s="3" t="s">
        <v>339</v>
      </c>
      <c r="H3926" s="2" t="s">
        <v>148</v>
      </c>
      <c r="I3926" s="2" t="s">
        <v>10699</v>
      </c>
      <c r="J3926" s="3" t="str">
        <f>HYPERLINK("https://www.boe.es/gazeta/dias/1811/05/02/pdfs/GEI-1811-58.pdf#page=8","Abrir facsímil")</f>
        <v>Abrir facsímil</v>
      </c>
      <c r="K3926" s="3" t="s">
        <v>150</v>
      </c>
    </row>
    <row r="3927" spans="1:11" ht="42" customHeight="1">
      <c r="A3927" s="2" t="s">
        <v>10700</v>
      </c>
      <c r="B3927" s="2" t="s">
        <v>10700</v>
      </c>
      <c r="C3927" s="2" t="s">
        <v>104</v>
      </c>
      <c r="D3927" s="2" t="s">
        <v>18</v>
      </c>
      <c r="E3927" s="4">
        <v>-32480</v>
      </c>
      <c r="F3927" s="3" t="s">
        <v>2421</v>
      </c>
      <c r="G3927" s="3" t="s">
        <v>515</v>
      </c>
      <c r="H3927" s="2" t="s">
        <v>148</v>
      </c>
      <c r="I3927" s="2" t="s">
        <v>10701</v>
      </c>
      <c r="J3927" s="3" t="str">
        <f>HYPERLINK("https://www.boe.es/gazeta/dias/1811/01/26/pdfs/GMD-1811-26.pdf#page=3","Abrir facsímil")</f>
        <v>Abrir facsímil</v>
      </c>
      <c r="K3927" s="3" t="s">
        <v>150</v>
      </c>
    </row>
    <row r="3928" spans="1:11" ht="42" customHeight="1">
      <c r="A3928" s="2" t="s">
        <v>10702</v>
      </c>
      <c r="B3928" s="2" t="s">
        <v>10703</v>
      </c>
      <c r="C3928" s="2" t="s">
        <v>104</v>
      </c>
      <c r="D3928" s="2" t="s">
        <v>18</v>
      </c>
      <c r="E3928" s="4">
        <v>-32452</v>
      </c>
      <c r="F3928" s="3" t="s">
        <v>106</v>
      </c>
      <c r="G3928" s="3" t="s">
        <v>20</v>
      </c>
      <c r="H3928" s="2" t="s">
        <v>148</v>
      </c>
      <c r="I3928" s="2" t="s">
        <v>10704</v>
      </c>
      <c r="J3928" s="3" t="str">
        <f>HYPERLINK("https://www.boe.es/gazeta/dias/1811/02/23/pdfs/GEI-1811-24.pdf#page=8","Abrir facsímil")</f>
        <v>Abrir facsímil</v>
      </c>
      <c r="K3928" s="3" t="s">
        <v>150</v>
      </c>
    </row>
    <row r="3929" spans="1:11" ht="42" customHeight="1">
      <c r="A3929" s="2" t="s">
        <v>10705</v>
      </c>
      <c r="B3929" s="2" t="s">
        <v>10706</v>
      </c>
      <c r="C3929" s="2" t="s">
        <v>17</v>
      </c>
      <c r="D3929" s="2" t="s">
        <v>156</v>
      </c>
      <c r="E3929" s="4">
        <v>-32319</v>
      </c>
      <c r="F3929" s="3" t="s">
        <v>907</v>
      </c>
      <c r="G3929" s="3" t="s">
        <v>8598</v>
      </c>
      <c r="H3929" s="2" t="s">
        <v>148</v>
      </c>
      <c r="I3929" s="2" t="s">
        <v>10707</v>
      </c>
      <c r="J3929" s="3" t="str">
        <f>HYPERLINK("https://www.boe.es/gazeta/dias/1811/07/06/pdfs/GEI-D-1811-89.pdf#page=1","Abrir facsímil")</f>
        <v>Abrir facsímil</v>
      </c>
      <c r="K3929" s="3" t="s">
        <v>150</v>
      </c>
    </row>
    <row r="3930" spans="1:11" ht="42" customHeight="1">
      <c r="A3930" s="2" t="s">
        <v>10708</v>
      </c>
      <c r="B3930" s="2" t="s">
        <v>10708</v>
      </c>
      <c r="C3930" s="2" t="s">
        <v>17</v>
      </c>
      <c r="D3930" s="2" t="s">
        <v>156</v>
      </c>
      <c r="E3930" s="4">
        <v>-32197</v>
      </c>
      <c r="F3930" s="3" t="s">
        <v>687</v>
      </c>
      <c r="G3930" s="3" t="s">
        <v>178</v>
      </c>
      <c r="H3930" s="2" t="s">
        <v>148</v>
      </c>
      <c r="I3930" s="2" t="s">
        <v>10709</v>
      </c>
      <c r="J3930" s="3" t="str">
        <f>HYPERLINK("https://www.boe.es/gazeta/dias/1811/11/05/pdfs/GEI-1811-143.pdf#page=6","Abrir facsímil")</f>
        <v>Abrir facsímil</v>
      </c>
      <c r="K3930" s="3" t="s">
        <v>150</v>
      </c>
    </row>
    <row r="3931" spans="1:11" ht="42" customHeight="1">
      <c r="A3931" s="2" t="s">
        <v>10710</v>
      </c>
      <c r="B3931" s="2" t="s">
        <v>10710</v>
      </c>
      <c r="C3931" s="2" t="s">
        <v>17</v>
      </c>
      <c r="D3931" s="2" t="s">
        <v>156</v>
      </c>
      <c r="E3931" s="4">
        <v>-32309</v>
      </c>
      <c r="F3931" s="3" t="s">
        <v>2496</v>
      </c>
      <c r="G3931" s="3" t="s">
        <v>178</v>
      </c>
      <c r="H3931" s="2" t="s">
        <v>148</v>
      </c>
      <c r="I3931" s="2" t="s">
        <v>10711</v>
      </c>
      <c r="J3931" s="3" t="str">
        <f>HYPERLINK("https://www.boe.es/gazeta/dias/1811/07/16/pdfs/GEI-1811-93.pdf#page=6","Abrir facsímil")</f>
        <v>Abrir facsímil</v>
      </c>
      <c r="K3931" s="3" t="s">
        <v>150</v>
      </c>
    </row>
    <row r="3932" spans="1:11" ht="42" customHeight="1">
      <c r="A3932" s="2" t="s">
        <v>10712</v>
      </c>
      <c r="B3932" s="2" t="s">
        <v>10713</v>
      </c>
      <c r="C3932" s="2" t="s">
        <v>26</v>
      </c>
      <c r="D3932" s="2" t="s">
        <v>18</v>
      </c>
      <c r="E3932" s="4">
        <v>-32300</v>
      </c>
      <c r="F3932" s="3" t="s">
        <v>492</v>
      </c>
      <c r="G3932" s="3" t="s">
        <v>493</v>
      </c>
      <c r="H3932" s="2" t="s">
        <v>148</v>
      </c>
      <c r="I3932" s="2" t="s">
        <v>10714</v>
      </c>
      <c r="J3932" s="3" t="str">
        <f>HYPERLINK("https://www.boe.es/gazeta/dias/1811/07/25/pdfs/GMD-1811-206.pdf#page=4","Abrir facsímil")</f>
        <v>Abrir facsímil</v>
      </c>
      <c r="K3932" s="3" t="s">
        <v>150</v>
      </c>
    </row>
    <row r="3933" spans="1:11" ht="42" customHeight="1">
      <c r="A3933" s="2" t="s">
        <v>10715</v>
      </c>
      <c r="B3933" s="2" t="s">
        <v>10716</v>
      </c>
      <c r="C3933" s="2" t="s">
        <v>17</v>
      </c>
      <c r="D3933" s="2" t="s">
        <v>18</v>
      </c>
      <c r="E3933" s="4">
        <v>-32383</v>
      </c>
      <c r="F3933" s="3" t="s">
        <v>4500</v>
      </c>
      <c r="G3933" s="3" t="s">
        <v>183</v>
      </c>
      <c r="H3933" s="2" t="s">
        <v>148</v>
      </c>
      <c r="I3933" s="2" t="s">
        <v>10717</v>
      </c>
      <c r="J3933" s="3" t="str">
        <f>HYPERLINK("https://www.boe.es/gazeta/dias/1811/05/03/pdfs/GMD-1811-123.pdf#page=4","Abrir facsímil")</f>
        <v>Abrir facsímil</v>
      </c>
      <c r="K3933" s="3" t="s">
        <v>150</v>
      </c>
    </row>
    <row r="3934" spans="1:11" ht="42" customHeight="1">
      <c r="A3934" s="2" t="s">
        <v>10718</v>
      </c>
      <c r="B3934" s="2" t="s">
        <v>10719</v>
      </c>
      <c r="C3934" s="2" t="s">
        <v>26</v>
      </c>
      <c r="D3934" s="2" t="s">
        <v>105</v>
      </c>
      <c r="E3934" s="4">
        <v>-32288</v>
      </c>
      <c r="F3934" s="3" t="s">
        <v>95</v>
      </c>
      <c r="G3934" s="3" t="s">
        <v>47</v>
      </c>
      <c r="H3934" s="2" t="s">
        <v>148</v>
      </c>
      <c r="I3934" s="2" t="s">
        <v>10720</v>
      </c>
      <c r="J3934" s="3" t="str">
        <f>HYPERLINK("https://www.boe.es/gazeta/dias/1811/08/06/pdfs/GEI-1811-102.pdf#page=8","Abrir facsímil")</f>
        <v>Abrir facsímil</v>
      </c>
      <c r="K3934" s="3" t="s">
        <v>150</v>
      </c>
    </row>
    <row r="3935" spans="1:11" ht="42" customHeight="1">
      <c r="A3935" s="2" t="s">
        <v>10721</v>
      </c>
      <c r="B3935" s="2" t="s">
        <v>10721</v>
      </c>
      <c r="C3935" s="2" t="s">
        <v>17</v>
      </c>
      <c r="D3935" s="2" t="s">
        <v>18</v>
      </c>
      <c r="E3935" s="4">
        <v>-32503</v>
      </c>
      <c r="F3935" s="3" t="s">
        <v>10608</v>
      </c>
      <c r="G3935" s="3" t="s">
        <v>162</v>
      </c>
      <c r="H3935" s="2" t="s">
        <v>148</v>
      </c>
      <c r="I3935" s="2" t="s">
        <v>10722</v>
      </c>
      <c r="J3935" s="3" t="str">
        <f>HYPERLINK("https://www.boe.es/gazeta/dias/1811/01/03/pdfs/GMD-1811-3.pdf#page=1","Abrir facsímil")</f>
        <v>Abrir facsímil</v>
      </c>
      <c r="K3935" s="3" t="s">
        <v>150</v>
      </c>
    </row>
    <row r="3936" spans="1:11" ht="42" customHeight="1">
      <c r="A3936" s="2" t="s">
        <v>10723</v>
      </c>
      <c r="B3936" s="2" t="s">
        <v>10723</v>
      </c>
      <c r="C3936" s="2" t="s">
        <v>17</v>
      </c>
      <c r="D3936" s="2" t="s">
        <v>18</v>
      </c>
      <c r="E3936" s="4">
        <v>-32160</v>
      </c>
      <c r="F3936" s="3" t="s">
        <v>1013</v>
      </c>
      <c r="G3936" s="3" t="s">
        <v>91</v>
      </c>
      <c r="H3936" s="2" t="s">
        <v>148</v>
      </c>
      <c r="I3936" s="2" t="s">
        <v>10724</v>
      </c>
      <c r="J3936" s="3" t="str">
        <f>HYPERLINK("https://www.boe.es/gazeta/dias/1811/12/12/pdfs/GEI-1811-161.pdf#page=4","Abrir facsímil")</f>
        <v>Abrir facsímil</v>
      </c>
      <c r="K3936" s="3" t="s">
        <v>150</v>
      </c>
    </row>
    <row r="3937" spans="1:11" ht="42" customHeight="1">
      <c r="A3937" s="2" t="s">
        <v>10725</v>
      </c>
      <c r="B3937" s="2" t="s">
        <v>10725</v>
      </c>
      <c r="C3937" s="2" t="s">
        <v>17</v>
      </c>
      <c r="D3937" s="2" t="s">
        <v>18</v>
      </c>
      <c r="E3937" s="4">
        <v>-32365</v>
      </c>
      <c r="F3937" s="3" t="s">
        <v>119</v>
      </c>
      <c r="G3937" s="3" t="s">
        <v>115</v>
      </c>
      <c r="H3937" s="2" t="s">
        <v>148</v>
      </c>
      <c r="I3937" s="2" t="s">
        <v>10726</v>
      </c>
      <c r="J3937" s="3" t="str">
        <f>HYPERLINK("https://www.boe.es/gazeta/dias/1811/05/21/pdfs/GEI-1811-67.pdf#page=3","Abrir facsímil")</f>
        <v>Abrir facsímil</v>
      </c>
      <c r="K3937" s="3" t="s">
        <v>150</v>
      </c>
    </row>
    <row r="3938" spans="1:11" ht="42" customHeight="1">
      <c r="A3938" s="2" t="s">
        <v>10727</v>
      </c>
      <c r="B3938" s="2" t="s">
        <v>10728</v>
      </c>
      <c r="C3938" s="2" t="s">
        <v>26</v>
      </c>
      <c r="D3938" s="2" t="s">
        <v>18</v>
      </c>
      <c r="E3938" s="4">
        <v>-32242</v>
      </c>
      <c r="F3938" s="3" t="s">
        <v>1295</v>
      </c>
      <c r="G3938" s="3" t="s">
        <v>1296</v>
      </c>
      <c r="H3938" s="2" t="s">
        <v>148</v>
      </c>
      <c r="I3938" s="2" t="s">
        <v>10729</v>
      </c>
      <c r="J3938" s="3" t="str">
        <f>HYPERLINK("https://www.boe.es/gazeta/dias/1811/09/21/pdfs/GEI-1811-122.pdf#page=8","Abrir facsímil")</f>
        <v>Abrir facsímil</v>
      </c>
      <c r="K3938" s="3" t="s">
        <v>150</v>
      </c>
    </row>
    <row r="3939" spans="1:11" ht="42" customHeight="1">
      <c r="A3939" s="2" t="s">
        <v>10730</v>
      </c>
      <c r="B3939" s="2" t="s">
        <v>10730</v>
      </c>
      <c r="C3939" s="2" t="s">
        <v>17</v>
      </c>
      <c r="D3939" s="2" t="s">
        <v>156</v>
      </c>
      <c r="E3939" s="4">
        <v>-32228</v>
      </c>
      <c r="F3939" s="3" t="s">
        <v>372</v>
      </c>
      <c r="G3939" s="3" t="s">
        <v>373</v>
      </c>
      <c r="H3939" s="2" t="s">
        <v>148</v>
      </c>
      <c r="I3939" s="2" t="s">
        <v>10731</v>
      </c>
      <c r="J3939" s="3" t="str">
        <f>HYPERLINK("https://www.boe.es/gazeta/dias/1811/10/05/pdfs/GEI-1811-128.pdf#page=7","Abrir facsímil")</f>
        <v>Abrir facsímil</v>
      </c>
      <c r="K3939" s="3" t="s">
        <v>150</v>
      </c>
    </row>
    <row r="3940" spans="1:11" ht="42" customHeight="1">
      <c r="A3940" s="2" t="s">
        <v>10732</v>
      </c>
      <c r="B3940" s="2" t="s">
        <v>10732</v>
      </c>
      <c r="C3940" s="2" t="s">
        <v>17</v>
      </c>
      <c r="D3940" s="2" t="s">
        <v>156</v>
      </c>
      <c r="E3940" s="4">
        <v>-32206</v>
      </c>
      <c r="F3940" s="3" t="s">
        <v>9976</v>
      </c>
      <c r="G3940" s="3" t="s">
        <v>9977</v>
      </c>
      <c r="H3940" s="2" t="s">
        <v>148</v>
      </c>
      <c r="I3940" s="2" t="s">
        <v>10733</v>
      </c>
      <c r="J3940" s="3" t="str">
        <f>HYPERLINK("https://www.boe.es/gazeta/dias/1811/10/27/pdfs/GMD-1811-300.pdf#page=3","Abrir facsímil")</f>
        <v>Abrir facsímil</v>
      </c>
      <c r="K3940" s="3" t="s">
        <v>150</v>
      </c>
    </row>
    <row r="3941" spans="1:11" ht="42" customHeight="1">
      <c r="A3941" s="2" t="s">
        <v>10734</v>
      </c>
      <c r="B3941" s="2" t="s">
        <v>10734</v>
      </c>
      <c r="C3941" s="2" t="s">
        <v>17</v>
      </c>
      <c r="D3941" s="2" t="s">
        <v>156</v>
      </c>
      <c r="E3941" s="4">
        <v>-32389</v>
      </c>
      <c r="F3941" s="3" t="s">
        <v>5683</v>
      </c>
      <c r="G3941" s="3" t="s">
        <v>468</v>
      </c>
      <c r="H3941" s="2" t="s">
        <v>148</v>
      </c>
      <c r="I3941" s="2" t="s">
        <v>10735</v>
      </c>
      <c r="J3941" s="3" t="str">
        <f>HYPERLINK("https://www.boe.es/gazeta/dias/1811/04/27/pdfs/GMD-1811-117.pdf#page=4","Abrir facsímil")</f>
        <v>Abrir facsímil</v>
      </c>
      <c r="K3941" s="3" t="s">
        <v>150</v>
      </c>
    </row>
    <row r="3942" spans="1:11" ht="42" customHeight="1">
      <c r="A3942" s="2" t="s">
        <v>10734</v>
      </c>
      <c r="B3942" s="2" t="s">
        <v>10734</v>
      </c>
      <c r="C3942" s="2" t="s">
        <v>17</v>
      </c>
      <c r="D3942" s="2" t="s">
        <v>18</v>
      </c>
      <c r="E3942" s="4">
        <v>-32249</v>
      </c>
      <c r="F3942" s="3" t="s">
        <v>824</v>
      </c>
      <c r="G3942" s="3" t="s">
        <v>2961</v>
      </c>
      <c r="H3942" s="2" t="s">
        <v>148</v>
      </c>
      <c r="I3942" s="2" t="s">
        <v>10736</v>
      </c>
      <c r="J3942" s="3" t="str">
        <f>HYPERLINK("https://www.boe.es/gazeta/dias/1811/09/14/pdfs/GEI-1811-119.pdf#page=6","Abrir facsímil")</f>
        <v>Abrir facsímil</v>
      </c>
      <c r="K3942" s="3" t="s">
        <v>150</v>
      </c>
    </row>
    <row r="3943" spans="1:11" ht="42" customHeight="1">
      <c r="A3943" s="2" t="s">
        <v>10734</v>
      </c>
      <c r="B3943" s="2" t="s">
        <v>10734</v>
      </c>
      <c r="C3943" s="2" t="s">
        <v>17</v>
      </c>
      <c r="D3943" s="2" t="s">
        <v>18</v>
      </c>
      <c r="E3943" s="4">
        <v>-32232</v>
      </c>
      <c r="F3943" s="3" t="s">
        <v>1879</v>
      </c>
      <c r="G3943" s="3" t="s">
        <v>20</v>
      </c>
      <c r="H3943" s="2" t="s">
        <v>148</v>
      </c>
      <c r="I3943" s="2" t="s">
        <v>10737</v>
      </c>
      <c r="J3943" s="3" t="str">
        <f>HYPERLINK("https://www.boe.es/gazeta/dias/1811/10/01/pdfs/GMD-1811-274.pdf#page=4","Abrir facsímil")</f>
        <v>Abrir facsímil</v>
      </c>
      <c r="K3943" s="3" t="s">
        <v>150</v>
      </c>
    </row>
    <row r="3944" spans="1:11" ht="42" customHeight="1">
      <c r="A3944" s="2" t="s">
        <v>10738</v>
      </c>
      <c r="B3944" s="2" t="s">
        <v>10738</v>
      </c>
      <c r="C3944" s="2" t="s">
        <v>17</v>
      </c>
      <c r="D3944" s="2" t="s">
        <v>18</v>
      </c>
      <c r="E3944" s="4">
        <v>-32325</v>
      </c>
      <c r="F3944" s="3" t="s">
        <v>552</v>
      </c>
      <c r="G3944" s="3" t="s">
        <v>515</v>
      </c>
      <c r="H3944" s="2" t="s">
        <v>148</v>
      </c>
      <c r="I3944" s="2" t="s">
        <v>10739</v>
      </c>
      <c r="J3944" s="3" t="str">
        <f>HYPERLINK("https://www.boe.es/gazeta/dias/1811/06/30/pdfs/GMD-1811-181.pdf#page=2","Abrir facsímil")</f>
        <v>Abrir facsímil</v>
      </c>
      <c r="K3944" s="3" t="s">
        <v>150</v>
      </c>
    </row>
    <row r="3945" spans="1:11" ht="42" customHeight="1">
      <c r="A3945" s="2" t="s">
        <v>10740</v>
      </c>
      <c r="B3945" s="2" t="s">
        <v>10741</v>
      </c>
      <c r="C3945" s="2" t="s">
        <v>26</v>
      </c>
      <c r="D3945" s="2" t="s">
        <v>18</v>
      </c>
      <c r="E3945" s="4">
        <v>-32141</v>
      </c>
      <c r="F3945" s="3" t="s">
        <v>327</v>
      </c>
      <c r="G3945" s="3" t="s">
        <v>115</v>
      </c>
      <c r="H3945" s="2" t="s">
        <v>148</v>
      </c>
      <c r="I3945" s="2" t="s">
        <v>10742</v>
      </c>
      <c r="J3945" s="3" t="str">
        <f>HYPERLINK("https://www.boe.es/gazeta/dias/1811/12/31/pdfs/GMD-1811-365.pdf#page=3","Abrir facsímil")</f>
        <v>Abrir facsímil</v>
      </c>
      <c r="K3945" s="3" t="s">
        <v>150</v>
      </c>
    </row>
    <row r="3946" spans="1:11" ht="42" customHeight="1">
      <c r="A3946" s="2" t="s">
        <v>10740</v>
      </c>
      <c r="B3946" s="2" t="s">
        <v>10741</v>
      </c>
      <c r="C3946" s="2" t="s">
        <v>26</v>
      </c>
      <c r="D3946" s="2" t="s">
        <v>18</v>
      </c>
      <c r="E3946" s="4">
        <v>-32141</v>
      </c>
      <c r="F3946" s="3" t="s">
        <v>327</v>
      </c>
      <c r="G3946" s="3" t="s">
        <v>20</v>
      </c>
      <c r="H3946" s="2" t="s">
        <v>148</v>
      </c>
      <c r="I3946" s="2" t="s">
        <v>10743</v>
      </c>
      <c r="J3946" s="3" t="str">
        <f>HYPERLINK("https://www.boe.es/gazeta/dias/1811/12/31/pdfs/GMD-1811-365.pdf#page=4","Abrir facsímil")</f>
        <v>Abrir facsímil</v>
      </c>
      <c r="K3946" s="3" t="s">
        <v>150</v>
      </c>
    </row>
    <row r="3947" spans="1:11" ht="42" customHeight="1">
      <c r="A3947" s="2" t="s">
        <v>10744</v>
      </c>
      <c r="B3947" s="2" t="s">
        <v>10745</v>
      </c>
      <c r="C3947" s="2" t="s">
        <v>26</v>
      </c>
      <c r="D3947" s="2" t="s">
        <v>141</v>
      </c>
      <c r="E3947" s="4">
        <v>-32188</v>
      </c>
      <c r="F3947" s="3" t="s">
        <v>505</v>
      </c>
      <c r="G3947" s="3" t="s">
        <v>162</v>
      </c>
      <c r="H3947" s="2" t="s">
        <v>148</v>
      </c>
      <c r="I3947" s="2" t="s">
        <v>10746</v>
      </c>
      <c r="J3947" s="3" t="str">
        <f>HYPERLINK("https://www.boe.es/gazeta/dias/1811/11/14/pdfs/GEI-D-1811-149.pdf#page=4","Abrir facsímil")</f>
        <v>Abrir facsímil</v>
      </c>
      <c r="K3947" s="3" t="s">
        <v>150</v>
      </c>
    </row>
    <row r="3948" spans="1:11" ht="42" customHeight="1">
      <c r="A3948" s="2" t="s">
        <v>10747</v>
      </c>
      <c r="B3948" s="2" t="s">
        <v>10747</v>
      </c>
      <c r="C3948" s="2" t="s">
        <v>17</v>
      </c>
      <c r="D3948" s="2" t="s">
        <v>18</v>
      </c>
      <c r="E3948" s="4">
        <v>-32254</v>
      </c>
      <c r="F3948" s="3" t="s">
        <v>10748</v>
      </c>
      <c r="G3948" s="3" t="s">
        <v>10749</v>
      </c>
      <c r="H3948" s="2" t="s">
        <v>148</v>
      </c>
      <c r="I3948" s="2" t="s">
        <v>10750</v>
      </c>
      <c r="J3948" s="3" t="str">
        <f>HYPERLINK("https://www.boe.es/gazeta/dias/1811/09/09/pdfs/GMD-1811-252.pdf#page=3","Abrir facsímil")</f>
        <v>Abrir facsímil</v>
      </c>
      <c r="K3948" s="3" t="s">
        <v>150</v>
      </c>
    </row>
    <row r="3949" spans="1:11" ht="42" customHeight="1">
      <c r="A3949" s="2" t="s">
        <v>10751</v>
      </c>
      <c r="B3949" s="2" t="s">
        <v>10751</v>
      </c>
      <c r="C3949" s="2" t="s">
        <v>17</v>
      </c>
      <c r="D3949" s="2" t="s">
        <v>156</v>
      </c>
      <c r="E3949" s="4">
        <v>-32303</v>
      </c>
      <c r="F3949" s="3" t="s">
        <v>2811</v>
      </c>
      <c r="G3949" s="3" t="s">
        <v>488</v>
      </c>
      <c r="H3949" s="2" t="s">
        <v>148</v>
      </c>
      <c r="I3949" s="2" t="s">
        <v>10752</v>
      </c>
      <c r="J3949" s="3" t="str">
        <f>HYPERLINK("https://www.boe.es/gazeta/dias/1811/07/22/pdfs/GMD-1811-203.pdf#page=3","Abrir facsímil")</f>
        <v>Abrir facsímil</v>
      </c>
      <c r="K3949" s="3" t="s">
        <v>150</v>
      </c>
    </row>
    <row r="3950" spans="1:11" ht="42" customHeight="1">
      <c r="A3950" s="2" t="s">
        <v>10753</v>
      </c>
      <c r="B3950" s="2" t="s">
        <v>10754</v>
      </c>
      <c r="C3950" s="2" t="s">
        <v>26</v>
      </c>
      <c r="D3950" s="2" t="s">
        <v>18</v>
      </c>
      <c r="E3950" s="4">
        <v>-32249</v>
      </c>
      <c r="F3950" s="3" t="s">
        <v>182</v>
      </c>
      <c r="G3950" s="3" t="s">
        <v>183</v>
      </c>
      <c r="H3950" s="2" t="s">
        <v>148</v>
      </c>
      <c r="I3950" s="2" t="s">
        <v>10755</v>
      </c>
      <c r="J3950" s="3" t="str">
        <f>HYPERLINK("https://www.boe.es/gazeta/dias/1811/09/14/pdfs/GMD-1811-257.pdf#page=4","Abrir facsímil")</f>
        <v>Abrir facsímil</v>
      </c>
      <c r="K3950" s="3" t="s">
        <v>150</v>
      </c>
    </row>
    <row r="3951" spans="1:11" ht="42" customHeight="1">
      <c r="A3951" s="2" t="s">
        <v>10756</v>
      </c>
      <c r="B3951" s="2" t="s">
        <v>10757</v>
      </c>
      <c r="C3951" s="2" t="s">
        <v>26</v>
      </c>
      <c r="D3951" s="2" t="s">
        <v>18</v>
      </c>
      <c r="E3951" s="4">
        <v>-32197</v>
      </c>
      <c r="F3951" s="3" t="s">
        <v>687</v>
      </c>
      <c r="G3951" s="3" t="s">
        <v>1240</v>
      </c>
      <c r="H3951" s="2" t="s">
        <v>148</v>
      </c>
      <c r="I3951" s="2" t="s">
        <v>10758</v>
      </c>
      <c r="J3951" s="3" t="str">
        <f>HYPERLINK("https://www.boe.es/gazeta/dias/1811/11/05/pdfs/GEI-1811-143.pdf#page=8","Abrir facsímil")</f>
        <v>Abrir facsímil</v>
      </c>
      <c r="K3951" s="3" t="s">
        <v>150</v>
      </c>
    </row>
    <row r="3952" spans="1:11" ht="42" customHeight="1">
      <c r="A3952" s="2" t="s">
        <v>10759</v>
      </c>
      <c r="B3952" s="2" t="s">
        <v>10760</v>
      </c>
      <c r="C3952" s="2" t="s">
        <v>26</v>
      </c>
      <c r="D3952" s="2" t="s">
        <v>18</v>
      </c>
      <c r="E3952" s="4">
        <v>-32153</v>
      </c>
      <c r="F3952" s="3" t="s">
        <v>235</v>
      </c>
      <c r="G3952" s="3" t="s">
        <v>2181</v>
      </c>
      <c r="H3952" s="2" t="s">
        <v>148</v>
      </c>
      <c r="I3952" s="2" t="s">
        <v>10761</v>
      </c>
      <c r="J3952" s="3" t="str">
        <f>HYPERLINK("https://www.boe.es/gazeta/dias/1811/12/19/pdfs/GEI-1811-164.pdf#page=8","Abrir facsímil")</f>
        <v>Abrir facsímil</v>
      </c>
      <c r="K3952" s="3" t="s">
        <v>150</v>
      </c>
    </row>
    <row r="3953" spans="1:11" ht="42" customHeight="1">
      <c r="A3953" s="2" t="s">
        <v>10762</v>
      </c>
      <c r="B3953" s="2" t="s">
        <v>10762</v>
      </c>
      <c r="C3953" s="2" t="s">
        <v>17</v>
      </c>
      <c r="D3953" s="2" t="s">
        <v>18</v>
      </c>
      <c r="E3953" s="4">
        <v>-32152</v>
      </c>
      <c r="F3953" s="3" t="s">
        <v>1673</v>
      </c>
      <c r="G3953" s="3" t="s">
        <v>57</v>
      </c>
      <c r="H3953" s="2" t="s">
        <v>148</v>
      </c>
      <c r="I3953" s="2" t="s">
        <v>10763</v>
      </c>
      <c r="J3953" s="3" t="str">
        <f>HYPERLINK("https://www.boe.es/gazeta/dias/1811/12/20/pdfs/GMD-1811-354.pdf#page=2","Abrir facsímil")</f>
        <v>Abrir facsímil</v>
      </c>
      <c r="K3953" s="3" t="s">
        <v>150</v>
      </c>
    </row>
    <row r="3954" spans="1:11" ht="42" customHeight="1">
      <c r="A3954" s="2" t="s">
        <v>10764</v>
      </c>
      <c r="B3954" s="2" t="s">
        <v>10764</v>
      </c>
      <c r="C3954" s="2" t="s">
        <v>26</v>
      </c>
      <c r="D3954" s="2" t="s">
        <v>18</v>
      </c>
      <c r="E3954" s="4">
        <v>-32440</v>
      </c>
      <c r="F3954" s="3" t="s">
        <v>811</v>
      </c>
      <c r="G3954" s="3" t="s">
        <v>44</v>
      </c>
      <c r="H3954" s="2" t="s">
        <v>148</v>
      </c>
      <c r="I3954" s="2" t="s">
        <v>10765</v>
      </c>
      <c r="J3954" s="3" t="str">
        <f>HYPERLINK("https://www.boe.es/gazeta/dias/1811/03/07/pdfs/GMD-1811-66.pdf#page=2","Abrir facsímil")</f>
        <v>Abrir facsímil</v>
      </c>
      <c r="K3954" s="3" t="s">
        <v>150</v>
      </c>
    </row>
    <row r="3955" spans="1:11" ht="42" customHeight="1">
      <c r="A3955" s="2" t="s">
        <v>10766</v>
      </c>
      <c r="B3955" s="2" t="s">
        <v>10767</v>
      </c>
      <c r="C3955" s="2" t="s">
        <v>26</v>
      </c>
      <c r="D3955" s="2" t="s">
        <v>18</v>
      </c>
      <c r="E3955" s="4">
        <v>-32155</v>
      </c>
      <c r="F3955" s="3" t="s">
        <v>99</v>
      </c>
      <c r="G3955" s="3" t="s">
        <v>100</v>
      </c>
      <c r="H3955" s="2" t="s">
        <v>148</v>
      </c>
      <c r="I3955" s="2" t="s">
        <v>10768</v>
      </c>
      <c r="J3955" s="3" t="str">
        <f>HYPERLINK("https://www.boe.es/gazeta/dias/1811/12/17/pdfs/GMD-1811-351.pdf#page=4","Abrir facsímil")</f>
        <v>Abrir facsímil</v>
      </c>
      <c r="K3955" s="3" t="s">
        <v>150</v>
      </c>
    </row>
    <row r="3956" spans="1:11" ht="42" customHeight="1">
      <c r="A3956" s="2" t="s">
        <v>10769</v>
      </c>
      <c r="B3956" s="2" t="s">
        <v>10770</v>
      </c>
      <c r="C3956" s="2" t="s">
        <v>26</v>
      </c>
      <c r="D3956" s="2" t="s">
        <v>141</v>
      </c>
      <c r="E3956" s="4">
        <v>-32396</v>
      </c>
      <c r="F3956" s="3" t="s">
        <v>804</v>
      </c>
      <c r="G3956" s="3" t="s">
        <v>805</v>
      </c>
      <c r="H3956" s="2" t="s">
        <v>148</v>
      </c>
      <c r="I3956" s="2" t="s">
        <v>10771</v>
      </c>
      <c r="J3956" s="3" t="str">
        <f>HYPERLINK("https://www.boe.es/gazeta/dias/1811/04/20/pdfs/GEI-D-1811-53.pdf#page=4","Abrir facsímil")</f>
        <v>Abrir facsímil</v>
      </c>
      <c r="K3956" s="3" t="s">
        <v>150</v>
      </c>
    </row>
    <row r="3957" spans="1:11" ht="42" customHeight="1">
      <c r="A3957" s="2" t="s">
        <v>10772</v>
      </c>
      <c r="B3957" s="2" t="s">
        <v>10773</v>
      </c>
      <c r="C3957" s="2" t="s">
        <v>26</v>
      </c>
      <c r="D3957" s="2" t="s">
        <v>18</v>
      </c>
      <c r="E3957" s="4">
        <v>-32195</v>
      </c>
      <c r="F3957" s="3" t="s">
        <v>439</v>
      </c>
      <c r="G3957" s="3" t="s">
        <v>440</v>
      </c>
      <c r="H3957" s="2" t="s">
        <v>148</v>
      </c>
      <c r="I3957" s="2" t="s">
        <v>10774</v>
      </c>
      <c r="J3957" s="3" t="str">
        <f>HYPERLINK("https://www.boe.es/gazeta/dias/1811/11/07/pdfs/GEI-1811-144.pdf#page=8","Abrir facsímil")</f>
        <v>Abrir facsímil</v>
      </c>
      <c r="K3957" s="3" t="s">
        <v>150</v>
      </c>
    </row>
    <row r="3958" spans="1:11" ht="42" customHeight="1">
      <c r="A3958" s="2" t="s">
        <v>10775</v>
      </c>
      <c r="B3958" s="2" t="s">
        <v>10776</v>
      </c>
      <c r="C3958" s="2" t="s">
        <v>84</v>
      </c>
      <c r="D3958" s="2" t="s">
        <v>105</v>
      </c>
      <c r="E3958" s="4">
        <v>-32295</v>
      </c>
      <c r="F3958" s="3" t="s">
        <v>279</v>
      </c>
      <c r="G3958" s="3" t="s">
        <v>44</v>
      </c>
      <c r="H3958" s="2" t="s">
        <v>148</v>
      </c>
      <c r="I3958" s="2" t="s">
        <v>10777</v>
      </c>
      <c r="J3958" s="3" t="str">
        <f>HYPERLINK("https://www.boe.es/gazeta/dias/1811/07/30/pdfs/GEI-1811-99.pdf#page=8","Abrir facsímil")</f>
        <v>Abrir facsímil</v>
      </c>
      <c r="K3958" s="3" t="s">
        <v>150</v>
      </c>
    </row>
    <row r="3959" spans="1:11" ht="42" customHeight="1">
      <c r="A3959" s="2" t="s">
        <v>10778</v>
      </c>
      <c r="B3959" s="2" t="s">
        <v>10779</v>
      </c>
      <c r="C3959" s="2" t="s">
        <v>17</v>
      </c>
      <c r="D3959" s="2" t="s">
        <v>18</v>
      </c>
      <c r="E3959" s="4">
        <v>-32433</v>
      </c>
      <c r="F3959" s="3" t="s">
        <v>676</v>
      </c>
      <c r="G3959" s="3" t="s">
        <v>1143</v>
      </c>
      <c r="H3959" s="2" t="s">
        <v>148</v>
      </c>
      <c r="I3959" s="2" t="s">
        <v>10780</v>
      </c>
      <c r="J3959" s="3" t="str">
        <f>HYPERLINK("https://www.boe.es/gazeta/dias/1811/03/14/pdfs/GEI-1811-37.pdf#page=8","Abrir facsímil")</f>
        <v>Abrir facsímil</v>
      </c>
      <c r="K3959" s="3" t="s">
        <v>150</v>
      </c>
    </row>
    <row r="3960" spans="1:11" ht="42" customHeight="1">
      <c r="A3960" s="2" t="s">
        <v>10781</v>
      </c>
      <c r="B3960" s="2" t="s">
        <v>10782</v>
      </c>
      <c r="C3960" s="2" t="s">
        <v>26</v>
      </c>
      <c r="D3960" s="2" t="s">
        <v>18</v>
      </c>
      <c r="E3960" s="4">
        <v>-32153</v>
      </c>
      <c r="F3960" s="3" t="s">
        <v>123</v>
      </c>
      <c r="G3960" s="3" t="s">
        <v>288</v>
      </c>
      <c r="H3960" s="2" t="s">
        <v>148</v>
      </c>
      <c r="I3960" s="2" t="s">
        <v>10783</v>
      </c>
      <c r="J3960" s="3" t="str">
        <f>HYPERLINK("https://www.boe.es/gazeta/dias/1811/12/19/pdfs/GMD-1811-353.pdf#page=4","Abrir facsímil")</f>
        <v>Abrir facsímil</v>
      </c>
      <c r="K3960" s="3" t="s">
        <v>150</v>
      </c>
    </row>
    <row r="3961" spans="1:11" ht="42" customHeight="1">
      <c r="A3961" s="2" t="s">
        <v>10784</v>
      </c>
      <c r="B3961" s="2" t="s">
        <v>10785</v>
      </c>
      <c r="C3961" s="2" t="s">
        <v>26</v>
      </c>
      <c r="D3961" s="2" t="s">
        <v>18</v>
      </c>
      <c r="E3961" s="4">
        <v>-32141</v>
      </c>
      <c r="F3961" s="3" t="s">
        <v>327</v>
      </c>
      <c r="G3961" s="3" t="s">
        <v>115</v>
      </c>
      <c r="H3961" s="2" t="s">
        <v>148</v>
      </c>
      <c r="I3961" s="2" t="s">
        <v>10786</v>
      </c>
      <c r="J3961" s="3" t="str">
        <f>HYPERLINK("https://www.boe.es/gazeta/dias/1811/12/31/pdfs/GMD-1811-365.pdf#page=3","Abrir facsímil")</f>
        <v>Abrir facsímil</v>
      </c>
      <c r="K3961" s="3" t="s">
        <v>150</v>
      </c>
    </row>
    <row r="3962" spans="1:11" ht="42" customHeight="1">
      <c r="A3962" s="2" t="s">
        <v>10787</v>
      </c>
      <c r="B3962" s="2" t="s">
        <v>10788</v>
      </c>
      <c r="C3962" s="2" t="s">
        <v>37</v>
      </c>
      <c r="D3962" s="2" t="s">
        <v>204</v>
      </c>
      <c r="E3962" s="4">
        <v>-32433</v>
      </c>
      <c r="F3962" s="3" t="s">
        <v>209</v>
      </c>
      <c r="G3962" s="3" t="s">
        <v>488</v>
      </c>
      <c r="H3962" s="2" t="s">
        <v>148</v>
      </c>
      <c r="I3962" s="2" t="s">
        <v>10789</v>
      </c>
      <c r="J3962" s="3" t="str">
        <f>HYPERLINK("https://www.boe.es/gazeta/dias/1811/03/14/pdfs/GMD-1811-73.pdf#page=2","Abrir facsímil")</f>
        <v>Abrir facsímil</v>
      </c>
      <c r="K3962" s="3" t="s">
        <v>150</v>
      </c>
    </row>
    <row r="3963" spans="1:11" ht="42" customHeight="1">
      <c r="A3963" s="2" t="s">
        <v>10790</v>
      </c>
      <c r="B3963" s="2" t="s">
        <v>10791</v>
      </c>
      <c r="C3963" s="2" t="s">
        <v>122</v>
      </c>
      <c r="D3963" s="2" t="s">
        <v>18</v>
      </c>
      <c r="E3963" s="4">
        <v>-32192</v>
      </c>
      <c r="F3963" s="3" t="s">
        <v>673</v>
      </c>
      <c r="G3963" s="3" t="s">
        <v>305</v>
      </c>
      <c r="H3963" s="2" t="s">
        <v>148</v>
      </c>
      <c r="I3963" s="2" t="s">
        <v>10792</v>
      </c>
      <c r="J3963" s="3" t="str">
        <f>HYPERLINK("https://www.boe.es/gazeta/dias/1811/11/10/pdfs/GMD-1811-314.pdf#page=4","Abrir facsímil")</f>
        <v>Abrir facsímil</v>
      </c>
      <c r="K3963" s="3" t="s">
        <v>150</v>
      </c>
    </row>
    <row r="3964" spans="1:11" ht="42" customHeight="1">
      <c r="A3964" s="2" t="s">
        <v>10790</v>
      </c>
      <c r="B3964" s="2" t="s">
        <v>10791</v>
      </c>
      <c r="C3964" s="2" t="s">
        <v>26</v>
      </c>
      <c r="D3964" s="2" t="s">
        <v>141</v>
      </c>
      <c r="E3964" s="4">
        <v>-32188</v>
      </c>
      <c r="F3964" s="3" t="s">
        <v>505</v>
      </c>
      <c r="G3964" s="3" t="s">
        <v>47</v>
      </c>
      <c r="H3964" s="2" t="s">
        <v>148</v>
      </c>
      <c r="I3964" s="2" t="s">
        <v>10793</v>
      </c>
      <c r="J3964" s="3" t="str">
        <f>HYPERLINK("https://www.boe.es/gazeta/dias/1811/11/14/pdfs/GEI-D-1811-149.pdf#page=3","Abrir facsímil")</f>
        <v>Abrir facsímil</v>
      </c>
      <c r="K3964" s="3" t="s">
        <v>150</v>
      </c>
    </row>
    <row r="3965" spans="1:11" ht="42" customHeight="1">
      <c r="A3965" s="2" t="s">
        <v>10790</v>
      </c>
      <c r="B3965" s="2" t="s">
        <v>10791</v>
      </c>
      <c r="C3965" s="2" t="s">
        <v>26</v>
      </c>
      <c r="D3965" s="2" t="s">
        <v>18</v>
      </c>
      <c r="E3965" s="4">
        <v>-32179</v>
      </c>
      <c r="F3965" s="3" t="s">
        <v>614</v>
      </c>
      <c r="G3965" s="3" t="s">
        <v>47</v>
      </c>
      <c r="H3965" s="2" t="s">
        <v>148</v>
      </c>
      <c r="I3965" s="2" t="s">
        <v>10794</v>
      </c>
      <c r="J3965" s="3" t="str">
        <f>HYPERLINK("https://www.boe.es/gazeta/dias/1811/11/23/pdfs/GEI-1811-153.pdf#page=8","Abrir facsímil")</f>
        <v>Abrir facsímil</v>
      </c>
      <c r="K3965" s="3" t="s">
        <v>150</v>
      </c>
    </row>
    <row r="3966" spans="1:11" ht="42" customHeight="1">
      <c r="A3966" s="2" t="s">
        <v>10795</v>
      </c>
      <c r="B3966" s="2" t="s">
        <v>10796</v>
      </c>
      <c r="C3966" s="2" t="s">
        <v>17</v>
      </c>
      <c r="D3966" s="2" t="s">
        <v>105</v>
      </c>
      <c r="E3966" s="4">
        <v>-32253</v>
      </c>
      <c r="F3966" s="3" t="s">
        <v>581</v>
      </c>
      <c r="G3966" s="3" t="s">
        <v>1930</v>
      </c>
      <c r="H3966" s="2" t="s">
        <v>148</v>
      </c>
      <c r="I3966" s="2" t="s">
        <v>10797</v>
      </c>
      <c r="J3966" s="3" t="str">
        <f>HYPERLINK("https://www.boe.es/gazeta/dias/1811/09/10/pdfs/GEI-1811-117.pdf#page=7","Abrir facsímil")</f>
        <v>Abrir facsímil</v>
      </c>
      <c r="K3966" s="3" t="s">
        <v>150</v>
      </c>
    </row>
    <row r="3967" spans="1:11" ht="42" customHeight="1">
      <c r="A3967" s="2" t="s">
        <v>10798</v>
      </c>
      <c r="B3967" s="2" t="s">
        <v>10799</v>
      </c>
      <c r="C3967" s="2" t="s">
        <v>17</v>
      </c>
      <c r="D3967" s="2" t="s">
        <v>156</v>
      </c>
      <c r="E3967" s="4">
        <v>-32282</v>
      </c>
      <c r="F3967" s="3" t="s">
        <v>10800</v>
      </c>
      <c r="G3967" s="3" t="s">
        <v>20</v>
      </c>
      <c r="H3967" s="2" t="s">
        <v>148</v>
      </c>
      <c r="I3967" s="2" t="s">
        <v>10801</v>
      </c>
      <c r="J3967" s="3" t="str">
        <f>HYPERLINK("https://www.boe.es/gazeta/dias/1811/08/12/pdfs/GMD-1811-224.pdf#page=4","Abrir facsímil")</f>
        <v>Abrir facsímil</v>
      </c>
      <c r="K3967" s="3" t="s">
        <v>150</v>
      </c>
    </row>
    <row r="3968" spans="1:11" ht="42" customHeight="1">
      <c r="A3968" s="2" t="s">
        <v>10802</v>
      </c>
      <c r="B3968" s="2" t="s">
        <v>10803</v>
      </c>
      <c r="C3968" s="2" t="s">
        <v>26</v>
      </c>
      <c r="D3968" s="2" t="s">
        <v>105</v>
      </c>
      <c r="E3968" s="4">
        <v>-32270</v>
      </c>
      <c r="F3968" s="3" t="s">
        <v>431</v>
      </c>
      <c r="G3968" s="3" t="s">
        <v>2080</v>
      </c>
      <c r="H3968" s="2" t="s">
        <v>148</v>
      </c>
      <c r="I3968" s="2" t="s">
        <v>10804</v>
      </c>
      <c r="J3968" s="3" t="str">
        <f>HYPERLINK("https://www.boe.es/gazeta/dias/1811/08/24/pdfs/GEI-1811-110.pdf#page=5","Abrir facsímil")</f>
        <v>Abrir facsímil</v>
      </c>
      <c r="K3968" s="3" t="s">
        <v>150</v>
      </c>
    </row>
    <row r="3969" spans="1:11" ht="42" customHeight="1">
      <c r="A3969" s="2" t="s">
        <v>10805</v>
      </c>
      <c r="B3969" s="2" t="s">
        <v>10806</v>
      </c>
      <c r="C3969" s="2" t="s">
        <v>26</v>
      </c>
      <c r="D3969" s="2" t="s">
        <v>18</v>
      </c>
      <c r="E3969" s="4">
        <v>-32153</v>
      </c>
      <c r="F3969" s="3" t="s">
        <v>123</v>
      </c>
      <c r="G3969" s="3" t="s">
        <v>1067</v>
      </c>
      <c r="H3969" s="2" t="s">
        <v>148</v>
      </c>
      <c r="I3969" s="2" t="s">
        <v>10807</v>
      </c>
      <c r="J3969" s="3" t="str">
        <f>HYPERLINK("https://www.boe.es/gazeta/dias/1811/12/19/pdfs/GMD-1811-353.pdf#page=5","Abrir facsímil")</f>
        <v>Abrir facsímil</v>
      </c>
      <c r="K3969" s="3" t="s">
        <v>150</v>
      </c>
    </row>
    <row r="3970" spans="1:11" ht="42" customHeight="1">
      <c r="A3970" s="2" t="s">
        <v>10808</v>
      </c>
      <c r="B3970" s="2" t="s">
        <v>10809</v>
      </c>
      <c r="C3970" s="2" t="s">
        <v>66</v>
      </c>
      <c r="D3970" s="2" t="s">
        <v>18</v>
      </c>
      <c r="E3970" s="4">
        <v>-32141</v>
      </c>
      <c r="F3970" s="3" t="s">
        <v>327</v>
      </c>
      <c r="G3970" s="3" t="s">
        <v>20</v>
      </c>
      <c r="H3970" s="2" t="s">
        <v>148</v>
      </c>
      <c r="I3970" s="2" t="s">
        <v>10810</v>
      </c>
      <c r="J3970" s="3" t="str">
        <f>HYPERLINK("https://www.boe.es/gazeta/dias/1811/12/31/pdfs/GMD-1811-365.pdf#page=4","Abrir facsímil")</f>
        <v>Abrir facsímil</v>
      </c>
      <c r="K3970" s="3" t="s">
        <v>150</v>
      </c>
    </row>
    <row r="3971" spans="1:11" ht="42" customHeight="1">
      <c r="A3971" s="2" t="s">
        <v>10811</v>
      </c>
      <c r="B3971" s="2" t="s">
        <v>10812</v>
      </c>
      <c r="C3971" s="2" t="s">
        <v>84</v>
      </c>
      <c r="D3971" s="2" t="s">
        <v>18</v>
      </c>
      <c r="E3971" s="4">
        <v>-32297</v>
      </c>
      <c r="F3971" s="3" t="s">
        <v>2174</v>
      </c>
      <c r="G3971" s="3" t="s">
        <v>183</v>
      </c>
      <c r="H3971" s="2" t="s">
        <v>148</v>
      </c>
      <c r="I3971" s="2" t="s">
        <v>10813</v>
      </c>
      <c r="J3971" s="3" t="str">
        <f>HYPERLINK("https://www.boe.es/gazeta/dias/1811/07/28/pdfs/GMD-1811-209.pdf#page=4","Abrir facsímil")</f>
        <v>Abrir facsímil</v>
      </c>
      <c r="K3971" s="3" t="s">
        <v>150</v>
      </c>
    </row>
    <row r="3972" spans="1:11" ht="42" customHeight="1">
      <c r="A3972" s="2" t="s">
        <v>10814</v>
      </c>
      <c r="B3972" s="2" t="s">
        <v>10815</v>
      </c>
      <c r="C3972" s="2" t="s">
        <v>104</v>
      </c>
      <c r="D3972" s="2" t="s">
        <v>18</v>
      </c>
      <c r="E3972" s="4">
        <v>-32394</v>
      </c>
      <c r="F3972" s="3" t="s">
        <v>1709</v>
      </c>
      <c r="G3972" s="3" t="s">
        <v>115</v>
      </c>
      <c r="H3972" s="2" t="s">
        <v>148</v>
      </c>
      <c r="I3972" s="2" t="s">
        <v>10816</v>
      </c>
      <c r="J3972" s="3" t="str">
        <f>HYPERLINK("https://www.boe.es/gazeta/dias/1811/04/22/pdfs/GMD-1811-112.pdf#page=3","Abrir facsímil")</f>
        <v>Abrir facsímil</v>
      </c>
      <c r="K3972" s="3" t="s">
        <v>150</v>
      </c>
    </row>
    <row r="3973" spans="1:11" ht="42" customHeight="1">
      <c r="A3973" s="2" t="s">
        <v>10814</v>
      </c>
      <c r="B3973" s="2" t="s">
        <v>10815</v>
      </c>
      <c r="C3973" s="2" t="s">
        <v>26</v>
      </c>
      <c r="D3973" s="2" t="s">
        <v>18</v>
      </c>
      <c r="E3973" s="4">
        <v>-32263</v>
      </c>
      <c r="F3973" s="3" t="s">
        <v>3780</v>
      </c>
      <c r="G3973" s="3" t="s">
        <v>3781</v>
      </c>
      <c r="H3973" s="2" t="s">
        <v>148</v>
      </c>
      <c r="I3973" s="2" t="s">
        <v>10817</v>
      </c>
      <c r="J3973" s="3" t="str">
        <f>HYPERLINK("https://www.boe.es/gazeta/dias/1811/08/31/pdfs/GMD-1811-243.pdf#page=4","Abrir facsímil")</f>
        <v>Abrir facsímil</v>
      </c>
      <c r="K3973" s="3" t="s">
        <v>150</v>
      </c>
    </row>
    <row r="3974" spans="1:11" ht="42" customHeight="1">
      <c r="A3974" s="2" t="s">
        <v>10818</v>
      </c>
      <c r="B3974" s="2" t="s">
        <v>10819</v>
      </c>
      <c r="C3974" s="2" t="s">
        <v>26</v>
      </c>
      <c r="D3974" s="2" t="s">
        <v>18</v>
      </c>
      <c r="E3974" s="4">
        <v>-32200</v>
      </c>
      <c r="F3974" s="3" t="s">
        <v>109</v>
      </c>
      <c r="G3974" s="3" t="s">
        <v>268</v>
      </c>
      <c r="H3974" s="2" t="s">
        <v>148</v>
      </c>
      <c r="I3974" s="2" t="s">
        <v>10820</v>
      </c>
      <c r="J3974" s="3" t="str">
        <f>HYPERLINK("https://www.boe.es/gazeta/dias/1811/11/02/pdfs/GEI-1811-141.pdf#page=7","Abrir facsímil")</f>
        <v>Abrir facsímil</v>
      </c>
      <c r="K3974" s="3" t="s">
        <v>150</v>
      </c>
    </row>
    <row r="3975" spans="1:11" ht="42" customHeight="1">
      <c r="A3975" s="2" t="s">
        <v>10821</v>
      </c>
      <c r="B3975" s="2" t="s">
        <v>10822</v>
      </c>
      <c r="C3975" s="2" t="s">
        <v>26</v>
      </c>
      <c r="D3975" s="2" t="s">
        <v>18</v>
      </c>
      <c r="E3975" s="4">
        <v>-32300</v>
      </c>
      <c r="F3975" s="3" t="s">
        <v>492</v>
      </c>
      <c r="G3975" s="3" t="s">
        <v>493</v>
      </c>
      <c r="H3975" s="2" t="s">
        <v>148</v>
      </c>
      <c r="I3975" s="2" t="s">
        <v>10823</v>
      </c>
      <c r="J3975" s="3" t="str">
        <f>HYPERLINK("https://www.boe.es/gazeta/dias/1811/07/25/pdfs/GMD-1811-206.pdf#page=4","Abrir facsímil")</f>
        <v>Abrir facsímil</v>
      </c>
      <c r="K3975" s="3" t="s">
        <v>150</v>
      </c>
    </row>
    <row r="3976" spans="1:11" ht="42" customHeight="1">
      <c r="A3976" s="2" t="s">
        <v>10824</v>
      </c>
      <c r="B3976" s="2" t="s">
        <v>10825</v>
      </c>
      <c r="C3976" s="2" t="s">
        <v>26</v>
      </c>
      <c r="D3976" s="2" t="s">
        <v>18</v>
      </c>
      <c r="E3976" s="4">
        <v>-32270</v>
      </c>
      <c r="F3976" s="3" t="s">
        <v>431</v>
      </c>
      <c r="G3976" s="3" t="s">
        <v>2080</v>
      </c>
      <c r="H3976" s="2" t="s">
        <v>148</v>
      </c>
      <c r="I3976" s="2" t="s">
        <v>10826</v>
      </c>
      <c r="J3976" s="3" t="str">
        <f>HYPERLINK("https://www.boe.es/gazeta/dias/1811/08/24/pdfs/GEI-1811-110.pdf#page=5","Abrir facsímil")</f>
        <v>Abrir facsímil</v>
      </c>
      <c r="K3976" s="3" t="s">
        <v>150</v>
      </c>
    </row>
    <row r="3977" spans="1:11" ht="42" customHeight="1">
      <c r="A3977" s="2" t="s">
        <v>10827</v>
      </c>
      <c r="B3977" s="2" t="s">
        <v>10828</v>
      </c>
      <c r="C3977" s="2" t="s">
        <v>17</v>
      </c>
      <c r="D3977" s="2" t="s">
        <v>156</v>
      </c>
      <c r="E3977" s="4">
        <v>-32246</v>
      </c>
      <c r="F3977" s="3" t="s">
        <v>19</v>
      </c>
      <c r="G3977" s="3" t="s">
        <v>20</v>
      </c>
      <c r="H3977" s="2" t="s">
        <v>148</v>
      </c>
      <c r="I3977" s="2" t="s">
        <v>10829</v>
      </c>
      <c r="J3977" s="3" t="str">
        <f>HYPERLINK("https://www.boe.es/gazeta/dias/1811/09/17/pdfs/GEI-1811-120.pdf#page=24","Abrir facsímil")</f>
        <v>Abrir facsímil</v>
      </c>
      <c r="K3977" s="3" t="s">
        <v>150</v>
      </c>
    </row>
    <row r="3978" spans="1:11" ht="42" customHeight="1">
      <c r="A3978" s="2" t="s">
        <v>10830</v>
      </c>
      <c r="B3978" s="2" t="s">
        <v>10831</v>
      </c>
      <c r="C3978" s="2" t="s">
        <v>26</v>
      </c>
      <c r="D3978" s="2" t="s">
        <v>18</v>
      </c>
      <c r="E3978" s="4">
        <v>-32213</v>
      </c>
      <c r="F3978" s="3" t="s">
        <v>4653</v>
      </c>
      <c r="G3978" s="3" t="s">
        <v>1930</v>
      </c>
      <c r="H3978" s="2" t="s">
        <v>148</v>
      </c>
      <c r="I3978" s="2" t="s">
        <v>10832</v>
      </c>
      <c r="J3978" s="3" t="str">
        <f>HYPERLINK("https://www.boe.es/gazeta/dias/1811/10/20/pdfs/GMD-1811-293.pdf#page=4","Abrir facsímil")</f>
        <v>Abrir facsímil</v>
      </c>
      <c r="K3978" s="3" t="s">
        <v>150</v>
      </c>
    </row>
    <row r="3979" spans="1:11" ht="42" customHeight="1">
      <c r="A3979" s="2" t="s">
        <v>10833</v>
      </c>
      <c r="B3979" s="2" t="s">
        <v>10834</v>
      </c>
      <c r="C3979" s="2" t="s">
        <v>26</v>
      </c>
      <c r="D3979" s="2" t="s">
        <v>204</v>
      </c>
      <c r="E3979" s="4">
        <v>-32489</v>
      </c>
      <c r="F3979" s="3" t="s">
        <v>722</v>
      </c>
      <c r="G3979" s="3" t="s">
        <v>468</v>
      </c>
      <c r="H3979" s="2" t="s">
        <v>148</v>
      </c>
      <c r="I3979" s="2" t="s">
        <v>10835</v>
      </c>
      <c r="J3979" s="3" t="str">
        <f>HYPERLINK("https://www.boe.es/gazeta/dias/1811/01/17/pdfs/GMD-1811-17.pdf#page=4","Abrir facsímil")</f>
        <v>Abrir facsímil</v>
      </c>
      <c r="K3979" s="3" t="s">
        <v>150</v>
      </c>
    </row>
    <row r="3980" spans="1:11" ht="42" customHeight="1">
      <c r="A3980" s="2" t="s">
        <v>10836</v>
      </c>
      <c r="B3980" s="2" t="s">
        <v>10837</v>
      </c>
      <c r="C3980" s="2" t="s">
        <v>26</v>
      </c>
      <c r="D3980" s="2" t="s">
        <v>18</v>
      </c>
      <c r="E3980" s="4">
        <v>-32221</v>
      </c>
      <c r="F3980" s="3" t="s">
        <v>747</v>
      </c>
      <c r="G3980" s="3" t="s">
        <v>47</v>
      </c>
      <c r="H3980" s="2" t="s">
        <v>148</v>
      </c>
      <c r="I3980" s="2" t="s">
        <v>10838</v>
      </c>
      <c r="J3980" s="3" t="str">
        <f>HYPERLINK("https://www.boe.es/gazeta/dias/1811/10/12/pdfs/GEI-1811-131.pdf#page=6","Abrir facsímil")</f>
        <v>Abrir facsímil</v>
      </c>
      <c r="K3980" s="3" t="s">
        <v>150</v>
      </c>
    </row>
    <row r="3981" spans="1:11" ht="42" customHeight="1">
      <c r="A3981" s="2" t="s">
        <v>10839</v>
      </c>
      <c r="B3981" s="2" t="s">
        <v>10840</v>
      </c>
      <c r="C3981" s="2" t="s">
        <v>26</v>
      </c>
      <c r="D3981" s="2" t="s">
        <v>18</v>
      </c>
      <c r="E3981" s="4">
        <v>-32200</v>
      </c>
      <c r="F3981" s="3" t="s">
        <v>109</v>
      </c>
      <c r="G3981" s="3" t="s">
        <v>268</v>
      </c>
      <c r="H3981" s="2" t="s">
        <v>148</v>
      </c>
      <c r="I3981" s="2" t="s">
        <v>10841</v>
      </c>
      <c r="J3981" s="3" t="str">
        <f>HYPERLINK("https://www.boe.es/gazeta/dias/1811/11/02/pdfs/GEI-1811-141.pdf#page=7","Abrir facsímil")</f>
        <v>Abrir facsímil</v>
      </c>
      <c r="K3981" s="3" t="s">
        <v>150</v>
      </c>
    </row>
    <row r="3982" spans="1:11" ht="42" customHeight="1">
      <c r="A3982" s="2" t="s">
        <v>10842</v>
      </c>
      <c r="B3982" s="2" t="s">
        <v>10842</v>
      </c>
      <c r="C3982" s="2" t="s">
        <v>17</v>
      </c>
      <c r="D3982" s="2" t="s">
        <v>18</v>
      </c>
      <c r="E3982" s="4">
        <v>-32292</v>
      </c>
      <c r="F3982" s="3" t="s">
        <v>408</v>
      </c>
      <c r="G3982" s="3" t="s">
        <v>228</v>
      </c>
      <c r="H3982" s="2" t="s">
        <v>148</v>
      </c>
      <c r="I3982" s="2" t="s">
        <v>10843</v>
      </c>
      <c r="J3982" s="3" t="str">
        <f>HYPERLINK("https://www.boe.es/gazeta/dias/1811/08/02/pdfs/GMD-1811-214.pdf#page=3","Abrir facsímil")</f>
        <v>Abrir facsímil</v>
      </c>
      <c r="K3982" s="3" t="s">
        <v>150</v>
      </c>
    </row>
    <row r="3983" spans="1:11" ht="42" customHeight="1">
      <c r="A3983" s="2" t="s">
        <v>10844</v>
      </c>
      <c r="B3983" s="2" t="s">
        <v>10845</v>
      </c>
      <c r="C3983" s="2" t="s">
        <v>17</v>
      </c>
      <c r="D3983" s="2" t="s">
        <v>141</v>
      </c>
      <c r="E3983" s="4">
        <v>-32389</v>
      </c>
      <c r="F3983" s="3" t="s">
        <v>524</v>
      </c>
      <c r="G3983" s="3" t="s">
        <v>525</v>
      </c>
      <c r="H3983" s="2" t="s">
        <v>148</v>
      </c>
      <c r="I3983" s="2" t="s">
        <v>10846</v>
      </c>
      <c r="J3983" s="3" t="str">
        <f>HYPERLINK("https://www.boe.es/gazeta/dias/1811/04/27/pdfs/GEI-D-1811-56.pdf#page=4","Abrir facsímil")</f>
        <v>Abrir facsímil</v>
      </c>
      <c r="K3983" s="3" t="s">
        <v>150</v>
      </c>
    </row>
    <row r="3984" spans="1:11" ht="42" customHeight="1">
      <c r="A3984" s="2" t="s">
        <v>10847</v>
      </c>
      <c r="B3984" s="2" t="s">
        <v>10848</v>
      </c>
      <c r="C3984" s="2" t="s">
        <v>37</v>
      </c>
      <c r="D3984" s="2" t="s">
        <v>18</v>
      </c>
      <c r="E3984" s="4">
        <v>-32407</v>
      </c>
      <c r="F3984" s="3" t="s">
        <v>38</v>
      </c>
      <c r="G3984" s="3" t="s">
        <v>480</v>
      </c>
      <c r="H3984" s="2" t="s">
        <v>148</v>
      </c>
      <c r="I3984" s="2" t="s">
        <v>10849</v>
      </c>
      <c r="J3984" s="3" t="str">
        <f>HYPERLINK("https://www.boe.es/gazeta/dias/1811/04/09/pdfs/GEI-1811-48.pdf#page=4","Abrir facsímil")</f>
        <v>Abrir facsímil</v>
      </c>
      <c r="K3984" s="3" t="s">
        <v>150</v>
      </c>
    </row>
    <row r="3985" spans="1:11" ht="42" customHeight="1">
      <c r="A3985" s="2" t="s">
        <v>10847</v>
      </c>
      <c r="B3985" s="2" t="s">
        <v>10848</v>
      </c>
      <c r="C3985" s="2" t="s">
        <v>104</v>
      </c>
      <c r="D3985" s="2" t="s">
        <v>18</v>
      </c>
      <c r="E3985" s="4">
        <v>-32235</v>
      </c>
      <c r="F3985" s="3" t="s">
        <v>190</v>
      </c>
      <c r="G3985" s="3" t="s">
        <v>188</v>
      </c>
      <c r="H3985" s="2" t="s">
        <v>148</v>
      </c>
      <c r="I3985" s="2" t="s">
        <v>10850</v>
      </c>
      <c r="J3985" s="3" t="str">
        <f>HYPERLINK("https://www.boe.es/gazeta/dias/1811/09/28/pdfs/GEI-1811-125.pdf#page=8","Abrir facsímil")</f>
        <v>Abrir facsímil</v>
      </c>
      <c r="K3985" s="3" t="s">
        <v>150</v>
      </c>
    </row>
    <row r="3986" spans="1:11" ht="42" customHeight="1">
      <c r="A3986" s="2" t="s">
        <v>10851</v>
      </c>
      <c r="B3986" s="2" t="s">
        <v>10852</v>
      </c>
      <c r="C3986" s="2" t="s">
        <v>37</v>
      </c>
      <c r="D3986" s="2" t="s">
        <v>156</v>
      </c>
      <c r="E3986" s="4">
        <v>-32416</v>
      </c>
      <c r="F3986" s="3" t="s">
        <v>954</v>
      </c>
      <c r="G3986" s="3" t="s">
        <v>183</v>
      </c>
      <c r="H3986" s="2" t="s">
        <v>148</v>
      </c>
      <c r="I3986" s="2" t="s">
        <v>10853</v>
      </c>
      <c r="J3986" s="3" t="str">
        <f>HYPERLINK("https://www.boe.es/gazeta/dias/1811/03/31/pdfs/GMD-1811-90.pdf#page=4","Abrir facsímil")</f>
        <v>Abrir facsímil</v>
      </c>
      <c r="K3986" s="3" t="s">
        <v>150</v>
      </c>
    </row>
    <row r="3987" spans="1:11" ht="42" customHeight="1">
      <c r="A3987" s="2" t="s">
        <v>10854</v>
      </c>
      <c r="B3987" s="2" t="s">
        <v>10855</v>
      </c>
      <c r="C3987" s="2" t="s">
        <v>122</v>
      </c>
      <c r="D3987" s="2" t="s">
        <v>18</v>
      </c>
      <c r="E3987" s="4">
        <v>-32152</v>
      </c>
      <c r="F3987" s="3" t="s">
        <v>1673</v>
      </c>
      <c r="G3987" s="3" t="s">
        <v>183</v>
      </c>
      <c r="H3987" s="2" t="s">
        <v>148</v>
      </c>
      <c r="I3987" s="2" t="s">
        <v>10856</v>
      </c>
      <c r="J3987" s="3" t="str">
        <f>HYPERLINK("https://www.boe.es/gazeta/dias/1811/12/20/pdfs/GMD-1811-354.pdf#page=4","Abrir facsímil")</f>
        <v>Abrir facsímil</v>
      </c>
      <c r="K3987" s="3" t="s">
        <v>150</v>
      </c>
    </row>
    <row r="3988" spans="1:11" ht="42" customHeight="1">
      <c r="A3988" s="2" t="s">
        <v>10857</v>
      </c>
      <c r="B3988" s="2" t="s">
        <v>10858</v>
      </c>
      <c r="C3988" s="2" t="s">
        <v>26</v>
      </c>
      <c r="D3988" s="2" t="s">
        <v>18</v>
      </c>
      <c r="E3988" s="4">
        <v>-32179</v>
      </c>
      <c r="F3988" s="3" t="s">
        <v>614</v>
      </c>
      <c r="G3988" s="3" t="s">
        <v>47</v>
      </c>
      <c r="H3988" s="2" t="s">
        <v>148</v>
      </c>
      <c r="I3988" s="2" t="s">
        <v>10859</v>
      </c>
      <c r="J3988" s="3" t="str">
        <f>HYPERLINK("https://www.boe.es/gazeta/dias/1811/11/23/pdfs/GEI-1811-153.pdf#page=8","Abrir facsímil")</f>
        <v>Abrir facsímil</v>
      </c>
      <c r="K3988" s="3" t="s">
        <v>150</v>
      </c>
    </row>
    <row r="3989" spans="1:11" ht="42" customHeight="1">
      <c r="A3989" s="2" t="s">
        <v>10860</v>
      </c>
      <c r="B3989" s="2" t="s">
        <v>10861</v>
      </c>
      <c r="C3989" s="2" t="s">
        <v>841</v>
      </c>
      <c r="D3989" s="2" t="s">
        <v>18</v>
      </c>
      <c r="E3989" s="4">
        <v>-32228</v>
      </c>
      <c r="F3989" s="3" t="s">
        <v>372</v>
      </c>
      <c r="G3989" s="3" t="s">
        <v>20</v>
      </c>
      <c r="H3989" s="2" t="s">
        <v>148</v>
      </c>
      <c r="I3989" s="2" t="s">
        <v>10862</v>
      </c>
      <c r="J3989" s="3" t="str">
        <f>HYPERLINK("https://www.boe.es/gazeta/dias/1811/10/05/pdfs/GEI-1811-128.pdf#page=8","Abrir facsímil")</f>
        <v>Abrir facsímil</v>
      </c>
      <c r="K3989" s="3" t="s">
        <v>150</v>
      </c>
    </row>
    <row r="3990" spans="1:11" ht="42" customHeight="1">
      <c r="A3990" s="2" t="s">
        <v>10863</v>
      </c>
      <c r="B3990" s="2" t="s">
        <v>10863</v>
      </c>
      <c r="C3990" s="2" t="s">
        <v>17</v>
      </c>
      <c r="D3990" s="2" t="s">
        <v>18</v>
      </c>
      <c r="E3990" s="4">
        <v>-32295</v>
      </c>
      <c r="F3990" s="3" t="s">
        <v>6168</v>
      </c>
      <c r="G3990" s="3" t="s">
        <v>2682</v>
      </c>
      <c r="H3990" s="2" t="s">
        <v>148</v>
      </c>
      <c r="I3990" s="2" t="s">
        <v>10864</v>
      </c>
      <c r="J3990" s="3" t="str">
        <f>HYPERLINK("https://www.boe.es/gazeta/dias/1811/07/30/pdfs/GMD-1811-211.pdf#page=3","Abrir facsímil")</f>
        <v>Abrir facsímil</v>
      </c>
      <c r="K3990" s="3" t="s">
        <v>150</v>
      </c>
    </row>
    <row r="3991" spans="1:11" ht="42" customHeight="1">
      <c r="A3991" s="2" t="s">
        <v>10865</v>
      </c>
      <c r="B3991" s="2" t="s">
        <v>10866</v>
      </c>
      <c r="C3991" s="2" t="s">
        <v>26</v>
      </c>
      <c r="D3991" s="2" t="s">
        <v>18</v>
      </c>
      <c r="E3991" s="4">
        <v>-32286</v>
      </c>
      <c r="F3991" s="3" t="s">
        <v>754</v>
      </c>
      <c r="G3991" s="3" t="s">
        <v>1728</v>
      </c>
      <c r="H3991" s="2" t="s">
        <v>148</v>
      </c>
      <c r="I3991" s="2" t="s">
        <v>10867</v>
      </c>
      <c r="J3991" s="3" t="str">
        <f>HYPERLINK("https://www.boe.es/gazeta/dias/1811/08/08/pdfs/GEI-1811-103.pdf#page=8","Abrir facsímil")</f>
        <v>Abrir facsímil</v>
      </c>
      <c r="K3991" s="3" t="s">
        <v>150</v>
      </c>
    </row>
    <row r="3992" spans="1:11" ht="42" customHeight="1">
      <c r="A3992" s="2" t="s">
        <v>10868</v>
      </c>
      <c r="B3992" s="2" t="s">
        <v>10869</v>
      </c>
      <c r="C3992" s="2" t="s">
        <v>26</v>
      </c>
      <c r="D3992" s="2" t="s">
        <v>18</v>
      </c>
      <c r="E3992" s="4">
        <v>-32283</v>
      </c>
      <c r="F3992" s="3" t="s">
        <v>90</v>
      </c>
      <c r="G3992" s="3" t="s">
        <v>91</v>
      </c>
      <c r="H3992" s="2" t="s">
        <v>148</v>
      </c>
      <c r="I3992" s="2" t="s">
        <v>10870</v>
      </c>
      <c r="J3992" s="3" t="str">
        <f>HYPERLINK("https://www.boe.es/gazeta/dias/1811/08/11/pdfs/GMD-1811-223.pdf#page=4","Abrir facsímil")</f>
        <v>Abrir facsímil</v>
      </c>
      <c r="K3992" s="3" t="s">
        <v>150</v>
      </c>
    </row>
    <row r="3993" spans="1:11" ht="42" customHeight="1">
      <c r="A3993" s="2" t="s">
        <v>10871</v>
      </c>
      <c r="B3993" s="2" t="s">
        <v>10872</v>
      </c>
      <c r="C3993" s="2" t="s">
        <v>17</v>
      </c>
      <c r="D3993" s="2" t="s">
        <v>18</v>
      </c>
      <c r="E3993" s="4">
        <v>-32428</v>
      </c>
      <c r="F3993" s="3" t="s">
        <v>1974</v>
      </c>
      <c r="G3993" s="3" t="s">
        <v>4738</v>
      </c>
      <c r="H3993" s="2" t="s">
        <v>148</v>
      </c>
      <c r="I3993" s="2" t="s">
        <v>10873</v>
      </c>
      <c r="J3993" s="3" t="str">
        <f>HYPERLINK("https://www.boe.es/gazeta/dias/1811/03/19/pdfs/GEI-1811-39.pdf#page=8","Abrir facsímil")</f>
        <v>Abrir facsímil</v>
      </c>
      <c r="K3993" s="3" t="s">
        <v>150</v>
      </c>
    </row>
    <row r="3994" spans="1:11" ht="42" customHeight="1">
      <c r="A3994" s="2" t="s">
        <v>10874</v>
      </c>
      <c r="B3994" s="2" t="s">
        <v>10875</v>
      </c>
      <c r="C3994" s="2" t="s">
        <v>26</v>
      </c>
      <c r="D3994" s="2" t="s">
        <v>18</v>
      </c>
      <c r="E3994" s="4">
        <v>-32204</v>
      </c>
      <c r="F3994" s="3" t="s">
        <v>177</v>
      </c>
      <c r="G3994" s="3" t="s">
        <v>178</v>
      </c>
      <c r="H3994" s="2" t="s">
        <v>148</v>
      </c>
      <c r="I3994" s="2" t="s">
        <v>10876</v>
      </c>
      <c r="J3994" s="3" t="str">
        <f>HYPERLINK("https://www.boe.es/gazeta/dias/1811/10/29/pdfs/GMD-1811-302.pdf#page=4","Abrir facsímil")</f>
        <v>Abrir facsímil</v>
      </c>
      <c r="K3994" s="3" t="s">
        <v>150</v>
      </c>
    </row>
    <row r="3995" spans="1:11" ht="42" customHeight="1">
      <c r="A3995" s="2" t="s">
        <v>10877</v>
      </c>
      <c r="B3995" s="2" t="s">
        <v>10878</v>
      </c>
      <c r="C3995" s="2" t="s">
        <v>26</v>
      </c>
      <c r="D3995" s="2" t="s">
        <v>18</v>
      </c>
      <c r="E3995" s="4">
        <v>-32158</v>
      </c>
      <c r="F3995" s="3" t="s">
        <v>46</v>
      </c>
      <c r="G3995" s="3" t="s">
        <v>47</v>
      </c>
      <c r="H3995" s="2" t="s">
        <v>148</v>
      </c>
      <c r="I3995" s="2" t="s">
        <v>10879</v>
      </c>
      <c r="J3995" s="3" t="str">
        <f>HYPERLINK("https://www.boe.es/gazeta/dias/1811/12/14/pdfs/GEI-1811-162.pdf#page=7","Abrir facsímil")</f>
        <v>Abrir facsímil</v>
      </c>
      <c r="K3995" s="3" t="s">
        <v>150</v>
      </c>
    </row>
    <row r="3996" spans="1:11" ht="42" customHeight="1">
      <c r="A3996" s="2" t="s">
        <v>10880</v>
      </c>
      <c r="B3996" s="2" t="s">
        <v>10881</v>
      </c>
      <c r="C3996" s="2" t="s">
        <v>17</v>
      </c>
      <c r="D3996" s="2" t="s">
        <v>18</v>
      </c>
      <c r="E3996" s="4">
        <v>-32417</v>
      </c>
      <c r="F3996" s="3" t="s">
        <v>604</v>
      </c>
      <c r="G3996" s="3" t="s">
        <v>178</v>
      </c>
      <c r="H3996" s="2" t="s">
        <v>148</v>
      </c>
      <c r="I3996" s="2" t="s">
        <v>10882</v>
      </c>
      <c r="J3996" s="3" t="str">
        <f>HYPERLINK("https://www.boe.es/gazeta/dias/1811/03/30/pdfs/GMD-1811-89.pdf#page=3","Abrir facsímil")</f>
        <v>Abrir facsímil</v>
      </c>
      <c r="K3996" s="3" t="s">
        <v>150</v>
      </c>
    </row>
    <row r="3997" spans="1:11" ht="42" customHeight="1">
      <c r="A3997" s="2" t="s">
        <v>10883</v>
      </c>
      <c r="B3997" s="2" t="s">
        <v>10884</v>
      </c>
      <c r="C3997" s="2" t="s">
        <v>17</v>
      </c>
      <c r="D3997" s="2" t="s">
        <v>18</v>
      </c>
      <c r="E3997" s="4">
        <v>-32396</v>
      </c>
      <c r="F3997" s="3" t="s">
        <v>1267</v>
      </c>
      <c r="G3997" s="3" t="s">
        <v>382</v>
      </c>
      <c r="H3997" s="2" t="s">
        <v>148</v>
      </c>
      <c r="I3997" s="2" t="s">
        <v>10885</v>
      </c>
      <c r="J3997" s="3" t="str">
        <f>HYPERLINK("https://www.boe.es/gazeta/dias/1811/04/20/pdfs/GMD-1811-110.pdf#page=2","Abrir facsímil")</f>
        <v>Abrir facsímil</v>
      </c>
      <c r="K3997" s="3" t="s">
        <v>150</v>
      </c>
    </row>
    <row r="3998" spans="1:11" ht="42" customHeight="1">
      <c r="A3998" s="2" t="s">
        <v>10883</v>
      </c>
      <c r="B3998" s="2" t="s">
        <v>10884</v>
      </c>
      <c r="C3998" s="2" t="s">
        <v>26</v>
      </c>
      <c r="D3998" s="2" t="s">
        <v>105</v>
      </c>
      <c r="E3998" s="4">
        <v>-32276</v>
      </c>
      <c r="F3998" s="3" t="s">
        <v>1361</v>
      </c>
      <c r="G3998" s="3" t="s">
        <v>183</v>
      </c>
      <c r="H3998" s="2" t="s">
        <v>148</v>
      </c>
      <c r="I3998" s="2" t="s">
        <v>10886</v>
      </c>
      <c r="J3998" s="3" t="str">
        <f>HYPERLINK("https://www.boe.es/gazeta/dias/1811/08/18/pdfs/GMD-1811-230.pdf#page=4","Abrir facsímil")</f>
        <v>Abrir facsímil</v>
      </c>
      <c r="K3998" s="3" t="s">
        <v>150</v>
      </c>
    </row>
    <row r="3999" spans="1:11" ht="42" customHeight="1">
      <c r="A3999" s="2" t="s">
        <v>10883</v>
      </c>
      <c r="B3999" s="2" t="s">
        <v>10884</v>
      </c>
      <c r="C3999" s="2" t="s">
        <v>26</v>
      </c>
      <c r="D3999" s="2" t="s">
        <v>141</v>
      </c>
      <c r="E3999" s="4">
        <v>-32249</v>
      </c>
      <c r="F3999" s="3" t="s">
        <v>743</v>
      </c>
      <c r="G3999" s="3" t="s">
        <v>1021</v>
      </c>
      <c r="H3999" s="2" t="s">
        <v>148</v>
      </c>
      <c r="I3999" s="2" t="s">
        <v>10887</v>
      </c>
      <c r="J3999" s="3" t="str">
        <f>HYPERLINK("https://www.boe.es/gazeta/dias/1811/09/14/pdfs/GMD-C-1811-257.pdf#page=2","Abrir facsímil")</f>
        <v>Abrir facsímil</v>
      </c>
      <c r="K3999" s="3" t="s">
        <v>150</v>
      </c>
    </row>
    <row r="4000" spans="1:11" ht="42" customHeight="1">
      <c r="A4000" s="2" t="s">
        <v>10883</v>
      </c>
      <c r="B4000" s="2" t="s">
        <v>10884</v>
      </c>
      <c r="C4000" s="2" t="s">
        <v>26</v>
      </c>
      <c r="D4000" s="2" t="s">
        <v>141</v>
      </c>
      <c r="E4000" s="4">
        <v>-32188</v>
      </c>
      <c r="F4000" s="3" t="s">
        <v>505</v>
      </c>
      <c r="G4000" s="3" t="s">
        <v>162</v>
      </c>
      <c r="H4000" s="2" t="s">
        <v>148</v>
      </c>
      <c r="I4000" s="2" t="s">
        <v>10888</v>
      </c>
      <c r="J4000" s="3" t="str">
        <f>HYPERLINK("https://www.boe.es/gazeta/dias/1811/11/14/pdfs/GEI-D-1811-149.pdf#page=4","Abrir facsímil")</f>
        <v>Abrir facsímil</v>
      </c>
      <c r="K4000" s="3" t="s">
        <v>150</v>
      </c>
    </row>
    <row r="4001" spans="1:11" ht="42" customHeight="1">
      <c r="A4001" s="2" t="s">
        <v>10889</v>
      </c>
      <c r="B4001" s="2" t="s">
        <v>10890</v>
      </c>
      <c r="C4001" s="2" t="s">
        <v>17</v>
      </c>
      <c r="D4001" s="2" t="s">
        <v>156</v>
      </c>
      <c r="E4001" s="4">
        <v>-32449</v>
      </c>
      <c r="F4001" s="3" t="s">
        <v>381</v>
      </c>
      <c r="G4001" s="3" t="s">
        <v>1930</v>
      </c>
      <c r="H4001" s="2" t="s">
        <v>148</v>
      </c>
      <c r="I4001" s="2" t="s">
        <v>10891</v>
      </c>
      <c r="J4001" s="3" t="str">
        <f>HYPERLINK("https://www.boe.es/gazeta/dias/1811/02/26/pdfs/GEI-1811-25.pdf#page=3","Abrir facsímil")</f>
        <v>Abrir facsímil</v>
      </c>
      <c r="K4001" s="3" t="s">
        <v>150</v>
      </c>
    </row>
    <row r="4002" spans="1:11" ht="42" customHeight="1">
      <c r="A4002" s="2" t="s">
        <v>10892</v>
      </c>
      <c r="B4002" s="2" t="s">
        <v>10893</v>
      </c>
      <c r="C4002" s="2" t="s">
        <v>26</v>
      </c>
      <c r="D4002" s="2" t="s">
        <v>18</v>
      </c>
      <c r="E4002" s="4">
        <v>-32242</v>
      </c>
      <c r="F4002" s="3" t="s">
        <v>1295</v>
      </c>
      <c r="G4002" s="3" t="s">
        <v>1296</v>
      </c>
      <c r="H4002" s="2" t="s">
        <v>148</v>
      </c>
      <c r="I4002" s="2" t="s">
        <v>10894</v>
      </c>
      <c r="J4002" s="3" t="str">
        <f>HYPERLINK("https://www.boe.es/gazeta/dias/1811/09/21/pdfs/GEI-1811-122.pdf#page=8","Abrir facsímil")</f>
        <v>Abrir facsímil</v>
      </c>
      <c r="K4002" s="3" t="s">
        <v>150</v>
      </c>
    </row>
    <row r="4003" spans="1:11" ht="42" customHeight="1">
      <c r="A4003" s="2" t="s">
        <v>10895</v>
      </c>
      <c r="B4003" s="2" t="s">
        <v>10896</v>
      </c>
      <c r="C4003" s="2" t="s">
        <v>26</v>
      </c>
      <c r="D4003" s="2" t="s">
        <v>141</v>
      </c>
      <c r="E4003" s="4">
        <v>-32396</v>
      </c>
      <c r="F4003" s="3" t="s">
        <v>804</v>
      </c>
      <c r="G4003" s="3" t="s">
        <v>805</v>
      </c>
      <c r="H4003" s="2" t="s">
        <v>148</v>
      </c>
      <c r="I4003" s="2" t="s">
        <v>10897</v>
      </c>
      <c r="J4003" s="3" t="str">
        <f>HYPERLINK("https://www.boe.es/gazeta/dias/1811/04/20/pdfs/GEI-D-1811-53.pdf#page=4","Abrir facsímil")</f>
        <v>Abrir facsímil</v>
      </c>
      <c r="K4003" s="3" t="s">
        <v>150</v>
      </c>
    </row>
    <row r="4004" spans="1:11" ht="42" customHeight="1">
      <c r="A4004" s="2" t="s">
        <v>10895</v>
      </c>
      <c r="B4004" s="2" t="s">
        <v>10896</v>
      </c>
      <c r="C4004" s="2" t="s">
        <v>26</v>
      </c>
      <c r="D4004" s="2" t="s">
        <v>18</v>
      </c>
      <c r="E4004" s="4">
        <v>-32384</v>
      </c>
      <c r="F4004" s="3" t="s">
        <v>338</v>
      </c>
      <c r="G4004" s="3" t="s">
        <v>339</v>
      </c>
      <c r="H4004" s="2" t="s">
        <v>148</v>
      </c>
      <c r="I4004" s="2" t="s">
        <v>10898</v>
      </c>
      <c r="J4004" s="3" t="str">
        <f>HYPERLINK("https://www.boe.es/gazeta/dias/1811/05/02/pdfs/GEI-1811-58.pdf#page=8","Abrir facsímil")</f>
        <v>Abrir facsímil</v>
      </c>
      <c r="K4004" s="3" t="s">
        <v>150</v>
      </c>
    </row>
    <row r="4005" spans="1:11" ht="42" customHeight="1">
      <c r="A4005" s="2" t="s">
        <v>10899</v>
      </c>
      <c r="B4005" s="2" t="s">
        <v>10900</v>
      </c>
      <c r="C4005" s="2" t="s">
        <v>26</v>
      </c>
      <c r="D4005" s="2" t="s">
        <v>141</v>
      </c>
      <c r="E4005" s="4">
        <v>-32238</v>
      </c>
      <c r="F4005" s="3" t="s">
        <v>166</v>
      </c>
      <c r="G4005" s="3" t="s">
        <v>178</v>
      </c>
      <c r="H4005" s="2" t="s">
        <v>148</v>
      </c>
      <c r="I4005" s="2" t="s">
        <v>10901</v>
      </c>
      <c r="J4005" s="3" t="str">
        <f>HYPERLINK("https://www.boe.es/gazeta/dias/1811/09/25/pdfs/GMD-C-1811-268.pdf#page=4","Abrir facsímil")</f>
        <v>Abrir facsímil</v>
      </c>
      <c r="K4005" s="3" t="s">
        <v>150</v>
      </c>
    </row>
    <row r="4006" spans="1:11" ht="42" customHeight="1">
      <c r="A4006" s="2" t="s">
        <v>10902</v>
      </c>
      <c r="B4006" s="2" t="s">
        <v>10903</v>
      </c>
      <c r="C4006" s="2" t="s">
        <v>26</v>
      </c>
      <c r="D4006" s="2" t="s">
        <v>18</v>
      </c>
      <c r="E4006" s="4">
        <v>-32153</v>
      </c>
      <c r="F4006" s="3" t="s">
        <v>235</v>
      </c>
      <c r="G4006" s="3" t="s">
        <v>236</v>
      </c>
      <c r="H4006" s="2" t="s">
        <v>148</v>
      </c>
      <c r="I4006" s="2" t="s">
        <v>10904</v>
      </c>
      <c r="J4006" s="3" t="str">
        <f>HYPERLINK("https://www.boe.es/gazeta/dias/1811/12/19/pdfs/GEI-1811-164.pdf#page=7","Abrir facsímil")</f>
        <v>Abrir facsímil</v>
      </c>
      <c r="K4006" s="3" t="s">
        <v>150</v>
      </c>
    </row>
    <row r="4007" spans="1:11" ht="42" customHeight="1">
      <c r="A4007" s="2" t="s">
        <v>10905</v>
      </c>
      <c r="B4007" s="2" t="s">
        <v>10906</v>
      </c>
      <c r="C4007" s="2" t="s">
        <v>26</v>
      </c>
      <c r="D4007" s="2" t="s">
        <v>141</v>
      </c>
      <c r="E4007" s="4">
        <v>-32238</v>
      </c>
      <c r="F4007" s="3" t="s">
        <v>166</v>
      </c>
      <c r="G4007" s="3" t="s">
        <v>39</v>
      </c>
      <c r="H4007" s="2" t="s">
        <v>148</v>
      </c>
      <c r="I4007" s="2" t="s">
        <v>10907</v>
      </c>
      <c r="J4007" s="3" t="str">
        <f>HYPERLINK("https://www.boe.es/gazeta/dias/1811/09/25/pdfs/GMD-C-1811-268.pdf#page=2","Abrir facsímil")</f>
        <v>Abrir facsímil</v>
      </c>
      <c r="K4007" s="3" t="s">
        <v>150</v>
      </c>
    </row>
    <row r="4008" spans="1:11" ht="42" customHeight="1">
      <c r="A4008" s="2" t="s">
        <v>10905</v>
      </c>
      <c r="B4008" s="2" t="s">
        <v>10906</v>
      </c>
      <c r="C4008" s="2" t="s">
        <v>26</v>
      </c>
      <c r="D4008" s="2" t="s">
        <v>141</v>
      </c>
      <c r="E4008" s="4">
        <v>-32238</v>
      </c>
      <c r="F4008" s="3" t="s">
        <v>166</v>
      </c>
      <c r="G4008" s="3" t="s">
        <v>178</v>
      </c>
      <c r="H4008" s="2" t="s">
        <v>148</v>
      </c>
      <c r="I4008" s="2" t="s">
        <v>10908</v>
      </c>
      <c r="J4008" s="3" t="str">
        <f>HYPERLINK("https://www.boe.es/gazeta/dias/1811/09/25/pdfs/GMD-C-1811-268.pdf#page=4","Abrir facsímil")</f>
        <v>Abrir facsímil</v>
      </c>
      <c r="K4008" s="3" t="s">
        <v>150</v>
      </c>
    </row>
    <row r="4009" spans="1:11" ht="42" customHeight="1">
      <c r="A4009" s="2" t="s">
        <v>10909</v>
      </c>
      <c r="B4009" s="2" t="s">
        <v>10910</v>
      </c>
      <c r="C4009" s="2" t="s">
        <v>17</v>
      </c>
      <c r="D4009" s="2" t="s">
        <v>105</v>
      </c>
      <c r="E4009" s="4">
        <v>-32288</v>
      </c>
      <c r="F4009" s="3" t="s">
        <v>95</v>
      </c>
      <c r="G4009" s="3" t="s">
        <v>4290</v>
      </c>
      <c r="H4009" s="2" t="s">
        <v>148</v>
      </c>
      <c r="I4009" s="2" t="s">
        <v>10911</v>
      </c>
      <c r="J4009" s="3" t="str">
        <f>HYPERLINK("https://www.boe.es/gazeta/dias/1811/08/06/pdfs/GEI-1811-102.pdf#page=5","Abrir facsímil")</f>
        <v>Abrir facsímil</v>
      </c>
      <c r="K4009" s="3" t="s">
        <v>150</v>
      </c>
    </row>
    <row r="4010" spans="1:11" ht="42" customHeight="1">
      <c r="A4010" s="2" t="s">
        <v>10912</v>
      </c>
      <c r="B4010" s="2" t="s">
        <v>10913</v>
      </c>
      <c r="C4010" s="2" t="s">
        <v>26</v>
      </c>
      <c r="D4010" s="2" t="s">
        <v>18</v>
      </c>
      <c r="E4010" s="4">
        <v>-32179</v>
      </c>
      <c r="F4010" s="3" t="s">
        <v>614</v>
      </c>
      <c r="G4010" s="3" t="s">
        <v>47</v>
      </c>
      <c r="H4010" s="2" t="s">
        <v>148</v>
      </c>
      <c r="I4010" s="2" t="s">
        <v>10914</v>
      </c>
      <c r="J4010" s="3" t="str">
        <f>HYPERLINK("https://www.boe.es/gazeta/dias/1811/11/23/pdfs/GEI-1811-153.pdf#page=8","Abrir facsímil")</f>
        <v>Abrir facsímil</v>
      </c>
      <c r="K4010" s="3" t="s">
        <v>150</v>
      </c>
    </row>
    <row r="4011" spans="1:11" ht="42" customHeight="1">
      <c r="A4011" s="2" t="s">
        <v>10915</v>
      </c>
      <c r="B4011" s="2" t="s">
        <v>10916</v>
      </c>
      <c r="C4011" s="2" t="s">
        <v>26</v>
      </c>
      <c r="D4011" s="2" t="s">
        <v>18</v>
      </c>
      <c r="E4011" s="4">
        <v>-32242</v>
      </c>
      <c r="F4011" s="3" t="s">
        <v>1295</v>
      </c>
      <c r="G4011" s="3" t="s">
        <v>1296</v>
      </c>
      <c r="H4011" s="2" t="s">
        <v>148</v>
      </c>
      <c r="I4011" s="2" t="s">
        <v>10917</v>
      </c>
      <c r="J4011" s="3" t="str">
        <f>HYPERLINK("https://www.boe.es/gazeta/dias/1811/09/21/pdfs/GEI-1811-122.pdf#page=8","Abrir facsímil")</f>
        <v>Abrir facsímil</v>
      </c>
      <c r="K4011" s="3" t="s">
        <v>150</v>
      </c>
    </row>
    <row r="4012" spans="1:11" ht="42" customHeight="1">
      <c r="A4012" s="2" t="s">
        <v>10918</v>
      </c>
      <c r="B4012" s="2" t="s">
        <v>10919</v>
      </c>
      <c r="C4012" s="2" t="s">
        <v>26</v>
      </c>
      <c r="D4012" s="2" t="s">
        <v>18</v>
      </c>
      <c r="E4012" s="4">
        <v>-32505</v>
      </c>
      <c r="F4012" s="3" t="s">
        <v>475</v>
      </c>
      <c r="G4012" s="3" t="s">
        <v>476</v>
      </c>
      <c r="H4012" s="2" t="s">
        <v>148</v>
      </c>
      <c r="I4012" s="2" t="s">
        <v>10920</v>
      </c>
      <c r="J4012" s="3" t="str">
        <f>HYPERLINK("https://www.boe.es/gazeta/dias/1811/01/01/pdfs/GEI-1811-1.pdf#page=7","Abrir facsímil")</f>
        <v>Abrir facsímil</v>
      </c>
      <c r="K4012" s="3" t="s">
        <v>150</v>
      </c>
    </row>
    <row r="4013" spans="1:11" ht="42" customHeight="1">
      <c r="A4013" s="2" t="s">
        <v>10921</v>
      </c>
      <c r="B4013" s="2" t="s">
        <v>10922</v>
      </c>
      <c r="C4013" s="2" t="s">
        <v>26</v>
      </c>
      <c r="D4013" s="2" t="s">
        <v>18</v>
      </c>
      <c r="E4013" s="4">
        <v>-32421</v>
      </c>
      <c r="F4013" s="3" t="s">
        <v>79</v>
      </c>
      <c r="G4013" s="3" t="s">
        <v>488</v>
      </c>
      <c r="H4013" s="2" t="s">
        <v>148</v>
      </c>
      <c r="I4013" s="2" t="s">
        <v>10923</v>
      </c>
      <c r="J4013" s="3" t="str">
        <f>HYPERLINK("https://www.boe.es/gazeta/dias/1811/03/26/pdfs/GEI-1811-42.pdf#page=8","Abrir facsímil")</f>
        <v>Abrir facsímil</v>
      </c>
      <c r="K4013" s="3" t="s">
        <v>150</v>
      </c>
    </row>
    <row r="4014" spans="1:11" ht="42" customHeight="1">
      <c r="A4014" s="2" t="s">
        <v>10924</v>
      </c>
      <c r="B4014" s="2" t="s">
        <v>10925</v>
      </c>
      <c r="C4014" s="2" t="s">
        <v>104</v>
      </c>
      <c r="D4014" s="2" t="s">
        <v>18</v>
      </c>
      <c r="E4014" s="4">
        <v>-32384</v>
      </c>
      <c r="F4014" s="3" t="s">
        <v>338</v>
      </c>
      <c r="G4014" s="3" t="s">
        <v>339</v>
      </c>
      <c r="H4014" s="2" t="s">
        <v>148</v>
      </c>
      <c r="I4014" s="2" t="s">
        <v>10926</v>
      </c>
      <c r="J4014" s="3" t="str">
        <f>HYPERLINK("https://www.boe.es/gazeta/dias/1811/05/02/pdfs/GEI-1811-58.pdf#page=8","Abrir facsímil")</f>
        <v>Abrir facsímil</v>
      </c>
      <c r="K4014" s="3" t="s">
        <v>150</v>
      </c>
    </row>
    <row r="4015" spans="1:11" ht="42" customHeight="1">
      <c r="A4015" s="2" t="s">
        <v>10927</v>
      </c>
      <c r="B4015" s="2" t="s">
        <v>10928</v>
      </c>
      <c r="C4015" s="2" t="s">
        <v>26</v>
      </c>
      <c r="D4015" s="2" t="s">
        <v>141</v>
      </c>
      <c r="E4015" s="4">
        <v>-32280</v>
      </c>
      <c r="F4015" s="3" t="s">
        <v>142</v>
      </c>
      <c r="G4015" s="3" t="s">
        <v>597</v>
      </c>
      <c r="H4015" s="2" t="s">
        <v>148</v>
      </c>
      <c r="I4015" s="2" t="s">
        <v>10929</v>
      </c>
      <c r="J4015" s="3" t="str">
        <f>HYPERLINK("https://www.boe.es/gazeta/dias/1811/08/14/pdfs/GMD-C-1811-226.pdf#page=2","Abrir facsímil")</f>
        <v>Abrir facsímil</v>
      </c>
      <c r="K4015" s="3" t="s">
        <v>150</v>
      </c>
    </row>
    <row r="4016" spans="1:11" ht="42" customHeight="1">
      <c r="A4016" s="2" t="s">
        <v>10930</v>
      </c>
      <c r="B4016" s="2" t="s">
        <v>10931</v>
      </c>
      <c r="C4016" s="2" t="s">
        <v>26</v>
      </c>
      <c r="D4016" s="2" t="s">
        <v>18</v>
      </c>
      <c r="E4016" s="4">
        <v>-32155</v>
      </c>
      <c r="F4016" s="3" t="s">
        <v>263</v>
      </c>
      <c r="G4016" s="3" t="s">
        <v>264</v>
      </c>
      <c r="H4016" s="2" t="s">
        <v>148</v>
      </c>
      <c r="I4016" s="2" t="s">
        <v>10932</v>
      </c>
      <c r="J4016" s="3" t="str">
        <f>HYPERLINK("https://www.boe.es/gazeta/dias/1811/12/17/pdfs/GEI-1811-163.pdf#page=8","Abrir facsímil")</f>
        <v>Abrir facsímil</v>
      </c>
      <c r="K4016" s="3" t="s">
        <v>150</v>
      </c>
    </row>
    <row r="4017" spans="1:11" ht="42" customHeight="1">
      <c r="A4017" s="2" t="s">
        <v>10933</v>
      </c>
      <c r="B4017" s="2" t="s">
        <v>10934</v>
      </c>
      <c r="C4017" s="2" t="s">
        <v>26</v>
      </c>
      <c r="D4017" s="2" t="s">
        <v>18</v>
      </c>
      <c r="E4017" s="4">
        <v>-32270</v>
      </c>
      <c r="F4017" s="3" t="s">
        <v>431</v>
      </c>
      <c r="G4017" s="3" t="s">
        <v>2080</v>
      </c>
      <c r="H4017" s="2" t="s">
        <v>148</v>
      </c>
      <c r="I4017" s="2" t="s">
        <v>10935</v>
      </c>
      <c r="J4017" s="3" t="str">
        <f>HYPERLINK("https://www.boe.es/gazeta/dias/1811/08/24/pdfs/GEI-1811-110.pdf#page=5","Abrir facsímil")</f>
        <v>Abrir facsímil</v>
      </c>
      <c r="K4017" s="3" t="s">
        <v>150</v>
      </c>
    </row>
    <row r="4018" spans="1:11" ht="42" customHeight="1">
      <c r="A4018" s="2" t="s">
        <v>10936</v>
      </c>
      <c r="B4018" s="2" t="s">
        <v>10937</v>
      </c>
      <c r="C4018" s="2" t="s">
        <v>26</v>
      </c>
      <c r="D4018" s="2" t="s">
        <v>141</v>
      </c>
      <c r="E4018" s="4">
        <v>-32280</v>
      </c>
      <c r="F4018" s="3" t="s">
        <v>142</v>
      </c>
      <c r="G4018" s="3" t="s">
        <v>597</v>
      </c>
      <c r="H4018" s="2" t="s">
        <v>148</v>
      </c>
      <c r="I4018" s="2" t="s">
        <v>10938</v>
      </c>
      <c r="J4018" s="3" t="str">
        <f>HYPERLINK("https://www.boe.es/gazeta/dias/1811/08/14/pdfs/GMD-C-1811-226.pdf#page=2","Abrir facsímil")</f>
        <v>Abrir facsímil</v>
      </c>
      <c r="K4018" s="3" t="s">
        <v>150</v>
      </c>
    </row>
    <row r="4019" spans="1:11" ht="42" customHeight="1">
      <c r="A4019" s="2" t="s">
        <v>10939</v>
      </c>
      <c r="B4019" s="2" t="s">
        <v>10939</v>
      </c>
      <c r="C4019" s="2" t="s">
        <v>26</v>
      </c>
      <c r="D4019" s="2" t="s">
        <v>18</v>
      </c>
      <c r="E4019" s="4">
        <v>-32232</v>
      </c>
      <c r="F4019" s="3" t="s">
        <v>1879</v>
      </c>
      <c r="G4019" s="3" t="s">
        <v>20</v>
      </c>
      <c r="H4019" s="2" t="s">
        <v>148</v>
      </c>
      <c r="I4019" s="2" t="s">
        <v>10940</v>
      </c>
      <c r="J4019" s="3" t="str">
        <f>HYPERLINK("https://www.boe.es/gazeta/dias/1811/10/01/pdfs/GMD-1811-274.pdf#page=4","Abrir facsímil")</f>
        <v>Abrir facsímil</v>
      </c>
      <c r="K4019" s="3" t="s">
        <v>150</v>
      </c>
    </row>
    <row r="4020" spans="1:11" ht="42" customHeight="1">
      <c r="A4020" s="2" t="s">
        <v>10941</v>
      </c>
      <c r="B4020" s="2" t="s">
        <v>10942</v>
      </c>
      <c r="C4020" s="2" t="s">
        <v>17</v>
      </c>
      <c r="D4020" s="2" t="s">
        <v>18</v>
      </c>
      <c r="E4020" s="4">
        <v>-32171</v>
      </c>
      <c r="F4020" s="3" t="s">
        <v>157</v>
      </c>
      <c r="G4020" s="3" t="s">
        <v>44</v>
      </c>
      <c r="H4020" s="2" t="s">
        <v>148</v>
      </c>
      <c r="I4020" s="2" t="s">
        <v>10943</v>
      </c>
      <c r="J4020" s="3" t="str">
        <f>HYPERLINK("https://www.boe.es/gazeta/dias/1811/12/01/pdfs/GMD-1811-335.pdf#page=4","Abrir facsímil")</f>
        <v>Abrir facsímil</v>
      </c>
      <c r="K4020" s="3" t="s">
        <v>150</v>
      </c>
    </row>
    <row r="4021" spans="1:11" ht="42" customHeight="1">
      <c r="A4021" s="2" t="s">
        <v>10944</v>
      </c>
      <c r="B4021" s="2" t="s">
        <v>10945</v>
      </c>
      <c r="C4021" s="2" t="s">
        <v>26</v>
      </c>
      <c r="D4021" s="2" t="s">
        <v>141</v>
      </c>
      <c r="E4021" s="4">
        <v>-32249</v>
      </c>
      <c r="F4021" s="3" t="s">
        <v>743</v>
      </c>
      <c r="G4021" s="3" t="s">
        <v>1021</v>
      </c>
      <c r="H4021" s="2" t="s">
        <v>148</v>
      </c>
      <c r="I4021" s="2" t="s">
        <v>10946</v>
      </c>
      <c r="J4021" s="3" t="str">
        <f>HYPERLINK("https://www.boe.es/gazeta/dias/1811/09/14/pdfs/GMD-C-1811-257.pdf#page=2","Abrir facsímil")</f>
        <v>Abrir facsímil</v>
      </c>
      <c r="K4021" s="3" t="s">
        <v>150</v>
      </c>
    </row>
    <row r="4022" spans="1:11" ht="42" customHeight="1">
      <c r="A4022" s="2" t="s">
        <v>10947</v>
      </c>
      <c r="B4022" s="2" t="s">
        <v>10948</v>
      </c>
      <c r="C4022" s="2" t="s">
        <v>26</v>
      </c>
      <c r="D4022" s="2" t="s">
        <v>18</v>
      </c>
      <c r="E4022" s="4">
        <v>-32228</v>
      </c>
      <c r="F4022" s="3" t="s">
        <v>372</v>
      </c>
      <c r="G4022" s="3" t="s">
        <v>373</v>
      </c>
      <c r="H4022" s="2" t="s">
        <v>148</v>
      </c>
      <c r="I4022" s="2" t="s">
        <v>10949</v>
      </c>
      <c r="J4022" s="3" t="str">
        <f>HYPERLINK("https://www.boe.es/gazeta/dias/1811/10/05/pdfs/GEI-1811-128.pdf#page=7","Abrir facsímil")</f>
        <v>Abrir facsímil</v>
      </c>
      <c r="K4022" s="3" t="s">
        <v>150</v>
      </c>
    </row>
    <row r="4023" spans="1:11" ht="42" customHeight="1">
      <c r="A4023" s="2" t="s">
        <v>10950</v>
      </c>
      <c r="B4023" s="2" t="s">
        <v>10951</v>
      </c>
      <c r="C4023" s="2" t="s">
        <v>26</v>
      </c>
      <c r="D4023" s="2" t="s">
        <v>141</v>
      </c>
      <c r="E4023" s="4">
        <v>-32249</v>
      </c>
      <c r="F4023" s="3" t="s">
        <v>743</v>
      </c>
      <c r="G4023" s="3" t="s">
        <v>1021</v>
      </c>
      <c r="H4023" s="2" t="s">
        <v>148</v>
      </c>
      <c r="I4023" s="2" t="s">
        <v>10952</v>
      </c>
      <c r="J4023" s="3" t="str">
        <f>HYPERLINK("https://www.boe.es/gazeta/dias/1811/09/14/pdfs/GMD-C-1811-257.pdf#page=2","Abrir facsímil")</f>
        <v>Abrir facsímil</v>
      </c>
      <c r="K4023" s="3" t="s">
        <v>150</v>
      </c>
    </row>
    <row r="4024" spans="1:11" ht="42" customHeight="1">
      <c r="A4024" s="2" t="s">
        <v>10953</v>
      </c>
      <c r="B4024" s="2" t="s">
        <v>10953</v>
      </c>
      <c r="C4024" s="2" t="s">
        <v>17</v>
      </c>
      <c r="D4024" s="2" t="s">
        <v>18</v>
      </c>
      <c r="E4024" s="4">
        <v>-32361</v>
      </c>
      <c r="F4024" s="3" t="s">
        <v>1104</v>
      </c>
      <c r="G4024" s="3" t="s">
        <v>5253</v>
      </c>
      <c r="H4024" s="2" t="s">
        <v>148</v>
      </c>
      <c r="I4024" s="2" t="s">
        <v>10954</v>
      </c>
      <c r="J4024" s="3" t="str">
        <f>HYPERLINK("https://www.boe.es/gazeta/dias/1811/05/25/pdfs/GEI-1811-71.pdf#page=1","Abrir facsímil")</f>
        <v>Abrir facsímil</v>
      </c>
      <c r="K4024" s="3" t="s">
        <v>150</v>
      </c>
    </row>
    <row r="4025" spans="1:11" ht="42" customHeight="1">
      <c r="A4025" s="2" t="s">
        <v>10955</v>
      </c>
      <c r="B4025" s="2" t="s">
        <v>10956</v>
      </c>
      <c r="C4025" s="2" t="s">
        <v>26</v>
      </c>
      <c r="D4025" s="2" t="s">
        <v>18</v>
      </c>
      <c r="E4025" s="4">
        <v>-32284</v>
      </c>
      <c r="F4025" s="3" t="s">
        <v>170</v>
      </c>
      <c r="G4025" s="3" t="s">
        <v>1388</v>
      </c>
      <c r="H4025" s="2" t="s">
        <v>148</v>
      </c>
      <c r="I4025" s="2" t="s">
        <v>10957</v>
      </c>
      <c r="J4025" s="3" t="str">
        <f>HYPERLINK("https://www.boe.es/gazeta/dias/1811/08/10/pdfs/GEI-1811-104.pdf#page=8","Abrir facsímil")</f>
        <v>Abrir facsímil</v>
      </c>
      <c r="K4025" s="3" t="s">
        <v>150</v>
      </c>
    </row>
    <row r="4026" spans="1:11" ht="42" customHeight="1">
      <c r="A4026" s="2" t="s">
        <v>10958</v>
      </c>
      <c r="B4026" s="2" t="s">
        <v>10959</v>
      </c>
      <c r="C4026" s="2" t="s">
        <v>26</v>
      </c>
      <c r="D4026" s="2" t="s">
        <v>18</v>
      </c>
      <c r="E4026" s="4">
        <v>-32239</v>
      </c>
      <c r="F4026" s="3" t="s">
        <v>1225</v>
      </c>
      <c r="G4026" s="3" t="s">
        <v>1601</v>
      </c>
      <c r="H4026" s="2" t="s">
        <v>148</v>
      </c>
      <c r="I4026" s="2" t="s">
        <v>10960</v>
      </c>
      <c r="J4026" s="3" t="str">
        <f>HYPERLINK("https://www.boe.es/gazeta/dias/1811/09/24/pdfs/GEI-1811-123.pdf#page=8","Abrir facsímil")</f>
        <v>Abrir facsímil</v>
      </c>
      <c r="K4026" s="3" t="s">
        <v>150</v>
      </c>
    </row>
    <row r="4027" spans="1:11" ht="42" customHeight="1">
      <c r="A4027" s="2" t="s">
        <v>10961</v>
      </c>
      <c r="B4027" s="2" t="s">
        <v>10962</v>
      </c>
      <c r="C4027" s="2" t="s">
        <v>17</v>
      </c>
      <c r="D4027" s="2" t="s">
        <v>18</v>
      </c>
      <c r="E4027" s="4">
        <v>-32251</v>
      </c>
      <c r="F4027" s="3" t="s">
        <v>726</v>
      </c>
      <c r="G4027" s="3" t="s">
        <v>727</v>
      </c>
      <c r="H4027" s="2" t="s">
        <v>148</v>
      </c>
      <c r="I4027" s="2" t="s">
        <v>10963</v>
      </c>
      <c r="J4027" s="3" t="str">
        <f>HYPERLINK("https://www.boe.es/gazeta/dias/1811/09/12/pdfs/GEI-1811-118.pdf#page=8","Abrir facsímil")</f>
        <v>Abrir facsímil</v>
      </c>
      <c r="K4027" s="3" t="s">
        <v>150</v>
      </c>
    </row>
    <row r="4028" spans="1:11" ht="42" customHeight="1">
      <c r="A4028" s="2" t="s">
        <v>10964</v>
      </c>
      <c r="B4028" s="2" t="s">
        <v>10965</v>
      </c>
      <c r="C4028" s="2" t="s">
        <v>26</v>
      </c>
      <c r="D4028" s="2" t="s">
        <v>18</v>
      </c>
      <c r="E4028" s="4">
        <v>-32144</v>
      </c>
      <c r="F4028" s="3" t="s">
        <v>1097</v>
      </c>
      <c r="G4028" s="3" t="s">
        <v>1098</v>
      </c>
      <c r="H4028" s="2" t="s">
        <v>148</v>
      </c>
      <c r="I4028" s="2" t="s">
        <v>10966</v>
      </c>
      <c r="J4028" s="3" t="str">
        <f>HYPERLINK("https://www.boe.es/gazeta/dias/1811/12/28/pdfs/GEI-1811-168.pdf#page=8","Abrir facsímil")</f>
        <v>Abrir facsímil</v>
      </c>
      <c r="K4028" s="3" t="s">
        <v>150</v>
      </c>
    </row>
    <row r="4029" spans="1:11" ht="42" customHeight="1">
      <c r="A4029" s="2" t="s">
        <v>10967</v>
      </c>
      <c r="B4029" s="2" t="s">
        <v>10968</v>
      </c>
      <c r="C4029" s="2" t="s">
        <v>122</v>
      </c>
      <c r="D4029" s="2" t="s">
        <v>18</v>
      </c>
      <c r="E4029" s="4">
        <v>-32250</v>
      </c>
      <c r="F4029" s="3" t="s">
        <v>2823</v>
      </c>
      <c r="G4029" s="3" t="s">
        <v>3947</v>
      </c>
      <c r="H4029" s="2" t="s">
        <v>148</v>
      </c>
      <c r="I4029" s="2" t="s">
        <v>10969</v>
      </c>
      <c r="J4029" s="3" t="str">
        <f>HYPERLINK("https://www.boe.es/gazeta/dias/1811/09/13/pdfs/GMD-1811-256.pdf#page=4","Abrir facsímil")</f>
        <v>Abrir facsímil</v>
      </c>
      <c r="K4029" s="3" t="s">
        <v>150</v>
      </c>
    </row>
    <row r="4030" spans="1:11" ht="42" customHeight="1">
      <c r="A4030" s="2" t="s">
        <v>10970</v>
      </c>
      <c r="B4030" s="2" t="s">
        <v>10970</v>
      </c>
      <c r="C4030" s="2" t="s">
        <v>17</v>
      </c>
      <c r="D4030" s="2" t="s">
        <v>156</v>
      </c>
      <c r="E4030" s="4">
        <v>-32254</v>
      </c>
      <c r="F4030" s="3" t="s">
        <v>10748</v>
      </c>
      <c r="G4030" s="3" t="s">
        <v>178</v>
      </c>
      <c r="H4030" s="2" t="s">
        <v>148</v>
      </c>
      <c r="I4030" s="2" t="s">
        <v>10971</v>
      </c>
      <c r="J4030" s="3" t="str">
        <f>HYPERLINK("https://www.boe.es/gazeta/dias/1811/09/09/pdfs/GMD-1811-252.pdf#page=1","Abrir facsímil")</f>
        <v>Abrir facsímil</v>
      </c>
      <c r="K4030" s="3" t="s">
        <v>150</v>
      </c>
    </row>
    <row r="4031" spans="1:11" ht="42" customHeight="1">
      <c r="A4031" s="2" t="s">
        <v>10972</v>
      </c>
      <c r="B4031" s="2" t="s">
        <v>10973</v>
      </c>
      <c r="C4031" s="2" t="s">
        <v>26</v>
      </c>
      <c r="D4031" s="2" t="s">
        <v>18</v>
      </c>
      <c r="E4031" s="4">
        <v>-32396</v>
      </c>
      <c r="F4031" s="3" t="s">
        <v>1267</v>
      </c>
      <c r="G4031" s="3" t="s">
        <v>1143</v>
      </c>
      <c r="H4031" s="2" t="s">
        <v>148</v>
      </c>
      <c r="I4031" s="2" t="s">
        <v>10974</v>
      </c>
      <c r="J4031" s="3" t="str">
        <f>HYPERLINK("https://www.boe.es/gazeta/dias/1811/04/20/pdfs/GMD-1811-110.pdf#page=3","Abrir facsímil")</f>
        <v>Abrir facsímil</v>
      </c>
      <c r="K4031" s="3" t="s">
        <v>150</v>
      </c>
    </row>
    <row r="4032" spans="1:11" ht="42" customHeight="1">
      <c r="A4032" s="2" t="s">
        <v>10975</v>
      </c>
      <c r="B4032" s="2" t="s">
        <v>10976</v>
      </c>
      <c r="C4032" s="2" t="s">
        <v>26</v>
      </c>
      <c r="D4032" s="2" t="s">
        <v>18</v>
      </c>
      <c r="E4032" s="4">
        <v>-32241</v>
      </c>
      <c r="F4032" s="3" t="s">
        <v>514</v>
      </c>
      <c r="G4032" s="3" t="s">
        <v>515</v>
      </c>
      <c r="H4032" s="2" t="s">
        <v>148</v>
      </c>
      <c r="I4032" s="2" t="s">
        <v>10977</v>
      </c>
      <c r="J4032" s="3" t="str">
        <f>HYPERLINK("https://www.boe.es/gazeta/dias/1811/09/22/pdfs/GMD-1811-265.pdf#page=4","Abrir facsímil")</f>
        <v>Abrir facsímil</v>
      </c>
      <c r="K4032" s="3" t="s">
        <v>150</v>
      </c>
    </row>
    <row r="4033" spans="1:11" ht="42" customHeight="1">
      <c r="A4033" s="2" t="s">
        <v>10978</v>
      </c>
      <c r="B4033" s="2" t="s">
        <v>10979</v>
      </c>
      <c r="C4033" s="2" t="s">
        <v>26</v>
      </c>
      <c r="D4033" s="2" t="s">
        <v>18</v>
      </c>
      <c r="E4033" s="4">
        <v>-32379</v>
      </c>
      <c r="F4033" s="3" t="s">
        <v>462</v>
      </c>
      <c r="G4033" s="3" t="s">
        <v>463</v>
      </c>
      <c r="H4033" s="2" t="s">
        <v>148</v>
      </c>
      <c r="I4033" s="2" t="s">
        <v>10980</v>
      </c>
      <c r="J4033" s="3" t="str">
        <f>HYPERLINK("https://www.boe.es/gazeta/dias/1811/05/07/pdfs/GEI-1811-60.pdf#page=8","Abrir facsímil")</f>
        <v>Abrir facsímil</v>
      </c>
      <c r="K4033" s="3" t="s">
        <v>150</v>
      </c>
    </row>
    <row r="4034" spans="1:11" ht="42" customHeight="1">
      <c r="A4034" s="2" t="s">
        <v>10981</v>
      </c>
      <c r="B4034" s="2" t="s">
        <v>10982</v>
      </c>
      <c r="C4034" s="2" t="s">
        <v>26</v>
      </c>
      <c r="D4034" s="2" t="s">
        <v>18</v>
      </c>
      <c r="E4034" s="4">
        <v>-32424</v>
      </c>
      <c r="F4034" s="3" t="s">
        <v>1028</v>
      </c>
      <c r="G4034" s="3" t="s">
        <v>47</v>
      </c>
      <c r="H4034" s="2" t="s">
        <v>148</v>
      </c>
      <c r="I4034" s="2" t="s">
        <v>10983</v>
      </c>
      <c r="J4034" s="3" t="str">
        <f>HYPERLINK("https://www.boe.es/gazeta/dias/1811/03/23/pdfs/GEI-1811-41.pdf#page=7","Abrir facsímil")</f>
        <v>Abrir facsímil</v>
      </c>
      <c r="K4034" s="3" t="s">
        <v>150</v>
      </c>
    </row>
    <row r="4035" spans="1:11" ht="42" customHeight="1">
      <c r="A4035" s="2" t="s">
        <v>10984</v>
      </c>
      <c r="B4035" s="2" t="s">
        <v>10985</v>
      </c>
      <c r="C4035" s="2" t="s">
        <v>26</v>
      </c>
      <c r="D4035" s="2" t="s">
        <v>18</v>
      </c>
      <c r="E4035" s="4">
        <v>-32300</v>
      </c>
      <c r="F4035" s="3" t="s">
        <v>492</v>
      </c>
      <c r="G4035" s="3" t="s">
        <v>20</v>
      </c>
      <c r="H4035" s="2" t="s">
        <v>148</v>
      </c>
      <c r="I4035" s="2" t="s">
        <v>10986</v>
      </c>
      <c r="J4035" s="3" t="str">
        <f>HYPERLINK("https://www.boe.es/gazeta/dias/1811/07/25/pdfs/GMD-1811-206.pdf#page=3","Abrir facsímil")</f>
        <v>Abrir facsímil</v>
      </c>
      <c r="K4035" s="3" t="s">
        <v>150</v>
      </c>
    </row>
    <row r="4036" spans="1:11" ht="42" customHeight="1">
      <c r="A4036" s="2" t="s">
        <v>10987</v>
      </c>
      <c r="B4036" s="2" t="s">
        <v>10987</v>
      </c>
      <c r="C4036" s="2" t="s">
        <v>26</v>
      </c>
      <c r="D4036" s="2" t="s">
        <v>18</v>
      </c>
      <c r="E4036" s="4">
        <v>-32349</v>
      </c>
      <c r="F4036" s="3" t="s">
        <v>3983</v>
      </c>
      <c r="G4036" s="3" t="s">
        <v>44</v>
      </c>
      <c r="H4036" s="2" t="s">
        <v>148</v>
      </c>
      <c r="I4036" s="2" t="s">
        <v>10988</v>
      </c>
      <c r="J4036" s="3" t="str">
        <f>HYPERLINK("https://www.boe.es/gazeta/dias/1811/06/06/pdfs/GMD-1811-157.pdf#page=1","Abrir facsímil")</f>
        <v>Abrir facsímil</v>
      </c>
      <c r="K4036" s="3" t="s">
        <v>150</v>
      </c>
    </row>
    <row r="4037" spans="1:11" ht="42" customHeight="1">
      <c r="A4037" s="2" t="s">
        <v>10989</v>
      </c>
      <c r="B4037" s="2" t="s">
        <v>10989</v>
      </c>
      <c r="C4037" s="2" t="s">
        <v>26</v>
      </c>
      <c r="D4037" s="2" t="s">
        <v>18</v>
      </c>
      <c r="E4037" s="4">
        <v>-32201</v>
      </c>
      <c r="F4037" s="3" t="s">
        <v>2643</v>
      </c>
      <c r="G4037" s="3" t="s">
        <v>440</v>
      </c>
      <c r="H4037" s="2" t="s">
        <v>148</v>
      </c>
      <c r="I4037" s="2" t="s">
        <v>10990</v>
      </c>
      <c r="J4037" s="3" t="str">
        <f>HYPERLINK("https://www.boe.es/gazeta/dias/1811/11/01/pdfs/GMD-1811-305.pdf#page=2","Abrir facsímil")</f>
        <v>Abrir facsímil</v>
      </c>
      <c r="K4037" s="3" t="s">
        <v>150</v>
      </c>
    </row>
    <row r="4038" spans="1:11" ht="42" customHeight="1">
      <c r="A4038" s="2" t="s">
        <v>10989</v>
      </c>
      <c r="B4038" s="2" t="s">
        <v>10989</v>
      </c>
      <c r="C4038" s="2" t="s">
        <v>104</v>
      </c>
      <c r="D4038" s="2" t="s">
        <v>18</v>
      </c>
      <c r="E4038" s="4">
        <v>-32194</v>
      </c>
      <c r="F4038" s="3" t="s">
        <v>1062</v>
      </c>
      <c r="G4038" s="3" t="s">
        <v>115</v>
      </c>
      <c r="H4038" s="2" t="s">
        <v>148</v>
      </c>
      <c r="I4038" s="2" t="s">
        <v>10991</v>
      </c>
      <c r="J4038" s="3" t="str">
        <f>HYPERLINK("https://www.boe.es/gazeta/dias/1811/11/08/pdfs/GMD-1811-312.pdf#page=3","Abrir facsímil")</f>
        <v>Abrir facsímil</v>
      </c>
      <c r="K4038" s="3" t="s">
        <v>150</v>
      </c>
    </row>
    <row r="4039" spans="1:11" ht="42" customHeight="1">
      <c r="A4039" s="2" t="s">
        <v>10992</v>
      </c>
      <c r="B4039" s="2" t="s">
        <v>10992</v>
      </c>
      <c r="C4039" s="2" t="s">
        <v>17</v>
      </c>
      <c r="D4039" s="2" t="s">
        <v>18</v>
      </c>
      <c r="E4039" s="4">
        <v>-32349</v>
      </c>
      <c r="F4039" s="3" t="s">
        <v>3983</v>
      </c>
      <c r="G4039" s="3" t="s">
        <v>183</v>
      </c>
      <c r="H4039" s="2" t="s">
        <v>148</v>
      </c>
      <c r="I4039" s="2" t="s">
        <v>10993</v>
      </c>
      <c r="J4039" s="3" t="str">
        <f>HYPERLINK("https://www.boe.es/gazeta/dias/1811/06/06/pdfs/GMD-1811-157.pdf#page=4","Abrir facsímil")</f>
        <v>Abrir facsímil</v>
      </c>
      <c r="K4039" s="3" t="s">
        <v>150</v>
      </c>
    </row>
    <row r="4040" spans="1:11" ht="42" customHeight="1">
      <c r="A4040" s="2" t="s">
        <v>10994</v>
      </c>
      <c r="B4040" s="2" t="s">
        <v>10994</v>
      </c>
      <c r="C4040" s="2" t="s">
        <v>17</v>
      </c>
      <c r="D4040" s="2" t="s">
        <v>18</v>
      </c>
      <c r="E4040" s="4">
        <v>-32434</v>
      </c>
      <c r="F4040" s="3" t="s">
        <v>1932</v>
      </c>
      <c r="G4040" s="3" t="s">
        <v>468</v>
      </c>
      <c r="H4040" s="2" t="s">
        <v>148</v>
      </c>
      <c r="I4040" s="2" t="s">
        <v>10995</v>
      </c>
      <c r="J4040" s="3" t="str">
        <f>HYPERLINK("https://www.boe.es/gazeta/dias/1811/03/13/pdfs/GMD-1811-72.pdf#page=4","Abrir facsímil")</f>
        <v>Abrir facsímil</v>
      </c>
      <c r="K4040" s="3" t="s">
        <v>150</v>
      </c>
    </row>
    <row r="4041" spans="1:11" ht="42" customHeight="1">
      <c r="A4041" s="2" t="s">
        <v>10996</v>
      </c>
      <c r="B4041" s="2" t="s">
        <v>10996</v>
      </c>
      <c r="C4041" s="2" t="s">
        <v>17</v>
      </c>
      <c r="D4041" s="2" t="s">
        <v>156</v>
      </c>
      <c r="E4041" s="4">
        <v>-32391</v>
      </c>
      <c r="F4041" s="3" t="s">
        <v>2998</v>
      </c>
      <c r="G4041" s="3" t="s">
        <v>178</v>
      </c>
      <c r="H4041" s="2" t="s">
        <v>148</v>
      </c>
      <c r="I4041" s="2" t="s">
        <v>10997</v>
      </c>
      <c r="J4041" s="3" t="str">
        <f>HYPERLINK("https://www.boe.es/gazeta/dias/1811/04/25/pdfs/GMD-1811-115.pdf#page=3","Abrir facsímil")</f>
        <v>Abrir facsímil</v>
      </c>
      <c r="K4041" s="3" t="s">
        <v>150</v>
      </c>
    </row>
    <row r="4042" spans="1:11" ht="42" customHeight="1">
      <c r="A4042" s="2" t="s">
        <v>10998</v>
      </c>
      <c r="B4042" s="2" t="s">
        <v>10998</v>
      </c>
      <c r="C4042" s="2" t="s">
        <v>17</v>
      </c>
      <c r="D4042" s="2" t="s">
        <v>18</v>
      </c>
      <c r="E4042" s="4">
        <v>-32382</v>
      </c>
      <c r="F4042" s="3" t="s">
        <v>1269</v>
      </c>
      <c r="G4042" s="3" t="s">
        <v>248</v>
      </c>
      <c r="H4042" s="2" t="s">
        <v>148</v>
      </c>
      <c r="I4042" s="2" t="s">
        <v>10999</v>
      </c>
      <c r="J4042" s="3" t="str">
        <f>HYPERLINK("https://www.boe.es/gazeta/dias/1811/05/04/pdfs/GEI-1811-59.pdf#page=3","Abrir facsímil")</f>
        <v>Abrir facsímil</v>
      </c>
      <c r="K4042" s="3" t="s">
        <v>150</v>
      </c>
    </row>
    <row r="4043" spans="1:11" ht="42" customHeight="1">
      <c r="A4043" s="2" t="s">
        <v>11000</v>
      </c>
      <c r="B4043" s="2" t="s">
        <v>11001</v>
      </c>
      <c r="C4043" s="2" t="s">
        <v>26</v>
      </c>
      <c r="D4043" s="2" t="s">
        <v>141</v>
      </c>
      <c r="E4043" s="4">
        <v>-32355</v>
      </c>
      <c r="F4043" s="3" t="s">
        <v>537</v>
      </c>
      <c r="G4043" s="3" t="s">
        <v>593</v>
      </c>
      <c r="H4043" s="2" t="s">
        <v>148</v>
      </c>
      <c r="I4043" s="2" t="s">
        <v>11002</v>
      </c>
      <c r="J4043" s="3" t="str">
        <f>HYPERLINK("https://www.boe.es/gazeta/dias/1811/05/31/pdfs/GMD-C-1811-151.pdf#page=15","Abrir facsímil")</f>
        <v>Abrir facsímil</v>
      </c>
      <c r="K4043" s="3" t="s">
        <v>150</v>
      </c>
    </row>
    <row r="4044" spans="1:11" ht="42" customHeight="1">
      <c r="A4044" s="2" t="s">
        <v>11003</v>
      </c>
      <c r="B4044" s="2" t="s">
        <v>11003</v>
      </c>
      <c r="C4044" s="2" t="s">
        <v>17</v>
      </c>
      <c r="D4044" s="2" t="s">
        <v>156</v>
      </c>
      <c r="E4044" s="4">
        <v>-32169</v>
      </c>
      <c r="F4044" s="3" t="s">
        <v>1702</v>
      </c>
      <c r="G4044" s="3" t="s">
        <v>1951</v>
      </c>
      <c r="H4044" s="2" t="s">
        <v>148</v>
      </c>
      <c r="I4044" s="2" t="s">
        <v>11004</v>
      </c>
      <c r="J4044" s="3" t="str">
        <f>HYPERLINK("https://www.boe.es/gazeta/dias/1811/12/03/pdfs/GEI-1811-157.pdf#page=7","Abrir facsímil")</f>
        <v>Abrir facsímil</v>
      </c>
      <c r="K4044" s="3" t="s">
        <v>150</v>
      </c>
    </row>
    <row r="4045" spans="1:11" ht="42" customHeight="1">
      <c r="A4045" s="2" t="s">
        <v>11005</v>
      </c>
      <c r="B4045" s="2" t="s">
        <v>11005</v>
      </c>
      <c r="C4045" s="2" t="s">
        <v>26</v>
      </c>
      <c r="D4045" s="2" t="s">
        <v>18</v>
      </c>
      <c r="E4045" s="4">
        <v>-32197</v>
      </c>
      <c r="F4045" s="3" t="s">
        <v>687</v>
      </c>
      <c r="G4045" s="3" t="s">
        <v>178</v>
      </c>
      <c r="H4045" s="2" t="s">
        <v>148</v>
      </c>
      <c r="I4045" s="2" t="s">
        <v>11006</v>
      </c>
      <c r="J4045" s="3" t="str">
        <f>HYPERLINK("https://www.boe.es/gazeta/dias/1811/11/05/pdfs/GEI-1811-143.pdf#page=6","Abrir facsímil")</f>
        <v>Abrir facsímil</v>
      </c>
      <c r="K4045" s="3" t="s">
        <v>150</v>
      </c>
    </row>
    <row r="4046" spans="1:11" ht="42" customHeight="1">
      <c r="A4046" s="2" t="s">
        <v>11007</v>
      </c>
      <c r="B4046" s="2" t="s">
        <v>11008</v>
      </c>
      <c r="C4046" s="2" t="s">
        <v>17</v>
      </c>
      <c r="D4046" s="2" t="s">
        <v>18</v>
      </c>
      <c r="E4046" s="4">
        <v>-32416</v>
      </c>
      <c r="F4046" s="3" t="s">
        <v>954</v>
      </c>
      <c r="G4046" s="3" t="s">
        <v>47</v>
      </c>
      <c r="H4046" s="2" t="s">
        <v>148</v>
      </c>
      <c r="I4046" s="2" t="s">
        <v>11009</v>
      </c>
      <c r="J4046" s="3" t="str">
        <f>HYPERLINK("https://www.boe.es/gazeta/dias/1811/03/31/pdfs/GMD-1811-90.pdf#page=3","Abrir facsímil")</f>
        <v>Abrir facsímil</v>
      </c>
      <c r="K4046" s="3" t="s">
        <v>150</v>
      </c>
    </row>
    <row r="4047" spans="1:11" ht="42" customHeight="1">
      <c r="A4047" s="2" t="s">
        <v>11010</v>
      </c>
      <c r="B4047" s="2" t="s">
        <v>11011</v>
      </c>
      <c r="C4047" s="2" t="s">
        <v>26</v>
      </c>
      <c r="D4047" s="2" t="s">
        <v>18</v>
      </c>
      <c r="E4047" s="4">
        <v>-32379</v>
      </c>
      <c r="F4047" s="3" t="s">
        <v>462</v>
      </c>
      <c r="G4047" s="3" t="s">
        <v>463</v>
      </c>
      <c r="H4047" s="2" t="s">
        <v>148</v>
      </c>
      <c r="I4047" s="2" t="s">
        <v>11012</v>
      </c>
      <c r="J4047" s="3" t="str">
        <f>HYPERLINK("https://www.boe.es/gazeta/dias/1811/05/07/pdfs/GEI-1811-60.pdf#page=8","Abrir facsímil")</f>
        <v>Abrir facsímil</v>
      </c>
      <c r="K4047" s="3" t="s">
        <v>150</v>
      </c>
    </row>
    <row r="4048" spans="1:11" ht="42" customHeight="1">
      <c r="A4048" s="2" t="s">
        <v>11013</v>
      </c>
      <c r="B4048" s="2" t="s">
        <v>11013</v>
      </c>
      <c r="C4048" s="2" t="s">
        <v>17</v>
      </c>
      <c r="D4048" s="2" t="s">
        <v>105</v>
      </c>
      <c r="E4048" s="4">
        <v>-32383</v>
      </c>
      <c r="F4048" s="3" t="s">
        <v>4500</v>
      </c>
      <c r="G4048" s="3" t="s">
        <v>331</v>
      </c>
      <c r="H4048" s="2" t="s">
        <v>148</v>
      </c>
      <c r="I4048" s="2" t="s">
        <v>11014</v>
      </c>
      <c r="J4048" s="3" t="str">
        <f>HYPERLINK("https://www.boe.es/gazeta/dias/1811/05/03/pdfs/GMD-1811-123.pdf#page=3","Abrir facsímil")</f>
        <v>Abrir facsímil</v>
      </c>
      <c r="K4048" s="3" t="s">
        <v>150</v>
      </c>
    </row>
    <row r="4049" spans="1:11" ht="42" customHeight="1">
      <c r="A4049" s="2" t="s">
        <v>11013</v>
      </c>
      <c r="B4049" s="2" t="s">
        <v>11013</v>
      </c>
      <c r="C4049" s="2" t="s">
        <v>17</v>
      </c>
      <c r="D4049" s="2" t="s">
        <v>156</v>
      </c>
      <c r="E4049" s="4">
        <v>-32277</v>
      </c>
      <c r="F4049" s="3" t="s">
        <v>1765</v>
      </c>
      <c r="G4049" s="3" t="s">
        <v>515</v>
      </c>
      <c r="H4049" s="2" t="s">
        <v>148</v>
      </c>
      <c r="I4049" s="2" t="s">
        <v>11015</v>
      </c>
      <c r="J4049" s="3" t="str">
        <f>HYPERLINK("https://www.boe.es/gazeta/dias/1811/08/17/pdfs/GEI-1811-107.pdf#page=4","Abrir facsímil")</f>
        <v>Abrir facsímil</v>
      </c>
      <c r="K4049" s="3" t="s">
        <v>150</v>
      </c>
    </row>
    <row r="4050" spans="1:11" ht="42" customHeight="1">
      <c r="A4050" s="2" t="s">
        <v>11016</v>
      </c>
      <c r="B4050" s="2" t="s">
        <v>11017</v>
      </c>
      <c r="C4050" s="2" t="s">
        <v>26</v>
      </c>
      <c r="D4050" s="2" t="s">
        <v>18</v>
      </c>
      <c r="E4050" s="4">
        <v>-32323</v>
      </c>
      <c r="F4050" s="3" t="s">
        <v>322</v>
      </c>
      <c r="G4050" s="3" t="s">
        <v>323</v>
      </c>
      <c r="H4050" s="2" t="s">
        <v>148</v>
      </c>
      <c r="I4050" s="2" t="s">
        <v>11018</v>
      </c>
      <c r="J4050" s="3" t="str">
        <f>HYPERLINK("https://www.boe.es/gazeta/dias/1811/07/02/pdfs/GEI-1811-87.pdf#page=8","Abrir facsímil")</f>
        <v>Abrir facsímil</v>
      </c>
      <c r="K4050" s="3" t="s">
        <v>150</v>
      </c>
    </row>
    <row r="4051" spans="1:11" ht="42" customHeight="1">
      <c r="A4051" s="2" t="s">
        <v>11019</v>
      </c>
      <c r="B4051" s="2" t="s">
        <v>11019</v>
      </c>
      <c r="C4051" s="2" t="s">
        <v>17</v>
      </c>
      <c r="D4051" s="2" t="s">
        <v>18</v>
      </c>
      <c r="E4051" s="4">
        <v>-32277</v>
      </c>
      <c r="F4051" s="3" t="s">
        <v>1765</v>
      </c>
      <c r="G4051" s="3" t="s">
        <v>10232</v>
      </c>
      <c r="H4051" s="2" t="s">
        <v>148</v>
      </c>
      <c r="I4051" s="2" t="s">
        <v>11020</v>
      </c>
      <c r="J4051" s="3" t="str">
        <f>HYPERLINK("https://www.boe.es/gazeta/dias/1811/08/17/pdfs/GEI-1811-107.pdf#page=3","Abrir facsímil")</f>
        <v>Abrir facsímil</v>
      </c>
      <c r="K4051" s="3" t="s">
        <v>150</v>
      </c>
    </row>
    <row r="4052" spans="1:11" ht="42" customHeight="1">
      <c r="A4052" s="2" t="s">
        <v>11019</v>
      </c>
      <c r="B4052" s="2" t="s">
        <v>11019</v>
      </c>
      <c r="C4052" s="2" t="s">
        <v>17</v>
      </c>
      <c r="D4052" s="2" t="s">
        <v>18</v>
      </c>
      <c r="E4052" s="4">
        <v>-32277</v>
      </c>
      <c r="F4052" s="3" t="s">
        <v>1765</v>
      </c>
      <c r="G4052" s="3" t="s">
        <v>515</v>
      </c>
      <c r="H4052" s="2" t="s">
        <v>148</v>
      </c>
      <c r="I4052" s="2" t="s">
        <v>11021</v>
      </c>
      <c r="J4052" s="3" t="str">
        <f>HYPERLINK("https://www.boe.es/gazeta/dias/1811/08/17/pdfs/GEI-1811-107.pdf#page=4","Abrir facsímil")</f>
        <v>Abrir facsímil</v>
      </c>
      <c r="K4052" s="3" t="s">
        <v>150</v>
      </c>
    </row>
    <row r="4053" spans="1:11" ht="42" customHeight="1">
      <c r="A4053" s="2" t="s">
        <v>11022</v>
      </c>
      <c r="B4053" s="2" t="s">
        <v>11023</v>
      </c>
      <c r="C4053" s="2" t="s">
        <v>17</v>
      </c>
      <c r="D4053" s="2" t="s">
        <v>18</v>
      </c>
      <c r="E4053" s="4">
        <v>-32300</v>
      </c>
      <c r="F4053" s="3" t="s">
        <v>61</v>
      </c>
      <c r="G4053" s="3" t="s">
        <v>9808</v>
      </c>
      <c r="H4053" s="2" t="s">
        <v>21</v>
      </c>
      <c r="I4053" s="2" t="s">
        <v>11024</v>
      </c>
      <c r="J4053" s="3" t="str">
        <f>HYPERLINK("https://www.boe.es/gazeta/dias/1811/07/25/pdfs/GEI-1811-97.pdf#page=6","Abrir facsímil")</f>
        <v>Abrir facsímil</v>
      </c>
      <c r="K4053" s="3" t="s">
        <v>23</v>
      </c>
    </row>
    <row r="4054" spans="1:11" ht="42" customHeight="1">
      <c r="A4054" s="2" t="s">
        <v>11025</v>
      </c>
      <c r="B4054" s="2" t="s">
        <v>11026</v>
      </c>
      <c r="C4054" s="2" t="s">
        <v>17</v>
      </c>
      <c r="D4054" s="2" t="s">
        <v>156</v>
      </c>
      <c r="E4054" s="4">
        <v>-32323</v>
      </c>
      <c r="F4054" s="3" t="s">
        <v>322</v>
      </c>
      <c r="G4054" s="3" t="s">
        <v>2164</v>
      </c>
      <c r="H4054" s="2" t="s">
        <v>148</v>
      </c>
      <c r="I4054" s="2" t="s">
        <v>11027</v>
      </c>
      <c r="J4054" s="3" t="str">
        <f>HYPERLINK("https://www.boe.es/gazeta/dias/1811/07/02/pdfs/GEI-1811-87.pdf#page=7","Abrir facsímil")</f>
        <v>Abrir facsímil</v>
      </c>
      <c r="K4054" s="3" t="s">
        <v>150</v>
      </c>
    </row>
    <row r="4055" spans="1:11" ht="42" customHeight="1">
      <c r="A4055" s="2" t="s">
        <v>11028</v>
      </c>
      <c r="B4055" s="2" t="s">
        <v>11028</v>
      </c>
      <c r="C4055" s="2" t="s">
        <v>17</v>
      </c>
      <c r="D4055" s="2" t="s">
        <v>156</v>
      </c>
      <c r="E4055" s="4">
        <v>-32383</v>
      </c>
      <c r="F4055" s="3" t="s">
        <v>4500</v>
      </c>
      <c r="G4055" s="3" t="s">
        <v>331</v>
      </c>
      <c r="H4055" s="2" t="s">
        <v>148</v>
      </c>
      <c r="I4055" s="2" t="s">
        <v>11029</v>
      </c>
      <c r="J4055" s="3" t="str">
        <f>HYPERLINK("https://www.boe.es/gazeta/dias/1811/05/03/pdfs/GMD-1811-123.pdf#page=3","Abrir facsímil")</f>
        <v>Abrir facsímil</v>
      </c>
      <c r="K4055" s="3" t="s">
        <v>150</v>
      </c>
    </row>
    <row r="4056" spans="1:11" ht="42" customHeight="1">
      <c r="A4056" s="2" t="s">
        <v>11030</v>
      </c>
      <c r="B4056" s="2" t="s">
        <v>11030</v>
      </c>
      <c r="C4056" s="2" t="s">
        <v>17</v>
      </c>
      <c r="D4056" s="2" t="s">
        <v>156</v>
      </c>
      <c r="E4056" s="4">
        <v>-32407</v>
      </c>
      <c r="F4056" s="3" t="s">
        <v>38</v>
      </c>
      <c r="G4056" s="3" t="s">
        <v>2458</v>
      </c>
      <c r="H4056" s="2" t="s">
        <v>148</v>
      </c>
      <c r="I4056" s="2" t="s">
        <v>11031</v>
      </c>
      <c r="J4056" s="3" t="str">
        <f>HYPERLINK("https://www.boe.es/gazeta/dias/1811/04/09/pdfs/GEI-1811-48.pdf#page=9","Abrir facsímil")</f>
        <v>Abrir facsímil</v>
      </c>
      <c r="K4056" s="3" t="s">
        <v>150</v>
      </c>
    </row>
    <row r="4057" spans="1:11" ht="42" customHeight="1">
      <c r="A4057" s="2" t="s">
        <v>11030</v>
      </c>
      <c r="B4057" s="2" t="s">
        <v>11030</v>
      </c>
      <c r="C4057" s="2" t="s">
        <v>17</v>
      </c>
      <c r="D4057" s="2" t="s">
        <v>18</v>
      </c>
      <c r="E4057" s="4">
        <v>-32407</v>
      </c>
      <c r="F4057" s="3" t="s">
        <v>38</v>
      </c>
      <c r="G4057" s="3" t="s">
        <v>2379</v>
      </c>
      <c r="H4057" s="2" t="s">
        <v>148</v>
      </c>
      <c r="I4057" s="2" t="s">
        <v>11032</v>
      </c>
      <c r="J4057" s="3" t="str">
        <f>HYPERLINK("https://www.boe.es/gazeta/dias/1811/04/09/pdfs/GEI-1811-48.pdf#page=10","Abrir facsímil")</f>
        <v>Abrir facsímil</v>
      </c>
      <c r="K4057" s="3" t="s">
        <v>150</v>
      </c>
    </row>
    <row r="4058" spans="1:11" ht="42" customHeight="1">
      <c r="A4058" s="2" t="s">
        <v>11030</v>
      </c>
      <c r="B4058" s="2" t="s">
        <v>11030</v>
      </c>
      <c r="C4058" s="2" t="s">
        <v>17</v>
      </c>
      <c r="D4058" s="2" t="s">
        <v>18</v>
      </c>
      <c r="E4058" s="4">
        <v>-32388</v>
      </c>
      <c r="F4058" s="3" t="s">
        <v>2772</v>
      </c>
      <c r="G4058" s="3" t="s">
        <v>9331</v>
      </c>
      <c r="H4058" s="2" t="s">
        <v>148</v>
      </c>
      <c r="I4058" s="2" t="s">
        <v>11033</v>
      </c>
      <c r="J4058" s="3" t="str">
        <f>HYPERLINK("https://www.boe.es/gazeta/dias/1811/04/28/pdfs/GMD-1811-118.pdf#page=1","Abrir facsímil")</f>
        <v>Abrir facsímil</v>
      </c>
      <c r="K4058" s="3" t="s">
        <v>150</v>
      </c>
    </row>
    <row r="4059" spans="1:11" ht="42" customHeight="1">
      <c r="A4059" s="2" t="s">
        <v>11030</v>
      </c>
      <c r="B4059" s="2" t="s">
        <v>11030</v>
      </c>
      <c r="C4059" s="2" t="s">
        <v>17</v>
      </c>
      <c r="D4059" s="2" t="s">
        <v>156</v>
      </c>
      <c r="E4059" s="4">
        <v>-32388</v>
      </c>
      <c r="F4059" s="3" t="s">
        <v>2772</v>
      </c>
      <c r="G4059" s="3" t="s">
        <v>8397</v>
      </c>
      <c r="H4059" s="2" t="s">
        <v>148</v>
      </c>
      <c r="I4059" s="2" t="s">
        <v>11034</v>
      </c>
      <c r="J4059" s="3" t="str">
        <f>HYPERLINK("https://www.boe.es/gazeta/dias/1811/04/28/pdfs/GMD-1811-118.pdf#page=2","Abrir facsímil")</f>
        <v>Abrir facsímil</v>
      </c>
      <c r="K4059" s="3" t="s">
        <v>150</v>
      </c>
    </row>
    <row r="4060" spans="1:11" ht="42" customHeight="1">
      <c r="A4060" s="2" t="s">
        <v>11030</v>
      </c>
      <c r="B4060" s="2" t="s">
        <v>11030</v>
      </c>
      <c r="C4060" s="2" t="s">
        <v>17</v>
      </c>
      <c r="D4060" s="2" t="s">
        <v>105</v>
      </c>
      <c r="E4060" s="4">
        <v>-32388</v>
      </c>
      <c r="F4060" s="3" t="s">
        <v>2772</v>
      </c>
      <c r="G4060" s="3" t="s">
        <v>976</v>
      </c>
      <c r="H4060" s="2" t="s">
        <v>148</v>
      </c>
      <c r="I4060" s="2" t="s">
        <v>11035</v>
      </c>
      <c r="J4060" s="3" t="str">
        <f>HYPERLINK("https://www.boe.es/gazeta/dias/1811/04/28/pdfs/GMD-1811-118.pdf#page=3","Abrir facsímil")</f>
        <v>Abrir facsímil</v>
      </c>
      <c r="K4060" s="3" t="s">
        <v>150</v>
      </c>
    </row>
    <row r="4061" spans="1:11" ht="42" customHeight="1">
      <c r="A4061" s="2" t="s">
        <v>11030</v>
      </c>
      <c r="B4061" s="2" t="s">
        <v>11030</v>
      </c>
      <c r="C4061" s="2" t="s">
        <v>17</v>
      </c>
      <c r="D4061" s="2" t="s">
        <v>18</v>
      </c>
      <c r="E4061" s="4">
        <v>-32377</v>
      </c>
      <c r="F4061" s="3" t="s">
        <v>6097</v>
      </c>
      <c r="G4061" s="3" t="s">
        <v>6098</v>
      </c>
      <c r="H4061" s="2" t="s">
        <v>148</v>
      </c>
      <c r="I4061" s="2" t="s">
        <v>11036</v>
      </c>
      <c r="J4061" s="3" t="str">
        <f>HYPERLINK("https://www.boe.es/gazeta/dias/1811/05/09/pdfs/GEI-1811-61.pdf#page=1","Abrir facsímil")</f>
        <v>Abrir facsímil</v>
      </c>
      <c r="K4061" s="3" t="s">
        <v>150</v>
      </c>
    </row>
    <row r="4062" spans="1:11" ht="42" customHeight="1">
      <c r="A4062" s="2" t="s">
        <v>11030</v>
      </c>
      <c r="B4062" s="2" t="s">
        <v>11030</v>
      </c>
      <c r="C4062" s="2" t="s">
        <v>37</v>
      </c>
      <c r="D4062" s="2" t="s">
        <v>156</v>
      </c>
      <c r="E4062" s="4">
        <v>-32314</v>
      </c>
      <c r="F4062" s="3" t="s">
        <v>6914</v>
      </c>
      <c r="G4062" s="3" t="s">
        <v>11037</v>
      </c>
      <c r="H4062" s="2" t="s">
        <v>148</v>
      </c>
      <c r="I4062" s="2" t="s">
        <v>11038</v>
      </c>
      <c r="J4062" s="3" t="str">
        <f>HYPERLINK("https://www.boe.es/gazeta/dias/1811/07/11/pdfs/GMD-1811-192.pdf#page=1","Abrir facsímil")</f>
        <v>Abrir facsímil</v>
      </c>
      <c r="K4062" s="3" t="s">
        <v>150</v>
      </c>
    </row>
    <row r="4063" spans="1:11" ht="42" customHeight="1">
      <c r="A4063" s="2" t="s">
        <v>11030</v>
      </c>
      <c r="B4063" s="2" t="s">
        <v>11030</v>
      </c>
      <c r="C4063" s="2" t="s">
        <v>17</v>
      </c>
      <c r="D4063" s="2" t="s">
        <v>105</v>
      </c>
      <c r="E4063" s="4">
        <v>-32268</v>
      </c>
      <c r="F4063" s="3" t="s">
        <v>3683</v>
      </c>
      <c r="G4063" s="3" t="s">
        <v>657</v>
      </c>
      <c r="H4063" s="2" t="s">
        <v>148</v>
      </c>
      <c r="I4063" s="2" t="s">
        <v>11039</v>
      </c>
      <c r="J4063" s="3" t="str">
        <f>HYPERLINK("https://www.boe.es/gazeta/dias/1811/08/26/pdfs/GMD-1811-238.pdf#page=2","Abrir facsímil")</f>
        <v>Abrir facsímil</v>
      </c>
      <c r="K4063" s="3" t="s">
        <v>150</v>
      </c>
    </row>
    <row r="4064" spans="1:11" ht="42" customHeight="1">
      <c r="A4064" s="2" t="s">
        <v>11030</v>
      </c>
      <c r="B4064" s="2" t="s">
        <v>11030</v>
      </c>
      <c r="C4064" s="2" t="s">
        <v>17</v>
      </c>
      <c r="D4064" s="2" t="s">
        <v>105</v>
      </c>
      <c r="E4064" s="4">
        <v>-32230</v>
      </c>
      <c r="F4064" s="3" t="s">
        <v>856</v>
      </c>
      <c r="G4064" s="3" t="s">
        <v>20</v>
      </c>
      <c r="H4064" s="2" t="s">
        <v>148</v>
      </c>
      <c r="I4064" s="2" t="s">
        <v>11040</v>
      </c>
      <c r="J4064" s="3" t="str">
        <f>HYPERLINK("https://www.boe.es/gazeta/dias/1811/10/03/pdfs/GMD-1811-276.pdf#page=2","Abrir facsímil")</f>
        <v>Abrir facsímil</v>
      </c>
      <c r="K4064" s="3" t="s">
        <v>150</v>
      </c>
    </row>
    <row r="4065" spans="1:11" ht="42" customHeight="1">
      <c r="A4065" s="2" t="s">
        <v>11030</v>
      </c>
      <c r="B4065" s="2" t="s">
        <v>11030</v>
      </c>
      <c r="C4065" s="2" t="s">
        <v>17</v>
      </c>
      <c r="D4065" s="2" t="s">
        <v>156</v>
      </c>
      <c r="E4065" s="4">
        <v>-32207</v>
      </c>
      <c r="F4065" s="3" t="s">
        <v>152</v>
      </c>
      <c r="G4065" s="3" t="s">
        <v>20</v>
      </c>
      <c r="H4065" s="2" t="s">
        <v>148</v>
      </c>
      <c r="I4065" s="2" t="s">
        <v>11041</v>
      </c>
      <c r="J4065" s="3" t="str">
        <f>HYPERLINK("https://www.boe.es/gazeta/dias/1811/10/26/pdfs/GEI-1811-138.pdf#page=3","Abrir facsímil")</f>
        <v>Abrir facsímil</v>
      </c>
      <c r="K4065" s="3" t="s">
        <v>150</v>
      </c>
    </row>
    <row r="4066" spans="1:11" ht="42" customHeight="1">
      <c r="A4066" s="2" t="s">
        <v>11042</v>
      </c>
      <c r="B4066" s="2" t="s">
        <v>11043</v>
      </c>
      <c r="C4066" s="2" t="s">
        <v>17</v>
      </c>
      <c r="D4066" s="2" t="s">
        <v>156</v>
      </c>
      <c r="E4066" s="4">
        <v>-32407</v>
      </c>
      <c r="F4066" s="3" t="s">
        <v>38</v>
      </c>
      <c r="G4066" s="3" t="s">
        <v>6855</v>
      </c>
      <c r="H4066" s="2" t="s">
        <v>148</v>
      </c>
      <c r="I4066" s="2" t="s">
        <v>11044</v>
      </c>
      <c r="J4066" s="3" t="str">
        <f>HYPERLINK("https://www.boe.es/gazeta/dias/1811/04/09/pdfs/GEI-1811-48.pdf#page=5","Abrir facsímil")</f>
        <v>Abrir facsímil</v>
      </c>
      <c r="K4066" s="3" t="s">
        <v>150</v>
      </c>
    </row>
    <row r="4067" spans="1:11" ht="42" customHeight="1">
      <c r="A4067" s="2" t="s">
        <v>11045</v>
      </c>
      <c r="B4067" s="2" t="s">
        <v>11045</v>
      </c>
      <c r="C4067" s="2" t="s">
        <v>17</v>
      </c>
      <c r="D4067" s="2" t="s">
        <v>105</v>
      </c>
      <c r="E4067" s="4">
        <v>-32229</v>
      </c>
      <c r="F4067" s="3" t="s">
        <v>2523</v>
      </c>
      <c r="G4067" s="3" t="s">
        <v>4068</v>
      </c>
      <c r="H4067" s="2" t="s">
        <v>148</v>
      </c>
      <c r="I4067" s="2" t="s">
        <v>11046</v>
      </c>
      <c r="J4067" s="3" t="str">
        <f>HYPERLINK("https://www.boe.es/gazeta/dias/1811/10/04/pdfs/GMD-1811-277.pdf#page=2","Abrir facsímil")</f>
        <v>Abrir facsímil</v>
      </c>
      <c r="K4067" s="3" t="s">
        <v>150</v>
      </c>
    </row>
    <row r="4068" spans="1:11" ht="42" customHeight="1">
      <c r="A4068" s="2" t="s">
        <v>11047</v>
      </c>
      <c r="B4068" s="2" t="s">
        <v>11047</v>
      </c>
      <c r="C4068" s="2" t="s">
        <v>17</v>
      </c>
      <c r="D4068" s="2" t="s">
        <v>156</v>
      </c>
      <c r="E4068" s="4">
        <v>-32293</v>
      </c>
      <c r="F4068" s="3" t="s">
        <v>3064</v>
      </c>
      <c r="G4068" s="3" t="s">
        <v>2318</v>
      </c>
      <c r="H4068" s="2" t="s">
        <v>148</v>
      </c>
      <c r="I4068" s="2" t="s">
        <v>11048</v>
      </c>
      <c r="J4068" s="3" t="str">
        <f>HYPERLINK("https://www.boe.es/gazeta/dias/1811/08/01/pdfs/GEI-1811-100.pdf#page=5","Abrir facsímil")</f>
        <v>Abrir facsímil</v>
      </c>
      <c r="K4068" s="3" t="s">
        <v>150</v>
      </c>
    </row>
    <row r="4069" spans="1:11" ht="42" customHeight="1">
      <c r="A4069" s="2" t="s">
        <v>11049</v>
      </c>
      <c r="B4069" s="2" t="s">
        <v>11049</v>
      </c>
      <c r="C4069" s="2" t="s">
        <v>17</v>
      </c>
      <c r="D4069" s="2" t="s">
        <v>18</v>
      </c>
      <c r="E4069" s="4">
        <v>-32401</v>
      </c>
      <c r="F4069" s="3" t="s">
        <v>1084</v>
      </c>
      <c r="G4069" s="3" t="s">
        <v>20</v>
      </c>
      <c r="H4069" s="2" t="s">
        <v>148</v>
      </c>
      <c r="I4069" s="2" t="s">
        <v>11050</v>
      </c>
      <c r="J4069" s="3" t="str">
        <f>HYPERLINK("https://www.boe.es/gazeta/dias/1811/04/15/pdfs/GMD-1811-105.pdf#page=2","Abrir facsímil")</f>
        <v>Abrir facsímil</v>
      </c>
      <c r="K4069" s="3" t="s">
        <v>150</v>
      </c>
    </row>
    <row r="4070" spans="1:11" ht="42" customHeight="1">
      <c r="A4070" s="2" t="s">
        <v>11051</v>
      </c>
      <c r="B4070" s="2" t="s">
        <v>11051</v>
      </c>
      <c r="C4070" s="2" t="s">
        <v>17</v>
      </c>
      <c r="D4070" s="2" t="s">
        <v>204</v>
      </c>
      <c r="E4070" s="4">
        <v>-32336</v>
      </c>
      <c r="F4070" s="3" t="s">
        <v>8466</v>
      </c>
      <c r="G4070" s="3" t="s">
        <v>107</v>
      </c>
      <c r="H4070" s="2" t="s">
        <v>148</v>
      </c>
      <c r="I4070" s="2" t="s">
        <v>11052</v>
      </c>
      <c r="J4070" s="3" t="str">
        <f>HYPERLINK("https://www.boe.es/gazeta/dias/1811/06/19/pdfs/GMD-1811-170.pdf#page=2","Abrir facsímil")</f>
        <v>Abrir facsímil</v>
      </c>
      <c r="K4070" s="3" t="s">
        <v>150</v>
      </c>
    </row>
    <row r="4071" spans="1:11" ht="42" customHeight="1">
      <c r="A4071" s="2" t="s">
        <v>11053</v>
      </c>
      <c r="B4071" s="2" t="s">
        <v>11053</v>
      </c>
      <c r="C4071" s="2" t="s">
        <v>17</v>
      </c>
      <c r="D4071" s="2" t="s">
        <v>18</v>
      </c>
      <c r="E4071" s="4">
        <v>-32162</v>
      </c>
      <c r="F4071" s="3" t="s">
        <v>4375</v>
      </c>
      <c r="G4071" s="3" t="s">
        <v>39</v>
      </c>
      <c r="H4071" s="2" t="s">
        <v>148</v>
      </c>
      <c r="I4071" s="2" t="s">
        <v>11054</v>
      </c>
      <c r="J4071" s="3" t="str">
        <f>HYPERLINK("https://www.boe.es/gazeta/dias/1811/12/10/pdfs/GMD-1811-344.pdf#page=1","Abrir facsímil")</f>
        <v>Abrir facsímil</v>
      </c>
      <c r="K4071" s="3" t="s">
        <v>150</v>
      </c>
    </row>
    <row r="4072" spans="1:11" ht="42" customHeight="1">
      <c r="A4072" s="2" t="s">
        <v>11055</v>
      </c>
      <c r="B4072" s="2" t="s">
        <v>11056</v>
      </c>
      <c r="C4072" s="2" t="s">
        <v>37</v>
      </c>
      <c r="D4072" s="2" t="s">
        <v>156</v>
      </c>
      <c r="E4072" s="4">
        <v>-32228</v>
      </c>
      <c r="F4072" s="3" t="s">
        <v>372</v>
      </c>
      <c r="G4072" s="3" t="s">
        <v>373</v>
      </c>
      <c r="H4072" s="2" t="s">
        <v>148</v>
      </c>
      <c r="I4072" s="2" t="s">
        <v>11057</v>
      </c>
      <c r="J4072" s="3" t="str">
        <f>HYPERLINK("https://www.boe.es/gazeta/dias/1811/10/05/pdfs/GEI-1811-128.pdf#page=7","Abrir facsímil")</f>
        <v>Abrir facsímil</v>
      </c>
      <c r="K4072" s="3" t="s">
        <v>150</v>
      </c>
    </row>
    <row r="4073" spans="1:11" ht="42" customHeight="1">
      <c r="A4073" s="2" t="s">
        <v>11058</v>
      </c>
      <c r="B4073" s="2" t="s">
        <v>11058</v>
      </c>
      <c r="C4073" s="2" t="s">
        <v>17</v>
      </c>
      <c r="D4073" s="2" t="s">
        <v>204</v>
      </c>
      <c r="E4073" s="4">
        <v>-32479</v>
      </c>
      <c r="F4073" s="3" t="s">
        <v>6824</v>
      </c>
      <c r="G4073" s="3" t="s">
        <v>248</v>
      </c>
      <c r="H4073" s="2" t="s">
        <v>148</v>
      </c>
      <c r="I4073" s="2" t="s">
        <v>11059</v>
      </c>
      <c r="J4073" s="3" t="str">
        <f>HYPERLINK("https://www.boe.es/gazeta/dias/1811/01/27/pdfs/GMD-1811-27.pdf#page=1","Abrir facsímil")</f>
        <v>Abrir facsímil</v>
      </c>
      <c r="K4073" s="3" t="s">
        <v>150</v>
      </c>
    </row>
    <row r="4074" spans="1:11" ht="42" customHeight="1">
      <c r="A4074" s="2" t="s">
        <v>11058</v>
      </c>
      <c r="B4074" s="2" t="s">
        <v>11058</v>
      </c>
      <c r="C4074" s="2" t="s">
        <v>26</v>
      </c>
      <c r="D4074" s="2" t="s">
        <v>18</v>
      </c>
      <c r="E4074" s="4">
        <v>-32479</v>
      </c>
      <c r="F4074" s="3" t="s">
        <v>6824</v>
      </c>
      <c r="G4074" s="3" t="s">
        <v>553</v>
      </c>
      <c r="H4074" s="2" t="s">
        <v>148</v>
      </c>
      <c r="I4074" s="2" t="s">
        <v>11060</v>
      </c>
      <c r="J4074" s="3" t="str">
        <f>HYPERLINK("https://www.boe.es/gazeta/dias/1811/01/27/pdfs/GMD-1811-27.pdf#page=3","Abrir facsímil")</f>
        <v>Abrir facsímil</v>
      </c>
      <c r="K4074" s="3" t="s">
        <v>150</v>
      </c>
    </row>
    <row r="4075" spans="1:11" ht="42" customHeight="1">
      <c r="A4075" s="2" t="s">
        <v>11061</v>
      </c>
      <c r="B4075" s="2" t="s">
        <v>11062</v>
      </c>
      <c r="C4075" s="2" t="s">
        <v>26</v>
      </c>
      <c r="D4075" s="2" t="s">
        <v>18</v>
      </c>
      <c r="E4075" s="4">
        <v>-32179</v>
      </c>
      <c r="F4075" s="3" t="s">
        <v>614</v>
      </c>
      <c r="G4075" s="3" t="s">
        <v>47</v>
      </c>
      <c r="H4075" s="2" t="s">
        <v>148</v>
      </c>
      <c r="I4075" s="2" t="s">
        <v>11063</v>
      </c>
      <c r="J4075" s="3" t="str">
        <f>HYPERLINK("https://www.boe.es/gazeta/dias/1811/11/23/pdfs/GEI-1811-153.pdf#page=8","Abrir facsímil")</f>
        <v>Abrir facsímil</v>
      </c>
      <c r="K4075" s="3" t="s">
        <v>150</v>
      </c>
    </row>
    <row r="4076" spans="1:11" ht="42" customHeight="1">
      <c r="A4076" s="2" t="s">
        <v>11064</v>
      </c>
      <c r="B4076" s="2" t="s">
        <v>11065</v>
      </c>
      <c r="C4076" s="2" t="s">
        <v>26</v>
      </c>
      <c r="D4076" s="2" t="s">
        <v>141</v>
      </c>
      <c r="E4076" s="4">
        <v>-32355</v>
      </c>
      <c r="F4076" s="3" t="s">
        <v>537</v>
      </c>
      <c r="G4076" s="3" t="s">
        <v>47</v>
      </c>
      <c r="H4076" s="2" t="s">
        <v>21</v>
      </c>
      <c r="I4076" s="2" t="s">
        <v>11066</v>
      </c>
      <c r="J4076" s="3" t="str">
        <f>HYPERLINK("https://www.boe.es/gazeta/dias/1811/05/31/pdfs/GMD-C-1811-151.pdf#page=11","Abrir facsímil")</f>
        <v>Abrir facsímil</v>
      </c>
      <c r="K4076" s="3" t="s">
        <v>23</v>
      </c>
    </row>
    <row r="4077" spans="1:11" ht="42" customHeight="1">
      <c r="A4077" s="2" t="s">
        <v>11067</v>
      </c>
      <c r="B4077" s="2" t="s">
        <v>11067</v>
      </c>
      <c r="C4077" s="2" t="s">
        <v>17</v>
      </c>
      <c r="D4077" s="2" t="s">
        <v>156</v>
      </c>
      <c r="E4077" s="4">
        <v>-32144</v>
      </c>
      <c r="F4077" s="3" t="s">
        <v>1097</v>
      </c>
      <c r="G4077" s="3" t="s">
        <v>183</v>
      </c>
      <c r="H4077" s="2" t="s">
        <v>148</v>
      </c>
      <c r="I4077" s="2" t="s">
        <v>11068</v>
      </c>
      <c r="J4077" s="3" t="str">
        <f>HYPERLINK("https://www.boe.es/gazeta/dias/1811/12/28/pdfs/GEI-1811-168.pdf#page=4","Abrir facsímil")</f>
        <v>Abrir facsímil</v>
      </c>
      <c r="K4077" s="3" t="s">
        <v>150</v>
      </c>
    </row>
    <row r="4078" spans="1:11" ht="42" customHeight="1">
      <c r="A4078" s="2" t="s">
        <v>11069</v>
      </c>
      <c r="B4078" s="2" t="s">
        <v>11070</v>
      </c>
      <c r="C4078" s="2" t="s">
        <v>17</v>
      </c>
      <c r="D4078" s="2" t="s">
        <v>156</v>
      </c>
      <c r="E4078" s="4">
        <v>-32242</v>
      </c>
      <c r="F4078" s="3" t="s">
        <v>3015</v>
      </c>
      <c r="G4078" s="3" t="s">
        <v>178</v>
      </c>
      <c r="H4078" s="2" t="s">
        <v>148</v>
      </c>
      <c r="I4078" s="2" t="s">
        <v>11071</v>
      </c>
      <c r="J4078" s="3" t="str">
        <f>HYPERLINK("https://www.boe.es/gazeta/dias/1811/09/21/pdfs/GMD-1811-264.pdf#page=4","Abrir facsímil")</f>
        <v>Abrir facsímil</v>
      </c>
      <c r="K4078" s="3" t="s">
        <v>150</v>
      </c>
    </row>
    <row r="4079" spans="1:11" ht="42" customHeight="1">
      <c r="A4079" s="2" t="s">
        <v>11072</v>
      </c>
      <c r="B4079" s="2" t="s">
        <v>11072</v>
      </c>
      <c r="C4079" s="2" t="s">
        <v>17</v>
      </c>
      <c r="D4079" s="2" t="s">
        <v>18</v>
      </c>
      <c r="E4079" s="4">
        <v>-32452</v>
      </c>
      <c r="F4079" s="3" t="s">
        <v>106</v>
      </c>
      <c r="G4079" s="3" t="s">
        <v>47</v>
      </c>
      <c r="H4079" s="2" t="s">
        <v>148</v>
      </c>
      <c r="I4079" s="2" t="s">
        <v>11073</v>
      </c>
      <c r="J4079" s="3" t="str">
        <f>HYPERLINK("https://www.boe.es/gazeta/dias/1811/02/23/pdfs/GEI-1811-24.pdf#page=3","Abrir facsímil")</f>
        <v>Abrir facsímil</v>
      </c>
      <c r="K4079" s="3" t="s">
        <v>150</v>
      </c>
    </row>
    <row r="4080" spans="1:11" ht="42" customHeight="1">
      <c r="A4080" s="2" t="s">
        <v>11072</v>
      </c>
      <c r="B4080" s="2" t="s">
        <v>11072</v>
      </c>
      <c r="C4080" s="2" t="s">
        <v>17</v>
      </c>
      <c r="D4080" s="2" t="s">
        <v>18</v>
      </c>
      <c r="E4080" s="4">
        <v>-32431</v>
      </c>
      <c r="F4080" s="3" t="s">
        <v>342</v>
      </c>
      <c r="G4080" s="3" t="s">
        <v>91</v>
      </c>
      <c r="H4080" s="2" t="s">
        <v>148</v>
      </c>
      <c r="I4080" s="2" t="s">
        <v>11074</v>
      </c>
      <c r="J4080" s="3" t="str">
        <f>HYPERLINK("https://www.boe.es/gazeta/dias/1811/03/16/pdfs/GEI-1811-38.pdf#page=1","Abrir facsímil")</f>
        <v>Abrir facsímil</v>
      </c>
      <c r="K4080" s="3" t="s">
        <v>150</v>
      </c>
    </row>
    <row r="4081" spans="1:11" ht="42" customHeight="1">
      <c r="A4081" s="2" t="s">
        <v>11072</v>
      </c>
      <c r="B4081" s="2" t="s">
        <v>11072</v>
      </c>
      <c r="C4081" s="2" t="s">
        <v>17</v>
      </c>
      <c r="D4081" s="2" t="s">
        <v>156</v>
      </c>
      <c r="E4081" s="4">
        <v>-32431</v>
      </c>
      <c r="F4081" s="3" t="s">
        <v>342</v>
      </c>
      <c r="G4081" s="3" t="s">
        <v>162</v>
      </c>
      <c r="H4081" s="2" t="s">
        <v>148</v>
      </c>
      <c r="I4081" s="2" t="s">
        <v>11075</v>
      </c>
      <c r="J4081" s="3" t="str">
        <f>HYPERLINK("https://www.boe.es/gazeta/dias/1811/03/16/pdfs/GEI-1811-38.pdf#page=2","Abrir facsímil")</f>
        <v>Abrir facsímil</v>
      </c>
      <c r="K4081" s="3" t="s">
        <v>150</v>
      </c>
    </row>
    <row r="4082" spans="1:11" ht="42" customHeight="1">
      <c r="A4082" s="2" t="s">
        <v>11076</v>
      </c>
      <c r="B4082" s="2" t="s">
        <v>11077</v>
      </c>
      <c r="C4082" s="2" t="s">
        <v>84</v>
      </c>
      <c r="D4082" s="2" t="s">
        <v>105</v>
      </c>
      <c r="E4082" s="4">
        <v>-32179</v>
      </c>
      <c r="F4082" s="3" t="s">
        <v>614</v>
      </c>
      <c r="G4082" s="3" t="s">
        <v>47</v>
      </c>
      <c r="H4082" s="2" t="s">
        <v>148</v>
      </c>
      <c r="I4082" s="2" t="s">
        <v>11078</v>
      </c>
      <c r="J4082" s="3" t="str">
        <f>HYPERLINK("https://www.boe.es/gazeta/dias/1811/11/23/pdfs/GEI-1811-153.pdf#page=8","Abrir facsímil")</f>
        <v>Abrir facsímil</v>
      </c>
      <c r="K4082" s="3" t="s">
        <v>150</v>
      </c>
    </row>
    <row r="4083" spans="1:11" ht="42" customHeight="1">
      <c r="A4083" s="2" t="s">
        <v>11079</v>
      </c>
      <c r="B4083" s="2" t="s">
        <v>11079</v>
      </c>
      <c r="C4083" s="2" t="s">
        <v>17</v>
      </c>
      <c r="D4083" s="2" t="s">
        <v>18</v>
      </c>
      <c r="E4083" s="4">
        <v>-32452</v>
      </c>
      <c r="F4083" s="3" t="s">
        <v>106</v>
      </c>
      <c r="G4083" s="3" t="s">
        <v>47</v>
      </c>
      <c r="H4083" s="2" t="s">
        <v>148</v>
      </c>
      <c r="I4083" s="2" t="s">
        <v>11080</v>
      </c>
      <c r="J4083" s="3" t="str">
        <f>HYPERLINK("https://www.boe.es/gazeta/dias/1811/02/23/pdfs/GEI-1811-24.pdf#page=3","Abrir facsímil")</f>
        <v>Abrir facsímil</v>
      </c>
      <c r="K4083" s="3" t="s">
        <v>150</v>
      </c>
    </row>
    <row r="4084" spans="1:11" ht="42" customHeight="1">
      <c r="A4084" s="2" t="s">
        <v>11081</v>
      </c>
      <c r="B4084" s="2" t="s">
        <v>11081</v>
      </c>
      <c r="C4084" s="2" t="s">
        <v>17</v>
      </c>
      <c r="D4084" s="2" t="s">
        <v>18</v>
      </c>
      <c r="E4084" s="4">
        <v>-32207</v>
      </c>
      <c r="F4084" s="3" t="s">
        <v>152</v>
      </c>
      <c r="G4084" s="3" t="s">
        <v>891</v>
      </c>
      <c r="H4084" s="2" t="s">
        <v>148</v>
      </c>
      <c r="I4084" s="2" t="s">
        <v>11082</v>
      </c>
      <c r="J4084" s="3" t="str">
        <f>HYPERLINK("https://www.boe.es/gazeta/dias/1811/10/26/pdfs/GEI-1811-138.pdf#page=5","Abrir facsímil")</f>
        <v>Abrir facsímil</v>
      </c>
      <c r="K4084" s="3" t="s">
        <v>150</v>
      </c>
    </row>
    <row r="4085" spans="1:11" ht="42" customHeight="1">
      <c r="A4085" s="2" t="s">
        <v>11083</v>
      </c>
      <c r="B4085" s="2" t="s">
        <v>11084</v>
      </c>
      <c r="C4085" s="2" t="s">
        <v>26</v>
      </c>
      <c r="D4085" s="2" t="s">
        <v>18</v>
      </c>
      <c r="E4085" s="4">
        <v>-32496</v>
      </c>
      <c r="F4085" s="3" t="s">
        <v>1927</v>
      </c>
      <c r="G4085" s="3" t="s">
        <v>1184</v>
      </c>
      <c r="H4085" s="2" t="s">
        <v>148</v>
      </c>
      <c r="I4085" s="2" t="s">
        <v>11085</v>
      </c>
      <c r="J4085" s="3" t="str">
        <f>HYPERLINK("https://www.boe.es/gazeta/dias/1811/01/10/pdfs/GEI-1811-5.pdf#page=5","Abrir facsímil")</f>
        <v>Abrir facsímil</v>
      </c>
      <c r="K4085" s="3" t="s">
        <v>150</v>
      </c>
    </row>
    <row r="4086" spans="1:11" ht="42" customHeight="1">
      <c r="A4086" s="2" t="s">
        <v>11086</v>
      </c>
      <c r="B4086" s="2" t="s">
        <v>11087</v>
      </c>
      <c r="C4086" s="2" t="s">
        <v>26</v>
      </c>
      <c r="D4086" s="2" t="s">
        <v>105</v>
      </c>
      <c r="E4086" s="4">
        <v>-32379</v>
      </c>
      <c r="F4086" s="3" t="s">
        <v>462</v>
      </c>
      <c r="G4086" s="3" t="s">
        <v>463</v>
      </c>
      <c r="H4086" s="2" t="s">
        <v>148</v>
      </c>
      <c r="I4086" s="2" t="s">
        <v>11088</v>
      </c>
      <c r="J4086" s="3" t="str">
        <f>HYPERLINK("https://www.boe.es/gazeta/dias/1811/05/07/pdfs/GEI-1811-60.pdf#page=8","Abrir facsímil")</f>
        <v>Abrir facsímil</v>
      </c>
      <c r="K4086" s="3" t="s">
        <v>150</v>
      </c>
    </row>
    <row r="4087" spans="1:11" ht="42" customHeight="1">
      <c r="A4087" s="2" t="s">
        <v>11089</v>
      </c>
      <c r="B4087" s="2" t="s">
        <v>11089</v>
      </c>
      <c r="C4087" s="2" t="s">
        <v>17</v>
      </c>
      <c r="D4087" s="2" t="s">
        <v>18</v>
      </c>
      <c r="E4087" s="4">
        <v>-32323</v>
      </c>
      <c r="F4087" s="3" t="s">
        <v>2289</v>
      </c>
      <c r="G4087" s="3" t="s">
        <v>331</v>
      </c>
      <c r="H4087" s="2" t="s">
        <v>148</v>
      </c>
      <c r="I4087" s="2" t="s">
        <v>11090</v>
      </c>
      <c r="J4087" s="3" t="str">
        <f>HYPERLINK("https://www.boe.es/gazeta/dias/1811/07/02/pdfs/GMD-1811-183.pdf#page=4","Abrir facsímil")</f>
        <v>Abrir facsímil</v>
      </c>
      <c r="K4087" s="3" t="s">
        <v>150</v>
      </c>
    </row>
    <row r="4088" spans="1:11" ht="42" customHeight="1">
      <c r="A4088" s="2" t="s">
        <v>11091</v>
      </c>
      <c r="B4088" s="2" t="s">
        <v>11091</v>
      </c>
      <c r="C4088" s="2" t="s">
        <v>17</v>
      </c>
      <c r="D4088" s="2" t="s">
        <v>156</v>
      </c>
      <c r="E4088" s="4">
        <v>-32144</v>
      </c>
      <c r="F4088" s="3" t="s">
        <v>10241</v>
      </c>
      <c r="G4088" s="3" t="s">
        <v>10242</v>
      </c>
      <c r="H4088" s="2" t="s">
        <v>148</v>
      </c>
      <c r="I4088" s="2" t="s">
        <v>11092</v>
      </c>
      <c r="J4088" s="3" t="str">
        <f>HYPERLINK("https://www.boe.es/gazeta/dias/1811/12/28/pdfs/GMD-1811-362.pdf#page=1","Abrir facsímil")</f>
        <v>Abrir facsímil</v>
      </c>
      <c r="K4088" s="3" t="s">
        <v>150</v>
      </c>
    </row>
    <row r="4089" spans="1:11" ht="42" customHeight="1">
      <c r="A4089" s="2" t="s">
        <v>11093</v>
      </c>
      <c r="B4089" s="2" t="s">
        <v>11093</v>
      </c>
      <c r="C4089" s="2" t="s">
        <v>17</v>
      </c>
      <c r="D4089" s="2" t="s">
        <v>18</v>
      </c>
      <c r="E4089" s="4">
        <v>-32431</v>
      </c>
      <c r="F4089" s="3" t="s">
        <v>342</v>
      </c>
      <c r="G4089" s="3" t="s">
        <v>91</v>
      </c>
      <c r="H4089" s="2" t="s">
        <v>148</v>
      </c>
      <c r="I4089" s="2" t="s">
        <v>11094</v>
      </c>
      <c r="J4089" s="3" t="str">
        <f>HYPERLINK("https://www.boe.es/gazeta/dias/1811/03/16/pdfs/GEI-1811-38.pdf#page=1","Abrir facsímil")</f>
        <v>Abrir facsímil</v>
      </c>
      <c r="K4089" s="3" t="s">
        <v>150</v>
      </c>
    </row>
    <row r="4090" spans="1:11" ht="42" customHeight="1">
      <c r="A4090" s="2" t="s">
        <v>11095</v>
      </c>
      <c r="B4090" s="2" t="s">
        <v>11095</v>
      </c>
      <c r="C4090" s="2" t="s">
        <v>26</v>
      </c>
      <c r="D4090" s="2" t="s">
        <v>18</v>
      </c>
      <c r="E4090" s="4">
        <v>-32470</v>
      </c>
      <c r="F4090" s="3" t="s">
        <v>1432</v>
      </c>
      <c r="G4090" s="3" t="s">
        <v>1063</v>
      </c>
      <c r="H4090" s="2" t="s">
        <v>148</v>
      </c>
      <c r="I4090" s="2" t="s">
        <v>11096</v>
      </c>
      <c r="J4090" s="3" t="str">
        <f>HYPERLINK("https://www.boe.es/gazeta/dias/1811/02/05/pdfs/GEI-1811-16.pdf#page=5","Abrir facsímil")</f>
        <v>Abrir facsímil</v>
      </c>
      <c r="K4090" s="3" t="s">
        <v>150</v>
      </c>
    </row>
    <row r="4091" spans="1:11" ht="42" customHeight="1">
      <c r="A4091" s="2" t="s">
        <v>11095</v>
      </c>
      <c r="B4091" s="2" t="s">
        <v>11095</v>
      </c>
      <c r="C4091" s="2" t="s">
        <v>26</v>
      </c>
      <c r="D4091" s="2" t="s">
        <v>18</v>
      </c>
      <c r="E4091" s="4">
        <v>-32396</v>
      </c>
      <c r="F4091" s="3" t="s">
        <v>1267</v>
      </c>
      <c r="G4091" s="3" t="s">
        <v>1143</v>
      </c>
      <c r="H4091" s="2" t="s">
        <v>148</v>
      </c>
      <c r="I4091" s="2" t="s">
        <v>11097</v>
      </c>
      <c r="J4091" s="3" t="str">
        <f>HYPERLINK("https://www.boe.es/gazeta/dias/1811/04/20/pdfs/GMD-1811-110.pdf#page=3","Abrir facsímil")</f>
        <v>Abrir facsímil</v>
      </c>
      <c r="K4091" s="3" t="s">
        <v>150</v>
      </c>
    </row>
    <row r="4092" spans="1:11" ht="42" customHeight="1">
      <c r="A4092" s="2" t="s">
        <v>11095</v>
      </c>
      <c r="B4092" s="2" t="s">
        <v>11095</v>
      </c>
      <c r="C4092" s="2" t="s">
        <v>17</v>
      </c>
      <c r="D4092" s="2" t="s">
        <v>18</v>
      </c>
      <c r="E4092" s="4">
        <v>-32210</v>
      </c>
      <c r="F4092" s="3" t="s">
        <v>1737</v>
      </c>
      <c r="G4092" s="3" t="s">
        <v>248</v>
      </c>
      <c r="H4092" s="2" t="s">
        <v>148</v>
      </c>
      <c r="I4092" s="2" t="s">
        <v>11098</v>
      </c>
      <c r="J4092" s="3" t="str">
        <f>HYPERLINK("https://www.boe.es/gazeta/dias/1811/10/23/pdfs/GMD-1811-296.pdf#page=5","Abrir facsímil")</f>
        <v>Abrir facsímil</v>
      </c>
      <c r="K4092" s="3" t="s">
        <v>150</v>
      </c>
    </row>
    <row r="4093" spans="1:11" ht="42" customHeight="1">
      <c r="A4093" s="2" t="s">
        <v>11099</v>
      </c>
      <c r="B4093" s="2" t="s">
        <v>11099</v>
      </c>
      <c r="C4093" s="2" t="s">
        <v>17</v>
      </c>
      <c r="D4093" s="2" t="s">
        <v>18</v>
      </c>
      <c r="E4093" s="4">
        <v>-32209</v>
      </c>
      <c r="F4093" s="3" t="s">
        <v>9303</v>
      </c>
      <c r="G4093" s="3" t="s">
        <v>11100</v>
      </c>
      <c r="H4093" s="2" t="s">
        <v>148</v>
      </c>
      <c r="I4093" s="2" t="s">
        <v>11101</v>
      </c>
      <c r="J4093" s="3" t="str">
        <f>HYPERLINK("https://www.boe.es/gazeta/dias/1811/10/24/pdfs/GEI-1811-137.pdf#page=4","Abrir facsímil")</f>
        <v>Abrir facsímil</v>
      </c>
      <c r="K4093" s="3" t="s">
        <v>150</v>
      </c>
    </row>
    <row r="4094" spans="1:11" ht="42" customHeight="1">
      <c r="A4094" s="2" t="s">
        <v>11102</v>
      </c>
      <c r="B4094" s="2" t="s">
        <v>11102</v>
      </c>
      <c r="C4094" s="2" t="s">
        <v>17</v>
      </c>
      <c r="D4094" s="2" t="s">
        <v>156</v>
      </c>
      <c r="E4094" s="4">
        <v>-32214</v>
      </c>
      <c r="F4094" s="3" t="s">
        <v>1753</v>
      </c>
      <c r="G4094" s="3" t="s">
        <v>11103</v>
      </c>
      <c r="H4094" s="2" t="s">
        <v>148</v>
      </c>
      <c r="I4094" s="2" t="s">
        <v>11104</v>
      </c>
      <c r="J4094" s="3" t="str">
        <f>HYPERLINK("https://www.boe.es/gazeta/dias/1811/10/19/pdfs/GEI-1811-135.pdf#page=3","Abrir facsímil")</f>
        <v>Abrir facsímil</v>
      </c>
      <c r="K4094" s="3" t="s">
        <v>150</v>
      </c>
    </row>
    <row r="4095" spans="1:11" ht="42" customHeight="1">
      <c r="A4095" s="2" t="s">
        <v>11105</v>
      </c>
      <c r="B4095" s="2" t="s">
        <v>11105</v>
      </c>
      <c r="C4095" s="2" t="s">
        <v>17</v>
      </c>
      <c r="D4095" s="2" t="s">
        <v>18</v>
      </c>
      <c r="E4095" s="4">
        <v>-32209</v>
      </c>
      <c r="F4095" s="3" t="s">
        <v>9303</v>
      </c>
      <c r="G4095" s="3" t="s">
        <v>9328</v>
      </c>
      <c r="H4095" s="2" t="s">
        <v>148</v>
      </c>
      <c r="I4095" s="2" t="s">
        <v>11106</v>
      </c>
      <c r="J4095" s="3" t="str">
        <f>HYPERLINK("https://www.boe.es/gazeta/dias/1811/10/24/pdfs/GEI-1811-137.pdf#page=3","Abrir facsímil")</f>
        <v>Abrir facsímil</v>
      </c>
      <c r="K4095" s="3" t="s">
        <v>150</v>
      </c>
    </row>
    <row r="4096" spans="1:11" ht="42" customHeight="1">
      <c r="A4096" s="2" t="s">
        <v>11107</v>
      </c>
      <c r="B4096" s="2" t="s">
        <v>11107</v>
      </c>
      <c r="C4096" s="2" t="s">
        <v>26</v>
      </c>
      <c r="D4096" s="2" t="s">
        <v>18</v>
      </c>
      <c r="E4096" s="4">
        <v>-32438</v>
      </c>
      <c r="F4096" s="3" t="s">
        <v>114</v>
      </c>
      <c r="G4096" s="3" t="s">
        <v>2805</v>
      </c>
      <c r="H4096" s="2" t="s">
        <v>148</v>
      </c>
      <c r="I4096" s="2" t="s">
        <v>11108</v>
      </c>
      <c r="J4096" s="3" t="str">
        <f>HYPERLINK("https://www.boe.es/gazeta/dias/1811/03/09/pdfs/GEI-1811-33.pdf#page=6","Abrir facsímil")</f>
        <v>Abrir facsímil</v>
      </c>
      <c r="K4096" s="3" t="s">
        <v>150</v>
      </c>
    </row>
    <row r="4097" spans="1:11" ht="42" customHeight="1">
      <c r="A4097" s="2" t="s">
        <v>11107</v>
      </c>
      <c r="B4097" s="2" t="s">
        <v>11107</v>
      </c>
      <c r="C4097" s="2" t="s">
        <v>17</v>
      </c>
      <c r="D4097" s="2" t="s">
        <v>156</v>
      </c>
      <c r="E4097" s="4">
        <v>-32309</v>
      </c>
      <c r="F4097" s="3" t="s">
        <v>2496</v>
      </c>
      <c r="G4097" s="3" t="s">
        <v>91</v>
      </c>
      <c r="H4097" s="2" t="s">
        <v>148</v>
      </c>
      <c r="I4097" s="2" t="s">
        <v>11109</v>
      </c>
      <c r="J4097" s="3" t="str">
        <f>HYPERLINK("https://www.boe.es/gazeta/dias/1811/07/16/pdfs/GEI-1811-93.pdf#page=7","Abrir facsímil")</f>
        <v>Abrir facsímil</v>
      </c>
      <c r="K4097" s="3" t="s">
        <v>150</v>
      </c>
    </row>
    <row r="4098" spans="1:11" ht="42" customHeight="1">
      <c r="A4098" s="2" t="s">
        <v>11107</v>
      </c>
      <c r="B4098" s="2" t="s">
        <v>11107</v>
      </c>
      <c r="C4098" s="2" t="s">
        <v>26</v>
      </c>
      <c r="D4098" s="2" t="s">
        <v>18</v>
      </c>
      <c r="E4098" s="4">
        <v>-32153</v>
      </c>
      <c r="F4098" s="3" t="s">
        <v>123</v>
      </c>
      <c r="G4098" s="3" t="s">
        <v>288</v>
      </c>
      <c r="H4098" s="2" t="s">
        <v>148</v>
      </c>
      <c r="I4098" s="2" t="s">
        <v>11110</v>
      </c>
      <c r="J4098" s="3" t="str">
        <f>HYPERLINK("https://www.boe.es/gazeta/dias/1811/12/19/pdfs/GMD-1811-353.pdf#page=4","Abrir facsímil")</f>
        <v>Abrir facsímil</v>
      </c>
      <c r="K4098" s="3" t="s">
        <v>150</v>
      </c>
    </row>
    <row r="4099" spans="1:11" ht="42" customHeight="1">
      <c r="A4099" s="2" t="s">
        <v>11111</v>
      </c>
      <c r="B4099" s="2" t="s">
        <v>11111</v>
      </c>
      <c r="C4099" s="2" t="s">
        <v>26</v>
      </c>
      <c r="D4099" s="2" t="s">
        <v>18</v>
      </c>
      <c r="E4099" s="4">
        <v>-32486</v>
      </c>
      <c r="F4099" s="3" t="s">
        <v>556</v>
      </c>
      <c r="G4099" s="3" t="s">
        <v>248</v>
      </c>
      <c r="H4099" s="2" t="s">
        <v>148</v>
      </c>
      <c r="I4099" s="2" t="s">
        <v>11112</v>
      </c>
      <c r="J4099" s="3" t="str">
        <f>HYPERLINK("https://www.boe.es/gazeta/dias/1811/01/20/pdfs/GMD-1811-20.pdf#page=2","Abrir facsímil")</f>
        <v>Abrir facsímil</v>
      </c>
      <c r="K4099" s="3" t="s">
        <v>150</v>
      </c>
    </row>
    <row r="4100" spans="1:11" ht="42" customHeight="1">
      <c r="A4100" s="2" t="s">
        <v>11111</v>
      </c>
      <c r="B4100" s="2" t="s">
        <v>11111</v>
      </c>
      <c r="C4100" s="2" t="s">
        <v>17</v>
      </c>
      <c r="D4100" s="2" t="s">
        <v>18</v>
      </c>
      <c r="E4100" s="4">
        <v>-32228</v>
      </c>
      <c r="F4100" s="3" t="s">
        <v>899</v>
      </c>
      <c r="G4100" s="3" t="s">
        <v>900</v>
      </c>
      <c r="H4100" s="2" t="s">
        <v>148</v>
      </c>
      <c r="I4100" s="2" t="s">
        <v>11113</v>
      </c>
      <c r="J4100" s="3" t="str">
        <f>HYPERLINK("https://www.boe.es/gazeta/dias/1811/10/05/pdfs/GMD-1811-278.pdf#page=2","Abrir facsímil")</f>
        <v>Abrir facsímil</v>
      </c>
      <c r="K4100" s="3" t="s">
        <v>150</v>
      </c>
    </row>
    <row r="4101" spans="1:11" ht="42" customHeight="1">
      <c r="A4101" s="2" t="s">
        <v>11114</v>
      </c>
      <c r="B4101" s="2" t="s">
        <v>11114</v>
      </c>
      <c r="C4101" s="2" t="s">
        <v>37</v>
      </c>
      <c r="D4101" s="2" t="s">
        <v>18</v>
      </c>
      <c r="E4101" s="4">
        <v>-32176</v>
      </c>
      <c r="F4101" s="3" t="s">
        <v>638</v>
      </c>
      <c r="G4101" s="3" t="s">
        <v>11115</v>
      </c>
      <c r="H4101" s="2" t="s">
        <v>148</v>
      </c>
      <c r="I4101" s="2" t="s">
        <v>11116</v>
      </c>
      <c r="J4101" s="3" t="str">
        <f>HYPERLINK("https://www.boe.es/gazeta/dias/1811/11/26/pdfs/GEI-1811-154.pdf#page=6","Abrir facsímil")</f>
        <v>Abrir facsímil</v>
      </c>
      <c r="K4101" s="3" t="s">
        <v>150</v>
      </c>
    </row>
    <row r="4102" spans="1:11" ht="42" customHeight="1">
      <c r="A4102" s="2" t="s">
        <v>11117</v>
      </c>
      <c r="B4102" s="2" t="s">
        <v>11117</v>
      </c>
      <c r="C4102" s="2" t="s">
        <v>17</v>
      </c>
      <c r="D4102" s="2" t="s">
        <v>18</v>
      </c>
      <c r="E4102" s="4">
        <v>-32152</v>
      </c>
      <c r="F4102" s="3" t="s">
        <v>1673</v>
      </c>
      <c r="G4102" s="3" t="s">
        <v>57</v>
      </c>
      <c r="H4102" s="2" t="s">
        <v>148</v>
      </c>
      <c r="I4102" s="2" t="s">
        <v>11118</v>
      </c>
      <c r="J4102" s="3" t="str">
        <f>HYPERLINK("https://www.boe.es/gazeta/dias/1811/12/20/pdfs/GMD-1811-354.pdf#page=2","Abrir facsímil")</f>
        <v>Abrir facsímil</v>
      </c>
      <c r="K4102" s="3" t="s">
        <v>150</v>
      </c>
    </row>
    <row r="4103" spans="1:11" ht="42" customHeight="1">
      <c r="A4103" s="2" t="s">
        <v>11119</v>
      </c>
      <c r="B4103" s="2" t="s">
        <v>11119</v>
      </c>
      <c r="C4103" s="2" t="s">
        <v>17</v>
      </c>
      <c r="D4103" s="2" t="s">
        <v>156</v>
      </c>
      <c r="E4103" s="4">
        <v>-32250</v>
      </c>
      <c r="F4103" s="3" t="s">
        <v>2823</v>
      </c>
      <c r="G4103" s="3" t="s">
        <v>11120</v>
      </c>
      <c r="H4103" s="2" t="s">
        <v>148</v>
      </c>
      <c r="I4103" s="2" t="s">
        <v>11121</v>
      </c>
      <c r="J4103" s="3" t="str">
        <f>HYPERLINK("https://www.boe.es/gazeta/dias/1811/09/13/pdfs/GMD-1811-256.pdf#page=1","Abrir facsímil")</f>
        <v>Abrir facsímil</v>
      </c>
      <c r="K4103" s="3" t="s">
        <v>150</v>
      </c>
    </row>
    <row r="4104" spans="1:11" ht="42" customHeight="1">
      <c r="A4104" s="2" t="s">
        <v>11122</v>
      </c>
      <c r="B4104" s="2" t="s">
        <v>11123</v>
      </c>
      <c r="C4104" s="2" t="s">
        <v>26</v>
      </c>
      <c r="D4104" s="2" t="s">
        <v>18</v>
      </c>
      <c r="E4104" s="4">
        <v>-32158</v>
      </c>
      <c r="F4104" s="3" t="s">
        <v>46</v>
      </c>
      <c r="G4104" s="3" t="s">
        <v>47</v>
      </c>
      <c r="H4104" s="2" t="s">
        <v>148</v>
      </c>
      <c r="I4104" s="2" t="s">
        <v>11124</v>
      </c>
      <c r="J4104" s="3" t="str">
        <f>HYPERLINK("https://www.boe.es/gazeta/dias/1811/12/14/pdfs/GEI-1811-162.pdf#page=7","Abrir facsímil")</f>
        <v>Abrir facsímil</v>
      </c>
      <c r="K4104" s="3" t="s">
        <v>150</v>
      </c>
    </row>
    <row r="4105" spans="1:11" ht="42" customHeight="1">
      <c r="A4105" s="2" t="s">
        <v>11125</v>
      </c>
      <c r="B4105" s="2" t="s">
        <v>11125</v>
      </c>
      <c r="C4105" s="2" t="s">
        <v>104</v>
      </c>
      <c r="D4105" s="2" t="s">
        <v>18</v>
      </c>
      <c r="E4105" s="4">
        <v>-32278</v>
      </c>
      <c r="F4105" s="3" t="s">
        <v>765</v>
      </c>
      <c r="G4105" s="3" t="s">
        <v>468</v>
      </c>
      <c r="H4105" s="2" t="s">
        <v>148</v>
      </c>
      <c r="I4105" s="2" t="s">
        <v>11126</v>
      </c>
      <c r="J4105" s="3" t="str">
        <f>HYPERLINK("https://www.boe.es/gazeta/dias/1811/08/16/pdfs/GMD-1811-228.pdf#page=2","Abrir facsímil")</f>
        <v>Abrir facsímil</v>
      </c>
      <c r="K4105" s="3" t="s">
        <v>150</v>
      </c>
    </row>
    <row r="4106" spans="1:11" ht="42" customHeight="1">
      <c r="A4106" s="2" t="s">
        <v>11127</v>
      </c>
      <c r="B4106" s="2" t="s">
        <v>11128</v>
      </c>
      <c r="C4106" s="2" t="s">
        <v>26</v>
      </c>
      <c r="D4106" s="2" t="s">
        <v>18</v>
      </c>
      <c r="E4106" s="4">
        <v>-32417</v>
      </c>
      <c r="F4106" s="3" t="s">
        <v>604</v>
      </c>
      <c r="G4106" s="3" t="s">
        <v>178</v>
      </c>
      <c r="H4106" s="2" t="s">
        <v>148</v>
      </c>
      <c r="I4106" s="2" t="s">
        <v>11129</v>
      </c>
      <c r="J4106" s="3" t="str">
        <f>HYPERLINK("https://www.boe.es/gazeta/dias/1811/03/30/pdfs/GMD-1811-89.pdf#page=3","Abrir facsímil")</f>
        <v>Abrir facsímil</v>
      </c>
      <c r="K4106" s="3" t="s">
        <v>150</v>
      </c>
    </row>
    <row r="4107" spans="1:11" ht="42" customHeight="1">
      <c r="A4107" s="2" t="s">
        <v>11130</v>
      </c>
      <c r="B4107" s="2" t="s">
        <v>11131</v>
      </c>
      <c r="C4107" s="2" t="s">
        <v>26</v>
      </c>
      <c r="D4107" s="2" t="s">
        <v>18</v>
      </c>
      <c r="E4107" s="4">
        <v>-32205</v>
      </c>
      <c r="F4107" s="3" t="s">
        <v>7179</v>
      </c>
      <c r="G4107" s="3" t="s">
        <v>2196</v>
      </c>
      <c r="H4107" s="2" t="s">
        <v>148</v>
      </c>
      <c r="I4107" s="2" t="s">
        <v>11132</v>
      </c>
      <c r="J4107" s="3" t="str">
        <f>HYPERLINK("https://www.boe.es/gazeta/dias/1811/10/28/pdfs/GMD-1811-301.pdf#page=4","Abrir facsímil")</f>
        <v>Abrir facsímil</v>
      </c>
      <c r="K4107" s="3" t="s">
        <v>150</v>
      </c>
    </row>
    <row r="4108" spans="1:11" ht="42" customHeight="1">
      <c r="A4108" s="2" t="s">
        <v>11133</v>
      </c>
      <c r="B4108" s="2" t="s">
        <v>11133</v>
      </c>
      <c r="C4108" s="2" t="s">
        <v>17</v>
      </c>
      <c r="D4108" s="2" t="s">
        <v>18</v>
      </c>
      <c r="E4108" s="4">
        <v>-32187</v>
      </c>
      <c r="F4108" s="3" t="s">
        <v>1775</v>
      </c>
      <c r="G4108" s="3" t="s">
        <v>657</v>
      </c>
      <c r="H4108" s="2" t="s">
        <v>148</v>
      </c>
      <c r="I4108" s="2" t="s">
        <v>11134</v>
      </c>
      <c r="J4108" s="3" t="str">
        <f>HYPERLINK("https://www.boe.es/gazeta/dias/1811/11/15/pdfs/GMD-1811-319.pdf#page=4","Abrir facsímil")</f>
        <v>Abrir facsímil</v>
      </c>
      <c r="K4108" s="3" t="s">
        <v>150</v>
      </c>
    </row>
    <row r="4109" spans="1:11" ht="42" customHeight="1">
      <c r="A4109" s="2" t="s">
        <v>11135</v>
      </c>
      <c r="B4109" s="2" t="s">
        <v>11135</v>
      </c>
      <c r="C4109" s="2" t="s">
        <v>17</v>
      </c>
      <c r="D4109" s="2" t="s">
        <v>105</v>
      </c>
      <c r="E4109" s="4">
        <v>-32250</v>
      </c>
      <c r="F4109" s="3" t="s">
        <v>2823</v>
      </c>
      <c r="G4109" s="3" t="s">
        <v>11120</v>
      </c>
      <c r="H4109" s="2" t="s">
        <v>148</v>
      </c>
      <c r="I4109" s="2" t="s">
        <v>11136</v>
      </c>
      <c r="J4109" s="3" t="str">
        <f>HYPERLINK("https://www.boe.es/gazeta/dias/1811/09/13/pdfs/GMD-1811-256.pdf#page=1","Abrir facsímil")</f>
        <v>Abrir facsímil</v>
      </c>
      <c r="K4109" s="3" t="s">
        <v>150</v>
      </c>
    </row>
    <row r="4110" spans="1:11" ht="42" customHeight="1">
      <c r="A4110" s="2" t="s">
        <v>11137</v>
      </c>
      <c r="B4110" s="2" t="s">
        <v>11137</v>
      </c>
      <c r="C4110" s="2" t="s">
        <v>26</v>
      </c>
      <c r="D4110" s="2" t="s">
        <v>18</v>
      </c>
      <c r="E4110" s="4">
        <v>-32307</v>
      </c>
      <c r="F4110" s="3" t="s">
        <v>1112</v>
      </c>
      <c r="G4110" s="3" t="s">
        <v>282</v>
      </c>
      <c r="H4110" s="2" t="s">
        <v>148</v>
      </c>
      <c r="I4110" s="2" t="s">
        <v>11138</v>
      </c>
      <c r="J4110" s="3" t="str">
        <f>HYPERLINK("https://www.boe.es/gazeta/dias/1811/07/18/pdfs/GEI-1811-94.pdf#page=4","Abrir facsímil")</f>
        <v>Abrir facsímil</v>
      </c>
      <c r="K4110" s="3" t="s">
        <v>150</v>
      </c>
    </row>
    <row r="4111" spans="1:11" ht="42" customHeight="1">
      <c r="A4111" s="2" t="s">
        <v>11139</v>
      </c>
      <c r="B4111" s="2" t="s">
        <v>11139</v>
      </c>
      <c r="C4111" s="2" t="s">
        <v>26</v>
      </c>
      <c r="D4111" s="2" t="s">
        <v>18</v>
      </c>
      <c r="E4111" s="4">
        <v>-32279</v>
      </c>
      <c r="F4111" s="3" t="s">
        <v>540</v>
      </c>
      <c r="G4111" s="3" t="s">
        <v>44</v>
      </c>
      <c r="H4111" s="2" t="s">
        <v>148</v>
      </c>
      <c r="I4111" s="2" t="s">
        <v>11140</v>
      </c>
      <c r="J4111" s="3" t="str">
        <f>HYPERLINK("https://www.boe.es/gazeta/dias/1811/08/15/pdfs/GMD-1811-227.pdf#page=2","Abrir facsímil")</f>
        <v>Abrir facsímil</v>
      </c>
      <c r="K4111" s="3" t="s">
        <v>150</v>
      </c>
    </row>
    <row r="4112" spans="1:11" ht="42" customHeight="1">
      <c r="A4112" s="2" t="s">
        <v>11141</v>
      </c>
      <c r="B4112" s="2" t="s">
        <v>11142</v>
      </c>
      <c r="C4112" s="2" t="s">
        <v>104</v>
      </c>
      <c r="D4112" s="2" t="s">
        <v>18</v>
      </c>
      <c r="E4112" s="4">
        <v>-32153</v>
      </c>
      <c r="F4112" s="3" t="s">
        <v>123</v>
      </c>
      <c r="G4112" s="3" t="s">
        <v>288</v>
      </c>
      <c r="H4112" s="2" t="s">
        <v>148</v>
      </c>
      <c r="I4112" s="2" t="s">
        <v>11143</v>
      </c>
      <c r="J4112" s="3" t="str">
        <f>HYPERLINK("https://www.boe.es/gazeta/dias/1811/12/19/pdfs/GMD-1811-353.pdf#page=4","Abrir facsímil")</f>
        <v>Abrir facsímil</v>
      </c>
      <c r="K4112" s="3" t="s">
        <v>150</v>
      </c>
    </row>
    <row r="4113" spans="1:11" ht="42" customHeight="1">
      <c r="A4113" s="2" t="s">
        <v>11144</v>
      </c>
      <c r="B4113" s="2" t="s">
        <v>11144</v>
      </c>
      <c r="C4113" s="2" t="s">
        <v>17</v>
      </c>
      <c r="D4113" s="2" t="s">
        <v>156</v>
      </c>
      <c r="E4113" s="4">
        <v>-32232</v>
      </c>
      <c r="F4113" s="3" t="s">
        <v>1816</v>
      </c>
      <c r="G4113" s="3" t="s">
        <v>162</v>
      </c>
      <c r="H4113" s="2" t="s">
        <v>148</v>
      </c>
      <c r="I4113" s="2" t="s">
        <v>11145</v>
      </c>
      <c r="J4113" s="3" t="str">
        <f>HYPERLINK("https://www.boe.es/gazeta/dias/1811/10/01/pdfs/GEI-1811-126.pdf#page=5","Abrir facsímil")</f>
        <v>Abrir facsímil</v>
      </c>
      <c r="K4113" s="3" t="s">
        <v>150</v>
      </c>
    </row>
    <row r="4114" spans="1:11" ht="42" customHeight="1">
      <c r="A4114" s="2" t="s">
        <v>11146</v>
      </c>
      <c r="B4114" s="2" t="s">
        <v>11146</v>
      </c>
      <c r="C4114" s="2" t="s">
        <v>17</v>
      </c>
      <c r="D4114" s="2" t="s">
        <v>156</v>
      </c>
      <c r="E4114" s="4">
        <v>-32249</v>
      </c>
      <c r="F4114" s="3" t="s">
        <v>5222</v>
      </c>
      <c r="G4114" s="3" t="s">
        <v>561</v>
      </c>
      <c r="H4114" s="2" t="s">
        <v>148</v>
      </c>
      <c r="I4114" s="2" t="s">
        <v>11147</v>
      </c>
      <c r="J4114" s="3" t="str">
        <f>HYPERLINK("https://www.boe.es/gazeta/dias/1811/09/14/pdfs/GEI-D-1811-119.pdf#page=4","Abrir facsímil")</f>
        <v>Abrir facsímil</v>
      </c>
      <c r="K4114" s="3" t="s">
        <v>150</v>
      </c>
    </row>
    <row r="4115" spans="1:11" ht="42" customHeight="1">
      <c r="A4115" s="2" t="s">
        <v>11148</v>
      </c>
      <c r="B4115" s="2" t="s">
        <v>11149</v>
      </c>
      <c r="C4115" s="2" t="s">
        <v>17</v>
      </c>
      <c r="D4115" s="2" t="s">
        <v>156</v>
      </c>
      <c r="E4115" s="4">
        <v>-32442</v>
      </c>
      <c r="F4115" s="3" t="s">
        <v>634</v>
      </c>
      <c r="G4115" s="3" t="s">
        <v>3430</v>
      </c>
      <c r="H4115" s="2" t="s">
        <v>148</v>
      </c>
      <c r="I4115" s="2" t="s">
        <v>11150</v>
      </c>
      <c r="J4115" s="3" t="str">
        <f>HYPERLINK("https://www.boe.es/gazeta/dias/1811/03/05/pdfs/GEI-1811-29.pdf#page=3","Abrir facsímil")</f>
        <v>Abrir facsímil</v>
      </c>
      <c r="K4115" s="3" t="s">
        <v>150</v>
      </c>
    </row>
    <row r="4116" spans="1:11" ht="42" customHeight="1">
      <c r="A4116" s="2" t="s">
        <v>11148</v>
      </c>
      <c r="B4116" s="2" t="s">
        <v>11149</v>
      </c>
      <c r="C4116" s="2" t="s">
        <v>26</v>
      </c>
      <c r="D4116" s="2" t="s">
        <v>18</v>
      </c>
      <c r="E4116" s="4">
        <v>-32394</v>
      </c>
      <c r="F4116" s="3" t="s">
        <v>1709</v>
      </c>
      <c r="G4116" s="3" t="s">
        <v>115</v>
      </c>
      <c r="H4116" s="2" t="s">
        <v>148</v>
      </c>
      <c r="I4116" s="2" t="s">
        <v>11151</v>
      </c>
      <c r="J4116" s="3" t="str">
        <f>HYPERLINK("https://www.boe.es/gazeta/dias/1811/04/22/pdfs/GMD-1811-112.pdf#page=3","Abrir facsímil")</f>
        <v>Abrir facsímil</v>
      </c>
      <c r="K4116" s="3" t="s">
        <v>150</v>
      </c>
    </row>
    <row r="4117" spans="1:11" ht="42" customHeight="1">
      <c r="A4117" s="2" t="s">
        <v>11152</v>
      </c>
      <c r="B4117" s="2" t="s">
        <v>11153</v>
      </c>
      <c r="C4117" s="2" t="s">
        <v>17</v>
      </c>
      <c r="D4117" s="2" t="s">
        <v>18</v>
      </c>
      <c r="E4117" s="4">
        <v>-32503</v>
      </c>
      <c r="F4117" s="3" t="s">
        <v>487</v>
      </c>
      <c r="G4117" s="3" t="s">
        <v>1930</v>
      </c>
      <c r="H4117" s="2" t="s">
        <v>148</v>
      </c>
      <c r="I4117" s="2" t="s">
        <v>11154</v>
      </c>
      <c r="J4117" s="3" t="str">
        <f>HYPERLINK("https://www.boe.es/gazeta/dias/1811/01/03/pdfs/GEI-1811-2.pdf#page=8","Abrir facsímil")</f>
        <v>Abrir facsímil</v>
      </c>
      <c r="K4117" s="3" t="s">
        <v>150</v>
      </c>
    </row>
    <row r="4118" spans="1:11" ht="42" customHeight="1">
      <c r="A4118" s="2" t="s">
        <v>11155</v>
      </c>
      <c r="B4118" s="2" t="s">
        <v>11156</v>
      </c>
      <c r="C4118" s="2" t="s">
        <v>26</v>
      </c>
      <c r="D4118" s="2" t="s">
        <v>18</v>
      </c>
      <c r="E4118" s="4">
        <v>-32379</v>
      </c>
      <c r="F4118" s="3" t="s">
        <v>462</v>
      </c>
      <c r="G4118" s="3" t="s">
        <v>463</v>
      </c>
      <c r="H4118" s="2" t="s">
        <v>148</v>
      </c>
      <c r="I4118" s="2" t="s">
        <v>11157</v>
      </c>
      <c r="J4118" s="3" t="str">
        <f>HYPERLINK("https://www.boe.es/gazeta/dias/1811/05/07/pdfs/GEI-1811-60.pdf#page=8","Abrir facsímil")</f>
        <v>Abrir facsímil</v>
      </c>
      <c r="K4118" s="3" t="s">
        <v>150</v>
      </c>
    </row>
    <row r="4119" spans="1:11" ht="42" customHeight="1">
      <c r="A4119" s="2" t="s">
        <v>11158</v>
      </c>
      <c r="B4119" s="2" t="s">
        <v>11159</v>
      </c>
      <c r="C4119" s="2" t="s">
        <v>26</v>
      </c>
      <c r="D4119" s="2" t="s">
        <v>141</v>
      </c>
      <c r="E4119" s="4">
        <v>-32365</v>
      </c>
      <c r="F4119" s="3" t="s">
        <v>1304</v>
      </c>
      <c r="G4119" s="3" t="s">
        <v>120</v>
      </c>
      <c r="H4119" s="2" t="s">
        <v>148</v>
      </c>
      <c r="I4119" s="2" t="s">
        <v>11160</v>
      </c>
      <c r="J4119" s="3" t="str">
        <f>HYPERLINK("https://www.boe.es/gazeta/dias/1811/05/21/pdfs/GEI-D-1811-67.pdf#page=4","Abrir facsímil")</f>
        <v>Abrir facsímil</v>
      </c>
      <c r="K4119" s="3" t="s">
        <v>150</v>
      </c>
    </row>
    <row r="4120" spans="1:11" ht="42" customHeight="1">
      <c r="A4120" s="2" t="s">
        <v>11161</v>
      </c>
      <c r="B4120" s="2" t="s">
        <v>11162</v>
      </c>
      <c r="C4120" s="2" t="s">
        <v>26</v>
      </c>
      <c r="D4120" s="2" t="s">
        <v>141</v>
      </c>
      <c r="E4120" s="4">
        <v>-32396</v>
      </c>
      <c r="F4120" s="3" t="s">
        <v>804</v>
      </c>
      <c r="G4120" s="3" t="s">
        <v>805</v>
      </c>
      <c r="H4120" s="2" t="s">
        <v>148</v>
      </c>
      <c r="I4120" s="2" t="s">
        <v>11163</v>
      </c>
      <c r="J4120" s="3" t="str">
        <f>HYPERLINK("https://www.boe.es/gazeta/dias/1811/04/20/pdfs/GEI-D-1811-53.pdf#page=4","Abrir facsímil")</f>
        <v>Abrir facsímil</v>
      </c>
      <c r="K4120" s="3" t="s">
        <v>150</v>
      </c>
    </row>
    <row r="4121" spans="1:11" ht="42" customHeight="1">
      <c r="A4121" s="2" t="s">
        <v>11164</v>
      </c>
      <c r="B4121" s="2" t="s">
        <v>11165</v>
      </c>
      <c r="C4121" s="2" t="s">
        <v>17</v>
      </c>
      <c r="D4121" s="2" t="s">
        <v>18</v>
      </c>
      <c r="E4121" s="4">
        <v>-32412</v>
      </c>
      <c r="F4121" s="3" t="s">
        <v>998</v>
      </c>
      <c r="G4121" s="3" t="s">
        <v>1939</v>
      </c>
      <c r="H4121" s="2" t="s">
        <v>148</v>
      </c>
      <c r="I4121" s="2" t="s">
        <v>11166</v>
      </c>
      <c r="J4121" s="3" t="str">
        <f>HYPERLINK("https://www.boe.es/gazeta/dias/1811/04/04/pdfs/GEI-1811-46.pdf#page=4","Abrir facsímil")</f>
        <v>Abrir facsímil</v>
      </c>
      <c r="K4121" s="3" t="s">
        <v>150</v>
      </c>
    </row>
    <row r="4122" spans="1:11" ht="42" customHeight="1">
      <c r="A4122" s="2" t="s">
        <v>11167</v>
      </c>
      <c r="B4122" s="2" t="s">
        <v>11168</v>
      </c>
      <c r="C4122" s="2" t="s">
        <v>26</v>
      </c>
      <c r="D4122" s="2" t="s">
        <v>18</v>
      </c>
      <c r="E4122" s="4">
        <v>-32165</v>
      </c>
      <c r="F4122" s="3" t="s">
        <v>4621</v>
      </c>
      <c r="G4122" s="3" t="s">
        <v>480</v>
      </c>
      <c r="H4122" s="2" t="s">
        <v>148</v>
      </c>
      <c r="I4122" s="2" t="s">
        <v>11169</v>
      </c>
      <c r="J4122" s="3" t="str">
        <f>HYPERLINK("https://www.boe.es/gazeta/dias/1811/12/07/pdfs/GEI-1811-159.pdf#page=4","Abrir facsímil")</f>
        <v>Abrir facsímil</v>
      </c>
      <c r="K4122" s="3" t="s">
        <v>150</v>
      </c>
    </row>
    <row r="4123" spans="1:11" ht="42" customHeight="1">
      <c r="A4123" s="2" t="s">
        <v>11170</v>
      </c>
      <c r="B4123" s="2" t="s">
        <v>11170</v>
      </c>
      <c r="C4123" s="2" t="s">
        <v>104</v>
      </c>
      <c r="D4123" s="2" t="s">
        <v>18</v>
      </c>
      <c r="E4123" s="4">
        <v>-32494</v>
      </c>
      <c r="F4123" s="3" t="s">
        <v>585</v>
      </c>
      <c r="G4123" s="3" t="s">
        <v>391</v>
      </c>
      <c r="H4123" s="2" t="s">
        <v>148</v>
      </c>
      <c r="I4123" s="2" t="s">
        <v>11171</v>
      </c>
      <c r="J4123" s="3" t="str">
        <f>HYPERLINK("https://www.boe.es/gazeta/dias/1811/01/12/pdfs/GMD-1811-12.pdf#page=3","Abrir facsímil")</f>
        <v>Abrir facsímil</v>
      </c>
      <c r="K4123" s="3" t="s">
        <v>150</v>
      </c>
    </row>
    <row r="4124" spans="1:11" ht="42" customHeight="1">
      <c r="A4124" s="2" t="s">
        <v>11172</v>
      </c>
      <c r="B4124" s="2" t="s">
        <v>11173</v>
      </c>
      <c r="C4124" s="2" t="s">
        <v>367</v>
      </c>
      <c r="D4124" s="2" t="s">
        <v>18</v>
      </c>
      <c r="E4124" s="4">
        <v>-32153</v>
      </c>
      <c r="F4124" s="3" t="s">
        <v>123</v>
      </c>
      <c r="G4124" s="3" t="s">
        <v>288</v>
      </c>
      <c r="H4124" s="2" t="s">
        <v>148</v>
      </c>
      <c r="I4124" s="2" t="s">
        <v>11174</v>
      </c>
      <c r="J4124" s="3" t="str">
        <f>HYPERLINK("https://www.boe.es/gazeta/dias/1811/12/19/pdfs/GMD-1811-353.pdf#page=4","Abrir facsímil")</f>
        <v>Abrir facsímil</v>
      </c>
      <c r="K4124" s="3" t="s">
        <v>150</v>
      </c>
    </row>
    <row r="4125" spans="1:11" ht="42" customHeight="1">
      <c r="A4125" s="2" t="s">
        <v>11175</v>
      </c>
      <c r="B4125" s="2" t="s">
        <v>11176</v>
      </c>
      <c r="C4125" s="2" t="s">
        <v>26</v>
      </c>
      <c r="D4125" s="2" t="s">
        <v>18</v>
      </c>
      <c r="E4125" s="4">
        <v>-32204</v>
      </c>
      <c r="F4125" s="3" t="s">
        <v>177</v>
      </c>
      <c r="G4125" s="3" t="s">
        <v>178</v>
      </c>
      <c r="H4125" s="2" t="s">
        <v>148</v>
      </c>
      <c r="I4125" s="2" t="s">
        <v>11177</v>
      </c>
      <c r="J4125" s="3" t="str">
        <f>HYPERLINK("https://www.boe.es/gazeta/dias/1811/10/29/pdfs/GMD-1811-302.pdf#page=4","Abrir facsímil")</f>
        <v>Abrir facsímil</v>
      </c>
      <c r="K4125" s="3" t="s">
        <v>150</v>
      </c>
    </row>
    <row r="4126" spans="1:11" ht="42" customHeight="1">
      <c r="A4126" s="2" t="s">
        <v>11178</v>
      </c>
      <c r="B4126" s="2" t="s">
        <v>11179</v>
      </c>
      <c r="C4126" s="2" t="s">
        <v>26</v>
      </c>
      <c r="D4126" s="2" t="s">
        <v>18</v>
      </c>
      <c r="E4126" s="4">
        <v>-32286</v>
      </c>
      <c r="F4126" s="3" t="s">
        <v>754</v>
      </c>
      <c r="G4126" s="3" t="s">
        <v>1728</v>
      </c>
      <c r="H4126" s="2" t="s">
        <v>148</v>
      </c>
      <c r="I4126" s="2" t="s">
        <v>11180</v>
      </c>
      <c r="J4126" s="3" t="str">
        <f>HYPERLINK("https://www.boe.es/gazeta/dias/1811/08/08/pdfs/GEI-1811-103.pdf#page=8","Abrir facsímil")</f>
        <v>Abrir facsímil</v>
      </c>
      <c r="K4126" s="3" t="s">
        <v>150</v>
      </c>
    </row>
    <row r="4127" spans="1:11" ht="42" customHeight="1">
      <c r="A4127" s="2" t="s">
        <v>11181</v>
      </c>
      <c r="B4127" s="2" t="s">
        <v>11182</v>
      </c>
      <c r="C4127" s="2" t="s">
        <v>26</v>
      </c>
      <c r="D4127" s="2" t="s">
        <v>18</v>
      </c>
      <c r="E4127" s="4">
        <v>-32379</v>
      </c>
      <c r="F4127" s="3" t="s">
        <v>462</v>
      </c>
      <c r="G4127" s="3" t="s">
        <v>463</v>
      </c>
      <c r="H4127" s="2" t="s">
        <v>148</v>
      </c>
      <c r="I4127" s="2" t="s">
        <v>11183</v>
      </c>
      <c r="J4127" s="3" t="str">
        <f>HYPERLINK("https://www.boe.es/gazeta/dias/1811/05/07/pdfs/GEI-1811-60.pdf#page=8","Abrir facsímil")</f>
        <v>Abrir facsímil</v>
      </c>
      <c r="K4127" s="3" t="s">
        <v>150</v>
      </c>
    </row>
    <row r="4128" spans="1:11" ht="42" customHeight="1">
      <c r="A4128" s="2" t="s">
        <v>11184</v>
      </c>
      <c r="B4128" s="2" t="s">
        <v>11185</v>
      </c>
      <c r="C4128" s="2" t="s">
        <v>26</v>
      </c>
      <c r="D4128" s="2" t="s">
        <v>18</v>
      </c>
      <c r="E4128" s="4">
        <v>-32340</v>
      </c>
      <c r="F4128" s="3" t="s">
        <v>565</v>
      </c>
      <c r="G4128" s="3" t="s">
        <v>91</v>
      </c>
      <c r="H4128" s="2" t="s">
        <v>148</v>
      </c>
      <c r="I4128" s="2" t="s">
        <v>11186</v>
      </c>
      <c r="J4128" s="3" t="str">
        <f>HYPERLINK("https://www.boe.es/gazeta/dias/1811/06/15/pdfs/GEI-1811-80.pdf#page=8","Abrir facsímil")</f>
        <v>Abrir facsímil</v>
      </c>
      <c r="K4128" s="3" t="s">
        <v>150</v>
      </c>
    </row>
    <row r="4129" spans="1:11" ht="42" customHeight="1">
      <c r="A4129" s="2" t="s">
        <v>11187</v>
      </c>
      <c r="B4129" s="2" t="s">
        <v>11188</v>
      </c>
      <c r="C4129" s="2" t="s">
        <v>17</v>
      </c>
      <c r="D4129" s="2" t="s">
        <v>156</v>
      </c>
      <c r="E4129" s="4">
        <v>-32463</v>
      </c>
      <c r="F4129" s="3" t="s">
        <v>734</v>
      </c>
      <c r="G4129" s="3" t="s">
        <v>735</v>
      </c>
      <c r="H4129" s="2" t="s">
        <v>148</v>
      </c>
      <c r="I4129" s="2" t="s">
        <v>11189</v>
      </c>
      <c r="J4129" s="3" t="str">
        <f>HYPERLINK("https://www.boe.es/gazeta/dias/1811/02/12/pdfs/GEI-1811-19.pdf#page=8","Abrir facsímil")</f>
        <v>Abrir facsímil</v>
      </c>
      <c r="K4129" s="3" t="s">
        <v>150</v>
      </c>
    </row>
    <row r="4130" spans="1:11" ht="42" customHeight="1">
      <c r="A4130" s="2" t="s">
        <v>11190</v>
      </c>
      <c r="B4130" s="2" t="s">
        <v>11191</v>
      </c>
      <c r="C4130" s="2" t="s">
        <v>26</v>
      </c>
      <c r="D4130" s="2" t="s">
        <v>18</v>
      </c>
      <c r="E4130" s="4">
        <v>-32505</v>
      </c>
      <c r="F4130" s="3" t="s">
        <v>475</v>
      </c>
      <c r="G4130" s="3" t="s">
        <v>755</v>
      </c>
      <c r="H4130" s="2" t="s">
        <v>148</v>
      </c>
      <c r="I4130" s="2" t="s">
        <v>11192</v>
      </c>
      <c r="J4130" s="3" t="str">
        <f>HYPERLINK("https://www.boe.es/gazeta/dias/1811/01/01/pdfs/GEI-1811-1.pdf#page=8","Abrir facsímil")</f>
        <v>Abrir facsímil</v>
      </c>
      <c r="K4130" s="3" t="s">
        <v>150</v>
      </c>
    </row>
    <row r="4131" spans="1:11" ht="42" customHeight="1">
      <c r="A4131" s="2" t="s">
        <v>11193</v>
      </c>
      <c r="B4131" s="2" t="s">
        <v>11194</v>
      </c>
      <c r="C4131" s="2" t="s">
        <v>122</v>
      </c>
      <c r="D4131" s="2" t="s">
        <v>18</v>
      </c>
      <c r="E4131" s="4">
        <v>-32297</v>
      </c>
      <c r="F4131" s="3" t="s">
        <v>2174</v>
      </c>
      <c r="G4131" s="3" t="s">
        <v>183</v>
      </c>
      <c r="H4131" s="2" t="s">
        <v>148</v>
      </c>
      <c r="I4131" s="2" t="s">
        <v>11195</v>
      </c>
      <c r="J4131" s="3" t="str">
        <f>HYPERLINK("https://www.boe.es/gazeta/dias/1811/07/28/pdfs/GMD-1811-209.pdf#page=4","Abrir facsímil")</f>
        <v>Abrir facsímil</v>
      </c>
      <c r="K4131" s="3" t="s">
        <v>150</v>
      </c>
    </row>
    <row r="4132" spans="1:11" ht="42" customHeight="1">
      <c r="A4132" s="2" t="s">
        <v>11196</v>
      </c>
      <c r="B4132" s="2" t="s">
        <v>11197</v>
      </c>
      <c r="C4132" s="2" t="s">
        <v>17</v>
      </c>
      <c r="D4132" s="2" t="s">
        <v>105</v>
      </c>
      <c r="E4132" s="4">
        <v>-32160</v>
      </c>
      <c r="F4132" s="3" t="s">
        <v>205</v>
      </c>
      <c r="G4132" s="3" t="s">
        <v>115</v>
      </c>
      <c r="H4132" s="2" t="s">
        <v>148</v>
      </c>
      <c r="I4132" s="2" t="s">
        <v>11198</v>
      </c>
      <c r="J4132" s="3" t="str">
        <f>HYPERLINK("https://www.boe.es/gazeta/dias/1811/12/12/pdfs/GMD-1811-346.pdf#page=3","Abrir facsímil")</f>
        <v>Abrir facsímil</v>
      </c>
      <c r="K4132" s="3" t="s">
        <v>150</v>
      </c>
    </row>
    <row r="4133" spans="1:11" ht="42" customHeight="1">
      <c r="A4133" s="2" t="s">
        <v>11199</v>
      </c>
      <c r="B4133" s="2" t="s">
        <v>11200</v>
      </c>
      <c r="C4133" s="2" t="s">
        <v>26</v>
      </c>
      <c r="D4133" s="2" t="s">
        <v>18</v>
      </c>
      <c r="E4133" s="4">
        <v>-32312</v>
      </c>
      <c r="F4133" s="3" t="s">
        <v>2640</v>
      </c>
      <c r="G4133" s="3" t="s">
        <v>162</v>
      </c>
      <c r="H4133" s="2" t="s">
        <v>148</v>
      </c>
      <c r="I4133" s="2" t="s">
        <v>11201</v>
      </c>
      <c r="J4133" s="3" t="str">
        <f>HYPERLINK("https://www.boe.es/gazeta/dias/1811/07/13/pdfs/GEI-1811-92.pdf#page=7","Abrir facsímil")</f>
        <v>Abrir facsímil</v>
      </c>
      <c r="K4133" s="3" t="s">
        <v>150</v>
      </c>
    </row>
    <row r="4134" spans="1:11" ht="42" customHeight="1">
      <c r="A4134" s="2" t="s">
        <v>11202</v>
      </c>
      <c r="B4134" s="2" t="s">
        <v>11203</v>
      </c>
      <c r="C4134" s="2" t="s">
        <v>26</v>
      </c>
      <c r="D4134" s="2" t="s">
        <v>18</v>
      </c>
      <c r="E4134" s="4">
        <v>-32155</v>
      </c>
      <c r="F4134" s="3" t="s">
        <v>263</v>
      </c>
      <c r="G4134" s="3" t="s">
        <v>264</v>
      </c>
      <c r="H4134" s="2" t="s">
        <v>148</v>
      </c>
      <c r="I4134" s="2" t="s">
        <v>11204</v>
      </c>
      <c r="J4134" s="3" t="str">
        <f>HYPERLINK("https://www.boe.es/gazeta/dias/1811/12/17/pdfs/GEI-1811-163.pdf#page=8","Abrir facsímil")</f>
        <v>Abrir facsímil</v>
      </c>
      <c r="K4134" s="3" t="s">
        <v>150</v>
      </c>
    </row>
    <row r="4135" spans="1:11" ht="42" customHeight="1">
      <c r="A4135" s="2" t="s">
        <v>11205</v>
      </c>
      <c r="B4135" s="2" t="s">
        <v>11206</v>
      </c>
      <c r="C4135" s="2" t="s">
        <v>26</v>
      </c>
      <c r="D4135" s="2" t="s">
        <v>18</v>
      </c>
      <c r="E4135" s="4">
        <v>-32452</v>
      </c>
      <c r="F4135" s="3" t="s">
        <v>106</v>
      </c>
      <c r="G4135" s="3" t="s">
        <v>20</v>
      </c>
      <c r="H4135" s="2" t="s">
        <v>148</v>
      </c>
      <c r="I4135" s="2" t="s">
        <v>11207</v>
      </c>
      <c r="J4135" s="3" t="str">
        <f>HYPERLINK("https://www.boe.es/gazeta/dias/1811/02/23/pdfs/GEI-1811-24.pdf#page=8","Abrir facsímil")</f>
        <v>Abrir facsímil</v>
      </c>
      <c r="K4135" s="3" t="s">
        <v>150</v>
      </c>
    </row>
    <row r="4136" spans="1:11" ht="42" customHeight="1">
      <c r="A4136" s="2" t="s">
        <v>11208</v>
      </c>
      <c r="B4136" s="2" t="s">
        <v>11209</v>
      </c>
      <c r="C4136" s="2" t="s">
        <v>17</v>
      </c>
      <c r="D4136" s="2" t="s">
        <v>156</v>
      </c>
      <c r="E4136" s="4">
        <v>-32237</v>
      </c>
      <c r="F4136" s="3" t="s">
        <v>717</v>
      </c>
      <c r="G4136" s="3" t="s">
        <v>1128</v>
      </c>
      <c r="H4136" s="2" t="s">
        <v>148</v>
      </c>
      <c r="I4136" s="2" t="s">
        <v>11210</v>
      </c>
      <c r="J4136" s="3" t="str">
        <f>HYPERLINK("https://www.boe.es/gazeta/dias/1811/09/26/pdfs/GEI-1811-124.pdf#page=8","Abrir facsímil")</f>
        <v>Abrir facsímil</v>
      </c>
      <c r="K4136" s="3" t="s">
        <v>150</v>
      </c>
    </row>
    <row r="4137" spans="1:11" ht="42" customHeight="1">
      <c r="A4137" s="2" t="s">
        <v>11211</v>
      </c>
      <c r="B4137" s="2" t="s">
        <v>11212</v>
      </c>
      <c r="C4137" s="2" t="s">
        <v>26</v>
      </c>
      <c r="D4137" s="2" t="s">
        <v>141</v>
      </c>
      <c r="E4137" s="4">
        <v>-32280</v>
      </c>
      <c r="F4137" s="3" t="s">
        <v>142</v>
      </c>
      <c r="G4137" s="3" t="s">
        <v>47</v>
      </c>
      <c r="H4137" s="2" t="s">
        <v>148</v>
      </c>
      <c r="I4137" s="2" t="s">
        <v>11213</v>
      </c>
      <c r="J4137" s="3" t="str">
        <f>HYPERLINK("https://www.boe.es/gazeta/dias/1811/08/14/pdfs/GMD-C-1811-226.pdf#page=1","Abrir facsímil")</f>
        <v>Abrir facsímil</v>
      </c>
      <c r="K4137" s="3" t="s">
        <v>150</v>
      </c>
    </row>
    <row r="4138" spans="1:11" ht="42" customHeight="1">
      <c r="A4138" s="2" t="s">
        <v>11214</v>
      </c>
      <c r="B4138" s="2" t="s">
        <v>11214</v>
      </c>
      <c r="C4138" s="2" t="s">
        <v>367</v>
      </c>
      <c r="D4138" s="2" t="s">
        <v>18</v>
      </c>
      <c r="E4138" s="4">
        <v>-32464</v>
      </c>
      <c r="F4138" s="3" t="s">
        <v>4044</v>
      </c>
      <c r="G4138" s="3" t="s">
        <v>515</v>
      </c>
      <c r="H4138" s="2" t="s">
        <v>148</v>
      </c>
      <c r="I4138" s="2" t="s">
        <v>11215</v>
      </c>
      <c r="J4138" s="3" t="str">
        <f>HYPERLINK("https://www.boe.es/gazeta/dias/1811/02/11/pdfs/GMD-1811-42.pdf#page=1","Abrir facsímil")</f>
        <v>Abrir facsímil</v>
      </c>
      <c r="K4138" s="3" t="s">
        <v>150</v>
      </c>
    </row>
    <row r="4139" spans="1:11" ht="42" customHeight="1">
      <c r="A4139" s="2" t="s">
        <v>11216</v>
      </c>
      <c r="B4139" s="2" t="s">
        <v>11216</v>
      </c>
      <c r="C4139" s="2" t="s">
        <v>26</v>
      </c>
      <c r="D4139" s="2" t="s">
        <v>18</v>
      </c>
      <c r="E4139" s="4">
        <v>-32360</v>
      </c>
      <c r="F4139" s="3" t="s">
        <v>5470</v>
      </c>
      <c r="G4139" s="3" t="s">
        <v>91</v>
      </c>
      <c r="H4139" s="2" t="s">
        <v>148</v>
      </c>
      <c r="I4139" s="2" t="s">
        <v>11217</v>
      </c>
      <c r="J4139" s="3" t="str">
        <f>HYPERLINK("https://www.boe.es/gazeta/dias/1811/05/26/pdfs/GMD-1811-146.pdf#page=2","Abrir facsímil")</f>
        <v>Abrir facsímil</v>
      </c>
      <c r="K4139" s="3" t="s">
        <v>150</v>
      </c>
    </row>
    <row r="4140" spans="1:11" ht="42" customHeight="1">
      <c r="A4140" s="2" t="s">
        <v>11218</v>
      </c>
      <c r="B4140" s="2" t="s">
        <v>11219</v>
      </c>
      <c r="C4140" s="2" t="s">
        <v>104</v>
      </c>
      <c r="D4140" s="2" t="s">
        <v>18</v>
      </c>
      <c r="E4140" s="4">
        <v>-32141</v>
      </c>
      <c r="F4140" s="3" t="s">
        <v>327</v>
      </c>
      <c r="G4140" s="3" t="s">
        <v>20</v>
      </c>
      <c r="H4140" s="2" t="s">
        <v>148</v>
      </c>
      <c r="I4140" s="2" t="s">
        <v>11220</v>
      </c>
      <c r="J4140" s="3" t="str">
        <f>HYPERLINK("https://www.boe.es/gazeta/dias/1811/12/31/pdfs/GMD-1811-365.pdf#page=4","Abrir facsímil")</f>
        <v>Abrir facsímil</v>
      </c>
      <c r="K4140" s="3" t="s">
        <v>150</v>
      </c>
    </row>
    <row r="4141" spans="1:11" ht="42" customHeight="1">
      <c r="A4141" s="2" t="s">
        <v>11221</v>
      </c>
      <c r="B4141" s="2" t="s">
        <v>11222</v>
      </c>
      <c r="C4141" s="2" t="s">
        <v>26</v>
      </c>
      <c r="D4141" s="2" t="s">
        <v>18</v>
      </c>
      <c r="E4141" s="4">
        <v>-32496</v>
      </c>
      <c r="F4141" s="3" t="s">
        <v>1927</v>
      </c>
      <c r="G4141" s="3" t="s">
        <v>1928</v>
      </c>
      <c r="H4141" s="2" t="s">
        <v>148</v>
      </c>
      <c r="I4141" s="2" t="s">
        <v>11223</v>
      </c>
      <c r="J4141" s="3" t="str">
        <f>HYPERLINK("https://www.boe.es/gazeta/dias/1811/01/10/pdfs/GEI-1811-5.pdf#page=6","Abrir facsímil")</f>
        <v>Abrir facsímil</v>
      </c>
      <c r="K4141" s="3" t="s">
        <v>150</v>
      </c>
    </row>
    <row r="4142" spans="1:11" ht="42" customHeight="1">
      <c r="A4142" s="2" t="s">
        <v>11224</v>
      </c>
      <c r="B4142" s="2" t="s">
        <v>11224</v>
      </c>
      <c r="C4142" s="2" t="s">
        <v>26</v>
      </c>
      <c r="D4142" s="2" t="s">
        <v>18</v>
      </c>
      <c r="E4142" s="4">
        <v>-32215</v>
      </c>
      <c r="F4142" s="3" t="s">
        <v>6300</v>
      </c>
      <c r="G4142" s="3" t="s">
        <v>178</v>
      </c>
      <c r="H4142" s="2" t="s">
        <v>148</v>
      </c>
      <c r="I4142" s="2" t="s">
        <v>11225</v>
      </c>
      <c r="J4142" s="3" t="str">
        <f>HYPERLINK("https://www.boe.es/gazeta/dias/1811/10/18/pdfs/GMD-1811-291.pdf#page=2","Abrir facsímil")</f>
        <v>Abrir facsímil</v>
      </c>
      <c r="K4142" s="3" t="s">
        <v>150</v>
      </c>
    </row>
    <row r="4143" spans="1:11" ht="42" customHeight="1">
      <c r="A4143" s="2" t="s">
        <v>11224</v>
      </c>
      <c r="B4143" s="2" t="s">
        <v>11224</v>
      </c>
      <c r="C4143" s="2" t="s">
        <v>26</v>
      </c>
      <c r="D4143" s="2" t="s">
        <v>18</v>
      </c>
      <c r="E4143" s="4">
        <v>-32167</v>
      </c>
      <c r="F4143" s="3" t="s">
        <v>1591</v>
      </c>
      <c r="G4143" s="3" t="s">
        <v>11226</v>
      </c>
      <c r="H4143" s="2" t="s">
        <v>148</v>
      </c>
      <c r="I4143" s="2" t="s">
        <v>11227</v>
      </c>
      <c r="J4143" s="3" t="str">
        <f>HYPERLINK("https://www.boe.es/gazeta/dias/1811/12/05/pdfs/GMD-1811-339.pdf#page=2","Abrir facsímil")</f>
        <v>Abrir facsímil</v>
      </c>
      <c r="K4143" s="3" t="s">
        <v>150</v>
      </c>
    </row>
    <row r="4144" spans="1:11" ht="42" customHeight="1">
      <c r="A4144" s="2" t="s">
        <v>11228</v>
      </c>
      <c r="B4144" s="2" t="s">
        <v>11229</v>
      </c>
      <c r="C4144" s="2" t="s">
        <v>17</v>
      </c>
      <c r="D4144" s="2" t="s">
        <v>18</v>
      </c>
      <c r="E4144" s="4">
        <v>-32356</v>
      </c>
      <c r="F4144" s="3" t="s">
        <v>1992</v>
      </c>
      <c r="G4144" s="3" t="s">
        <v>3613</v>
      </c>
      <c r="H4144" s="2" t="s">
        <v>148</v>
      </c>
      <c r="I4144" s="2" t="s">
        <v>11230</v>
      </c>
      <c r="J4144" s="3" t="str">
        <f>HYPERLINK("https://www.boe.es/gazeta/dias/1811/05/30/pdfs/GEI-1811-73.pdf#page=5","Abrir facsímil")</f>
        <v>Abrir facsímil</v>
      </c>
      <c r="K4144" s="3" t="s">
        <v>150</v>
      </c>
    </row>
    <row r="4145" spans="1:11" ht="42" customHeight="1">
      <c r="A4145" s="2" t="s">
        <v>11231</v>
      </c>
      <c r="B4145" s="2" t="s">
        <v>11231</v>
      </c>
      <c r="C4145" s="2" t="s">
        <v>26</v>
      </c>
      <c r="D4145" s="2" t="s">
        <v>141</v>
      </c>
      <c r="E4145" s="4">
        <v>-32249</v>
      </c>
      <c r="F4145" s="3" t="s">
        <v>743</v>
      </c>
      <c r="G4145" s="3" t="s">
        <v>1021</v>
      </c>
      <c r="H4145" s="2" t="s">
        <v>148</v>
      </c>
      <c r="I4145" s="2" t="s">
        <v>11232</v>
      </c>
      <c r="J4145" s="3" t="str">
        <f>HYPERLINK("https://www.boe.es/gazeta/dias/1811/09/14/pdfs/GMD-C-1811-257.pdf#page=2","Abrir facsímil")</f>
        <v>Abrir facsímil</v>
      </c>
      <c r="K4145" s="3" t="s">
        <v>150</v>
      </c>
    </row>
    <row r="4146" spans="1:11" ht="42" customHeight="1">
      <c r="A4146" s="2" t="s">
        <v>11233</v>
      </c>
      <c r="B4146" s="2" t="s">
        <v>11234</v>
      </c>
      <c r="C4146" s="2" t="s">
        <v>17</v>
      </c>
      <c r="D4146" s="2" t="s">
        <v>105</v>
      </c>
      <c r="E4146" s="4">
        <v>-32232</v>
      </c>
      <c r="F4146" s="3" t="s">
        <v>1816</v>
      </c>
      <c r="G4146" s="3" t="s">
        <v>1817</v>
      </c>
      <c r="H4146" s="2" t="s">
        <v>148</v>
      </c>
      <c r="I4146" s="2" t="s">
        <v>11235</v>
      </c>
      <c r="J4146" s="3" t="str">
        <f>HYPERLINK("https://www.boe.es/gazeta/dias/1811/10/01/pdfs/GEI-1811-126.pdf#page=8","Abrir facsímil")</f>
        <v>Abrir facsímil</v>
      </c>
      <c r="K4146" s="3" t="s">
        <v>150</v>
      </c>
    </row>
    <row r="4147" spans="1:11" ht="42" customHeight="1">
      <c r="A4147" s="2" t="s">
        <v>11236</v>
      </c>
      <c r="B4147" s="2" t="s">
        <v>11237</v>
      </c>
      <c r="C4147" s="2" t="s">
        <v>17</v>
      </c>
      <c r="D4147" s="2" t="s">
        <v>156</v>
      </c>
      <c r="E4147" s="4">
        <v>-32144</v>
      </c>
      <c r="F4147" s="3" t="s">
        <v>1097</v>
      </c>
      <c r="G4147" s="3" t="s">
        <v>476</v>
      </c>
      <c r="H4147" s="2" t="s">
        <v>21</v>
      </c>
      <c r="I4147" s="2" t="s">
        <v>11238</v>
      </c>
      <c r="J4147" s="3" t="str">
        <f>HYPERLINK("https://www.boe.es/gazeta/dias/1811/12/28/pdfs/GEI-1811-168.pdf#page=7","Abrir facsímil")</f>
        <v>Abrir facsímil</v>
      </c>
      <c r="K4147" s="3" t="s">
        <v>23</v>
      </c>
    </row>
    <row r="4148" spans="1:11" ht="42" customHeight="1">
      <c r="A4148" s="2" t="s">
        <v>11239</v>
      </c>
      <c r="B4148" s="2" t="s">
        <v>11239</v>
      </c>
      <c r="C4148" s="2" t="s">
        <v>17</v>
      </c>
      <c r="D4148" s="2" t="s">
        <v>18</v>
      </c>
      <c r="E4148" s="4">
        <v>-32223</v>
      </c>
      <c r="F4148" s="3" t="s">
        <v>5139</v>
      </c>
      <c r="G4148" s="3" t="s">
        <v>440</v>
      </c>
      <c r="H4148" s="2" t="s">
        <v>148</v>
      </c>
      <c r="I4148" s="2" t="s">
        <v>11240</v>
      </c>
      <c r="J4148" s="3" t="str">
        <f>HYPERLINK("https://www.boe.es/gazeta/dias/1811/10/10/pdfs/GMD-1811-283.pdf#page=3","Abrir facsímil")</f>
        <v>Abrir facsímil</v>
      </c>
      <c r="K4148" s="3" t="s">
        <v>150</v>
      </c>
    </row>
    <row r="4149" spans="1:11" ht="42" customHeight="1">
      <c r="A4149" s="2" t="s">
        <v>11241</v>
      </c>
      <c r="B4149" s="2" t="s">
        <v>11242</v>
      </c>
      <c r="C4149" s="2" t="s">
        <v>26</v>
      </c>
      <c r="D4149" s="2" t="s">
        <v>18</v>
      </c>
      <c r="E4149" s="4">
        <v>-32145</v>
      </c>
      <c r="F4149" s="3" t="s">
        <v>417</v>
      </c>
      <c r="G4149" s="3" t="s">
        <v>418</v>
      </c>
      <c r="H4149" s="2" t="s">
        <v>148</v>
      </c>
      <c r="I4149" s="2" t="s">
        <v>11243</v>
      </c>
      <c r="J4149" s="3" t="str">
        <f>HYPERLINK("https://www.boe.es/gazeta/dias/1811/12/27/pdfs/GMD-1811-361.pdf#page=4","Abrir facsímil")</f>
        <v>Abrir facsímil</v>
      </c>
      <c r="K4149" s="3" t="s">
        <v>150</v>
      </c>
    </row>
    <row r="4150" spans="1:11" ht="42" customHeight="1">
      <c r="A4150" s="2" t="s">
        <v>11244</v>
      </c>
      <c r="B4150" s="2" t="s">
        <v>11245</v>
      </c>
      <c r="C4150" s="2" t="s">
        <v>26</v>
      </c>
      <c r="D4150" s="2" t="s">
        <v>18</v>
      </c>
      <c r="E4150" s="4">
        <v>-32314</v>
      </c>
      <c r="F4150" s="3" t="s">
        <v>6914</v>
      </c>
      <c r="G4150" s="3" t="s">
        <v>248</v>
      </c>
      <c r="H4150" s="2" t="s">
        <v>148</v>
      </c>
      <c r="I4150" s="2" t="s">
        <v>11246</v>
      </c>
      <c r="J4150" s="3" t="str">
        <f>HYPERLINK("https://www.boe.es/gazeta/dias/1811/07/11/pdfs/GMD-1811-192.pdf#page=4","Abrir facsímil")</f>
        <v>Abrir facsímil</v>
      </c>
      <c r="K4150" s="3" t="s">
        <v>150</v>
      </c>
    </row>
    <row r="4151" spans="1:11" ht="42" customHeight="1">
      <c r="A4151" s="2" t="s">
        <v>11247</v>
      </c>
      <c r="B4151" s="2" t="s">
        <v>11248</v>
      </c>
      <c r="C4151" s="2" t="s">
        <v>26</v>
      </c>
      <c r="D4151" s="2" t="s">
        <v>18</v>
      </c>
      <c r="E4151" s="4">
        <v>-32295</v>
      </c>
      <c r="F4151" s="3" t="s">
        <v>279</v>
      </c>
      <c r="G4151" s="3" t="s">
        <v>44</v>
      </c>
      <c r="H4151" s="2" t="s">
        <v>148</v>
      </c>
      <c r="I4151" s="2" t="s">
        <v>11249</v>
      </c>
      <c r="J4151" s="3" t="str">
        <f>HYPERLINK("https://www.boe.es/gazeta/dias/1811/07/30/pdfs/GEI-1811-99.pdf#page=8","Abrir facsímil")</f>
        <v>Abrir facsímil</v>
      </c>
      <c r="K4151" s="3" t="s">
        <v>150</v>
      </c>
    </row>
    <row r="4152" spans="1:11" ht="42" customHeight="1">
      <c r="A4152" s="2" t="s">
        <v>11250</v>
      </c>
      <c r="B4152" s="2" t="s">
        <v>11250</v>
      </c>
      <c r="C4152" s="2" t="s">
        <v>17</v>
      </c>
      <c r="D4152" s="2" t="s">
        <v>156</v>
      </c>
      <c r="E4152" s="4">
        <v>-32356</v>
      </c>
      <c r="F4152" s="3" t="s">
        <v>1992</v>
      </c>
      <c r="G4152" s="3" t="s">
        <v>5236</v>
      </c>
      <c r="H4152" s="2" t="s">
        <v>148</v>
      </c>
      <c r="I4152" s="2" t="s">
        <v>11251</v>
      </c>
      <c r="J4152" s="3" t="str">
        <f>HYPERLINK("https://www.boe.es/gazeta/dias/1811/05/30/pdfs/GEI-1811-73.pdf#page=4","Abrir facsímil")</f>
        <v>Abrir facsímil</v>
      </c>
      <c r="K4152" s="3" t="s">
        <v>150</v>
      </c>
    </row>
    <row r="4153" spans="1:11" ht="42" customHeight="1">
      <c r="A4153" s="2" t="s">
        <v>11252</v>
      </c>
      <c r="B4153" s="2" t="s">
        <v>11253</v>
      </c>
      <c r="C4153" s="2" t="s">
        <v>367</v>
      </c>
      <c r="D4153" s="2" t="s">
        <v>18</v>
      </c>
      <c r="E4153" s="4">
        <v>-32492</v>
      </c>
      <c r="F4153" s="3" t="s">
        <v>1512</v>
      </c>
      <c r="G4153" s="3" t="s">
        <v>183</v>
      </c>
      <c r="H4153" s="2" t="s">
        <v>148</v>
      </c>
      <c r="I4153" s="2" t="s">
        <v>11254</v>
      </c>
      <c r="J4153" s="3" t="str">
        <f>HYPERLINK("https://www.boe.es/gazeta/dias/1811/01/14/pdfs/GMD-1811-14.pdf#page=4","Abrir facsímil")</f>
        <v>Abrir facsímil</v>
      </c>
      <c r="K4153" s="3" t="s">
        <v>150</v>
      </c>
    </row>
    <row r="4154" spans="1:11" ht="42" customHeight="1">
      <c r="A4154" s="2" t="s">
        <v>11252</v>
      </c>
      <c r="B4154" s="2" t="s">
        <v>11253</v>
      </c>
      <c r="C4154" s="2" t="s">
        <v>26</v>
      </c>
      <c r="D4154" s="2" t="s">
        <v>18</v>
      </c>
      <c r="E4154" s="4">
        <v>-32491</v>
      </c>
      <c r="F4154" s="3" t="s">
        <v>2280</v>
      </c>
      <c r="G4154" s="3" t="s">
        <v>44</v>
      </c>
      <c r="H4154" s="2" t="s">
        <v>148</v>
      </c>
      <c r="I4154" s="2" t="s">
        <v>11255</v>
      </c>
      <c r="J4154" s="3" t="str">
        <f>HYPERLINK("https://www.boe.es/gazeta/dias/1811/01/15/pdfs/GMD-1811-15.pdf#page=4","Abrir facsímil")</f>
        <v>Abrir facsímil</v>
      </c>
      <c r="K4154" s="3" t="s">
        <v>150</v>
      </c>
    </row>
    <row r="4155" spans="1:11" ht="42" customHeight="1">
      <c r="A4155" s="2" t="s">
        <v>11252</v>
      </c>
      <c r="B4155" s="2" t="s">
        <v>11253</v>
      </c>
      <c r="C4155" s="2" t="s">
        <v>26</v>
      </c>
      <c r="D4155" s="2" t="s">
        <v>18</v>
      </c>
      <c r="E4155" s="4">
        <v>-32390</v>
      </c>
      <c r="F4155" s="3" t="s">
        <v>6268</v>
      </c>
      <c r="G4155" s="3" t="s">
        <v>183</v>
      </c>
      <c r="H4155" s="2" t="s">
        <v>148</v>
      </c>
      <c r="I4155" s="2" t="s">
        <v>11256</v>
      </c>
      <c r="J4155" s="3" t="str">
        <f>HYPERLINK("https://www.boe.es/gazeta/dias/1811/04/26/pdfs/GMD-1811-116.pdf#page=4","Abrir facsímil")</f>
        <v>Abrir facsímil</v>
      </c>
      <c r="K4155" s="3" t="s">
        <v>150</v>
      </c>
    </row>
    <row r="4156" spans="1:11" ht="42" customHeight="1">
      <c r="A4156" s="2" t="s">
        <v>11252</v>
      </c>
      <c r="B4156" s="2" t="s">
        <v>11253</v>
      </c>
      <c r="C4156" s="2" t="s">
        <v>26</v>
      </c>
      <c r="D4156" s="2" t="s">
        <v>18</v>
      </c>
      <c r="E4156" s="4">
        <v>-32386</v>
      </c>
      <c r="F4156" s="3" t="s">
        <v>6053</v>
      </c>
      <c r="G4156" s="3" t="s">
        <v>20</v>
      </c>
      <c r="H4156" s="2" t="s">
        <v>148</v>
      </c>
      <c r="I4156" s="2" t="s">
        <v>11257</v>
      </c>
      <c r="J4156" s="3" t="str">
        <f>HYPERLINK("https://www.boe.es/gazeta/dias/1811/04/30/pdfs/GMD-1811-120.pdf#page=4","Abrir facsímil")</f>
        <v>Abrir facsímil</v>
      </c>
      <c r="K4156" s="3" t="s">
        <v>150</v>
      </c>
    </row>
    <row r="4157" spans="1:11" ht="42" customHeight="1">
      <c r="A4157" s="2" t="s">
        <v>11252</v>
      </c>
      <c r="B4157" s="2" t="s">
        <v>11253</v>
      </c>
      <c r="C4157" s="2" t="s">
        <v>66</v>
      </c>
      <c r="D4157" s="2" t="s">
        <v>105</v>
      </c>
      <c r="E4157" s="4">
        <v>-32347</v>
      </c>
      <c r="F4157" s="3" t="s">
        <v>5230</v>
      </c>
      <c r="G4157" s="3" t="s">
        <v>248</v>
      </c>
      <c r="H4157" s="2" t="s">
        <v>148</v>
      </c>
      <c r="I4157" s="2" t="s">
        <v>11258</v>
      </c>
      <c r="J4157" s="3" t="str">
        <f>HYPERLINK("https://www.boe.es/gazeta/dias/1811/06/08/pdfs/GMD-1811-159.pdf#page=4","Abrir facsímil")</f>
        <v>Abrir facsímil</v>
      </c>
      <c r="K4157" s="3" t="s">
        <v>150</v>
      </c>
    </row>
    <row r="4158" spans="1:11" ht="42" customHeight="1">
      <c r="A4158" s="2" t="s">
        <v>11252</v>
      </c>
      <c r="B4158" s="2" t="s">
        <v>11253</v>
      </c>
      <c r="C4158" s="2" t="s">
        <v>26</v>
      </c>
      <c r="D4158" s="2" t="s">
        <v>105</v>
      </c>
      <c r="E4158" s="4">
        <v>-32333</v>
      </c>
      <c r="F4158" s="3" t="s">
        <v>11259</v>
      </c>
      <c r="G4158" s="3" t="s">
        <v>91</v>
      </c>
      <c r="H4158" s="2" t="s">
        <v>148</v>
      </c>
      <c r="I4158" s="2" t="s">
        <v>11260</v>
      </c>
      <c r="J4158" s="3" t="str">
        <f>HYPERLINK("https://www.boe.es/gazeta/dias/1811/06/22/pdfs/GMD-1811-173.pdf#page=4","Abrir facsímil")</f>
        <v>Abrir facsímil</v>
      </c>
      <c r="K4158" s="3" t="s">
        <v>150</v>
      </c>
    </row>
    <row r="4159" spans="1:11" ht="42" customHeight="1">
      <c r="A4159" s="2" t="s">
        <v>11252</v>
      </c>
      <c r="B4159" s="2" t="s">
        <v>11253</v>
      </c>
      <c r="C4159" s="2" t="s">
        <v>26</v>
      </c>
      <c r="D4159" s="2" t="s">
        <v>18</v>
      </c>
      <c r="E4159" s="4">
        <v>-32326</v>
      </c>
      <c r="F4159" s="3" t="s">
        <v>2321</v>
      </c>
      <c r="G4159" s="3" t="s">
        <v>183</v>
      </c>
      <c r="H4159" s="2" t="s">
        <v>148</v>
      </c>
      <c r="I4159" s="2" t="s">
        <v>11261</v>
      </c>
      <c r="J4159" s="3" t="str">
        <f>HYPERLINK("https://www.boe.es/gazeta/dias/1811/06/29/pdfs/GMD-1811-180.pdf#page=4","Abrir facsímil")</f>
        <v>Abrir facsímil</v>
      </c>
      <c r="K4159" s="3" t="s">
        <v>150</v>
      </c>
    </row>
    <row r="4160" spans="1:11" ht="42" customHeight="1">
      <c r="A4160" s="2" t="s">
        <v>11252</v>
      </c>
      <c r="B4160" s="2" t="s">
        <v>11253</v>
      </c>
      <c r="C4160" s="2" t="s">
        <v>367</v>
      </c>
      <c r="D4160" s="2" t="s">
        <v>18</v>
      </c>
      <c r="E4160" s="4">
        <v>-32310</v>
      </c>
      <c r="F4160" s="3" t="s">
        <v>2317</v>
      </c>
      <c r="G4160" s="3" t="s">
        <v>468</v>
      </c>
      <c r="H4160" s="2" t="s">
        <v>148</v>
      </c>
      <c r="I4160" s="2" t="s">
        <v>11262</v>
      </c>
      <c r="J4160" s="3" t="str">
        <f>HYPERLINK("https://www.boe.es/gazeta/dias/1811/07/15/pdfs/GMD-1811-196.pdf#page=4","Abrir facsímil")</f>
        <v>Abrir facsímil</v>
      </c>
      <c r="K4160" s="3" t="s">
        <v>150</v>
      </c>
    </row>
    <row r="4161" spans="1:11" ht="42" customHeight="1">
      <c r="A4161" s="2" t="s">
        <v>11252</v>
      </c>
      <c r="B4161" s="2" t="s">
        <v>11253</v>
      </c>
      <c r="C4161" s="2" t="s">
        <v>84</v>
      </c>
      <c r="D4161" s="2" t="s">
        <v>18</v>
      </c>
      <c r="E4161" s="4">
        <v>-32259</v>
      </c>
      <c r="F4161" s="3" t="s">
        <v>3276</v>
      </c>
      <c r="G4161" s="3" t="s">
        <v>47</v>
      </c>
      <c r="H4161" s="2" t="s">
        <v>148</v>
      </c>
      <c r="I4161" s="2" t="s">
        <v>11263</v>
      </c>
      <c r="J4161" s="3" t="str">
        <f>HYPERLINK("https://www.boe.es/gazeta/dias/1811/09/04/pdfs/GMD-1811-247.pdf#page=4","Abrir facsímil")</f>
        <v>Abrir facsímil</v>
      </c>
      <c r="K4161" s="3" t="s">
        <v>150</v>
      </c>
    </row>
    <row r="4162" spans="1:11" ht="42" customHeight="1">
      <c r="A4162" s="2" t="s">
        <v>11252</v>
      </c>
      <c r="B4162" s="2" t="s">
        <v>11253</v>
      </c>
      <c r="C4162" s="2" t="s">
        <v>26</v>
      </c>
      <c r="D4162" s="2" t="s">
        <v>18</v>
      </c>
      <c r="E4162" s="4">
        <v>-32229</v>
      </c>
      <c r="F4162" s="3" t="s">
        <v>2523</v>
      </c>
      <c r="G4162" s="3" t="s">
        <v>2524</v>
      </c>
      <c r="H4162" s="2" t="s">
        <v>148</v>
      </c>
      <c r="I4162" s="2" t="s">
        <v>11264</v>
      </c>
      <c r="J4162" s="3" t="str">
        <f>HYPERLINK("https://www.boe.es/gazeta/dias/1811/10/04/pdfs/GMD-1811-277.pdf#page=4","Abrir facsímil")</f>
        <v>Abrir facsímil</v>
      </c>
      <c r="K4162" s="3" t="s">
        <v>150</v>
      </c>
    </row>
    <row r="4163" spans="1:11" ht="42" customHeight="1">
      <c r="A4163" s="2" t="s">
        <v>11252</v>
      </c>
      <c r="B4163" s="2" t="s">
        <v>11253</v>
      </c>
      <c r="C4163" s="2" t="s">
        <v>17</v>
      </c>
      <c r="D4163" s="2" t="s">
        <v>18</v>
      </c>
      <c r="E4163" s="4">
        <v>-32171</v>
      </c>
      <c r="F4163" s="3" t="s">
        <v>157</v>
      </c>
      <c r="G4163" s="3" t="s">
        <v>44</v>
      </c>
      <c r="H4163" s="2" t="s">
        <v>148</v>
      </c>
      <c r="I4163" s="2" t="s">
        <v>11265</v>
      </c>
      <c r="J4163" s="3" t="str">
        <f>HYPERLINK("https://www.boe.es/gazeta/dias/1811/12/01/pdfs/GMD-1811-335.pdf#page=4","Abrir facsímil")</f>
        <v>Abrir facsímil</v>
      </c>
      <c r="K4163" s="3" t="s">
        <v>150</v>
      </c>
    </row>
    <row r="4164" spans="1:11" ht="42" customHeight="1">
      <c r="A4164" s="2" t="s">
        <v>11252</v>
      </c>
      <c r="B4164" s="2" t="s">
        <v>11253</v>
      </c>
      <c r="C4164" s="2" t="s">
        <v>26</v>
      </c>
      <c r="D4164" s="2" t="s">
        <v>18</v>
      </c>
      <c r="E4164" s="4">
        <v>-32167</v>
      </c>
      <c r="F4164" s="3" t="s">
        <v>1591</v>
      </c>
      <c r="G4164" s="3" t="s">
        <v>301</v>
      </c>
      <c r="H4164" s="2" t="s">
        <v>148</v>
      </c>
      <c r="I4164" s="2" t="s">
        <v>11266</v>
      </c>
      <c r="J4164" s="3" t="str">
        <f>HYPERLINK("https://www.boe.es/gazeta/dias/1811/12/05/pdfs/GMD-1811-339.pdf#page=4","Abrir facsímil")</f>
        <v>Abrir facsímil</v>
      </c>
      <c r="K4164" s="3" t="s">
        <v>150</v>
      </c>
    </row>
    <row r="4165" spans="1:11" ht="42" customHeight="1">
      <c r="A4165" s="2" t="s">
        <v>11267</v>
      </c>
      <c r="B4165" s="2" t="s">
        <v>11268</v>
      </c>
      <c r="C4165" s="2" t="s">
        <v>26</v>
      </c>
      <c r="D4165" s="2" t="s">
        <v>18</v>
      </c>
      <c r="E4165" s="4">
        <v>-32200</v>
      </c>
      <c r="F4165" s="3" t="s">
        <v>8807</v>
      </c>
      <c r="G4165" s="3" t="s">
        <v>8808</v>
      </c>
      <c r="H4165" s="2" t="s">
        <v>148</v>
      </c>
      <c r="I4165" s="2" t="s">
        <v>11269</v>
      </c>
      <c r="J4165" s="3" t="str">
        <f>HYPERLINK("https://www.boe.es/gazeta/dias/1811/11/02/pdfs/GMD-1811-306.pdf#page=4","Abrir facsímil")</f>
        <v>Abrir facsímil</v>
      </c>
      <c r="K4165" s="3" t="s">
        <v>150</v>
      </c>
    </row>
    <row r="4166" spans="1:11" ht="42" customHeight="1">
      <c r="A4166" s="2" t="s">
        <v>11270</v>
      </c>
      <c r="B4166" s="2" t="s">
        <v>11271</v>
      </c>
      <c r="C4166" s="2" t="s">
        <v>17</v>
      </c>
      <c r="D4166" s="2" t="s">
        <v>18</v>
      </c>
      <c r="E4166" s="4">
        <v>-32337</v>
      </c>
      <c r="F4166" s="3" t="s">
        <v>5266</v>
      </c>
      <c r="G4166" s="3" t="s">
        <v>4049</v>
      </c>
      <c r="H4166" s="2" t="s">
        <v>148</v>
      </c>
      <c r="I4166" s="2" t="s">
        <v>11272</v>
      </c>
      <c r="J4166" s="3" t="str">
        <f>HYPERLINK("https://www.boe.es/gazeta/dias/1811/06/18/pdfs/GEI-1811-81.pdf#page=5","Abrir facsímil")</f>
        <v>Abrir facsímil</v>
      </c>
      <c r="K4166" s="3" t="s">
        <v>150</v>
      </c>
    </row>
    <row r="4167" spans="1:11" ht="42" customHeight="1">
      <c r="A4167" s="2" t="s">
        <v>11273</v>
      </c>
      <c r="B4167" s="2" t="s">
        <v>11274</v>
      </c>
      <c r="C4167" s="2" t="s">
        <v>26</v>
      </c>
      <c r="D4167" s="2" t="s">
        <v>105</v>
      </c>
      <c r="E4167" s="4">
        <v>-32249</v>
      </c>
      <c r="F4167" s="3" t="s">
        <v>743</v>
      </c>
      <c r="G4167" s="3" t="s">
        <v>468</v>
      </c>
      <c r="H4167" s="2" t="s">
        <v>148</v>
      </c>
      <c r="I4167" s="2" t="s">
        <v>11275</v>
      </c>
      <c r="J4167" s="3" t="str">
        <f>HYPERLINK("https://www.boe.es/gazeta/dias/1811/09/14/pdfs/GMD-C-1811-257.pdf#page=1","Abrir facsímil")</f>
        <v>Abrir facsímil</v>
      </c>
      <c r="K4167" s="3" t="s">
        <v>150</v>
      </c>
    </row>
    <row r="4168" spans="1:11" ht="42" customHeight="1">
      <c r="A4168" s="2" t="s">
        <v>11276</v>
      </c>
      <c r="B4168" s="2" t="s">
        <v>11277</v>
      </c>
      <c r="C4168" s="2" t="s">
        <v>17</v>
      </c>
      <c r="D4168" s="2" t="s">
        <v>156</v>
      </c>
      <c r="E4168" s="4">
        <v>-32150</v>
      </c>
      <c r="F4168" s="3" t="s">
        <v>1174</v>
      </c>
      <c r="G4168" s="3" t="s">
        <v>20</v>
      </c>
      <c r="H4168" s="2" t="s">
        <v>148</v>
      </c>
      <c r="I4168" s="2" t="s">
        <v>11278</v>
      </c>
      <c r="J4168" s="3" t="str">
        <f>HYPERLINK("https://www.boe.es/gazeta/dias/1811/12/22/pdfs/GMD-1811-356.pdf#page=4","Abrir facsímil")</f>
        <v>Abrir facsímil</v>
      </c>
      <c r="K4168" s="3" t="s">
        <v>150</v>
      </c>
    </row>
    <row r="4169" spans="1:11" ht="42" customHeight="1">
      <c r="A4169" s="2" t="s">
        <v>11279</v>
      </c>
      <c r="B4169" s="2" t="s">
        <v>11279</v>
      </c>
      <c r="C4169" s="2" t="s">
        <v>66</v>
      </c>
      <c r="D4169" s="2" t="s">
        <v>18</v>
      </c>
      <c r="E4169" s="4">
        <v>-32173</v>
      </c>
      <c r="F4169" s="3" t="s">
        <v>2701</v>
      </c>
      <c r="G4169" s="3" t="s">
        <v>178</v>
      </c>
      <c r="H4169" s="2" t="s">
        <v>148</v>
      </c>
      <c r="I4169" s="2" t="s">
        <v>11280</v>
      </c>
      <c r="J4169" s="3" t="str">
        <f>HYPERLINK("https://www.boe.es/gazeta/dias/1811/11/29/pdfs/GMD-1811-333.pdf#page=4","Abrir facsímil")</f>
        <v>Abrir facsímil</v>
      </c>
      <c r="K4169" s="3" t="s">
        <v>150</v>
      </c>
    </row>
    <row r="4170" spans="1:11" ht="42" customHeight="1">
      <c r="A4170" s="2" t="s">
        <v>11281</v>
      </c>
      <c r="B4170" s="2" t="s">
        <v>11282</v>
      </c>
      <c r="C4170" s="2" t="s">
        <v>17</v>
      </c>
      <c r="D4170" s="2" t="s">
        <v>156</v>
      </c>
      <c r="E4170" s="4">
        <v>-32358</v>
      </c>
      <c r="F4170" s="3" t="s">
        <v>2971</v>
      </c>
      <c r="G4170" s="3" t="s">
        <v>44</v>
      </c>
      <c r="H4170" s="2" t="s">
        <v>148</v>
      </c>
      <c r="I4170" s="2" t="s">
        <v>11283</v>
      </c>
      <c r="J4170" s="3" t="str">
        <f>HYPERLINK("https://www.boe.es/gazeta/dias/1811/05/28/pdfs/GEI-1811-72.pdf#page=2","Abrir facsímil")</f>
        <v>Abrir facsímil</v>
      </c>
      <c r="K4170" s="3" t="s">
        <v>150</v>
      </c>
    </row>
    <row r="4171" spans="1:11" ht="42" customHeight="1">
      <c r="A4171" s="2" t="s">
        <v>11284</v>
      </c>
      <c r="B4171" s="2" t="s">
        <v>11285</v>
      </c>
      <c r="C4171" s="2" t="s">
        <v>37</v>
      </c>
      <c r="D4171" s="2" t="s">
        <v>18</v>
      </c>
      <c r="E4171" s="4">
        <v>-32218</v>
      </c>
      <c r="F4171" s="3" t="s">
        <v>938</v>
      </c>
      <c r="G4171" s="3" t="s">
        <v>4896</v>
      </c>
      <c r="H4171" s="2" t="s">
        <v>148</v>
      </c>
      <c r="I4171" s="2" t="s">
        <v>11286</v>
      </c>
      <c r="J4171" s="3" t="str">
        <f>HYPERLINK("https://www.boe.es/gazeta/dias/1811/10/15/pdfs/GEI-1811-133.pdf#page=7","Abrir facsímil")</f>
        <v>Abrir facsímil</v>
      </c>
      <c r="K4171" s="3" t="s">
        <v>150</v>
      </c>
    </row>
    <row r="4172" spans="1:11" ht="42" customHeight="1">
      <c r="A4172" s="2" t="s">
        <v>11287</v>
      </c>
      <c r="B4172" s="2" t="s">
        <v>11288</v>
      </c>
      <c r="C4172" s="2" t="s">
        <v>104</v>
      </c>
      <c r="D4172" s="2" t="s">
        <v>18</v>
      </c>
      <c r="E4172" s="4">
        <v>-32162</v>
      </c>
      <c r="F4172" s="3" t="s">
        <v>317</v>
      </c>
      <c r="G4172" s="3" t="s">
        <v>318</v>
      </c>
      <c r="H4172" s="2" t="s">
        <v>148</v>
      </c>
      <c r="I4172" s="2" t="s">
        <v>11289</v>
      </c>
      <c r="J4172" s="3" t="str">
        <f>HYPERLINK("https://www.boe.es/gazeta/dias/1811/12/10/pdfs/GEI-1811-160.pdf#page=8","Abrir facsímil")</f>
        <v>Abrir facsímil</v>
      </c>
      <c r="K4172" s="3" t="s">
        <v>150</v>
      </c>
    </row>
    <row r="4173" spans="1:11" ht="42" customHeight="1">
      <c r="A4173" s="2" t="s">
        <v>11290</v>
      </c>
      <c r="B4173" s="2" t="s">
        <v>11291</v>
      </c>
      <c r="C4173" s="2" t="s">
        <v>841</v>
      </c>
      <c r="D4173" s="2" t="s">
        <v>141</v>
      </c>
      <c r="E4173" s="4">
        <v>-32396</v>
      </c>
      <c r="F4173" s="3" t="s">
        <v>804</v>
      </c>
      <c r="G4173" s="3" t="s">
        <v>805</v>
      </c>
      <c r="H4173" s="2" t="s">
        <v>148</v>
      </c>
      <c r="I4173" s="2" t="s">
        <v>11292</v>
      </c>
      <c r="J4173" s="3" t="str">
        <f>HYPERLINK("https://www.boe.es/gazeta/dias/1811/04/20/pdfs/GEI-D-1811-53.pdf#page=4","Abrir facsímil")</f>
        <v>Abrir facsímil</v>
      </c>
      <c r="K4173" s="3" t="s">
        <v>150</v>
      </c>
    </row>
    <row r="4174" spans="1:11" ht="42" customHeight="1">
      <c r="A4174" s="2" t="s">
        <v>11293</v>
      </c>
      <c r="B4174" s="2" t="s">
        <v>11294</v>
      </c>
      <c r="C4174" s="2" t="s">
        <v>17</v>
      </c>
      <c r="D4174" s="2" t="s">
        <v>18</v>
      </c>
      <c r="E4174" s="4">
        <v>-32259</v>
      </c>
      <c r="F4174" s="3" t="s">
        <v>3276</v>
      </c>
      <c r="G4174" s="3" t="s">
        <v>47</v>
      </c>
      <c r="H4174" s="2" t="s">
        <v>148</v>
      </c>
      <c r="I4174" s="2" t="s">
        <v>11295</v>
      </c>
      <c r="J4174" s="3" t="str">
        <f>HYPERLINK("https://www.boe.es/gazeta/dias/1811/09/04/pdfs/GMD-1811-247.pdf#page=4","Abrir facsímil")</f>
        <v>Abrir facsímil</v>
      </c>
      <c r="K4174" s="3" t="s">
        <v>150</v>
      </c>
    </row>
    <row r="4175" spans="1:11" ht="42" customHeight="1">
      <c r="A4175" s="2" t="s">
        <v>11296</v>
      </c>
      <c r="B4175" s="2" t="s">
        <v>11297</v>
      </c>
      <c r="C4175" s="2" t="s">
        <v>104</v>
      </c>
      <c r="D4175" s="2" t="s">
        <v>141</v>
      </c>
      <c r="E4175" s="4">
        <v>-32272</v>
      </c>
      <c r="F4175" s="3" t="s">
        <v>1150</v>
      </c>
      <c r="G4175" s="3" t="s">
        <v>468</v>
      </c>
      <c r="H4175" s="2" t="s">
        <v>148</v>
      </c>
      <c r="I4175" s="2" t="s">
        <v>11298</v>
      </c>
      <c r="J4175" s="3" t="str">
        <f>HYPERLINK("https://www.boe.es/gazeta/dias/1811/08/22/pdfs/GMD-C-1811-234.pdf#page=2","Abrir facsímil")</f>
        <v>Abrir facsímil</v>
      </c>
      <c r="K4175" s="3" t="s">
        <v>150</v>
      </c>
    </row>
    <row r="4176" spans="1:11" ht="42" customHeight="1">
      <c r="A4176" s="2" t="s">
        <v>11299</v>
      </c>
      <c r="B4176" s="2" t="s">
        <v>11300</v>
      </c>
      <c r="C4176" s="2" t="s">
        <v>26</v>
      </c>
      <c r="D4176" s="2" t="s">
        <v>18</v>
      </c>
      <c r="E4176" s="4">
        <v>-32242</v>
      </c>
      <c r="F4176" s="3" t="s">
        <v>1295</v>
      </c>
      <c r="G4176" s="3" t="s">
        <v>1296</v>
      </c>
      <c r="H4176" s="2" t="s">
        <v>148</v>
      </c>
      <c r="I4176" s="2" t="s">
        <v>11301</v>
      </c>
      <c r="J4176" s="3" t="str">
        <f>HYPERLINK("https://www.boe.es/gazeta/dias/1811/09/21/pdfs/GEI-1811-122.pdf#page=8","Abrir facsímil")</f>
        <v>Abrir facsímil</v>
      </c>
      <c r="K4176" s="3" t="s">
        <v>150</v>
      </c>
    </row>
    <row r="4177" spans="1:11" ht="42" customHeight="1">
      <c r="A4177" s="2" t="s">
        <v>11302</v>
      </c>
      <c r="B4177" s="2" t="s">
        <v>11303</v>
      </c>
      <c r="C4177" s="2" t="s">
        <v>26</v>
      </c>
      <c r="D4177" s="2" t="s">
        <v>18</v>
      </c>
      <c r="E4177" s="4">
        <v>-32200</v>
      </c>
      <c r="F4177" s="3" t="s">
        <v>109</v>
      </c>
      <c r="G4177" s="3" t="s">
        <v>268</v>
      </c>
      <c r="H4177" s="2" t="s">
        <v>148</v>
      </c>
      <c r="I4177" s="2" t="s">
        <v>11304</v>
      </c>
      <c r="J4177" s="3" t="str">
        <f>HYPERLINK("https://www.boe.es/gazeta/dias/1811/11/02/pdfs/GEI-1811-141.pdf#page=7","Abrir facsímil")</f>
        <v>Abrir facsímil</v>
      </c>
      <c r="K4177" s="3" t="s">
        <v>150</v>
      </c>
    </row>
    <row r="4178" spans="1:11" ht="42" customHeight="1">
      <c r="A4178" s="2" t="s">
        <v>11305</v>
      </c>
      <c r="B4178" s="2" t="s">
        <v>11306</v>
      </c>
      <c r="C4178" s="2" t="s">
        <v>37</v>
      </c>
      <c r="D4178" s="2" t="s">
        <v>18</v>
      </c>
      <c r="E4178" s="4">
        <v>-32258</v>
      </c>
      <c r="F4178" s="3" t="s">
        <v>449</v>
      </c>
      <c r="G4178" s="3" t="s">
        <v>903</v>
      </c>
      <c r="H4178" s="2" t="s">
        <v>148</v>
      </c>
      <c r="I4178" s="2" t="s">
        <v>11307</v>
      </c>
      <c r="J4178" s="3" t="str">
        <f>HYPERLINK("https://www.boe.es/gazeta/dias/1811/09/05/pdfs/GEI-1811-115.pdf#page=4","Abrir facsímil")</f>
        <v>Abrir facsímil</v>
      </c>
      <c r="K4178" s="3" t="s">
        <v>150</v>
      </c>
    </row>
    <row r="4179" spans="1:11" ht="42" customHeight="1">
      <c r="A4179" s="2" t="s">
        <v>11308</v>
      </c>
      <c r="B4179" s="2" t="s">
        <v>11309</v>
      </c>
      <c r="C4179" s="2" t="s">
        <v>17</v>
      </c>
      <c r="D4179" s="2" t="s">
        <v>156</v>
      </c>
      <c r="E4179" s="4">
        <v>-32438</v>
      </c>
      <c r="F4179" s="3" t="s">
        <v>114</v>
      </c>
      <c r="G4179" s="3" t="s">
        <v>2805</v>
      </c>
      <c r="H4179" s="2" t="s">
        <v>148</v>
      </c>
      <c r="I4179" s="2" t="s">
        <v>11310</v>
      </c>
      <c r="J4179" s="3" t="str">
        <f>HYPERLINK("https://www.boe.es/gazeta/dias/1811/03/09/pdfs/GEI-1811-33.pdf#page=6","Abrir facsímil")</f>
        <v>Abrir facsímil</v>
      </c>
      <c r="K4179" s="3" t="s">
        <v>150</v>
      </c>
    </row>
    <row r="4180" spans="1:11" ht="42" customHeight="1">
      <c r="A4180" s="2" t="s">
        <v>11311</v>
      </c>
      <c r="B4180" s="2" t="s">
        <v>11312</v>
      </c>
      <c r="C4180" s="2" t="s">
        <v>17</v>
      </c>
      <c r="D4180" s="2" t="s">
        <v>18</v>
      </c>
      <c r="E4180" s="4">
        <v>-32438</v>
      </c>
      <c r="F4180" s="3" t="s">
        <v>114</v>
      </c>
      <c r="G4180" s="3" t="s">
        <v>115</v>
      </c>
      <c r="H4180" s="2" t="s">
        <v>148</v>
      </c>
      <c r="I4180" s="2" t="s">
        <v>11313</v>
      </c>
      <c r="J4180" s="3" t="str">
        <f>HYPERLINK("https://www.boe.es/gazeta/dias/1811/03/09/pdfs/GEI-1811-33.pdf#page=3","Abrir facsímil")</f>
        <v>Abrir facsímil</v>
      </c>
      <c r="K4180" s="3" t="s">
        <v>150</v>
      </c>
    </row>
    <row r="4181" spans="1:11" ht="42" customHeight="1">
      <c r="A4181" s="2" t="s">
        <v>11311</v>
      </c>
      <c r="B4181" s="2" t="s">
        <v>11312</v>
      </c>
      <c r="C4181" s="2" t="s">
        <v>26</v>
      </c>
      <c r="D4181" s="2" t="s">
        <v>18</v>
      </c>
      <c r="E4181" s="4">
        <v>-32270</v>
      </c>
      <c r="F4181" s="3" t="s">
        <v>431</v>
      </c>
      <c r="G4181" s="3" t="s">
        <v>2080</v>
      </c>
      <c r="H4181" s="2" t="s">
        <v>148</v>
      </c>
      <c r="I4181" s="2" t="s">
        <v>11314</v>
      </c>
      <c r="J4181" s="3" t="str">
        <f>HYPERLINK("https://www.boe.es/gazeta/dias/1811/08/24/pdfs/GEI-1811-110.pdf#page=5","Abrir facsímil")</f>
        <v>Abrir facsímil</v>
      </c>
      <c r="K4181" s="3" t="s">
        <v>150</v>
      </c>
    </row>
    <row r="4182" spans="1:11" ht="42" customHeight="1">
      <c r="A4182" s="2" t="s">
        <v>11315</v>
      </c>
      <c r="B4182" s="2" t="s">
        <v>11316</v>
      </c>
      <c r="C4182" s="2" t="s">
        <v>26</v>
      </c>
      <c r="D4182" s="2" t="s">
        <v>18</v>
      </c>
      <c r="E4182" s="4">
        <v>-32204</v>
      </c>
      <c r="F4182" s="3" t="s">
        <v>177</v>
      </c>
      <c r="G4182" s="3" t="s">
        <v>178</v>
      </c>
      <c r="H4182" s="2" t="s">
        <v>148</v>
      </c>
      <c r="I4182" s="2" t="s">
        <v>11317</v>
      </c>
      <c r="J4182" s="3" t="str">
        <f>HYPERLINK("https://www.boe.es/gazeta/dias/1811/10/29/pdfs/GMD-1811-302.pdf#page=4","Abrir facsímil")</f>
        <v>Abrir facsímil</v>
      </c>
      <c r="K4182" s="3" t="s">
        <v>150</v>
      </c>
    </row>
    <row r="4183" spans="1:11" ht="42" customHeight="1">
      <c r="A4183" s="2" t="s">
        <v>11318</v>
      </c>
      <c r="B4183" s="2" t="s">
        <v>11319</v>
      </c>
      <c r="C4183" s="2" t="s">
        <v>17</v>
      </c>
      <c r="D4183" s="2" t="s">
        <v>156</v>
      </c>
      <c r="E4183" s="4">
        <v>-32179</v>
      </c>
      <c r="F4183" s="3" t="s">
        <v>614</v>
      </c>
      <c r="G4183" s="3" t="s">
        <v>615</v>
      </c>
      <c r="H4183" s="2" t="s">
        <v>148</v>
      </c>
      <c r="I4183" s="2" t="s">
        <v>11320</v>
      </c>
      <c r="J4183" s="3" t="str">
        <f>HYPERLINK("https://www.boe.es/gazeta/dias/1811/11/23/pdfs/GEI-1811-153.pdf#page=4","Abrir facsímil")</f>
        <v>Abrir facsímil</v>
      </c>
      <c r="K4183" s="3" t="s">
        <v>150</v>
      </c>
    </row>
    <row r="4184" spans="1:11" ht="42" customHeight="1">
      <c r="A4184" s="2" t="s">
        <v>11321</v>
      </c>
      <c r="B4184" s="2" t="s">
        <v>11322</v>
      </c>
      <c r="C4184" s="2" t="s">
        <v>26</v>
      </c>
      <c r="D4184" s="2" t="s">
        <v>18</v>
      </c>
      <c r="E4184" s="4">
        <v>-32158</v>
      </c>
      <c r="F4184" s="3" t="s">
        <v>46</v>
      </c>
      <c r="G4184" s="3" t="s">
        <v>47</v>
      </c>
      <c r="H4184" s="2" t="s">
        <v>148</v>
      </c>
      <c r="I4184" s="2" t="s">
        <v>11323</v>
      </c>
      <c r="J4184" s="3" t="str">
        <f>HYPERLINK("https://www.boe.es/gazeta/dias/1811/12/14/pdfs/GEI-1811-162.pdf#page=7","Abrir facsímil")</f>
        <v>Abrir facsímil</v>
      </c>
      <c r="K4184" s="3" t="s">
        <v>150</v>
      </c>
    </row>
    <row r="4185" spans="1:11" ht="42" customHeight="1">
      <c r="A4185" s="2" t="s">
        <v>11324</v>
      </c>
      <c r="B4185" s="2" t="s">
        <v>11325</v>
      </c>
      <c r="C4185" s="2" t="s">
        <v>26</v>
      </c>
      <c r="D4185" s="2" t="s">
        <v>18</v>
      </c>
      <c r="E4185" s="4">
        <v>-32195</v>
      </c>
      <c r="F4185" s="3" t="s">
        <v>439</v>
      </c>
      <c r="G4185" s="3" t="s">
        <v>440</v>
      </c>
      <c r="H4185" s="2" t="s">
        <v>148</v>
      </c>
      <c r="I4185" s="2" t="s">
        <v>11326</v>
      </c>
      <c r="J4185" s="3" t="str">
        <f>HYPERLINK("https://www.boe.es/gazeta/dias/1811/11/07/pdfs/GEI-1811-144.pdf#page=8","Abrir facsímil")</f>
        <v>Abrir facsímil</v>
      </c>
      <c r="K4185" s="3" t="s">
        <v>150</v>
      </c>
    </row>
    <row r="4186" spans="1:11" ht="42" customHeight="1">
      <c r="A4186" s="2" t="s">
        <v>11327</v>
      </c>
      <c r="B4186" s="2" t="s">
        <v>11328</v>
      </c>
      <c r="C4186" s="2" t="s">
        <v>37</v>
      </c>
      <c r="D4186" s="2" t="s">
        <v>18</v>
      </c>
      <c r="E4186" s="4">
        <v>-32241</v>
      </c>
      <c r="F4186" s="3" t="s">
        <v>514</v>
      </c>
      <c r="G4186" s="3" t="s">
        <v>515</v>
      </c>
      <c r="H4186" s="2" t="s">
        <v>148</v>
      </c>
      <c r="I4186" s="2" t="s">
        <v>11329</v>
      </c>
      <c r="J4186" s="3" t="str">
        <f>HYPERLINK("https://www.boe.es/gazeta/dias/1811/09/22/pdfs/GMD-1811-265.pdf#page=4","Abrir facsímil")</f>
        <v>Abrir facsímil</v>
      </c>
      <c r="K4186" s="3" t="s">
        <v>150</v>
      </c>
    </row>
    <row r="4187" spans="1:11" ht="42" customHeight="1">
      <c r="A4187" s="2" t="s">
        <v>11330</v>
      </c>
      <c r="B4187" s="2" t="s">
        <v>11331</v>
      </c>
      <c r="C4187" s="2" t="s">
        <v>84</v>
      </c>
      <c r="D4187" s="2" t="s">
        <v>105</v>
      </c>
      <c r="E4187" s="4">
        <v>-32242</v>
      </c>
      <c r="F4187" s="3" t="s">
        <v>1295</v>
      </c>
      <c r="G4187" s="3" t="s">
        <v>1296</v>
      </c>
      <c r="H4187" s="2" t="s">
        <v>148</v>
      </c>
      <c r="I4187" s="2" t="s">
        <v>11332</v>
      </c>
      <c r="J4187" s="3" t="str">
        <f>HYPERLINK("https://www.boe.es/gazeta/dias/1811/09/21/pdfs/GEI-1811-122.pdf#page=8","Abrir facsímil")</f>
        <v>Abrir facsímil</v>
      </c>
      <c r="K4187" s="3" t="s">
        <v>150</v>
      </c>
    </row>
    <row r="4188" spans="1:11" ht="42" customHeight="1">
      <c r="A4188" s="2" t="s">
        <v>11333</v>
      </c>
      <c r="B4188" s="2" t="s">
        <v>11333</v>
      </c>
      <c r="C4188" s="2" t="s">
        <v>17</v>
      </c>
      <c r="D4188" s="2" t="s">
        <v>18</v>
      </c>
      <c r="E4188" s="4">
        <v>-32278</v>
      </c>
      <c r="F4188" s="3" t="s">
        <v>765</v>
      </c>
      <c r="G4188" s="3" t="s">
        <v>11334</v>
      </c>
      <c r="H4188" s="2" t="s">
        <v>148</v>
      </c>
      <c r="I4188" s="2" t="s">
        <v>11335</v>
      </c>
      <c r="J4188" s="3" t="str">
        <f>HYPERLINK("https://www.boe.es/gazeta/dias/1811/08/16/pdfs/GMD-1811-228.pdf#page=1","Abrir facsímil")</f>
        <v>Abrir facsímil</v>
      </c>
      <c r="K4188" s="3" t="s">
        <v>150</v>
      </c>
    </row>
    <row r="4189" spans="1:11" ht="42" customHeight="1">
      <c r="A4189" s="2" t="s">
        <v>11336</v>
      </c>
      <c r="B4189" s="2" t="s">
        <v>11337</v>
      </c>
      <c r="C4189" s="2" t="s">
        <v>17</v>
      </c>
      <c r="D4189" s="2" t="s">
        <v>18</v>
      </c>
      <c r="E4189" s="4">
        <v>-32398</v>
      </c>
      <c r="F4189" s="3" t="s">
        <v>946</v>
      </c>
      <c r="G4189" s="3" t="s">
        <v>947</v>
      </c>
      <c r="H4189" s="2" t="s">
        <v>148</v>
      </c>
      <c r="I4189" s="2" t="s">
        <v>11338</v>
      </c>
      <c r="J4189" s="3" t="str">
        <f>HYPERLINK("https://www.boe.es/gazeta/dias/1811/04/18/pdfs/GEI-1811-52.pdf#page=6","Abrir facsímil")</f>
        <v>Abrir facsímil</v>
      </c>
      <c r="K4189" s="3" t="s">
        <v>150</v>
      </c>
    </row>
    <row r="4190" spans="1:11" ht="42" customHeight="1">
      <c r="A4190" s="2" t="s">
        <v>11339</v>
      </c>
      <c r="B4190" s="2" t="s">
        <v>11339</v>
      </c>
      <c r="C4190" s="2" t="s">
        <v>17</v>
      </c>
      <c r="D4190" s="2" t="s">
        <v>156</v>
      </c>
      <c r="E4190" s="4">
        <v>-32434</v>
      </c>
      <c r="F4190" s="3" t="s">
        <v>1932</v>
      </c>
      <c r="G4190" s="3" t="s">
        <v>468</v>
      </c>
      <c r="H4190" s="2" t="s">
        <v>148</v>
      </c>
      <c r="I4190" s="2" t="s">
        <v>11340</v>
      </c>
      <c r="J4190" s="3" t="str">
        <f>HYPERLINK("https://www.boe.es/gazeta/dias/1811/03/13/pdfs/GMD-1811-72.pdf#page=4","Abrir facsímil")</f>
        <v>Abrir facsímil</v>
      </c>
      <c r="K4190" s="3" t="s">
        <v>150</v>
      </c>
    </row>
    <row r="4191" spans="1:11" ht="42" customHeight="1">
      <c r="A4191" s="2" t="s">
        <v>11341</v>
      </c>
      <c r="B4191" s="2" t="s">
        <v>11341</v>
      </c>
      <c r="C4191" s="2" t="s">
        <v>37</v>
      </c>
      <c r="D4191" s="2" t="s">
        <v>18</v>
      </c>
      <c r="E4191" s="4">
        <v>-32501</v>
      </c>
      <c r="F4191" s="3" t="s">
        <v>509</v>
      </c>
      <c r="G4191" s="3" t="s">
        <v>468</v>
      </c>
      <c r="H4191" s="2" t="s">
        <v>148</v>
      </c>
      <c r="I4191" s="2" t="s">
        <v>11342</v>
      </c>
      <c r="J4191" s="3" t="str">
        <f>HYPERLINK("https://www.boe.es/gazeta/dias/1811/01/05/pdfs/GEI-1811-3.pdf#page=7","Abrir facsímil")</f>
        <v>Abrir facsímil</v>
      </c>
      <c r="K4191" s="3" t="s">
        <v>150</v>
      </c>
    </row>
    <row r="4192" spans="1:11" ht="42" customHeight="1">
      <c r="A4192" s="2" t="s">
        <v>11343</v>
      </c>
      <c r="B4192" s="2" t="s">
        <v>11344</v>
      </c>
      <c r="C4192" s="2" t="s">
        <v>26</v>
      </c>
      <c r="D4192" s="2" t="s">
        <v>18</v>
      </c>
      <c r="E4192" s="4">
        <v>-32188</v>
      </c>
      <c r="F4192" s="3" t="s">
        <v>356</v>
      </c>
      <c r="G4192" s="3" t="s">
        <v>468</v>
      </c>
      <c r="H4192" s="2" t="s">
        <v>148</v>
      </c>
      <c r="I4192" s="2" t="s">
        <v>11345</v>
      </c>
      <c r="J4192" s="3" t="str">
        <f>HYPERLINK("https://www.boe.es/gazeta/dias/1811/11/14/pdfs/GMD-1811-318.pdf#page=6","Abrir facsímil")</f>
        <v>Abrir facsímil</v>
      </c>
      <c r="K4192" s="3" t="s">
        <v>150</v>
      </c>
    </row>
    <row r="4193" spans="1:11" ht="42" customHeight="1">
      <c r="A4193" s="2" t="s">
        <v>11346</v>
      </c>
      <c r="B4193" s="2" t="s">
        <v>11347</v>
      </c>
      <c r="C4193" s="2" t="s">
        <v>26</v>
      </c>
      <c r="D4193" s="2" t="s">
        <v>18</v>
      </c>
      <c r="E4193" s="4">
        <v>-32188</v>
      </c>
      <c r="F4193" s="3" t="s">
        <v>356</v>
      </c>
      <c r="G4193" s="3" t="s">
        <v>468</v>
      </c>
      <c r="H4193" s="2" t="s">
        <v>148</v>
      </c>
      <c r="I4193" s="2" t="s">
        <v>11348</v>
      </c>
      <c r="J4193" s="3" t="str">
        <f>HYPERLINK("https://www.boe.es/gazeta/dias/1811/11/14/pdfs/GMD-1811-318.pdf#page=6","Abrir facsímil")</f>
        <v>Abrir facsímil</v>
      </c>
      <c r="K4193" s="3" t="s">
        <v>150</v>
      </c>
    </row>
    <row r="4194" spans="1:11" ht="42" customHeight="1">
      <c r="A4194" s="2" t="s">
        <v>11349</v>
      </c>
      <c r="B4194" s="2" t="s">
        <v>11350</v>
      </c>
      <c r="C4194" s="2" t="s">
        <v>841</v>
      </c>
      <c r="D4194" s="2" t="s">
        <v>18</v>
      </c>
      <c r="E4194" s="4">
        <v>-32379</v>
      </c>
      <c r="F4194" s="3" t="s">
        <v>462</v>
      </c>
      <c r="G4194" s="3" t="s">
        <v>463</v>
      </c>
      <c r="H4194" s="2" t="s">
        <v>148</v>
      </c>
      <c r="I4194" s="2" t="s">
        <v>11351</v>
      </c>
      <c r="J4194" s="3" t="str">
        <f>HYPERLINK("https://www.boe.es/gazeta/dias/1811/05/07/pdfs/GEI-1811-60.pdf#page=8","Abrir facsímil")</f>
        <v>Abrir facsímil</v>
      </c>
      <c r="K4194" s="3" t="s">
        <v>150</v>
      </c>
    </row>
    <row r="4195" spans="1:11" ht="42" customHeight="1">
      <c r="A4195" s="2" t="s">
        <v>11352</v>
      </c>
      <c r="B4195" s="2" t="s">
        <v>11353</v>
      </c>
      <c r="C4195" s="2" t="s">
        <v>26</v>
      </c>
      <c r="D4195" s="2" t="s">
        <v>18</v>
      </c>
      <c r="E4195" s="4">
        <v>-32171</v>
      </c>
      <c r="F4195" s="3" t="s">
        <v>157</v>
      </c>
      <c r="G4195" s="3" t="s">
        <v>44</v>
      </c>
      <c r="H4195" s="2" t="s">
        <v>148</v>
      </c>
      <c r="I4195" s="2" t="s">
        <v>11354</v>
      </c>
      <c r="J4195" s="3" t="str">
        <f>HYPERLINK("https://www.boe.es/gazeta/dias/1811/12/01/pdfs/GMD-1811-335.pdf#page=4","Abrir facsímil")</f>
        <v>Abrir facsímil</v>
      </c>
      <c r="K4195" s="3" t="s">
        <v>150</v>
      </c>
    </row>
    <row r="4196" spans="1:11" ht="42" customHeight="1">
      <c r="A4196" s="2" t="s">
        <v>11355</v>
      </c>
      <c r="B4196" s="2" t="s">
        <v>11356</v>
      </c>
      <c r="C4196" s="2" t="s">
        <v>17</v>
      </c>
      <c r="D4196" s="2" t="s">
        <v>18</v>
      </c>
      <c r="E4196" s="4">
        <v>-32300</v>
      </c>
      <c r="F4196" s="3" t="s">
        <v>61</v>
      </c>
      <c r="G4196" s="3" t="s">
        <v>62</v>
      </c>
      <c r="H4196" s="2" t="s">
        <v>21</v>
      </c>
      <c r="I4196" s="2" t="s">
        <v>11357</v>
      </c>
      <c r="J4196" s="3" t="str">
        <f>HYPERLINK("https://www.boe.es/gazeta/dias/1811/07/25/pdfs/GEI-1811-97.pdf#page=5","Abrir facsímil")</f>
        <v>Abrir facsímil</v>
      </c>
      <c r="K4196" s="3" t="s">
        <v>23</v>
      </c>
    </row>
    <row r="4197" spans="1:11" ht="42" customHeight="1">
      <c r="A4197" s="2" t="s">
        <v>11358</v>
      </c>
      <c r="B4197" s="2" t="s">
        <v>11358</v>
      </c>
      <c r="C4197" s="2" t="s">
        <v>17</v>
      </c>
      <c r="D4197" s="2" t="s">
        <v>18</v>
      </c>
      <c r="E4197" s="4">
        <v>-32230</v>
      </c>
      <c r="F4197" s="3" t="s">
        <v>625</v>
      </c>
      <c r="G4197" s="3" t="s">
        <v>626</v>
      </c>
      <c r="H4197" s="2" t="s">
        <v>148</v>
      </c>
      <c r="I4197" s="2" t="s">
        <v>11359</v>
      </c>
      <c r="J4197" s="3" t="str">
        <f>HYPERLINK("https://www.boe.es/gazeta/dias/1811/10/03/pdfs/GEI-1811-127.pdf#page=3","Abrir facsímil")</f>
        <v>Abrir facsímil</v>
      </c>
      <c r="K4197" s="3" t="s">
        <v>150</v>
      </c>
    </row>
    <row r="4198" spans="1:11" ht="42" customHeight="1">
      <c r="A4198" s="2" t="s">
        <v>11360</v>
      </c>
      <c r="B4198" s="2" t="s">
        <v>11360</v>
      </c>
      <c r="C4198" s="2" t="s">
        <v>17</v>
      </c>
      <c r="D4198" s="2" t="s">
        <v>18</v>
      </c>
      <c r="E4198" s="4">
        <v>-32475</v>
      </c>
      <c r="F4198" s="3" t="s">
        <v>259</v>
      </c>
      <c r="G4198" s="3" t="s">
        <v>20</v>
      </c>
      <c r="H4198" s="2" t="s">
        <v>148</v>
      </c>
      <c r="I4198" s="2" t="s">
        <v>11361</v>
      </c>
      <c r="J4198" s="3" t="str">
        <f>HYPERLINK("https://www.boe.es/gazeta/dias/1811/01/31/pdfs/GMD-1811-31.pdf#page=4","Abrir facsímil")</f>
        <v>Abrir facsímil</v>
      </c>
      <c r="K4198" s="3" t="s">
        <v>150</v>
      </c>
    </row>
    <row r="4199" spans="1:11" ht="42" customHeight="1">
      <c r="A4199" s="2" t="s">
        <v>11360</v>
      </c>
      <c r="B4199" s="2" t="s">
        <v>11360</v>
      </c>
      <c r="C4199" s="2" t="s">
        <v>17</v>
      </c>
      <c r="D4199" s="2" t="s">
        <v>156</v>
      </c>
      <c r="E4199" s="4">
        <v>-32459</v>
      </c>
      <c r="F4199" s="3" t="s">
        <v>227</v>
      </c>
      <c r="G4199" s="3" t="s">
        <v>488</v>
      </c>
      <c r="H4199" s="2" t="s">
        <v>148</v>
      </c>
      <c r="I4199" s="2" t="s">
        <v>11362</v>
      </c>
      <c r="J4199" s="3" t="str">
        <f>HYPERLINK("https://www.boe.es/gazeta/dias/1811/02/16/pdfs/GMD-1811-47.pdf#page=2","Abrir facsímil")</f>
        <v>Abrir facsímil</v>
      </c>
      <c r="K4199" s="3" t="s">
        <v>150</v>
      </c>
    </row>
    <row r="4200" spans="1:11" ht="42" customHeight="1">
      <c r="A4200" s="2" t="s">
        <v>11360</v>
      </c>
      <c r="B4200" s="2" t="s">
        <v>11360</v>
      </c>
      <c r="C4200" s="2" t="s">
        <v>17</v>
      </c>
      <c r="D4200" s="2" t="s">
        <v>18</v>
      </c>
      <c r="E4200" s="4">
        <v>-32423</v>
      </c>
      <c r="F4200" s="3" t="s">
        <v>6379</v>
      </c>
      <c r="G4200" s="3" t="s">
        <v>245</v>
      </c>
      <c r="H4200" s="2" t="s">
        <v>148</v>
      </c>
      <c r="I4200" s="2" t="s">
        <v>11363</v>
      </c>
      <c r="J4200" s="3" t="str">
        <f>HYPERLINK("https://www.boe.es/gazeta/dias/1811/03/24/pdfs/GMD-1811-83.pdf#page=3","Abrir facsímil")</f>
        <v>Abrir facsímil</v>
      </c>
      <c r="K4200" s="3" t="s">
        <v>150</v>
      </c>
    </row>
    <row r="4201" spans="1:11" ht="42" customHeight="1">
      <c r="A4201" s="2" t="s">
        <v>11360</v>
      </c>
      <c r="B4201" s="2" t="s">
        <v>11360</v>
      </c>
      <c r="C4201" s="2" t="s">
        <v>17</v>
      </c>
      <c r="D4201" s="2" t="s">
        <v>18</v>
      </c>
      <c r="E4201" s="4">
        <v>-32405</v>
      </c>
      <c r="F4201" s="3" t="s">
        <v>363</v>
      </c>
      <c r="G4201" s="3" t="s">
        <v>47</v>
      </c>
      <c r="H4201" s="2" t="s">
        <v>148</v>
      </c>
      <c r="I4201" s="2" t="s">
        <v>11364</v>
      </c>
      <c r="J4201" s="3" t="str">
        <f>HYPERLINK("https://www.boe.es/gazeta/dias/1811/04/11/pdfs/GMD-1811-101.pdf#page=3","Abrir facsímil")</f>
        <v>Abrir facsímil</v>
      </c>
      <c r="K4201" s="3" t="s">
        <v>150</v>
      </c>
    </row>
    <row r="4202" spans="1:11" ht="42" customHeight="1">
      <c r="A4202" s="2" t="s">
        <v>11360</v>
      </c>
      <c r="B4202" s="2" t="s">
        <v>11360</v>
      </c>
      <c r="C4202" s="2" t="s">
        <v>17</v>
      </c>
      <c r="D4202" s="2" t="s">
        <v>156</v>
      </c>
      <c r="E4202" s="4">
        <v>-32355</v>
      </c>
      <c r="F4202" s="3" t="s">
        <v>2342</v>
      </c>
      <c r="G4202" s="3" t="s">
        <v>20</v>
      </c>
      <c r="H4202" s="2" t="s">
        <v>148</v>
      </c>
      <c r="I4202" s="2" t="s">
        <v>11365</v>
      </c>
      <c r="J4202" s="3" t="str">
        <f>HYPERLINK("https://www.boe.es/gazeta/dias/1811/05/31/pdfs/GMD-1811-151.pdf#page=4","Abrir facsímil")</f>
        <v>Abrir facsímil</v>
      </c>
      <c r="K4202" s="3" t="s">
        <v>150</v>
      </c>
    </row>
    <row r="4203" spans="1:11" ht="42" customHeight="1">
      <c r="A4203" s="2" t="s">
        <v>11360</v>
      </c>
      <c r="B4203" s="2" t="s">
        <v>11360</v>
      </c>
      <c r="C4203" s="2" t="s">
        <v>17</v>
      </c>
      <c r="D4203" s="2" t="s">
        <v>18</v>
      </c>
      <c r="E4203" s="4">
        <v>-32227</v>
      </c>
      <c r="F4203" s="3" t="s">
        <v>4688</v>
      </c>
      <c r="G4203" s="3" t="s">
        <v>44</v>
      </c>
      <c r="H4203" s="2" t="s">
        <v>148</v>
      </c>
      <c r="I4203" s="2" t="s">
        <v>11366</v>
      </c>
      <c r="J4203" s="3" t="str">
        <f>HYPERLINK("https://www.boe.es/gazeta/dias/1811/10/06/pdfs/GMD-1811-279.pdf#page=4","Abrir facsímil")</f>
        <v>Abrir facsímil</v>
      </c>
      <c r="K4203" s="3" t="s">
        <v>150</v>
      </c>
    </row>
    <row r="4204" spans="1:11" ht="42" customHeight="1">
      <c r="A4204" s="2" t="s">
        <v>11367</v>
      </c>
      <c r="B4204" s="2" t="s">
        <v>11368</v>
      </c>
      <c r="C4204" s="2" t="s">
        <v>17</v>
      </c>
      <c r="D4204" s="2" t="s">
        <v>156</v>
      </c>
      <c r="E4204" s="4">
        <v>-32370</v>
      </c>
      <c r="F4204" s="3" t="s">
        <v>11369</v>
      </c>
      <c r="G4204" s="3" t="s">
        <v>91</v>
      </c>
      <c r="H4204" s="2" t="s">
        <v>148</v>
      </c>
      <c r="I4204" s="2" t="s">
        <v>11370</v>
      </c>
      <c r="J4204" s="3" t="str">
        <f>HYPERLINK("https://www.boe.es/gazeta/dias/1811/05/16/pdfs/GMD-1811-136.pdf#page=4","Abrir facsímil")</f>
        <v>Abrir facsímil</v>
      </c>
      <c r="K4204" s="3" t="s">
        <v>150</v>
      </c>
    </row>
    <row r="4205" spans="1:11" ht="42" customHeight="1">
      <c r="A4205" s="2" t="s">
        <v>11371</v>
      </c>
      <c r="B4205" s="2" t="s">
        <v>11371</v>
      </c>
      <c r="C4205" s="2" t="s">
        <v>17</v>
      </c>
      <c r="D4205" s="2" t="s">
        <v>18</v>
      </c>
      <c r="E4205" s="4">
        <v>-32272</v>
      </c>
      <c r="F4205" s="3" t="s">
        <v>1121</v>
      </c>
      <c r="G4205" s="3" t="s">
        <v>11372</v>
      </c>
      <c r="H4205" s="2" t="s">
        <v>148</v>
      </c>
      <c r="I4205" s="2" t="s">
        <v>11373</v>
      </c>
      <c r="J4205" s="3" t="str">
        <f>HYPERLINK("https://www.boe.es/gazeta/dias/1811/08/22/pdfs/GEI-1811-109.pdf#page=4","Abrir facsímil")</f>
        <v>Abrir facsímil</v>
      </c>
      <c r="K4205" s="3" t="s">
        <v>150</v>
      </c>
    </row>
    <row r="4206" spans="1:11" ht="42" customHeight="1">
      <c r="A4206" s="2" t="s">
        <v>11374</v>
      </c>
      <c r="B4206" s="2" t="s">
        <v>11375</v>
      </c>
      <c r="C4206" s="2" t="s">
        <v>17</v>
      </c>
      <c r="D4206" s="2" t="s">
        <v>18</v>
      </c>
      <c r="E4206" s="4">
        <v>-32315</v>
      </c>
      <c r="F4206" s="3" t="s">
        <v>3189</v>
      </c>
      <c r="G4206" s="3" t="s">
        <v>248</v>
      </c>
      <c r="H4206" s="2" t="s">
        <v>148</v>
      </c>
      <c r="I4206" s="2" t="s">
        <v>11376</v>
      </c>
      <c r="J4206" s="3" t="str">
        <f>HYPERLINK("https://www.boe.es/gazeta/dias/1811/07/10/pdfs/GMD-1811-191.pdf#page=1","Abrir facsímil")</f>
        <v>Abrir facsímil</v>
      </c>
      <c r="K4206" s="3" t="s">
        <v>150</v>
      </c>
    </row>
    <row r="4207" spans="1:11" ht="42" customHeight="1">
      <c r="A4207" s="2" t="s">
        <v>11377</v>
      </c>
      <c r="B4207" s="2" t="s">
        <v>11378</v>
      </c>
      <c r="C4207" s="2" t="s">
        <v>37</v>
      </c>
      <c r="D4207" s="2" t="s">
        <v>18</v>
      </c>
      <c r="E4207" s="4">
        <v>-32226</v>
      </c>
      <c r="F4207" s="3" t="s">
        <v>618</v>
      </c>
      <c r="G4207" s="3" t="s">
        <v>57</v>
      </c>
      <c r="H4207" s="2" t="s">
        <v>148</v>
      </c>
      <c r="I4207" s="2" t="s">
        <v>11379</v>
      </c>
      <c r="J4207" s="3" t="str">
        <f>HYPERLINK("https://www.boe.es/gazeta/dias/1811/10/07/pdfs/GMD-1811-280.pdf#page=2","Abrir facsímil")</f>
        <v>Abrir facsímil</v>
      </c>
      <c r="K4207" s="3" t="s">
        <v>150</v>
      </c>
    </row>
    <row r="4208" spans="1:11" ht="42" customHeight="1">
      <c r="A4208" s="2" t="s">
        <v>11380</v>
      </c>
      <c r="B4208" s="2" t="s">
        <v>11380</v>
      </c>
      <c r="C4208" s="2" t="s">
        <v>17</v>
      </c>
      <c r="D4208" s="2" t="s">
        <v>156</v>
      </c>
      <c r="E4208" s="4">
        <v>-32338</v>
      </c>
      <c r="F4208" s="3" t="s">
        <v>3355</v>
      </c>
      <c r="G4208" s="3" t="s">
        <v>3356</v>
      </c>
      <c r="H4208" s="2" t="s">
        <v>148</v>
      </c>
      <c r="I4208" s="2" t="s">
        <v>11381</v>
      </c>
      <c r="J4208" s="3" t="str">
        <f>HYPERLINK("https://www.boe.es/gazeta/dias/1811/06/17/pdfs/GMD-1811-168.pdf#page=2","Abrir facsímil")</f>
        <v>Abrir facsímil</v>
      </c>
      <c r="K4208" s="3" t="s">
        <v>150</v>
      </c>
    </row>
    <row r="4209" spans="1:11" ht="42" customHeight="1">
      <c r="A4209" s="2" t="s">
        <v>11380</v>
      </c>
      <c r="B4209" s="2" t="s">
        <v>11380</v>
      </c>
      <c r="C4209" s="2" t="s">
        <v>17</v>
      </c>
      <c r="D4209" s="2" t="s">
        <v>156</v>
      </c>
      <c r="E4209" s="4">
        <v>-32319</v>
      </c>
      <c r="F4209" s="3" t="s">
        <v>975</v>
      </c>
      <c r="G4209" s="3" t="s">
        <v>2470</v>
      </c>
      <c r="H4209" s="2" t="s">
        <v>148</v>
      </c>
      <c r="I4209" s="2" t="s">
        <v>11382</v>
      </c>
      <c r="J4209" s="3" t="str">
        <f>HYPERLINK("https://www.boe.es/gazeta/dias/1811/07/06/pdfs/GEI-1811-89.pdf#page=6","Abrir facsímil")</f>
        <v>Abrir facsímil</v>
      </c>
      <c r="K4209" s="3" t="s">
        <v>150</v>
      </c>
    </row>
    <row r="4210" spans="1:11" ht="42" customHeight="1">
      <c r="A4210" s="2" t="s">
        <v>11380</v>
      </c>
      <c r="B4210" s="2" t="s">
        <v>11380</v>
      </c>
      <c r="C4210" s="2" t="s">
        <v>17</v>
      </c>
      <c r="D4210" s="2" t="s">
        <v>156</v>
      </c>
      <c r="E4210" s="4">
        <v>-32295</v>
      </c>
      <c r="F4210" s="3" t="s">
        <v>279</v>
      </c>
      <c r="G4210" s="3" t="s">
        <v>3613</v>
      </c>
      <c r="H4210" s="2" t="s">
        <v>148</v>
      </c>
      <c r="I4210" s="2" t="s">
        <v>11383</v>
      </c>
      <c r="J4210" s="3" t="str">
        <f>HYPERLINK("https://www.boe.es/gazeta/dias/1811/07/30/pdfs/GEI-1811-99.pdf#page=3","Abrir facsímil")</f>
        <v>Abrir facsímil</v>
      </c>
      <c r="K4210" s="3" t="s">
        <v>150</v>
      </c>
    </row>
    <row r="4211" spans="1:11" ht="42" customHeight="1">
      <c r="A4211" s="2" t="s">
        <v>11380</v>
      </c>
      <c r="B4211" s="2" t="s">
        <v>11380</v>
      </c>
      <c r="C4211" s="2" t="s">
        <v>17</v>
      </c>
      <c r="D4211" s="2" t="s">
        <v>156</v>
      </c>
      <c r="E4211" s="4">
        <v>-32244</v>
      </c>
      <c r="F4211" s="3" t="s">
        <v>4301</v>
      </c>
      <c r="G4211" s="3" t="s">
        <v>11384</v>
      </c>
      <c r="H4211" s="2" t="s">
        <v>148</v>
      </c>
      <c r="I4211" s="2" t="s">
        <v>11385</v>
      </c>
      <c r="J4211" s="3" t="str">
        <f>HYPERLINK("https://www.boe.es/gazeta/dias/1811/09/19/pdfs/GEI-1811-121.pdf#page=1","Abrir facsímil")</f>
        <v>Abrir facsímil</v>
      </c>
      <c r="K4211" s="3" t="s">
        <v>150</v>
      </c>
    </row>
    <row r="4212" spans="1:11" ht="42" customHeight="1">
      <c r="A4212" s="2" t="s">
        <v>11386</v>
      </c>
      <c r="B4212" s="2" t="s">
        <v>11386</v>
      </c>
      <c r="C4212" s="2" t="s">
        <v>17</v>
      </c>
      <c r="D4212" s="2" t="s">
        <v>18</v>
      </c>
      <c r="E4212" s="4">
        <v>-32484</v>
      </c>
      <c r="F4212" s="3" t="s">
        <v>467</v>
      </c>
      <c r="G4212" s="3" t="s">
        <v>20</v>
      </c>
      <c r="H4212" s="2" t="s">
        <v>148</v>
      </c>
      <c r="I4212" s="2" t="s">
        <v>11387</v>
      </c>
      <c r="J4212" s="3" t="str">
        <f>HYPERLINK("https://www.boe.es/gazeta/dias/1811/01/22/pdfs/GEI-1811-10.pdf#page=8","Abrir facsímil")</f>
        <v>Abrir facsímil</v>
      </c>
      <c r="K4212" s="3" t="s">
        <v>150</v>
      </c>
    </row>
    <row r="4213" spans="1:11" ht="42" customHeight="1">
      <c r="A4213" s="2" t="s">
        <v>11388</v>
      </c>
      <c r="B4213" s="2" t="s">
        <v>11388</v>
      </c>
      <c r="C4213" s="2" t="s">
        <v>26</v>
      </c>
      <c r="D4213" s="2" t="s">
        <v>18</v>
      </c>
      <c r="E4213" s="4">
        <v>-32347</v>
      </c>
      <c r="F4213" s="3" t="s">
        <v>5230</v>
      </c>
      <c r="G4213" s="3" t="s">
        <v>3243</v>
      </c>
      <c r="H4213" s="2" t="s">
        <v>148</v>
      </c>
      <c r="I4213" s="2" t="s">
        <v>11389</v>
      </c>
      <c r="J4213" s="3" t="str">
        <f>HYPERLINK("https://www.boe.es/gazeta/dias/1811/06/08/pdfs/GMD-1811-159.pdf#page=2","Abrir facsímil")</f>
        <v>Abrir facsímil</v>
      </c>
      <c r="K4213" s="3" t="s">
        <v>150</v>
      </c>
    </row>
    <row r="4214" spans="1:11" ht="42" customHeight="1">
      <c r="A4214" s="2" t="s">
        <v>11390</v>
      </c>
      <c r="B4214" s="2" t="s">
        <v>11390</v>
      </c>
      <c r="C4214" s="2" t="s">
        <v>17</v>
      </c>
      <c r="D4214" s="2" t="s">
        <v>204</v>
      </c>
      <c r="E4214" s="4">
        <v>-32478</v>
      </c>
      <c r="F4214" s="3" t="s">
        <v>11391</v>
      </c>
      <c r="G4214" s="3" t="s">
        <v>57</v>
      </c>
      <c r="H4214" s="2" t="s">
        <v>148</v>
      </c>
      <c r="I4214" s="2" t="s">
        <v>11392</v>
      </c>
      <c r="J4214" s="3" t="str">
        <f>HYPERLINK("https://www.boe.es/gazeta/dias/1811/01/28/pdfs/GMD-1811-28.pdf#page=2","Abrir facsímil")</f>
        <v>Abrir facsímil</v>
      </c>
      <c r="K4214" s="3" t="s">
        <v>150</v>
      </c>
    </row>
    <row r="4215" spans="1:11" ht="42" customHeight="1">
      <c r="A4215" s="2" t="s">
        <v>11393</v>
      </c>
      <c r="B4215" s="2" t="s">
        <v>11393</v>
      </c>
      <c r="C4215" s="2" t="s">
        <v>26</v>
      </c>
      <c r="D4215" s="2" t="s">
        <v>18</v>
      </c>
      <c r="E4215" s="4">
        <v>-32490</v>
      </c>
      <c r="F4215" s="3" t="s">
        <v>2407</v>
      </c>
      <c r="G4215" s="3" t="s">
        <v>2408</v>
      </c>
      <c r="H4215" s="2" t="s">
        <v>148</v>
      </c>
      <c r="I4215" s="2" t="s">
        <v>11394</v>
      </c>
      <c r="J4215" s="3" t="str">
        <f>HYPERLINK("https://www.boe.es/gazeta/dias/1811/01/16/pdfs/GMD-1811-16.pdf#page=2","Abrir facsímil")</f>
        <v>Abrir facsímil</v>
      </c>
      <c r="K4215" s="3" t="s">
        <v>150</v>
      </c>
    </row>
    <row r="4216" spans="1:11" ht="42" customHeight="1">
      <c r="A4216" s="2" t="s">
        <v>11393</v>
      </c>
      <c r="B4216" s="2" t="s">
        <v>11393</v>
      </c>
      <c r="C4216" s="2" t="s">
        <v>17</v>
      </c>
      <c r="D4216" s="2" t="s">
        <v>18</v>
      </c>
      <c r="E4216" s="4">
        <v>-32490</v>
      </c>
      <c r="F4216" s="3" t="s">
        <v>2407</v>
      </c>
      <c r="G4216" s="3" t="s">
        <v>178</v>
      </c>
      <c r="H4216" s="2" t="s">
        <v>148</v>
      </c>
      <c r="I4216" s="2" t="s">
        <v>11395</v>
      </c>
      <c r="J4216" s="3" t="str">
        <f>HYPERLINK("https://www.boe.es/gazeta/dias/1811/01/16/pdfs/GMD-1811-16.pdf#page=3","Abrir facsímil")</f>
        <v>Abrir facsímil</v>
      </c>
      <c r="K4216" s="3" t="s">
        <v>150</v>
      </c>
    </row>
    <row r="4217" spans="1:11" ht="42" customHeight="1">
      <c r="A4217" s="2" t="s">
        <v>11393</v>
      </c>
      <c r="B4217" s="2" t="s">
        <v>11393</v>
      </c>
      <c r="C4217" s="2" t="s">
        <v>17</v>
      </c>
      <c r="D4217" s="2" t="s">
        <v>18</v>
      </c>
      <c r="E4217" s="4">
        <v>-32488</v>
      </c>
      <c r="F4217" s="3" t="s">
        <v>3154</v>
      </c>
      <c r="G4217" s="3" t="s">
        <v>228</v>
      </c>
      <c r="H4217" s="2" t="s">
        <v>148</v>
      </c>
      <c r="I4217" s="2" t="s">
        <v>11396</v>
      </c>
      <c r="J4217" s="3" t="str">
        <f>HYPERLINK("https://www.boe.es/gazeta/dias/1811/01/18/pdfs/GMD-1811-18.pdf#page=4","Abrir facsímil")</f>
        <v>Abrir facsímil</v>
      </c>
      <c r="K4217" s="3" t="s">
        <v>150</v>
      </c>
    </row>
    <row r="4218" spans="1:11" ht="42" customHeight="1">
      <c r="A4218" s="2" t="s">
        <v>11397</v>
      </c>
      <c r="B4218" s="2" t="s">
        <v>11397</v>
      </c>
      <c r="C4218" s="2" t="s">
        <v>17</v>
      </c>
      <c r="D4218" s="2" t="s">
        <v>18</v>
      </c>
      <c r="E4218" s="4">
        <v>-32349</v>
      </c>
      <c r="F4218" s="3" t="s">
        <v>239</v>
      </c>
      <c r="G4218" s="3" t="s">
        <v>561</v>
      </c>
      <c r="H4218" s="2" t="s">
        <v>148</v>
      </c>
      <c r="I4218" s="2" t="s">
        <v>11398</v>
      </c>
      <c r="J4218" s="3" t="str">
        <f>HYPERLINK("https://www.boe.es/gazeta/dias/1811/06/06/pdfs/GEI-1811-76.pdf#page=4","Abrir facsímil")</f>
        <v>Abrir facsímil</v>
      </c>
      <c r="K4218" s="3" t="s">
        <v>150</v>
      </c>
    </row>
    <row r="4219" spans="1:11" ht="42" customHeight="1">
      <c r="A4219" s="2" t="s">
        <v>11397</v>
      </c>
      <c r="B4219" s="2" t="s">
        <v>11397</v>
      </c>
      <c r="C4219" s="2" t="s">
        <v>17</v>
      </c>
      <c r="D4219" s="2" t="s">
        <v>18</v>
      </c>
      <c r="E4219" s="4">
        <v>-32349</v>
      </c>
      <c r="F4219" s="3" t="s">
        <v>239</v>
      </c>
      <c r="G4219" s="3" t="s">
        <v>4509</v>
      </c>
      <c r="H4219" s="2" t="s">
        <v>148</v>
      </c>
      <c r="I4219" s="2" t="s">
        <v>11399</v>
      </c>
      <c r="J4219" s="3" t="str">
        <f>HYPERLINK("https://www.boe.es/gazeta/dias/1811/06/06/pdfs/GEI-1811-76.pdf#page=5","Abrir facsímil")</f>
        <v>Abrir facsímil</v>
      </c>
      <c r="K4219" s="3" t="s">
        <v>150</v>
      </c>
    </row>
    <row r="4220" spans="1:11" ht="42" customHeight="1">
      <c r="A4220" s="2" t="s">
        <v>11397</v>
      </c>
      <c r="B4220" s="2" t="s">
        <v>11397</v>
      </c>
      <c r="C4220" s="2" t="s">
        <v>17</v>
      </c>
      <c r="D4220" s="2" t="s">
        <v>18</v>
      </c>
      <c r="E4220" s="4">
        <v>-32349</v>
      </c>
      <c r="F4220" s="3" t="s">
        <v>239</v>
      </c>
      <c r="G4220" s="3" t="s">
        <v>240</v>
      </c>
      <c r="H4220" s="2" t="s">
        <v>148</v>
      </c>
      <c r="I4220" s="2" t="s">
        <v>11400</v>
      </c>
      <c r="J4220" s="3" t="str">
        <f>HYPERLINK("https://www.boe.es/gazeta/dias/1811/06/06/pdfs/GEI-1811-76.pdf#page=6","Abrir facsímil")</f>
        <v>Abrir facsímil</v>
      </c>
      <c r="K4220" s="3" t="s">
        <v>150</v>
      </c>
    </row>
    <row r="4221" spans="1:11" ht="42" customHeight="1">
      <c r="A4221" s="2" t="s">
        <v>11401</v>
      </c>
      <c r="B4221" s="2" t="s">
        <v>11401</v>
      </c>
      <c r="C4221" s="2" t="s">
        <v>17</v>
      </c>
      <c r="D4221" s="2" t="s">
        <v>18</v>
      </c>
      <c r="E4221" s="4">
        <v>-32321</v>
      </c>
      <c r="F4221" s="3" t="s">
        <v>1829</v>
      </c>
      <c r="G4221" s="3" t="s">
        <v>1830</v>
      </c>
      <c r="H4221" s="2" t="s">
        <v>148</v>
      </c>
      <c r="I4221" s="2" t="s">
        <v>11402</v>
      </c>
      <c r="J4221" s="3" t="str">
        <f>HYPERLINK("https://www.boe.es/gazeta/dias/1811/07/04/pdfs/GEI-1811-88.pdf#page=3","Abrir facsímil")</f>
        <v>Abrir facsímil</v>
      </c>
      <c r="K4221" s="3" t="s">
        <v>150</v>
      </c>
    </row>
    <row r="4222" spans="1:11" ht="42" customHeight="1">
      <c r="A4222" s="2" t="s">
        <v>11403</v>
      </c>
      <c r="B4222" s="2" t="s">
        <v>11403</v>
      </c>
      <c r="C4222" s="2" t="s">
        <v>17</v>
      </c>
      <c r="D4222" s="2" t="s">
        <v>18</v>
      </c>
      <c r="E4222" s="4">
        <v>-32349</v>
      </c>
      <c r="F4222" s="3" t="s">
        <v>239</v>
      </c>
      <c r="G4222" s="3" t="s">
        <v>1841</v>
      </c>
      <c r="H4222" s="2" t="s">
        <v>148</v>
      </c>
      <c r="I4222" s="2" t="s">
        <v>11404</v>
      </c>
      <c r="J4222" s="3" t="str">
        <f>HYPERLINK("https://www.boe.es/gazeta/dias/1811/06/06/pdfs/GEI-1811-76.pdf#page=3","Abrir facsímil")</f>
        <v>Abrir facsímil</v>
      </c>
      <c r="K4222" s="3" t="s">
        <v>150</v>
      </c>
    </row>
    <row r="4223" spans="1:11" ht="42" customHeight="1">
      <c r="A4223" s="2" t="s">
        <v>11403</v>
      </c>
      <c r="B4223" s="2" t="s">
        <v>11403</v>
      </c>
      <c r="C4223" s="2" t="s">
        <v>17</v>
      </c>
      <c r="D4223" s="2" t="s">
        <v>156</v>
      </c>
      <c r="E4223" s="4">
        <v>-32314</v>
      </c>
      <c r="F4223" s="3" t="s">
        <v>570</v>
      </c>
      <c r="G4223" s="3" t="s">
        <v>2746</v>
      </c>
      <c r="H4223" s="2" t="s">
        <v>148</v>
      </c>
      <c r="I4223" s="2" t="s">
        <v>11405</v>
      </c>
      <c r="J4223" s="3" t="str">
        <f>HYPERLINK("https://www.boe.es/gazeta/dias/1811/07/11/pdfs/GEI-1811-91.pdf#page=1","Abrir facsímil")</f>
        <v>Abrir facsímil</v>
      </c>
      <c r="K4223" s="3" t="s">
        <v>150</v>
      </c>
    </row>
    <row r="4224" spans="1:11" ht="42" customHeight="1">
      <c r="A4224" s="2" t="s">
        <v>11403</v>
      </c>
      <c r="B4224" s="2" t="s">
        <v>11403</v>
      </c>
      <c r="C4224" s="2" t="s">
        <v>17</v>
      </c>
      <c r="D4224" s="2" t="s">
        <v>156</v>
      </c>
      <c r="E4224" s="4">
        <v>-32283</v>
      </c>
      <c r="F4224" s="3" t="s">
        <v>90</v>
      </c>
      <c r="G4224" s="3" t="s">
        <v>1856</v>
      </c>
      <c r="H4224" s="2" t="s">
        <v>148</v>
      </c>
      <c r="I4224" s="2" t="s">
        <v>11406</v>
      </c>
      <c r="J4224" s="3" t="str">
        <f>HYPERLINK("https://www.boe.es/gazeta/dias/1811/08/11/pdfs/GMD-1811-223.pdf#page=1","Abrir facsímil")</f>
        <v>Abrir facsímil</v>
      </c>
      <c r="K4224" s="3" t="s">
        <v>150</v>
      </c>
    </row>
    <row r="4225" spans="1:11" ht="42" customHeight="1">
      <c r="A4225" s="2" t="s">
        <v>11403</v>
      </c>
      <c r="B4225" s="2" t="s">
        <v>11403</v>
      </c>
      <c r="C4225" s="2" t="s">
        <v>17</v>
      </c>
      <c r="D4225" s="2" t="s">
        <v>18</v>
      </c>
      <c r="E4225" s="4">
        <v>-32283</v>
      </c>
      <c r="F4225" s="3" t="s">
        <v>90</v>
      </c>
      <c r="G4225" s="3" t="s">
        <v>468</v>
      </c>
      <c r="H4225" s="2" t="s">
        <v>148</v>
      </c>
      <c r="I4225" s="2" t="s">
        <v>11407</v>
      </c>
      <c r="J4225" s="3" t="str">
        <f>HYPERLINK("https://www.boe.es/gazeta/dias/1811/08/11/pdfs/GMD-1811-223.pdf#page=2","Abrir facsímil")</f>
        <v>Abrir facsímil</v>
      </c>
      <c r="K4225" s="3" t="s">
        <v>150</v>
      </c>
    </row>
    <row r="4226" spans="1:11" ht="42" customHeight="1">
      <c r="A4226" s="2" t="s">
        <v>11408</v>
      </c>
      <c r="B4226" s="2" t="s">
        <v>11409</v>
      </c>
      <c r="C4226" s="2" t="s">
        <v>17</v>
      </c>
      <c r="D4226" s="2" t="s">
        <v>18</v>
      </c>
      <c r="E4226" s="4">
        <v>-32149</v>
      </c>
      <c r="F4226" s="3" t="s">
        <v>2292</v>
      </c>
      <c r="G4226" s="3" t="s">
        <v>183</v>
      </c>
      <c r="H4226" s="2" t="s">
        <v>148</v>
      </c>
      <c r="I4226" s="2" t="s">
        <v>11410</v>
      </c>
      <c r="J4226" s="3" t="str">
        <f>HYPERLINK("https://www.boe.es/gazeta/dias/1811/12/23/pdfs/GMD-1811-357.pdf#page=4","Abrir facsímil")</f>
        <v>Abrir facsímil</v>
      </c>
      <c r="K4226" s="3" t="s">
        <v>150</v>
      </c>
    </row>
    <row r="4227" spans="1:11" ht="42" customHeight="1">
      <c r="A4227" s="2" t="s">
        <v>11411</v>
      </c>
      <c r="B4227" s="2" t="s">
        <v>11411</v>
      </c>
      <c r="C4227" s="2" t="s">
        <v>104</v>
      </c>
      <c r="D4227" s="2" t="s">
        <v>18</v>
      </c>
      <c r="E4227" s="4">
        <v>-32505</v>
      </c>
      <c r="F4227" s="3" t="s">
        <v>661</v>
      </c>
      <c r="G4227" s="3" t="s">
        <v>91</v>
      </c>
      <c r="H4227" s="2" t="s">
        <v>148</v>
      </c>
      <c r="I4227" s="2" t="s">
        <v>11412</v>
      </c>
      <c r="J4227" s="3" t="str">
        <f>HYPERLINK("https://www.boe.es/gazeta/dias/1811/01/01/pdfs/GMD-1811-1.pdf#page=2","Abrir facsímil")</f>
        <v>Abrir facsímil</v>
      </c>
      <c r="K4227" s="3" t="s">
        <v>150</v>
      </c>
    </row>
    <row r="4228" spans="1:11" ht="42" customHeight="1">
      <c r="A4228" s="2" t="s">
        <v>11413</v>
      </c>
      <c r="B4228" s="2" t="s">
        <v>11413</v>
      </c>
      <c r="C4228" s="2" t="s">
        <v>17</v>
      </c>
      <c r="D4228" s="2" t="s">
        <v>18</v>
      </c>
      <c r="E4228" s="4">
        <v>-32152</v>
      </c>
      <c r="F4228" s="3" t="s">
        <v>1673</v>
      </c>
      <c r="G4228" s="3" t="s">
        <v>57</v>
      </c>
      <c r="H4228" s="2" t="s">
        <v>148</v>
      </c>
      <c r="I4228" s="2" t="s">
        <v>11414</v>
      </c>
      <c r="J4228" s="3" t="str">
        <f>HYPERLINK("https://www.boe.es/gazeta/dias/1811/12/20/pdfs/GMD-1811-354.pdf#page=2","Abrir facsímil")</f>
        <v>Abrir facsímil</v>
      </c>
      <c r="K4228" s="3" t="s">
        <v>150</v>
      </c>
    </row>
    <row r="4229" spans="1:11" ht="42" customHeight="1">
      <c r="A4229" s="2" t="s">
        <v>11415</v>
      </c>
      <c r="B4229" s="2" t="s">
        <v>11415</v>
      </c>
      <c r="C4229" s="2" t="s">
        <v>17</v>
      </c>
      <c r="D4229" s="2" t="s">
        <v>18</v>
      </c>
      <c r="E4229" s="4">
        <v>-32459</v>
      </c>
      <c r="F4229" s="3" t="s">
        <v>227</v>
      </c>
      <c r="G4229" s="3" t="s">
        <v>468</v>
      </c>
      <c r="H4229" s="2" t="s">
        <v>148</v>
      </c>
      <c r="I4229" s="2" t="s">
        <v>11416</v>
      </c>
      <c r="J4229" s="3" t="str">
        <f>HYPERLINK("https://www.boe.es/gazeta/dias/1811/02/16/pdfs/GMD-1811-47.pdf#page=4","Abrir facsímil")</f>
        <v>Abrir facsímil</v>
      </c>
      <c r="K4229" s="3" t="s">
        <v>150</v>
      </c>
    </row>
    <row r="4230" spans="1:11" ht="42" customHeight="1">
      <c r="A4230" s="2" t="s">
        <v>11415</v>
      </c>
      <c r="B4230" s="2" t="s">
        <v>11415</v>
      </c>
      <c r="C4230" s="2" t="s">
        <v>17</v>
      </c>
      <c r="D4230" s="2" t="s">
        <v>18</v>
      </c>
      <c r="E4230" s="4">
        <v>-32375</v>
      </c>
      <c r="F4230" s="3" t="s">
        <v>1209</v>
      </c>
      <c r="G4230" s="3" t="s">
        <v>11417</v>
      </c>
      <c r="H4230" s="2" t="s">
        <v>148</v>
      </c>
      <c r="I4230" s="2" t="s">
        <v>11418</v>
      </c>
      <c r="J4230" s="3" t="str">
        <f>HYPERLINK("https://www.boe.es/gazeta/dias/1811/05/11/pdfs/GEI-1811-62.pdf#page=2","Abrir facsímil")</f>
        <v>Abrir facsímil</v>
      </c>
      <c r="K4230" s="3" t="s">
        <v>150</v>
      </c>
    </row>
    <row r="4231" spans="1:11" ht="42" customHeight="1">
      <c r="A4231" s="2" t="s">
        <v>11415</v>
      </c>
      <c r="B4231" s="2" t="s">
        <v>11415</v>
      </c>
      <c r="C4231" s="2" t="s">
        <v>17</v>
      </c>
      <c r="D4231" s="2" t="s">
        <v>156</v>
      </c>
      <c r="E4231" s="4">
        <v>-32318</v>
      </c>
      <c r="F4231" s="3" t="s">
        <v>1193</v>
      </c>
      <c r="G4231" s="3" t="s">
        <v>134</v>
      </c>
      <c r="H4231" s="2" t="s">
        <v>148</v>
      </c>
      <c r="I4231" s="2" t="s">
        <v>11419</v>
      </c>
      <c r="J4231" s="3" t="str">
        <f>HYPERLINK("https://www.boe.es/gazeta/dias/1811/07/07/pdfs/GMD-1811-188.pdf#page=4","Abrir facsímil")</f>
        <v>Abrir facsímil</v>
      </c>
      <c r="K4231" s="3" t="s">
        <v>150</v>
      </c>
    </row>
    <row r="4232" spans="1:11" ht="42" customHeight="1">
      <c r="A4232" s="2" t="s">
        <v>11415</v>
      </c>
      <c r="B4232" s="2" t="s">
        <v>11415</v>
      </c>
      <c r="C4232" s="2" t="s">
        <v>17</v>
      </c>
      <c r="D4232" s="2" t="s">
        <v>18</v>
      </c>
      <c r="E4232" s="4">
        <v>-32294</v>
      </c>
      <c r="F4232" s="3" t="s">
        <v>3123</v>
      </c>
      <c r="G4232" s="3" t="s">
        <v>91</v>
      </c>
      <c r="H4232" s="2" t="s">
        <v>148</v>
      </c>
      <c r="I4232" s="2" t="s">
        <v>11420</v>
      </c>
      <c r="J4232" s="3" t="str">
        <f>HYPERLINK("https://www.boe.es/gazeta/dias/1811/07/31/pdfs/GMD-1811-212.pdf#page=2","Abrir facsímil")</f>
        <v>Abrir facsímil</v>
      </c>
      <c r="K4232" s="3" t="s">
        <v>150</v>
      </c>
    </row>
    <row r="4233" spans="1:11" ht="42" customHeight="1">
      <c r="A4233" s="2" t="s">
        <v>11415</v>
      </c>
      <c r="B4233" s="2" t="s">
        <v>11415</v>
      </c>
      <c r="C4233" s="2" t="s">
        <v>17</v>
      </c>
      <c r="D4233" s="2" t="s">
        <v>18</v>
      </c>
      <c r="E4233" s="4">
        <v>-32227</v>
      </c>
      <c r="F4233" s="3" t="s">
        <v>4688</v>
      </c>
      <c r="G4233" s="3" t="s">
        <v>44</v>
      </c>
      <c r="H4233" s="2" t="s">
        <v>148</v>
      </c>
      <c r="I4233" s="2" t="s">
        <v>11421</v>
      </c>
      <c r="J4233" s="3" t="str">
        <f>HYPERLINK("https://www.boe.es/gazeta/dias/1811/10/06/pdfs/GMD-1811-279.pdf#page=4","Abrir facsímil")</f>
        <v>Abrir facsímil</v>
      </c>
      <c r="K4233" s="3" t="s">
        <v>150</v>
      </c>
    </row>
    <row r="4234" spans="1:11" ht="42" customHeight="1">
      <c r="A4234" s="2" t="s">
        <v>11415</v>
      </c>
      <c r="B4234" s="2" t="s">
        <v>11415</v>
      </c>
      <c r="C4234" s="2" t="s">
        <v>17</v>
      </c>
      <c r="D4234" s="2" t="s">
        <v>18</v>
      </c>
      <c r="E4234" s="4">
        <v>-32192</v>
      </c>
      <c r="F4234" s="3" t="s">
        <v>673</v>
      </c>
      <c r="G4234" s="3" t="s">
        <v>8354</v>
      </c>
      <c r="H4234" s="2" t="s">
        <v>148</v>
      </c>
      <c r="I4234" s="2" t="s">
        <v>11422</v>
      </c>
      <c r="J4234" s="3" t="str">
        <f>HYPERLINK("https://www.boe.es/gazeta/dias/1811/11/10/pdfs/GMD-1811-314.pdf#page=3","Abrir facsímil")</f>
        <v>Abrir facsímil</v>
      </c>
      <c r="K4234" s="3" t="s">
        <v>150</v>
      </c>
    </row>
    <row r="4235" spans="1:11" ht="42" customHeight="1">
      <c r="A4235" s="2" t="s">
        <v>11423</v>
      </c>
      <c r="B4235" s="2" t="s">
        <v>11423</v>
      </c>
      <c r="C4235" s="2" t="s">
        <v>104</v>
      </c>
      <c r="D4235" s="2" t="s">
        <v>204</v>
      </c>
      <c r="E4235" s="4">
        <v>-32414</v>
      </c>
      <c r="F4235" s="3" t="s">
        <v>213</v>
      </c>
      <c r="G4235" s="3" t="s">
        <v>20</v>
      </c>
      <c r="H4235" s="2" t="s">
        <v>148</v>
      </c>
      <c r="I4235" s="2" t="s">
        <v>11424</v>
      </c>
      <c r="J4235" s="3" t="str">
        <f>HYPERLINK("https://www.boe.es/gazeta/dias/1811/04/02/pdfs/GEI-1811-45.pdf#page=3","Abrir facsímil")</f>
        <v>Abrir facsímil</v>
      </c>
      <c r="K4235" s="3" t="s">
        <v>150</v>
      </c>
    </row>
    <row r="4236" spans="1:11" ht="42" customHeight="1">
      <c r="A4236" s="2" t="s">
        <v>11425</v>
      </c>
      <c r="B4236" s="2" t="s">
        <v>11425</v>
      </c>
      <c r="C4236" s="2" t="s">
        <v>26</v>
      </c>
      <c r="D4236" s="2" t="s">
        <v>18</v>
      </c>
      <c r="E4236" s="4">
        <v>-32479</v>
      </c>
      <c r="F4236" s="3" t="s">
        <v>6824</v>
      </c>
      <c r="G4236" s="3" t="s">
        <v>755</v>
      </c>
      <c r="H4236" s="2" t="s">
        <v>148</v>
      </c>
      <c r="I4236" s="2" t="s">
        <v>11426</v>
      </c>
      <c r="J4236" s="3" t="str">
        <f>HYPERLINK("https://www.boe.es/gazeta/dias/1811/01/27/pdfs/GMD-1811-27.pdf#page=2","Abrir facsímil")</f>
        <v>Abrir facsímil</v>
      </c>
      <c r="K4236" s="3" t="s">
        <v>150</v>
      </c>
    </row>
    <row r="4237" spans="1:11" ht="42" customHeight="1">
      <c r="A4237" s="2" t="s">
        <v>11427</v>
      </c>
      <c r="B4237" s="2" t="s">
        <v>11428</v>
      </c>
      <c r="C4237" s="2" t="s">
        <v>26</v>
      </c>
      <c r="D4237" s="2" t="s">
        <v>18</v>
      </c>
      <c r="E4237" s="4">
        <v>-32181</v>
      </c>
      <c r="F4237" s="3" t="s">
        <v>368</v>
      </c>
      <c r="G4237" s="3" t="s">
        <v>1087</v>
      </c>
      <c r="H4237" s="2" t="s">
        <v>148</v>
      </c>
      <c r="I4237" s="2" t="s">
        <v>11429</v>
      </c>
      <c r="J4237" s="3" t="str">
        <f>HYPERLINK("https://www.boe.es/gazeta/dias/1811/11/21/pdfs/GEI-1811-152.pdf#page=3","Abrir facsímil")</f>
        <v>Abrir facsímil</v>
      </c>
      <c r="K4237" s="3" t="s">
        <v>150</v>
      </c>
    </row>
    <row r="4238" spans="1:11" ht="42" customHeight="1">
      <c r="A4238" s="2" t="s">
        <v>11430</v>
      </c>
      <c r="B4238" s="2" t="s">
        <v>11430</v>
      </c>
      <c r="C4238" s="2" t="s">
        <v>37</v>
      </c>
      <c r="D4238" s="2" t="s">
        <v>18</v>
      </c>
      <c r="E4238" s="4">
        <v>-32453</v>
      </c>
      <c r="F4238" s="3" t="s">
        <v>2708</v>
      </c>
      <c r="G4238" s="3" t="s">
        <v>468</v>
      </c>
      <c r="H4238" s="2" t="s">
        <v>148</v>
      </c>
      <c r="I4238" s="2" t="s">
        <v>11431</v>
      </c>
      <c r="J4238" s="3" t="str">
        <f>HYPERLINK("https://www.boe.es/gazeta/dias/1811/02/22/pdfs/GMD-1811-53.pdf#page=1","Abrir facsímil")</f>
        <v>Abrir facsímil</v>
      </c>
      <c r="K4238" s="3" t="s">
        <v>150</v>
      </c>
    </row>
    <row r="4239" spans="1:11" ht="42" customHeight="1">
      <c r="A4239" s="2" t="s">
        <v>11432</v>
      </c>
      <c r="B4239" s="2" t="s">
        <v>11432</v>
      </c>
      <c r="C4239" s="2" t="s">
        <v>17</v>
      </c>
      <c r="D4239" s="2" t="s">
        <v>18</v>
      </c>
      <c r="E4239" s="4">
        <v>-32211</v>
      </c>
      <c r="F4239" s="3" t="s">
        <v>1230</v>
      </c>
      <c r="G4239" s="3" t="s">
        <v>134</v>
      </c>
      <c r="H4239" s="2" t="s">
        <v>148</v>
      </c>
      <c r="I4239" s="2" t="s">
        <v>11433</v>
      </c>
      <c r="J4239" s="3" t="str">
        <f>HYPERLINK("https://www.boe.es/gazeta/dias/1811/10/22/pdfs/GMD-1811-295.pdf#page=2","Abrir facsímil")</f>
        <v>Abrir facsímil</v>
      </c>
      <c r="K4239" s="3" t="s">
        <v>150</v>
      </c>
    </row>
    <row r="4240" spans="1:11" ht="42" customHeight="1">
      <c r="A4240" s="2" t="s">
        <v>11432</v>
      </c>
      <c r="B4240" s="2" t="s">
        <v>11432</v>
      </c>
      <c r="C4240" s="2" t="s">
        <v>17</v>
      </c>
      <c r="D4240" s="2" t="s">
        <v>18</v>
      </c>
      <c r="E4240" s="4">
        <v>-32211</v>
      </c>
      <c r="F4240" s="3" t="s">
        <v>1230</v>
      </c>
      <c r="G4240" s="3" t="s">
        <v>2921</v>
      </c>
      <c r="H4240" s="2" t="s">
        <v>148</v>
      </c>
      <c r="I4240" s="2" t="s">
        <v>11434</v>
      </c>
      <c r="J4240" s="3" t="str">
        <f>HYPERLINK("https://www.boe.es/gazeta/dias/1811/10/22/pdfs/GMD-1811-295.pdf#page=3","Abrir facsímil")</f>
        <v>Abrir facsímil</v>
      </c>
      <c r="K4240" s="3" t="s">
        <v>150</v>
      </c>
    </row>
    <row r="4241" spans="1:11" ht="42" customHeight="1">
      <c r="A4241" s="2" t="s">
        <v>11435</v>
      </c>
      <c r="B4241" s="2" t="s">
        <v>11435</v>
      </c>
      <c r="C4241" s="2" t="s">
        <v>17</v>
      </c>
      <c r="D4241" s="2" t="s">
        <v>18</v>
      </c>
      <c r="E4241" s="4">
        <v>-32152</v>
      </c>
      <c r="F4241" s="3" t="s">
        <v>1673</v>
      </c>
      <c r="G4241" s="3" t="s">
        <v>57</v>
      </c>
      <c r="H4241" s="2" t="s">
        <v>148</v>
      </c>
      <c r="I4241" s="2" t="s">
        <v>11436</v>
      </c>
      <c r="J4241" s="3" t="str">
        <f>HYPERLINK("https://www.boe.es/gazeta/dias/1811/12/20/pdfs/GMD-1811-354.pdf#page=2","Abrir facsímil")</f>
        <v>Abrir facsímil</v>
      </c>
      <c r="K4241" s="3" t="s">
        <v>150</v>
      </c>
    </row>
    <row r="4242" spans="1:11" ht="42" customHeight="1">
      <c r="A4242" s="2" t="s">
        <v>11437</v>
      </c>
      <c r="B4242" s="2" t="s">
        <v>11437</v>
      </c>
      <c r="C4242" s="2" t="s">
        <v>17</v>
      </c>
      <c r="D4242" s="2" t="s">
        <v>156</v>
      </c>
      <c r="E4242" s="4">
        <v>-32207</v>
      </c>
      <c r="F4242" s="3" t="s">
        <v>152</v>
      </c>
      <c r="G4242" s="3" t="s">
        <v>20</v>
      </c>
      <c r="H4242" s="2" t="s">
        <v>148</v>
      </c>
      <c r="I4242" s="2" t="s">
        <v>11438</v>
      </c>
      <c r="J4242" s="3" t="str">
        <f>HYPERLINK("https://www.boe.es/gazeta/dias/1811/10/26/pdfs/GEI-1811-138.pdf#page=3","Abrir facsímil")</f>
        <v>Abrir facsímil</v>
      </c>
      <c r="K4242" s="3" t="s">
        <v>150</v>
      </c>
    </row>
    <row r="4243" spans="1:11" ht="42" customHeight="1">
      <c r="A4243" s="2" t="s">
        <v>11439</v>
      </c>
      <c r="B4243" s="2" t="s">
        <v>11439</v>
      </c>
      <c r="C4243" s="2" t="s">
        <v>17</v>
      </c>
      <c r="D4243" s="2" t="s">
        <v>105</v>
      </c>
      <c r="E4243" s="4">
        <v>-32200</v>
      </c>
      <c r="F4243" s="3" t="s">
        <v>109</v>
      </c>
      <c r="G4243" s="3" t="s">
        <v>11440</v>
      </c>
      <c r="H4243" s="2" t="s">
        <v>148</v>
      </c>
      <c r="I4243" s="2" t="s">
        <v>11441</v>
      </c>
      <c r="J4243" s="3" t="str">
        <f>HYPERLINK("https://www.boe.es/gazeta/dias/1811/11/02/pdfs/GEI-1811-141.pdf#page=3","Abrir facsímil")</f>
        <v>Abrir facsímil</v>
      </c>
      <c r="K4243" s="3" t="s">
        <v>150</v>
      </c>
    </row>
    <row r="4244" spans="1:11" ht="42" customHeight="1">
      <c r="A4244" s="2" t="s">
        <v>11442</v>
      </c>
      <c r="B4244" s="2" t="s">
        <v>11442</v>
      </c>
      <c r="C4244" s="2" t="s">
        <v>17</v>
      </c>
      <c r="D4244" s="2" t="s">
        <v>18</v>
      </c>
      <c r="E4244" s="4">
        <v>-32274</v>
      </c>
      <c r="F4244" s="3" t="s">
        <v>988</v>
      </c>
      <c r="G4244" s="3" t="s">
        <v>976</v>
      </c>
      <c r="H4244" s="2" t="s">
        <v>148</v>
      </c>
      <c r="I4244" s="2" t="s">
        <v>11443</v>
      </c>
      <c r="J4244" s="3" t="str">
        <f>HYPERLINK("https://www.boe.es/gazeta/dias/1811/08/20/pdfs/GMD-1811-232.pdf#page=4","Abrir facsímil")</f>
        <v>Abrir facsímil</v>
      </c>
      <c r="K4244" s="3" t="s">
        <v>150</v>
      </c>
    </row>
    <row r="4245" spans="1:11" ht="42" customHeight="1">
      <c r="A4245" s="2" t="s">
        <v>11444</v>
      </c>
      <c r="B4245" s="2" t="s">
        <v>11445</v>
      </c>
      <c r="C4245" s="2" t="s">
        <v>17</v>
      </c>
      <c r="D4245" s="2" t="s">
        <v>156</v>
      </c>
      <c r="E4245" s="4">
        <v>-32375</v>
      </c>
      <c r="F4245" s="3" t="s">
        <v>1209</v>
      </c>
      <c r="G4245" s="3" t="s">
        <v>488</v>
      </c>
      <c r="H4245" s="2" t="s">
        <v>148</v>
      </c>
      <c r="I4245" s="2" t="s">
        <v>11446</v>
      </c>
      <c r="J4245" s="3" t="str">
        <f>HYPERLINK("https://www.boe.es/gazeta/dias/1811/05/11/pdfs/GEI-1811-62.pdf#page=7","Abrir facsímil")</f>
        <v>Abrir facsímil</v>
      </c>
      <c r="K4245" s="3" t="s">
        <v>150</v>
      </c>
    </row>
    <row r="4246" spans="1:11" ht="42" customHeight="1">
      <c r="A4246" s="2" t="s">
        <v>11447</v>
      </c>
      <c r="B4246" s="2" t="s">
        <v>11448</v>
      </c>
      <c r="C4246" s="2" t="s">
        <v>37</v>
      </c>
      <c r="D4246" s="2" t="s">
        <v>18</v>
      </c>
      <c r="E4246" s="4">
        <v>-32193</v>
      </c>
      <c r="F4246" s="3" t="s">
        <v>1037</v>
      </c>
      <c r="G4246" s="3" t="s">
        <v>44</v>
      </c>
      <c r="H4246" s="2" t="s">
        <v>148</v>
      </c>
      <c r="I4246" s="2" t="s">
        <v>11449</v>
      </c>
      <c r="J4246" s="3" t="str">
        <f>HYPERLINK("https://www.boe.es/gazeta/dias/1811/11/09/pdfs/GEI-1811-145.pdf#page=4","Abrir facsímil")</f>
        <v>Abrir facsímil</v>
      </c>
      <c r="K4246" s="3" t="s">
        <v>150</v>
      </c>
    </row>
    <row r="4247" spans="1:11" ht="42" customHeight="1">
      <c r="A4247" s="2" t="s">
        <v>11450</v>
      </c>
      <c r="B4247" s="2" t="s">
        <v>11450</v>
      </c>
      <c r="C4247" s="2" t="s">
        <v>17</v>
      </c>
      <c r="D4247" s="2" t="s">
        <v>18</v>
      </c>
      <c r="E4247" s="4">
        <v>-32240</v>
      </c>
      <c r="F4247" s="3" t="s">
        <v>2753</v>
      </c>
      <c r="G4247" s="3" t="s">
        <v>4151</v>
      </c>
      <c r="H4247" s="2" t="s">
        <v>148</v>
      </c>
      <c r="I4247" s="2" t="s">
        <v>11451</v>
      </c>
      <c r="J4247" s="3" t="str">
        <f>HYPERLINK("https://www.boe.es/gazeta/dias/1811/09/23/pdfs/GMD-1811-266.pdf#page=3","Abrir facsímil")</f>
        <v>Abrir facsímil</v>
      </c>
      <c r="K4247" s="3" t="s">
        <v>150</v>
      </c>
    </row>
    <row r="4248" spans="1:11" ht="42" customHeight="1">
      <c r="A4248" s="2" t="s">
        <v>11452</v>
      </c>
      <c r="B4248" s="2" t="s">
        <v>11453</v>
      </c>
      <c r="C4248" s="2" t="s">
        <v>17</v>
      </c>
      <c r="D4248" s="2" t="s">
        <v>156</v>
      </c>
      <c r="E4248" s="4">
        <v>-32192</v>
      </c>
      <c r="F4248" s="3" t="s">
        <v>673</v>
      </c>
      <c r="G4248" s="3" t="s">
        <v>8354</v>
      </c>
      <c r="H4248" s="2" t="s">
        <v>148</v>
      </c>
      <c r="I4248" s="2" t="s">
        <v>11454</v>
      </c>
      <c r="J4248" s="3" t="str">
        <f>HYPERLINK("https://www.boe.es/gazeta/dias/1811/11/10/pdfs/GMD-1811-314.pdf#page=3","Abrir facsímil")</f>
        <v>Abrir facsímil</v>
      </c>
      <c r="K4248" s="3" t="s">
        <v>150</v>
      </c>
    </row>
    <row r="4249" spans="1:11" ht="42" customHeight="1">
      <c r="A4249" s="2" t="s">
        <v>11455</v>
      </c>
      <c r="B4249" s="2" t="s">
        <v>11456</v>
      </c>
      <c r="C4249" s="2" t="s">
        <v>17</v>
      </c>
      <c r="D4249" s="2" t="s">
        <v>18</v>
      </c>
      <c r="E4249" s="4">
        <v>-32155</v>
      </c>
      <c r="F4249" s="3" t="s">
        <v>99</v>
      </c>
      <c r="G4249" s="3" t="s">
        <v>47</v>
      </c>
      <c r="H4249" s="2" t="s">
        <v>148</v>
      </c>
      <c r="I4249" s="2" t="s">
        <v>11457</v>
      </c>
      <c r="J4249" s="3" t="str">
        <f>HYPERLINK("https://www.boe.es/gazeta/dias/1811/12/17/pdfs/GMD-1811-351.pdf#page=2","Abrir facsímil")</f>
        <v>Abrir facsímil</v>
      </c>
      <c r="K4249" s="3" t="s">
        <v>150</v>
      </c>
    </row>
    <row r="4250" spans="1:11" ht="42" customHeight="1">
      <c r="A4250" s="2" t="s">
        <v>11458</v>
      </c>
      <c r="B4250" s="2" t="s">
        <v>11459</v>
      </c>
      <c r="C4250" s="2" t="s">
        <v>17</v>
      </c>
      <c r="D4250" s="2" t="s">
        <v>18</v>
      </c>
      <c r="E4250" s="4">
        <v>-32283</v>
      </c>
      <c r="F4250" s="3" t="s">
        <v>90</v>
      </c>
      <c r="G4250" s="3" t="s">
        <v>91</v>
      </c>
      <c r="H4250" s="2" t="s">
        <v>148</v>
      </c>
      <c r="I4250" s="2" t="s">
        <v>11460</v>
      </c>
      <c r="J4250" s="3" t="str">
        <f>HYPERLINK("https://www.boe.es/gazeta/dias/1811/08/11/pdfs/GMD-1811-223.pdf#page=4","Abrir facsímil")</f>
        <v>Abrir facsímil</v>
      </c>
      <c r="K4250" s="3" t="s">
        <v>150</v>
      </c>
    </row>
    <row r="4251" spans="1:11" ht="42" customHeight="1">
      <c r="A4251" s="2" t="s">
        <v>11461</v>
      </c>
      <c r="B4251" s="2" t="s">
        <v>11462</v>
      </c>
      <c r="C4251" s="2" t="s">
        <v>17</v>
      </c>
      <c r="D4251" s="2" t="s">
        <v>18</v>
      </c>
      <c r="E4251" s="4">
        <v>-32494</v>
      </c>
      <c r="F4251" s="3" t="s">
        <v>585</v>
      </c>
      <c r="G4251" s="3" t="s">
        <v>6444</v>
      </c>
      <c r="H4251" s="2" t="s">
        <v>148</v>
      </c>
      <c r="I4251" s="2" t="s">
        <v>11463</v>
      </c>
      <c r="J4251" s="3" t="str">
        <f>HYPERLINK("https://www.boe.es/gazeta/dias/1811/01/12/pdfs/GMD-1811-12.pdf#page=1","Abrir facsímil")</f>
        <v>Abrir facsímil</v>
      </c>
      <c r="K4251" s="3" t="s">
        <v>150</v>
      </c>
    </row>
    <row r="4252" spans="1:11" ht="42" customHeight="1">
      <c r="A4252" s="2" t="s">
        <v>11464</v>
      </c>
      <c r="B4252" s="2" t="s">
        <v>11464</v>
      </c>
      <c r="C4252" s="2" t="s">
        <v>26</v>
      </c>
      <c r="D4252" s="2" t="s">
        <v>18</v>
      </c>
      <c r="E4252" s="4">
        <v>-32308</v>
      </c>
      <c r="F4252" s="3" t="s">
        <v>4572</v>
      </c>
      <c r="G4252" s="3" t="s">
        <v>468</v>
      </c>
      <c r="H4252" s="2" t="s">
        <v>148</v>
      </c>
      <c r="I4252" s="2" t="s">
        <v>11465</v>
      </c>
      <c r="J4252" s="3" t="str">
        <f>HYPERLINK("https://www.boe.es/gazeta/dias/1811/07/17/pdfs/GMD-1811-198.pdf#page=4","Abrir facsímil")</f>
        <v>Abrir facsímil</v>
      </c>
      <c r="K4252" s="3" t="s">
        <v>150</v>
      </c>
    </row>
    <row r="4253" spans="1:11" ht="42" customHeight="1">
      <c r="A4253" s="2" t="s">
        <v>11466</v>
      </c>
      <c r="B4253" s="2" t="s">
        <v>11466</v>
      </c>
      <c r="C4253" s="2" t="s">
        <v>104</v>
      </c>
      <c r="D4253" s="2" t="s">
        <v>18</v>
      </c>
      <c r="E4253" s="4">
        <v>-32362</v>
      </c>
      <c r="F4253" s="3" t="s">
        <v>11467</v>
      </c>
      <c r="G4253" s="3" t="s">
        <v>183</v>
      </c>
      <c r="H4253" s="2" t="s">
        <v>148</v>
      </c>
      <c r="I4253" s="2" t="s">
        <v>11468</v>
      </c>
      <c r="J4253" s="3" t="str">
        <f>HYPERLINK("https://www.boe.es/gazeta/dias/1811/05/24/pdfs/GMD-1811-144.pdf#page=4","Abrir facsímil")</f>
        <v>Abrir facsímil</v>
      </c>
      <c r="K4253" s="3" t="s">
        <v>150</v>
      </c>
    </row>
    <row r="4254" spans="1:11" ht="42" customHeight="1">
      <c r="A4254" s="2" t="s">
        <v>11469</v>
      </c>
      <c r="B4254" s="2" t="s">
        <v>11469</v>
      </c>
      <c r="C4254" s="2" t="s">
        <v>17</v>
      </c>
      <c r="D4254" s="2" t="s">
        <v>105</v>
      </c>
      <c r="E4254" s="4">
        <v>-32428</v>
      </c>
      <c r="F4254" s="3" t="s">
        <v>351</v>
      </c>
      <c r="G4254" s="3" t="s">
        <v>57</v>
      </c>
      <c r="H4254" s="2" t="s">
        <v>148</v>
      </c>
      <c r="I4254" s="2" t="s">
        <v>11470</v>
      </c>
      <c r="J4254" s="3" t="str">
        <f>HYPERLINK("https://www.boe.es/gazeta/dias/1811/03/19/pdfs/GMD-1811-78.pdf#page=2","Abrir facsímil")</f>
        <v>Abrir facsímil</v>
      </c>
      <c r="K4254" s="3" t="s">
        <v>150</v>
      </c>
    </row>
    <row r="4255" spans="1:11" ht="42" customHeight="1">
      <c r="A4255" s="2" t="s">
        <v>11471</v>
      </c>
      <c r="B4255" s="2" t="s">
        <v>11471</v>
      </c>
      <c r="C4255" s="2" t="s">
        <v>17</v>
      </c>
      <c r="D4255" s="2" t="s">
        <v>156</v>
      </c>
      <c r="E4255" s="4">
        <v>-32319</v>
      </c>
      <c r="F4255" s="3" t="s">
        <v>2035</v>
      </c>
      <c r="G4255" s="3" t="s">
        <v>134</v>
      </c>
      <c r="H4255" s="2" t="s">
        <v>148</v>
      </c>
      <c r="I4255" s="2" t="s">
        <v>11472</v>
      </c>
      <c r="J4255" s="3" t="str">
        <f>HYPERLINK("https://www.boe.es/gazeta/dias/1811/07/06/pdfs/GMD-1811-187.pdf#page=2","Abrir facsímil")</f>
        <v>Abrir facsímil</v>
      </c>
      <c r="K4255" s="3" t="s">
        <v>150</v>
      </c>
    </row>
    <row r="4256" spans="1:11" ht="42" customHeight="1">
      <c r="A4256" s="2" t="s">
        <v>11473</v>
      </c>
      <c r="B4256" s="2" t="s">
        <v>11474</v>
      </c>
      <c r="C4256" s="2" t="s">
        <v>26</v>
      </c>
      <c r="D4256" s="2" t="s">
        <v>18</v>
      </c>
      <c r="E4256" s="4">
        <v>-32333</v>
      </c>
      <c r="F4256" s="3" t="s">
        <v>292</v>
      </c>
      <c r="G4256" s="3" t="s">
        <v>293</v>
      </c>
      <c r="H4256" s="2" t="s">
        <v>148</v>
      </c>
      <c r="I4256" s="2" t="s">
        <v>11475</v>
      </c>
      <c r="J4256" s="3" t="str">
        <f>HYPERLINK("https://www.boe.es/gazeta/dias/1811/06/22/pdfs/GEI-1811-83.pdf#page=8","Abrir facsímil")</f>
        <v>Abrir facsímil</v>
      </c>
      <c r="K4256" s="3" t="s">
        <v>150</v>
      </c>
    </row>
    <row r="4257" spans="1:11" ht="42" customHeight="1">
      <c r="A4257" s="2" t="s">
        <v>11476</v>
      </c>
      <c r="B4257" s="2" t="s">
        <v>11476</v>
      </c>
      <c r="C4257" s="2" t="s">
        <v>104</v>
      </c>
      <c r="D4257" s="2" t="s">
        <v>18</v>
      </c>
      <c r="E4257" s="4">
        <v>-32194</v>
      </c>
      <c r="F4257" s="3" t="s">
        <v>1062</v>
      </c>
      <c r="G4257" s="3" t="s">
        <v>2908</v>
      </c>
      <c r="H4257" s="2" t="s">
        <v>148</v>
      </c>
      <c r="I4257" s="2" t="s">
        <v>11477</v>
      </c>
      <c r="J4257" s="3" t="str">
        <f>HYPERLINK("https://www.boe.es/gazeta/dias/1811/11/08/pdfs/GMD-1811-312.pdf#page=1","Abrir facsímil")</f>
        <v>Abrir facsímil</v>
      </c>
      <c r="K4257" s="3" t="s">
        <v>150</v>
      </c>
    </row>
    <row r="4258" spans="1:11" ht="42" customHeight="1">
      <c r="A4258" s="2" t="s">
        <v>11478</v>
      </c>
      <c r="B4258" s="2" t="s">
        <v>11479</v>
      </c>
      <c r="C4258" s="2" t="s">
        <v>17</v>
      </c>
      <c r="D4258" s="2" t="s">
        <v>18</v>
      </c>
      <c r="E4258" s="4">
        <v>-32200</v>
      </c>
      <c r="F4258" s="3" t="s">
        <v>109</v>
      </c>
      <c r="G4258" s="3" t="s">
        <v>586</v>
      </c>
      <c r="H4258" s="2" t="s">
        <v>148</v>
      </c>
      <c r="I4258" s="2" t="s">
        <v>11480</v>
      </c>
      <c r="J4258" s="3" t="str">
        <f>HYPERLINK("https://www.boe.es/gazeta/dias/1811/11/02/pdfs/GEI-1811-141.pdf#page=8","Abrir facsímil")</f>
        <v>Abrir facsímil</v>
      </c>
      <c r="K4258" s="3" t="s">
        <v>150</v>
      </c>
    </row>
    <row r="4259" spans="1:11" ht="42" customHeight="1">
      <c r="A4259" s="2" t="s">
        <v>11481</v>
      </c>
      <c r="B4259" s="2" t="s">
        <v>11482</v>
      </c>
      <c r="C4259" s="2" t="s">
        <v>26</v>
      </c>
      <c r="D4259" s="2" t="s">
        <v>18</v>
      </c>
      <c r="E4259" s="4">
        <v>-32144</v>
      </c>
      <c r="F4259" s="3" t="s">
        <v>1097</v>
      </c>
      <c r="G4259" s="3" t="s">
        <v>1098</v>
      </c>
      <c r="H4259" s="2" t="s">
        <v>148</v>
      </c>
      <c r="I4259" s="2" t="s">
        <v>11483</v>
      </c>
      <c r="J4259" s="3" t="str">
        <f>HYPERLINK("https://www.boe.es/gazeta/dias/1811/12/28/pdfs/GEI-1811-168.pdf#page=8","Abrir facsímil")</f>
        <v>Abrir facsímil</v>
      </c>
      <c r="K4259" s="3" t="s">
        <v>150</v>
      </c>
    </row>
    <row r="4260" spans="1:11" ht="42" customHeight="1">
      <c r="A4260" s="2" t="s">
        <v>11484</v>
      </c>
      <c r="B4260" s="2" t="s">
        <v>11485</v>
      </c>
      <c r="C4260" s="2" t="s">
        <v>104</v>
      </c>
      <c r="D4260" s="2" t="s">
        <v>18</v>
      </c>
      <c r="E4260" s="4">
        <v>-32153</v>
      </c>
      <c r="F4260" s="3" t="s">
        <v>123</v>
      </c>
      <c r="G4260" s="3" t="s">
        <v>288</v>
      </c>
      <c r="H4260" s="2" t="s">
        <v>148</v>
      </c>
      <c r="I4260" s="2" t="s">
        <v>11486</v>
      </c>
      <c r="J4260" s="3" t="str">
        <f>HYPERLINK("https://www.boe.es/gazeta/dias/1811/12/19/pdfs/GMD-1811-353.pdf#page=4","Abrir facsímil")</f>
        <v>Abrir facsímil</v>
      </c>
      <c r="K4260" s="3" t="s">
        <v>150</v>
      </c>
    </row>
    <row r="4261" spans="1:11" ht="42" customHeight="1">
      <c r="A4261" s="2" t="s">
        <v>11487</v>
      </c>
      <c r="B4261" s="2" t="s">
        <v>11488</v>
      </c>
      <c r="C4261" s="2" t="s">
        <v>26</v>
      </c>
      <c r="D4261" s="2" t="s">
        <v>18</v>
      </c>
      <c r="E4261" s="4">
        <v>-32158</v>
      </c>
      <c r="F4261" s="3" t="s">
        <v>46</v>
      </c>
      <c r="G4261" s="3" t="s">
        <v>67</v>
      </c>
      <c r="H4261" s="2" t="s">
        <v>148</v>
      </c>
      <c r="I4261" s="2" t="s">
        <v>11489</v>
      </c>
      <c r="J4261" s="3" t="str">
        <f>HYPERLINK("https://www.boe.es/gazeta/dias/1811/12/14/pdfs/GEI-1811-162.pdf#page=8","Abrir facsímil")</f>
        <v>Abrir facsímil</v>
      </c>
      <c r="K4261" s="3" t="s">
        <v>150</v>
      </c>
    </row>
    <row r="4262" spans="1:11" ht="42" customHeight="1">
      <c r="A4262" s="2" t="s">
        <v>11490</v>
      </c>
      <c r="B4262" s="2" t="s">
        <v>11490</v>
      </c>
      <c r="C4262" s="2" t="s">
        <v>26</v>
      </c>
      <c r="D4262" s="2" t="s">
        <v>18</v>
      </c>
      <c r="E4262" s="4">
        <v>-32163</v>
      </c>
      <c r="F4262" s="3" t="s">
        <v>497</v>
      </c>
      <c r="G4262" s="3" t="s">
        <v>6458</v>
      </c>
      <c r="H4262" s="2" t="s">
        <v>148</v>
      </c>
      <c r="I4262" s="2" t="s">
        <v>11491</v>
      </c>
      <c r="J4262" s="3" t="str">
        <f>HYPERLINK("https://www.boe.es/gazeta/dias/1811/12/09/pdfs/GMD-1811-343.pdf#page=2","Abrir facsímil")</f>
        <v>Abrir facsímil</v>
      </c>
      <c r="K4262" s="3" t="s">
        <v>150</v>
      </c>
    </row>
    <row r="4263" spans="1:11" ht="42" customHeight="1">
      <c r="A4263" s="2" t="s">
        <v>11492</v>
      </c>
      <c r="B4263" s="2" t="s">
        <v>11492</v>
      </c>
      <c r="C4263" s="2" t="s">
        <v>367</v>
      </c>
      <c r="D4263" s="2" t="s">
        <v>18</v>
      </c>
      <c r="E4263" s="4">
        <v>-32302</v>
      </c>
      <c r="F4263" s="3" t="s">
        <v>412</v>
      </c>
      <c r="G4263" s="3" t="s">
        <v>413</v>
      </c>
      <c r="H4263" s="2" t="s">
        <v>148</v>
      </c>
      <c r="I4263" s="2" t="s">
        <v>11493</v>
      </c>
      <c r="J4263" s="3" t="str">
        <f>HYPERLINK("https://www.boe.es/gazeta/dias/1811/07/23/pdfs/GMD-1811-204.pdf#page=1","Abrir facsímil")</f>
        <v>Abrir facsímil</v>
      </c>
      <c r="K4263" s="3" t="s">
        <v>150</v>
      </c>
    </row>
    <row r="4264" spans="1:11" ht="42" customHeight="1">
      <c r="A4264" s="2" t="s">
        <v>11494</v>
      </c>
      <c r="B4264" s="2" t="s">
        <v>11495</v>
      </c>
      <c r="C4264" s="2" t="s">
        <v>17</v>
      </c>
      <c r="D4264" s="2" t="s">
        <v>18</v>
      </c>
      <c r="E4264" s="4">
        <v>-32454</v>
      </c>
      <c r="F4264" s="3" t="s">
        <v>2268</v>
      </c>
      <c r="G4264" s="3" t="s">
        <v>5554</v>
      </c>
      <c r="H4264" s="2" t="s">
        <v>148</v>
      </c>
      <c r="I4264" s="2" t="s">
        <v>11496</v>
      </c>
      <c r="J4264" s="3" t="str">
        <f>HYPERLINK("https://www.boe.es/gazeta/dias/1811/02/21/pdfs/GEI-1811-23.pdf#page=3","Abrir facsímil")</f>
        <v>Abrir facsímil</v>
      </c>
      <c r="K4264" s="3" t="s">
        <v>150</v>
      </c>
    </row>
    <row r="4265" spans="1:11" ht="42" customHeight="1">
      <c r="A4265" s="2" t="s">
        <v>11497</v>
      </c>
      <c r="B4265" s="2" t="s">
        <v>11498</v>
      </c>
      <c r="C4265" s="2" t="s">
        <v>17</v>
      </c>
      <c r="D4265" s="2" t="s">
        <v>141</v>
      </c>
      <c r="E4265" s="4">
        <v>-32384</v>
      </c>
      <c r="F4265" s="3" t="s">
        <v>2599</v>
      </c>
      <c r="G4265" s="3" t="s">
        <v>4480</v>
      </c>
      <c r="H4265" s="2" t="s">
        <v>148</v>
      </c>
      <c r="I4265" s="2" t="s">
        <v>11499</v>
      </c>
      <c r="J4265" s="3" t="str">
        <f>HYPERLINK("https://www.boe.es/gazeta/dias/1811/05/02/pdfs/GEI-D-1811-58.pdf#page=3","Abrir facsímil")</f>
        <v>Abrir facsímil</v>
      </c>
      <c r="K4265" s="3" t="s">
        <v>150</v>
      </c>
    </row>
    <row r="4266" spans="1:11" ht="42" customHeight="1">
      <c r="A4266" s="2" t="s">
        <v>11500</v>
      </c>
      <c r="B4266" s="2" t="s">
        <v>11501</v>
      </c>
      <c r="C4266" s="2" t="s">
        <v>122</v>
      </c>
      <c r="D4266" s="2" t="s">
        <v>18</v>
      </c>
      <c r="E4266" s="4">
        <v>-32461</v>
      </c>
      <c r="F4266" s="3" t="s">
        <v>2429</v>
      </c>
      <c r="G4266" s="3" t="s">
        <v>47</v>
      </c>
      <c r="H4266" s="2" t="s">
        <v>148</v>
      </c>
      <c r="I4266" s="2" t="s">
        <v>11502</v>
      </c>
      <c r="J4266" s="3" t="str">
        <f>HYPERLINK("https://www.boe.es/gazeta/dias/1811/02/14/pdfs/GEI-1811-20.pdf#page=6","Abrir facsímil")</f>
        <v>Abrir facsímil</v>
      </c>
      <c r="K4266" s="3" t="s">
        <v>150</v>
      </c>
    </row>
    <row r="4267" spans="1:11" ht="42" customHeight="1">
      <c r="A4267" s="2" t="s">
        <v>11503</v>
      </c>
      <c r="B4267" s="2" t="s">
        <v>11504</v>
      </c>
      <c r="C4267" s="2" t="s">
        <v>17</v>
      </c>
      <c r="D4267" s="2" t="s">
        <v>156</v>
      </c>
      <c r="E4267" s="4">
        <v>-32391</v>
      </c>
      <c r="F4267" s="3" t="s">
        <v>252</v>
      </c>
      <c r="G4267" s="3" t="s">
        <v>5332</v>
      </c>
      <c r="H4267" s="2" t="s">
        <v>148</v>
      </c>
      <c r="I4267" s="2" t="s">
        <v>11505</v>
      </c>
      <c r="J4267" s="3" t="str">
        <f>HYPERLINK("https://www.boe.es/gazeta/dias/1811/04/25/pdfs/GEI-1811-55.pdf#page=7","Abrir facsímil")</f>
        <v>Abrir facsímil</v>
      </c>
      <c r="K4267" s="3" t="s">
        <v>150</v>
      </c>
    </row>
    <row r="4268" spans="1:11" ht="42" customHeight="1">
      <c r="A4268" s="2" t="s">
        <v>11506</v>
      </c>
      <c r="B4268" s="2" t="s">
        <v>11506</v>
      </c>
      <c r="C4268" s="2" t="s">
        <v>26</v>
      </c>
      <c r="D4268" s="2" t="s">
        <v>18</v>
      </c>
      <c r="E4268" s="4">
        <v>-32307</v>
      </c>
      <c r="F4268" s="3" t="s">
        <v>1112</v>
      </c>
      <c r="G4268" s="3" t="s">
        <v>115</v>
      </c>
      <c r="H4268" s="2" t="s">
        <v>148</v>
      </c>
      <c r="I4268" s="2" t="s">
        <v>11507</v>
      </c>
      <c r="J4268" s="3" t="str">
        <f>HYPERLINK("https://www.boe.es/gazeta/dias/1811/07/18/pdfs/GEI-1811-94.pdf#page=3","Abrir facsímil")</f>
        <v>Abrir facsímil</v>
      </c>
      <c r="K4268" s="3" t="s">
        <v>150</v>
      </c>
    </row>
    <row r="4269" spans="1:11" ht="42" customHeight="1">
      <c r="A4269" s="2" t="s">
        <v>11508</v>
      </c>
      <c r="B4269" s="2" t="s">
        <v>11508</v>
      </c>
      <c r="C4269" s="2" t="s">
        <v>26</v>
      </c>
      <c r="D4269" s="2" t="s">
        <v>18</v>
      </c>
      <c r="E4269" s="4">
        <v>-32474</v>
      </c>
      <c r="F4269" s="3" t="s">
        <v>11509</v>
      </c>
      <c r="G4269" s="3" t="s">
        <v>468</v>
      </c>
      <c r="H4269" s="2" t="s">
        <v>148</v>
      </c>
      <c r="I4269" s="2" t="s">
        <v>11510</v>
      </c>
      <c r="J4269" s="3" t="str">
        <f>HYPERLINK("https://www.boe.es/gazeta/dias/1811/02/01/pdfs/GMD-1811-32.pdf#page=4","Abrir facsímil")</f>
        <v>Abrir facsímil</v>
      </c>
      <c r="K4269" s="3" t="s">
        <v>150</v>
      </c>
    </row>
    <row r="4270" spans="1:11" ht="42" customHeight="1">
      <c r="A4270" s="2" t="s">
        <v>11511</v>
      </c>
      <c r="B4270" s="2" t="s">
        <v>11512</v>
      </c>
      <c r="C4270" s="2" t="s">
        <v>26</v>
      </c>
      <c r="D4270" s="2" t="s">
        <v>105</v>
      </c>
      <c r="E4270" s="4">
        <v>-32238</v>
      </c>
      <c r="F4270" s="3" t="s">
        <v>166</v>
      </c>
      <c r="G4270" s="3" t="s">
        <v>178</v>
      </c>
      <c r="H4270" s="2" t="s">
        <v>148</v>
      </c>
      <c r="I4270" s="2" t="s">
        <v>11513</v>
      </c>
      <c r="J4270" s="3" t="str">
        <f>HYPERLINK("https://www.boe.es/gazeta/dias/1811/09/25/pdfs/GMD-C-1811-268.pdf#page=4","Abrir facsímil")</f>
        <v>Abrir facsímil</v>
      </c>
      <c r="K4270" s="3" t="s">
        <v>150</v>
      </c>
    </row>
    <row r="4271" spans="1:11" ht="42" customHeight="1">
      <c r="A4271" s="2" t="s">
        <v>11514</v>
      </c>
      <c r="B4271" s="2" t="s">
        <v>11515</v>
      </c>
      <c r="C4271" s="2" t="s">
        <v>17</v>
      </c>
      <c r="D4271" s="2" t="s">
        <v>18</v>
      </c>
      <c r="E4271" s="4">
        <v>-32433</v>
      </c>
      <c r="F4271" s="3" t="s">
        <v>676</v>
      </c>
      <c r="G4271" s="3" t="s">
        <v>1143</v>
      </c>
      <c r="H4271" s="2" t="s">
        <v>148</v>
      </c>
      <c r="I4271" s="2" t="s">
        <v>11516</v>
      </c>
      <c r="J4271" s="3" t="str">
        <f>HYPERLINK("https://www.boe.es/gazeta/dias/1811/03/14/pdfs/GEI-1811-37.pdf#page=8","Abrir facsímil")</f>
        <v>Abrir facsímil</v>
      </c>
      <c r="K4271" s="3" t="s">
        <v>150</v>
      </c>
    </row>
    <row r="4272" spans="1:11" ht="42" customHeight="1">
      <c r="A4272" s="2" t="s">
        <v>11517</v>
      </c>
      <c r="B4272" s="2" t="s">
        <v>11518</v>
      </c>
      <c r="C4272" s="2" t="s">
        <v>17</v>
      </c>
      <c r="D4272" s="2" t="s">
        <v>105</v>
      </c>
      <c r="E4272" s="4">
        <v>-32363</v>
      </c>
      <c r="F4272" s="3" t="s">
        <v>1645</v>
      </c>
      <c r="G4272" s="3" t="s">
        <v>20</v>
      </c>
      <c r="H4272" s="2" t="s">
        <v>148</v>
      </c>
      <c r="I4272" s="2" t="s">
        <v>11519</v>
      </c>
      <c r="J4272" s="3" t="str">
        <f>HYPERLINK("https://www.boe.es/gazeta/dias/1811/05/23/pdfs/GEI-1811-68.pdf#page=4","Abrir facsímil")</f>
        <v>Abrir facsímil</v>
      </c>
      <c r="K4272" s="3" t="s">
        <v>150</v>
      </c>
    </row>
    <row r="4273" spans="1:11" ht="42" customHeight="1">
      <c r="A4273" s="2" t="s">
        <v>11517</v>
      </c>
      <c r="B4273" s="2" t="s">
        <v>11518</v>
      </c>
      <c r="C4273" s="2" t="s">
        <v>17</v>
      </c>
      <c r="D4273" s="2" t="s">
        <v>18</v>
      </c>
      <c r="E4273" s="4">
        <v>-32288</v>
      </c>
      <c r="F4273" s="3" t="s">
        <v>95</v>
      </c>
      <c r="G4273" s="3" t="s">
        <v>2615</v>
      </c>
      <c r="H4273" s="2" t="s">
        <v>148</v>
      </c>
      <c r="I4273" s="2" t="s">
        <v>11520</v>
      </c>
      <c r="J4273" s="3" t="str">
        <f>HYPERLINK("https://www.boe.es/gazeta/dias/1811/08/06/pdfs/GEI-1811-102.pdf#page=1","Abrir facsímil")</f>
        <v>Abrir facsímil</v>
      </c>
      <c r="K4273" s="3" t="s">
        <v>150</v>
      </c>
    </row>
    <row r="4274" spans="1:11" ht="42" customHeight="1">
      <c r="A4274" s="2" t="s">
        <v>11521</v>
      </c>
      <c r="B4274" s="2" t="s">
        <v>11522</v>
      </c>
      <c r="C4274" s="2" t="s">
        <v>26</v>
      </c>
      <c r="D4274" s="2" t="s">
        <v>18</v>
      </c>
      <c r="E4274" s="4">
        <v>-32155</v>
      </c>
      <c r="F4274" s="3" t="s">
        <v>263</v>
      </c>
      <c r="G4274" s="3" t="s">
        <v>264</v>
      </c>
      <c r="H4274" s="2" t="s">
        <v>148</v>
      </c>
      <c r="I4274" s="2" t="s">
        <v>11523</v>
      </c>
      <c r="J4274" s="3" t="str">
        <f>HYPERLINK("https://www.boe.es/gazeta/dias/1811/12/17/pdfs/GEI-1811-163.pdf#page=8","Abrir facsímil")</f>
        <v>Abrir facsímil</v>
      </c>
      <c r="K4274" s="3" t="s">
        <v>150</v>
      </c>
    </row>
    <row r="4275" spans="1:11" ht="42" customHeight="1">
      <c r="A4275" s="2" t="s">
        <v>11524</v>
      </c>
      <c r="B4275" s="2" t="s">
        <v>11525</v>
      </c>
      <c r="C4275" s="2" t="s">
        <v>26</v>
      </c>
      <c r="D4275" s="2" t="s">
        <v>18</v>
      </c>
      <c r="E4275" s="4">
        <v>-32193</v>
      </c>
      <c r="F4275" s="3" t="s">
        <v>1037</v>
      </c>
      <c r="G4275" s="3" t="s">
        <v>4628</v>
      </c>
      <c r="H4275" s="2" t="s">
        <v>148</v>
      </c>
      <c r="I4275" s="2" t="s">
        <v>11526</v>
      </c>
      <c r="J4275" s="3" t="str">
        <f>HYPERLINK("https://www.boe.es/gazeta/dias/1811/11/09/pdfs/GEI-1811-145.pdf#page=7","Abrir facsímil")</f>
        <v>Abrir facsímil</v>
      </c>
      <c r="K4275" s="3" t="s">
        <v>150</v>
      </c>
    </row>
    <row r="4276" spans="1:11" ht="42" customHeight="1">
      <c r="A4276" s="2" t="s">
        <v>11527</v>
      </c>
      <c r="B4276" s="2" t="s">
        <v>11528</v>
      </c>
      <c r="C4276" s="2" t="s">
        <v>17</v>
      </c>
      <c r="D4276" s="2" t="s">
        <v>18</v>
      </c>
      <c r="E4276" s="4">
        <v>-32284</v>
      </c>
      <c r="F4276" s="3" t="s">
        <v>170</v>
      </c>
      <c r="G4276" s="3" t="s">
        <v>1388</v>
      </c>
      <c r="H4276" s="2" t="s">
        <v>148</v>
      </c>
      <c r="I4276" s="2" t="s">
        <v>11529</v>
      </c>
      <c r="J4276" s="3" t="str">
        <f>HYPERLINK("https://www.boe.es/gazeta/dias/1811/08/10/pdfs/GEI-1811-104.pdf#page=8","Abrir facsímil")</f>
        <v>Abrir facsímil</v>
      </c>
      <c r="K4276" s="3" t="s">
        <v>150</v>
      </c>
    </row>
    <row r="4277" spans="1:11" ht="42" customHeight="1">
      <c r="A4277" s="2" t="s">
        <v>11530</v>
      </c>
      <c r="B4277" s="2" t="s">
        <v>11531</v>
      </c>
      <c r="C4277" s="2" t="s">
        <v>84</v>
      </c>
      <c r="D4277" s="2" t="s">
        <v>18</v>
      </c>
      <c r="E4277" s="4">
        <v>-32309</v>
      </c>
      <c r="F4277" s="3" t="s">
        <v>7621</v>
      </c>
      <c r="G4277" s="3" t="s">
        <v>44</v>
      </c>
      <c r="H4277" s="2" t="s">
        <v>148</v>
      </c>
      <c r="I4277" s="2" t="s">
        <v>11532</v>
      </c>
      <c r="J4277" s="3" t="str">
        <f>HYPERLINK("https://www.boe.es/gazeta/dias/1811/07/16/pdfs/GMD-1811-197.pdf#page=4","Abrir facsímil")</f>
        <v>Abrir facsímil</v>
      </c>
      <c r="K4277" s="3" t="s">
        <v>150</v>
      </c>
    </row>
    <row r="4278" spans="1:11" ht="42" customHeight="1">
      <c r="A4278" s="2" t="s">
        <v>11533</v>
      </c>
      <c r="B4278" s="2" t="s">
        <v>11534</v>
      </c>
      <c r="C4278" s="2" t="s">
        <v>26</v>
      </c>
      <c r="D4278" s="2" t="s">
        <v>141</v>
      </c>
      <c r="E4278" s="4">
        <v>-32280</v>
      </c>
      <c r="F4278" s="3" t="s">
        <v>142</v>
      </c>
      <c r="G4278" s="3" t="s">
        <v>597</v>
      </c>
      <c r="H4278" s="2" t="s">
        <v>148</v>
      </c>
      <c r="I4278" s="2" t="s">
        <v>11535</v>
      </c>
      <c r="J4278" s="3" t="str">
        <f>HYPERLINK("https://www.boe.es/gazeta/dias/1811/08/14/pdfs/GMD-C-1811-226.pdf#page=2","Abrir facsímil")</f>
        <v>Abrir facsímil</v>
      </c>
      <c r="K4278" s="3" t="s">
        <v>150</v>
      </c>
    </row>
    <row r="4279" spans="1:11" ht="42" customHeight="1">
      <c r="A4279" s="2" t="s">
        <v>11536</v>
      </c>
      <c r="B4279" s="2" t="s">
        <v>11537</v>
      </c>
      <c r="C4279" s="2" t="s">
        <v>26</v>
      </c>
      <c r="D4279" s="2" t="s">
        <v>18</v>
      </c>
      <c r="E4279" s="4">
        <v>-32237</v>
      </c>
      <c r="F4279" s="3" t="s">
        <v>717</v>
      </c>
      <c r="G4279" s="3" t="s">
        <v>47</v>
      </c>
      <c r="H4279" s="2" t="s">
        <v>148</v>
      </c>
      <c r="I4279" s="2" t="s">
        <v>11538</v>
      </c>
      <c r="J4279" s="3" t="str">
        <f>HYPERLINK("https://www.boe.es/gazeta/dias/1811/09/26/pdfs/GEI-1811-124.pdf#page=4","Abrir facsímil")</f>
        <v>Abrir facsímil</v>
      </c>
      <c r="K4279" s="3" t="s">
        <v>150</v>
      </c>
    </row>
    <row r="4280" spans="1:11" ht="42" customHeight="1">
      <c r="A4280" s="2" t="s">
        <v>11539</v>
      </c>
      <c r="B4280" s="2" t="s">
        <v>11540</v>
      </c>
      <c r="C4280" s="2" t="s">
        <v>17</v>
      </c>
      <c r="D4280" s="2" t="s">
        <v>18</v>
      </c>
      <c r="E4280" s="4">
        <v>-32260</v>
      </c>
      <c r="F4280" s="3" t="s">
        <v>27</v>
      </c>
      <c r="G4280" s="3" t="s">
        <v>183</v>
      </c>
      <c r="H4280" s="2" t="s">
        <v>148</v>
      </c>
      <c r="I4280" s="2" t="s">
        <v>11541</v>
      </c>
      <c r="J4280" s="3" t="str">
        <f>HYPERLINK("https://www.boe.es/gazeta/dias/1811/09/03/pdfs/GEI-1811-114.pdf#page=4","Abrir facsímil")</f>
        <v>Abrir facsímil</v>
      </c>
      <c r="K4280" s="3" t="s">
        <v>150</v>
      </c>
    </row>
    <row r="4281" spans="1:11" ht="42" customHeight="1">
      <c r="A4281" s="2" t="s">
        <v>11542</v>
      </c>
      <c r="B4281" s="2" t="s">
        <v>11543</v>
      </c>
      <c r="C4281" s="2" t="s">
        <v>26</v>
      </c>
      <c r="D4281" s="2" t="s">
        <v>18</v>
      </c>
      <c r="E4281" s="4">
        <v>-32295</v>
      </c>
      <c r="F4281" s="3" t="s">
        <v>279</v>
      </c>
      <c r="G4281" s="3" t="s">
        <v>6133</v>
      </c>
      <c r="H4281" s="2" t="s">
        <v>148</v>
      </c>
      <c r="I4281" s="2" t="s">
        <v>11544</v>
      </c>
      <c r="J4281" s="3" t="str">
        <f>HYPERLINK("https://www.boe.es/gazeta/dias/1811/07/30/pdfs/GEI-1811-99.pdf#page=6","Abrir facsímil")</f>
        <v>Abrir facsímil</v>
      </c>
      <c r="K4281" s="3" t="s">
        <v>150</v>
      </c>
    </row>
    <row r="4282" spans="1:11" ht="42" customHeight="1">
      <c r="A4282" s="2" t="s">
        <v>11545</v>
      </c>
      <c r="B4282" s="2" t="s">
        <v>11546</v>
      </c>
      <c r="C4282" s="2" t="s">
        <v>26</v>
      </c>
      <c r="D4282" s="2" t="s">
        <v>18</v>
      </c>
      <c r="E4282" s="4">
        <v>-32195</v>
      </c>
      <c r="F4282" s="3" t="s">
        <v>439</v>
      </c>
      <c r="G4282" s="3" t="s">
        <v>440</v>
      </c>
      <c r="H4282" s="2" t="s">
        <v>148</v>
      </c>
      <c r="I4282" s="2" t="s">
        <v>11547</v>
      </c>
      <c r="J4282" s="3" t="str">
        <f>HYPERLINK("https://www.boe.es/gazeta/dias/1811/11/07/pdfs/GEI-1811-144.pdf#page=8","Abrir facsímil")</f>
        <v>Abrir facsímil</v>
      </c>
      <c r="K4282" s="3" t="s">
        <v>150</v>
      </c>
    </row>
    <row r="4283" spans="1:11" ht="42" customHeight="1">
      <c r="A4283" s="2" t="s">
        <v>11548</v>
      </c>
      <c r="B4283" s="2" t="s">
        <v>11549</v>
      </c>
      <c r="C4283" s="2" t="s">
        <v>26</v>
      </c>
      <c r="D4283" s="2" t="s">
        <v>141</v>
      </c>
      <c r="E4283" s="4">
        <v>-32167</v>
      </c>
      <c r="F4283" s="3" t="s">
        <v>347</v>
      </c>
      <c r="G4283" s="3" t="s">
        <v>183</v>
      </c>
      <c r="H4283" s="2" t="s">
        <v>148</v>
      </c>
      <c r="I4283" s="2" t="s">
        <v>11550</v>
      </c>
      <c r="J4283" s="3" t="str">
        <f>HYPERLINK("https://www.boe.es/gazeta/dias/1811/12/05/pdfs/GEI-D-1811-158.pdf#page=4","Abrir facsímil")</f>
        <v>Abrir facsímil</v>
      </c>
      <c r="K4283" s="3" t="s">
        <v>150</v>
      </c>
    </row>
    <row r="4284" spans="1:11" ht="42" customHeight="1">
      <c r="A4284" s="2" t="s">
        <v>11551</v>
      </c>
      <c r="B4284" s="2" t="s">
        <v>11552</v>
      </c>
      <c r="C4284" s="2" t="s">
        <v>26</v>
      </c>
      <c r="D4284" s="2" t="s">
        <v>141</v>
      </c>
      <c r="E4284" s="4">
        <v>-32238</v>
      </c>
      <c r="F4284" s="3" t="s">
        <v>166</v>
      </c>
      <c r="G4284" s="3" t="s">
        <v>657</v>
      </c>
      <c r="H4284" s="2" t="s">
        <v>148</v>
      </c>
      <c r="I4284" s="2" t="s">
        <v>11553</v>
      </c>
      <c r="J4284" s="3" t="str">
        <f>HYPERLINK("https://www.boe.es/gazeta/dias/1811/09/25/pdfs/GMD-C-1811-268.pdf#page=3","Abrir facsímil")</f>
        <v>Abrir facsímil</v>
      </c>
      <c r="K4284" s="3" t="s">
        <v>150</v>
      </c>
    </row>
    <row r="4285" spans="1:11" ht="42" customHeight="1">
      <c r="A4285" s="2" t="s">
        <v>11554</v>
      </c>
      <c r="B4285" s="2" t="s">
        <v>11555</v>
      </c>
      <c r="C4285" s="2" t="s">
        <v>26</v>
      </c>
      <c r="D4285" s="2" t="s">
        <v>18</v>
      </c>
      <c r="E4285" s="4">
        <v>-32188</v>
      </c>
      <c r="F4285" s="3" t="s">
        <v>356</v>
      </c>
      <c r="G4285" s="3" t="s">
        <v>468</v>
      </c>
      <c r="H4285" s="2" t="s">
        <v>148</v>
      </c>
      <c r="I4285" s="2" t="s">
        <v>11556</v>
      </c>
      <c r="J4285" s="3" t="str">
        <f>HYPERLINK("https://www.boe.es/gazeta/dias/1811/11/14/pdfs/GMD-1811-318.pdf#page=6","Abrir facsímil")</f>
        <v>Abrir facsímil</v>
      </c>
      <c r="K4285" s="3" t="s">
        <v>150</v>
      </c>
    </row>
    <row r="4286" spans="1:11" ht="42" customHeight="1">
      <c r="A4286" s="2" t="s">
        <v>11557</v>
      </c>
      <c r="B4286" s="2" t="s">
        <v>11558</v>
      </c>
      <c r="C4286" s="2" t="s">
        <v>26</v>
      </c>
      <c r="D4286" s="2" t="s">
        <v>18</v>
      </c>
      <c r="E4286" s="4">
        <v>-32188</v>
      </c>
      <c r="F4286" s="3" t="s">
        <v>356</v>
      </c>
      <c r="G4286" s="3" t="s">
        <v>248</v>
      </c>
      <c r="H4286" s="2" t="s">
        <v>148</v>
      </c>
      <c r="I4286" s="2" t="s">
        <v>11559</v>
      </c>
      <c r="J4286" s="3" t="str">
        <f>HYPERLINK("https://www.boe.es/gazeta/dias/1811/11/14/pdfs/GMD-1811-318.pdf#page=5","Abrir facsímil")</f>
        <v>Abrir facsímil</v>
      </c>
      <c r="K4286" s="3" t="s">
        <v>150</v>
      </c>
    </row>
    <row r="4287" spans="1:11" ht="42" customHeight="1">
      <c r="A4287" s="2" t="s">
        <v>11557</v>
      </c>
      <c r="B4287" s="2" t="s">
        <v>11558</v>
      </c>
      <c r="C4287" s="2" t="s">
        <v>26</v>
      </c>
      <c r="D4287" s="2" t="s">
        <v>18</v>
      </c>
      <c r="E4287" s="4">
        <v>-32188</v>
      </c>
      <c r="F4287" s="3" t="s">
        <v>356</v>
      </c>
      <c r="G4287" s="3" t="s">
        <v>468</v>
      </c>
      <c r="H4287" s="2" t="s">
        <v>148</v>
      </c>
      <c r="I4287" s="2" t="s">
        <v>11560</v>
      </c>
      <c r="J4287" s="3" t="str">
        <f>HYPERLINK("https://www.boe.es/gazeta/dias/1811/11/14/pdfs/GMD-1811-318.pdf#page=6","Abrir facsímil")</f>
        <v>Abrir facsímil</v>
      </c>
      <c r="K4287" s="3" t="s">
        <v>150</v>
      </c>
    </row>
    <row r="4288" spans="1:11" ht="42" customHeight="1">
      <c r="A4288" s="2" t="s">
        <v>11561</v>
      </c>
      <c r="B4288" s="2" t="s">
        <v>11562</v>
      </c>
      <c r="C4288" s="2" t="s">
        <v>26</v>
      </c>
      <c r="D4288" s="2" t="s">
        <v>141</v>
      </c>
      <c r="E4288" s="4">
        <v>-32396</v>
      </c>
      <c r="F4288" s="3" t="s">
        <v>804</v>
      </c>
      <c r="G4288" s="3" t="s">
        <v>178</v>
      </c>
      <c r="H4288" s="2" t="s">
        <v>148</v>
      </c>
      <c r="I4288" s="2" t="s">
        <v>11563</v>
      </c>
      <c r="J4288" s="3" t="str">
        <f>HYPERLINK("https://www.boe.es/gazeta/dias/1811/04/20/pdfs/GEI-D-1811-53.pdf#page=3","Abrir facsímil")</f>
        <v>Abrir facsímil</v>
      </c>
      <c r="K4288" s="3" t="s">
        <v>150</v>
      </c>
    </row>
    <row r="4289" spans="1:11" ht="42" customHeight="1">
      <c r="A4289" s="2" t="s">
        <v>11564</v>
      </c>
      <c r="B4289" s="2" t="s">
        <v>11565</v>
      </c>
      <c r="C4289" s="2" t="s">
        <v>367</v>
      </c>
      <c r="D4289" s="2" t="s">
        <v>18</v>
      </c>
      <c r="E4289" s="4">
        <v>-32141</v>
      </c>
      <c r="F4289" s="3" t="s">
        <v>327</v>
      </c>
      <c r="G4289" s="3" t="s">
        <v>20</v>
      </c>
      <c r="H4289" s="2" t="s">
        <v>148</v>
      </c>
      <c r="I4289" s="2" t="s">
        <v>11566</v>
      </c>
      <c r="J4289" s="3" t="str">
        <f>HYPERLINK("https://www.boe.es/gazeta/dias/1811/12/31/pdfs/GMD-1811-365.pdf#page=4","Abrir facsímil")</f>
        <v>Abrir facsímil</v>
      </c>
      <c r="K4289" s="3" t="s">
        <v>150</v>
      </c>
    </row>
    <row r="4290" spans="1:11" ht="42" customHeight="1">
      <c r="A4290" s="2" t="s">
        <v>11567</v>
      </c>
      <c r="B4290" s="2" t="s">
        <v>11568</v>
      </c>
      <c r="C4290" s="2" t="s">
        <v>26</v>
      </c>
      <c r="D4290" s="2" t="s">
        <v>18</v>
      </c>
      <c r="E4290" s="4">
        <v>-32503</v>
      </c>
      <c r="F4290" s="3" t="s">
        <v>487</v>
      </c>
      <c r="G4290" s="3" t="s">
        <v>1930</v>
      </c>
      <c r="H4290" s="2" t="s">
        <v>148</v>
      </c>
      <c r="I4290" s="2" t="s">
        <v>11569</v>
      </c>
      <c r="J4290" s="3" t="str">
        <f>HYPERLINK("https://www.boe.es/gazeta/dias/1811/01/03/pdfs/GEI-1811-2.pdf#page=8","Abrir facsímil")</f>
        <v>Abrir facsímil</v>
      </c>
      <c r="K4290" s="3" t="s">
        <v>150</v>
      </c>
    </row>
    <row r="4291" spans="1:11" ht="42" customHeight="1">
      <c r="A4291" s="2" t="s">
        <v>11570</v>
      </c>
      <c r="B4291" s="2" t="s">
        <v>11571</v>
      </c>
      <c r="C4291" s="2" t="s">
        <v>26</v>
      </c>
      <c r="D4291" s="2" t="s">
        <v>105</v>
      </c>
      <c r="E4291" s="4">
        <v>-32342</v>
      </c>
      <c r="F4291" s="3" t="s">
        <v>1474</v>
      </c>
      <c r="G4291" s="3" t="s">
        <v>44</v>
      </c>
      <c r="H4291" s="2" t="s">
        <v>148</v>
      </c>
      <c r="I4291" s="2" t="s">
        <v>11572</v>
      </c>
      <c r="J4291" s="3" t="str">
        <f>HYPERLINK("https://www.boe.es/gazeta/dias/1811/06/13/pdfs/GEI-1811-79.pdf#page=8","Abrir facsímil")</f>
        <v>Abrir facsímil</v>
      </c>
      <c r="K4291" s="3" t="s">
        <v>150</v>
      </c>
    </row>
    <row r="4292" spans="1:11" ht="42" customHeight="1">
      <c r="A4292" s="2" t="s">
        <v>11570</v>
      </c>
      <c r="B4292" s="2" t="s">
        <v>11571</v>
      </c>
      <c r="C4292" s="2" t="s">
        <v>26</v>
      </c>
      <c r="D4292" s="2" t="s">
        <v>18</v>
      </c>
      <c r="E4292" s="4">
        <v>-32300</v>
      </c>
      <c r="F4292" s="3" t="s">
        <v>492</v>
      </c>
      <c r="G4292" s="3" t="s">
        <v>493</v>
      </c>
      <c r="H4292" s="2" t="s">
        <v>148</v>
      </c>
      <c r="I4292" s="2" t="s">
        <v>11573</v>
      </c>
      <c r="J4292" s="3" t="str">
        <f>HYPERLINK("https://www.boe.es/gazeta/dias/1811/07/25/pdfs/GMD-1811-206.pdf#page=4","Abrir facsímil")</f>
        <v>Abrir facsímil</v>
      </c>
      <c r="K4292" s="3" t="s">
        <v>150</v>
      </c>
    </row>
    <row r="4293" spans="1:11" ht="42" customHeight="1">
      <c r="A4293" s="2" t="s">
        <v>11574</v>
      </c>
      <c r="B4293" s="2" t="s">
        <v>11575</v>
      </c>
      <c r="C4293" s="2" t="s">
        <v>17</v>
      </c>
      <c r="D4293" s="2" t="s">
        <v>18</v>
      </c>
      <c r="E4293" s="4">
        <v>-32494</v>
      </c>
      <c r="F4293" s="3" t="s">
        <v>3050</v>
      </c>
      <c r="G4293" s="3" t="s">
        <v>3619</v>
      </c>
      <c r="H4293" s="2" t="s">
        <v>148</v>
      </c>
      <c r="I4293" s="2" t="s">
        <v>11576</v>
      </c>
      <c r="J4293" s="3" t="str">
        <f>HYPERLINK("https://www.boe.es/gazeta/dias/1811/01/12/pdfs/GEI-1811-6.pdf#page=8","Abrir facsímil")</f>
        <v>Abrir facsímil</v>
      </c>
      <c r="K4293" s="3" t="s">
        <v>150</v>
      </c>
    </row>
    <row r="4294" spans="1:11" ht="42" customHeight="1">
      <c r="A4294" s="2" t="s">
        <v>11577</v>
      </c>
      <c r="B4294" s="2" t="s">
        <v>11578</v>
      </c>
      <c r="C4294" s="2" t="s">
        <v>26</v>
      </c>
      <c r="D4294" s="2" t="s">
        <v>141</v>
      </c>
      <c r="E4294" s="4">
        <v>-32280</v>
      </c>
      <c r="F4294" s="3" t="s">
        <v>142</v>
      </c>
      <c r="G4294" s="3" t="s">
        <v>47</v>
      </c>
      <c r="H4294" s="2" t="s">
        <v>148</v>
      </c>
      <c r="I4294" s="2" t="s">
        <v>11579</v>
      </c>
      <c r="J4294" s="3" t="str">
        <f>HYPERLINK("https://www.boe.es/gazeta/dias/1811/08/14/pdfs/GMD-C-1811-226.pdf#page=1","Abrir facsímil")</f>
        <v>Abrir facsímil</v>
      </c>
      <c r="K4294" s="3" t="s">
        <v>150</v>
      </c>
    </row>
    <row r="4295" spans="1:11" ht="42" customHeight="1">
      <c r="A4295" s="2" t="s">
        <v>11580</v>
      </c>
      <c r="B4295" s="2" t="s">
        <v>11581</v>
      </c>
      <c r="C4295" s="2" t="s">
        <v>26</v>
      </c>
      <c r="D4295" s="2" t="s">
        <v>141</v>
      </c>
      <c r="E4295" s="4">
        <v>-32249</v>
      </c>
      <c r="F4295" s="3" t="s">
        <v>743</v>
      </c>
      <c r="G4295" s="3" t="s">
        <v>1021</v>
      </c>
      <c r="H4295" s="2" t="s">
        <v>148</v>
      </c>
      <c r="I4295" s="2" t="s">
        <v>11582</v>
      </c>
      <c r="J4295" s="3" t="str">
        <f>HYPERLINK("https://www.boe.es/gazeta/dias/1811/09/14/pdfs/GMD-C-1811-257.pdf#page=2","Abrir facsímil")</f>
        <v>Abrir facsímil</v>
      </c>
      <c r="K4295" s="3" t="s">
        <v>150</v>
      </c>
    </row>
    <row r="4296" spans="1:11" ht="42" customHeight="1">
      <c r="A4296" s="2" t="s">
        <v>11583</v>
      </c>
      <c r="B4296" s="2" t="s">
        <v>11584</v>
      </c>
      <c r="C4296" s="2" t="s">
        <v>26</v>
      </c>
      <c r="D4296" s="2" t="s">
        <v>18</v>
      </c>
      <c r="E4296" s="4">
        <v>-32200</v>
      </c>
      <c r="F4296" s="3" t="s">
        <v>109</v>
      </c>
      <c r="G4296" s="3" t="s">
        <v>268</v>
      </c>
      <c r="H4296" s="2" t="s">
        <v>148</v>
      </c>
      <c r="I4296" s="2" t="s">
        <v>11585</v>
      </c>
      <c r="J4296" s="3" t="str">
        <f>HYPERLINK("https://www.boe.es/gazeta/dias/1811/11/02/pdfs/GEI-1811-141.pdf#page=7","Abrir facsímil")</f>
        <v>Abrir facsímil</v>
      </c>
      <c r="K4296" s="3" t="s">
        <v>150</v>
      </c>
    </row>
    <row r="4297" spans="1:11" ht="42" customHeight="1">
      <c r="A4297" s="2" t="s">
        <v>11586</v>
      </c>
      <c r="B4297" s="2" t="s">
        <v>11587</v>
      </c>
      <c r="C4297" s="2" t="s">
        <v>26</v>
      </c>
      <c r="D4297" s="2" t="s">
        <v>105</v>
      </c>
      <c r="E4297" s="4">
        <v>-32238</v>
      </c>
      <c r="F4297" s="3" t="s">
        <v>166</v>
      </c>
      <c r="G4297" s="3" t="s">
        <v>39</v>
      </c>
      <c r="H4297" s="2" t="s">
        <v>148</v>
      </c>
      <c r="I4297" s="2" t="s">
        <v>11588</v>
      </c>
      <c r="J4297" s="3" t="str">
        <f>HYPERLINK("https://www.boe.es/gazeta/dias/1811/09/25/pdfs/GMD-C-1811-268.pdf#page=2","Abrir facsímil")</f>
        <v>Abrir facsímil</v>
      </c>
      <c r="K4297" s="3" t="s">
        <v>150</v>
      </c>
    </row>
    <row r="4298" spans="1:11" ht="42" customHeight="1">
      <c r="A4298" s="2" t="s">
        <v>11589</v>
      </c>
      <c r="B4298" s="2" t="s">
        <v>11590</v>
      </c>
      <c r="C4298" s="2" t="s">
        <v>84</v>
      </c>
      <c r="D4298" s="2" t="s">
        <v>18</v>
      </c>
      <c r="E4298" s="4">
        <v>-32351</v>
      </c>
      <c r="F4298" s="3" t="s">
        <v>2163</v>
      </c>
      <c r="G4298" s="3" t="s">
        <v>4351</v>
      </c>
      <c r="H4298" s="2" t="s">
        <v>148</v>
      </c>
      <c r="I4298" s="2" t="s">
        <v>11591</v>
      </c>
      <c r="J4298" s="3" t="str">
        <f>HYPERLINK("https://www.boe.es/gazeta/dias/1811/06/04/pdfs/GEI-1811-75.pdf#page=8","Abrir facsímil")</f>
        <v>Abrir facsímil</v>
      </c>
      <c r="K4298" s="3" t="s">
        <v>150</v>
      </c>
    </row>
    <row r="4299" spans="1:11" ht="42" customHeight="1">
      <c r="A4299" s="2" t="s">
        <v>11592</v>
      </c>
      <c r="B4299" s="2" t="s">
        <v>11593</v>
      </c>
      <c r="C4299" s="2" t="s">
        <v>26</v>
      </c>
      <c r="D4299" s="2" t="s">
        <v>18</v>
      </c>
      <c r="E4299" s="4">
        <v>-32200</v>
      </c>
      <c r="F4299" s="3" t="s">
        <v>109</v>
      </c>
      <c r="G4299" s="3" t="s">
        <v>268</v>
      </c>
      <c r="H4299" s="2" t="s">
        <v>148</v>
      </c>
      <c r="I4299" s="2" t="s">
        <v>11594</v>
      </c>
      <c r="J4299" s="3" t="str">
        <f>HYPERLINK("https://www.boe.es/gazeta/dias/1811/11/02/pdfs/GEI-1811-141.pdf#page=7","Abrir facsímil")</f>
        <v>Abrir facsímil</v>
      </c>
      <c r="K4299" s="3" t="s">
        <v>150</v>
      </c>
    </row>
    <row r="4300" spans="1:11" ht="42" customHeight="1">
      <c r="A4300" s="2" t="s">
        <v>11595</v>
      </c>
      <c r="B4300" s="2" t="s">
        <v>11595</v>
      </c>
      <c r="C4300" s="2" t="s">
        <v>17</v>
      </c>
      <c r="D4300" s="2" t="s">
        <v>156</v>
      </c>
      <c r="E4300" s="4">
        <v>-32294</v>
      </c>
      <c r="F4300" s="3" t="s">
        <v>3123</v>
      </c>
      <c r="G4300" s="3" t="s">
        <v>2916</v>
      </c>
      <c r="H4300" s="2" t="s">
        <v>148</v>
      </c>
      <c r="I4300" s="2" t="s">
        <v>11596</v>
      </c>
      <c r="J4300" s="3" t="str">
        <f>HYPERLINK("https://www.boe.es/gazeta/dias/1811/07/31/pdfs/GMD-1811-212.pdf#page=3","Abrir facsímil")</f>
        <v>Abrir facsímil</v>
      </c>
      <c r="K4300" s="3" t="s">
        <v>150</v>
      </c>
    </row>
    <row r="4301" spans="1:11" ht="42" customHeight="1">
      <c r="A4301" s="2" t="s">
        <v>11597</v>
      </c>
      <c r="B4301" s="2" t="s">
        <v>11597</v>
      </c>
      <c r="C4301" s="2" t="s">
        <v>17</v>
      </c>
      <c r="D4301" s="2" t="s">
        <v>18</v>
      </c>
      <c r="E4301" s="4">
        <v>-32227</v>
      </c>
      <c r="F4301" s="3" t="s">
        <v>4688</v>
      </c>
      <c r="G4301" s="3" t="s">
        <v>44</v>
      </c>
      <c r="H4301" s="2" t="s">
        <v>148</v>
      </c>
      <c r="I4301" s="2" t="s">
        <v>11598</v>
      </c>
      <c r="J4301" s="3" t="str">
        <f>HYPERLINK("https://www.boe.es/gazeta/dias/1811/10/06/pdfs/GMD-1811-279.pdf#page=4","Abrir facsímil")</f>
        <v>Abrir facsímil</v>
      </c>
      <c r="K4301" s="3" t="s">
        <v>150</v>
      </c>
    </row>
    <row r="4302" spans="1:11" ht="42" customHeight="1">
      <c r="A4302" s="2" t="s">
        <v>11599</v>
      </c>
      <c r="B4302" s="2" t="s">
        <v>11600</v>
      </c>
      <c r="C4302" s="2" t="s">
        <v>26</v>
      </c>
      <c r="D4302" s="2" t="s">
        <v>141</v>
      </c>
      <c r="E4302" s="4">
        <v>-32188</v>
      </c>
      <c r="F4302" s="3" t="s">
        <v>505</v>
      </c>
      <c r="G4302" s="3" t="s">
        <v>47</v>
      </c>
      <c r="H4302" s="2" t="s">
        <v>148</v>
      </c>
      <c r="I4302" s="2" t="s">
        <v>11601</v>
      </c>
      <c r="J4302" s="3" t="str">
        <f>HYPERLINK("https://www.boe.es/gazeta/dias/1811/11/14/pdfs/GEI-D-1811-149.pdf#page=3","Abrir facsímil")</f>
        <v>Abrir facsímil</v>
      </c>
      <c r="K4302" s="3" t="s">
        <v>150</v>
      </c>
    </row>
    <row r="4303" spans="1:11" ht="42" customHeight="1">
      <c r="A4303" s="2" t="s">
        <v>11602</v>
      </c>
      <c r="B4303" s="2" t="s">
        <v>11602</v>
      </c>
      <c r="C4303" s="2" t="s">
        <v>26</v>
      </c>
      <c r="D4303" s="2" t="s">
        <v>18</v>
      </c>
      <c r="E4303" s="4">
        <v>-32491</v>
      </c>
      <c r="F4303" s="3" t="s">
        <v>533</v>
      </c>
      <c r="G4303" s="3" t="s">
        <v>20</v>
      </c>
      <c r="H4303" s="2" t="s">
        <v>148</v>
      </c>
      <c r="I4303" s="2" t="s">
        <v>11603</v>
      </c>
      <c r="J4303" s="3" t="str">
        <f>HYPERLINK("https://www.boe.es/gazeta/dias/1811/01/15/pdfs/GEI-1811-7.pdf#page=1","Abrir facsímil")</f>
        <v>Abrir facsímil</v>
      </c>
      <c r="K4303" s="3" t="s">
        <v>150</v>
      </c>
    </row>
    <row r="4304" spans="1:11" ht="42" customHeight="1">
      <c r="A4304" s="2" t="s">
        <v>11602</v>
      </c>
      <c r="B4304" s="2" t="s">
        <v>11602</v>
      </c>
      <c r="C4304" s="2" t="s">
        <v>122</v>
      </c>
      <c r="D4304" s="2" t="s">
        <v>18</v>
      </c>
      <c r="E4304" s="4">
        <v>-32491</v>
      </c>
      <c r="F4304" s="3" t="s">
        <v>533</v>
      </c>
      <c r="G4304" s="3" t="s">
        <v>597</v>
      </c>
      <c r="H4304" s="2" t="s">
        <v>148</v>
      </c>
      <c r="I4304" s="2" t="s">
        <v>11604</v>
      </c>
      <c r="J4304" s="3" t="str">
        <f>HYPERLINK("https://www.boe.es/gazeta/dias/1811/01/15/pdfs/GEI-1811-7.pdf#page=2","Abrir facsímil")</f>
        <v>Abrir facsímil</v>
      </c>
      <c r="K4304" s="3" t="s">
        <v>150</v>
      </c>
    </row>
    <row r="4305" spans="1:11" ht="42" customHeight="1">
      <c r="A4305" s="2" t="s">
        <v>11602</v>
      </c>
      <c r="B4305" s="2" t="s">
        <v>11602</v>
      </c>
      <c r="C4305" s="2" t="s">
        <v>17</v>
      </c>
      <c r="D4305" s="2" t="s">
        <v>156</v>
      </c>
      <c r="E4305" s="4">
        <v>-32412</v>
      </c>
      <c r="F4305" s="3" t="s">
        <v>998</v>
      </c>
      <c r="G4305" s="3" t="s">
        <v>44</v>
      </c>
      <c r="H4305" s="2" t="s">
        <v>148</v>
      </c>
      <c r="I4305" s="2" t="s">
        <v>11605</v>
      </c>
      <c r="J4305" s="3" t="str">
        <f>HYPERLINK("https://www.boe.es/gazeta/dias/1811/04/04/pdfs/GEI-1811-46.pdf#page=3","Abrir facsímil")</f>
        <v>Abrir facsímil</v>
      </c>
      <c r="K4305" s="3" t="s">
        <v>150</v>
      </c>
    </row>
    <row r="4306" spans="1:11" ht="42" customHeight="1">
      <c r="A4306" s="2" t="s">
        <v>11602</v>
      </c>
      <c r="B4306" s="2" t="s">
        <v>11602</v>
      </c>
      <c r="C4306" s="2" t="s">
        <v>26</v>
      </c>
      <c r="D4306" s="2" t="s">
        <v>18</v>
      </c>
      <c r="E4306" s="4">
        <v>-32391</v>
      </c>
      <c r="F4306" s="3" t="s">
        <v>252</v>
      </c>
      <c r="G4306" s="3" t="s">
        <v>5332</v>
      </c>
      <c r="H4306" s="2" t="s">
        <v>148</v>
      </c>
      <c r="I4306" s="2" t="s">
        <v>11606</v>
      </c>
      <c r="J4306" s="3" t="str">
        <f>HYPERLINK("https://www.boe.es/gazeta/dias/1811/04/25/pdfs/GEI-1811-55.pdf#page=7","Abrir facsímil")</f>
        <v>Abrir facsímil</v>
      </c>
      <c r="K4306" s="3" t="s">
        <v>150</v>
      </c>
    </row>
    <row r="4307" spans="1:11" ht="42" customHeight="1">
      <c r="A4307" s="2" t="s">
        <v>11602</v>
      </c>
      <c r="B4307" s="2" t="s">
        <v>11602</v>
      </c>
      <c r="C4307" s="2" t="s">
        <v>26</v>
      </c>
      <c r="D4307" s="2" t="s">
        <v>18</v>
      </c>
      <c r="E4307" s="4">
        <v>-32384</v>
      </c>
      <c r="F4307" s="3" t="s">
        <v>338</v>
      </c>
      <c r="G4307" s="3" t="s">
        <v>5215</v>
      </c>
      <c r="H4307" s="2" t="s">
        <v>148</v>
      </c>
      <c r="I4307" s="2" t="s">
        <v>11607</v>
      </c>
      <c r="J4307" s="3" t="str">
        <f>HYPERLINK("https://www.boe.es/gazeta/dias/1811/05/02/pdfs/GEI-1811-58.pdf#page=3","Abrir facsímil")</f>
        <v>Abrir facsímil</v>
      </c>
      <c r="K4307" s="3" t="s">
        <v>150</v>
      </c>
    </row>
    <row r="4308" spans="1:11" ht="42" customHeight="1">
      <c r="A4308" s="2" t="s">
        <v>11602</v>
      </c>
      <c r="B4308" s="2" t="s">
        <v>11602</v>
      </c>
      <c r="C4308" s="2" t="s">
        <v>17</v>
      </c>
      <c r="D4308" s="2" t="s">
        <v>18</v>
      </c>
      <c r="E4308" s="4">
        <v>-32384</v>
      </c>
      <c r="F4308" s="3" t="s">
        <v>338</v>
      </c>
      <c r="G4308" s="3" t="s">
        <v>5363</v>
      </c>
      <c r="H4308" s="2" t="s">
        <v>148</v>
      </c>
      <c r="I4308" s="2" t="s">
        <v>11608</v>
      </c>
      <c r="J4308" s="3" t="str">
        <f>HYPERLINK("https://www.boe.es/gazeta/dias/1811/05/02/pdfs/GEI-1811-58.pdf#page=4","Abrir facsímil")</f>
        <v>Abrir facsímil</v>
      </c>
      <c r="K4308" s="3" t="s">
        <v>150</v>
      </c>
    </row>
    <row r="4309" spans="1:11" ht="42" customHeight="1">
      <c r="A4309" s="2" t="s">
        <v>11602</v>
      </c>
      <c r="B4309" s="2" t="s">
        <v>11602</v>
      </c>
      <c r="C4309" s="2" t="s">
        <v>17</v>
      </c>
      <c r="D4309" s="2" t="s">
        <v>156</v>
      </c>
      <c r="E4309" s="4">
        <v>-32382</v>
      </c>
      <c r="F4309" s="3" t="s">
        <v>1269</v>
      </c>
      <c r="G4309" s="3" t="s">
        <v>248</v>
      </c>
      <c r="H4309" s="2" t="s">
        <v>148</v>
      </c>
      <c r="I4309" s="2" t="s">
        <v>11609</v>
      </c>
      <c r="J4309" s="3" t="str">
        <f>HYPERLINK("https://www.boe.es/gazeta/dias/1811/05/04/pdfs/GEI-1811-59.pdf#page=3","Abrir facsímil")</f>
        <v>Abrir facsímil</v>
      </c>
      <c r="K4309" s="3" t="s">
        <v>150</v>
      </c>
    </row>
    <row r="4310" spans="1:11" ht="42" customHeight="1">
      <c r="A4310" s="2" t="s">
        <v>11602</v>
      </c>
      <c r="B4310" s="2" t="s">
        <v>11602</v>
      </c>
      <c r="C4310" s="2" t="s">
        <v>37</v>
      </c>
      <c r="D4310" s="2" t="s">
        <v>18</v>
      </c>
      <c r="E4310" s="4">
        <v>-32300</v>
      </c>
      <c r="F4310" s="3" t="s">
        <v>61</v>
      </c>
      <c r="G4310" s="3" t="s">
        <v>846</v>
      </c>
      <c r="H4310" s="2" t="s">
        <v>148</v>
      </c>
      <c r="I4310" s="2" t="s">
        <v>11610</v>
      </c>
      <c r="J4310" s="3" t="str">
        <f>HYPERLINK("https://www.boe.es/gazeta/dias/1811/07/25/pdfs/GEI-1811-97.pdf#page=3","Abrir facsímil")</f>
        <v>Abrir facsímil</v>
      </c>
      <c r="K4310" s="3" t="s">
        <v>150</v>
      </c>
    </row>
    <row r="4311" spans="1:11" ht="42" customHeight="1">
      <c r="A4311" s="2" t="s">
        <v>11611</v>
      </c>
      <c r="B4311" s="2" t="s">
        <v>11612</v>
      </c>
      <c r="C4311" s="2" t="s">
        <v>17</v>
      </c>
      <c r="D4311" s="2" t="s">
        <v>18</v>
      </c>
      <c r="E4311" s="4">
        <v>-32249</v>
      </c>
      <c r="F4311" s="3" t="s">
        <v>182</v>
      </c>
      <c r="G4311" s="3" t="s">
        <v>183</v>
      </c>
      <c r="H4311" s="2" t="s">
        <v>148</v>
      </c>
      <c r="I4311" s="2" t="s">
        <v>11613</v>
      </c>
      <c r="J4311" s="3" t="str">
        <f>HYPERLINK("https://www.boe.es/gazeta/dias/1811/09/14/pdfs/GMD-1811-257.pdf#page=4","Abrir facsímil")</f>
        <v>Abrir facsímil</v>
      </c>
      <c r="K4311" s="3" t="s">
        <v>150</v>
      </c>
    </row>
    <row r="4312" spans="1:11" ht="42" customHeight="1">
      <c r="A4312" s="2" t="s">
        <v>11614</v>
      </c>
      <c r="B4312" s="2" t="s">
        <v>11615</v>
      </c>
      <c r="C4312" s="2" t="s">
        <v>26</v>
      </c>
      <c r="D4312" s="2" t="s">
        <v>18</v>
      </c>
      <c r="E4312" s="4">
        <v>-32144</v>
      </c>
      <c r="F4312" s="3" t="s">
        <v>10241</v>
      </c>
      <c r="G4312" s="3" t="s">
        <v>178</v>
      </c>
      <c r="H4312" s="2" t="s">
        <v>148</v>
      </c>
      <c r="I4312" s="2" t="s">
        <v>11616</v>
      </c>
      <c r="J4312" s="3" t="str">
        <f>HYPERLINK("https://www.boe.es/gazeta/dias/1811/12/28/pdfs/GMD-1811-362.pdf#page=4","Abrir facsímil")</f>
        <v>Abrir facsímil</v>
      </c>
      <c r="K4312" s="3" t="s">
        <v>150</v>
      </c>
    </row>
    <row r="4313" spans="1:11" ht="42" customHeight="1">
      <c r="A4313" s="2" t="s">
        <v>11617</v>
      </c>
      <c r="B4313" s="2" t="s">
        <v>11618</v>
      </c>
      <c r="C4313" s="2" t="s">
        <v>26</v>
      </c>
      <c r="D4313" s="2" t="s">
        <v>18</v>
      </c>
      <c r="E4313" s="4">
        <v>-32263</v>
      </c>
      <c r="F4313" s="3" t="s">
        <v>3780</v>
      </c>
      <c r="G4313" s="3" t="s">
        <v>3781</v>
      </c>
      <c r="H4313" s="2" t="s">
        <v>148</v>
      </c>
      <c r="I4313" s="2" t="s">
        <v>11619</v>
      </c>
      <c r="J4313" s="3" t="str">
        <f>HYPERLINK("https://www.boe.es/gazeta/dias/1811/08/31/pdfs/GMD-1811-243.pdf#page=4","Abrir facsímil")</f>
        <v>Abrir facsímil</v>
      </c>
      <c r="K4313" s="3" t="s">
        <v>150</v>
      </c>
    </row>
    <row r="4314" spans="1:11" ht="42" customHeight="1">
      <c r="A4314" s="2" t="s">
        <v>11620</v>
      </c>
      <c r="B4314" s="2" t="s">
        <v>11621</v>
      </c>
      <c r="C4314" s="2" t="s">
        <v>17</v>
      </c>
      <c r="D4314" s="2" t="s">
        <v>18</v>
      </c>
      <c r="E4314" s="4">
        <v>-32300</v>
      </c>
      <c r="F4314" s="3" t="s">
        <v>61</v>
      </c>
      <c r="G4314" s="3" t="s">
        <v>221</v>
      </c>
      <c r="H4314" s="2" t="s">
        <v>148</v>
      </c>
      <c r="I4314" s="2" t="s">
        <v>11622</v>
      </c>
      <c r="J4314" s="3" t="str">
        <f>HYPERLINK("https://www.boe.es/gazeta/dias/1811/07/25/pdfs/GEI-1811-97.pdf#page=4","Abrir facsímil")</f>
        <v>Abrir facsímil</v>
      </c>
      <c r="K4314" s="3" t="s">
        <v>150</v>
      </c>
    </row>
    <row r="4315" spans="1:11" ht="42" customHeight="1">
      <c r="A4315" s="2" t="s">
        <v>11620</v>
      </c>
      <c r="B4315" s="2" t="s">
        <v>11621</v>
      </c>
      <c r="C4315" s="2" t="s">
        <v>17</v>
      </c>
      <c r="D4315" s="2" t="s">
        <v>18</v>
      </c>
      <c r="E4315" s="4">
        <v>-32300</v>
      </c>
      <c r="F4315" s="3" t="s">
        <v>61</v>
      </c>
      <c r="G4315" s="3" t="s">
        <v>62</v>
      </c>
      <c r="H4315" s="2" t="s">
        <v>148</v>
      </c>
      <c r="I4315" s="2" t="s">
        <v>11623</v>
      </c>
      <c r="J4315" s="3" t="str">
        <f>HYPERLINK("https://www.boe.es/gazeta/dias/1811/07/25/pdfs/GEI-1811-97.pdf#page=5","Abrir facsímil")</f>
        <v>Abrir facsímil</v>
      </c>
      <c r="K4315" s="3" t="s">
        <v>150</v>
      </c>
    </row>
    <row r="4316" spans="1:11" ht="42" customHeight="1">
      <c r="A4316" s="2" t="s">
        <v>11624</v>
      </c>
      <c r="B4316" s="2" t="s">
        <v>11625</v>
      </c>
      <c r="C4316" s="2" t="s">
        <v>26</v>
      </c>
      <c r="D4316" s="2" t="s">
        <v>18</v>
      </c>
      <c r="E4316" s="4">
        <v>-32396</v>
      </c>
      <c r="F4316" s="3" t="s">
        <v>1267</v>
      </c>
      <c r="G4316" s="3" t="s">
        <v>382</v>
      </c>
      <c r="H4316" s="2" t="s">
        <v>148</v>
      </c>
      <c r="I4316" s="2" t="s">
        <v>11626</v>
      </c>
      <c r="J4316" s="3" t="str">
        <f>HYPERLINK("https://www.boe.es/gazeta/dias/1811/04/20/pdfs/GMD-1811-110.pdf#page=2","Abrir facsímil")</f>
        <v>Abrir facsímil</v>
      </c>
      <c r="K4316" s="3" t="s">
        <v>150</v>
      </c>
    </row>
    <row r="4317" spans="1:11" ht="42" customHeight="1">
      <c r="A4317" s="2" t="s">
        <v>11627</v>
      </c>
      <c r="B4317" s="2" t="s">
        <v>11628</v>
      </c>
      <c r="C4317" s="2" t="s">
        <v>26</v>
      </c>
      <c r="D4317" s="2" t="s">
        <v>18</v>
      </c>
      <c r="E4317" s="4">
        <v>-32141</v>
      </c>
      <c r="F4317" s="3" t="s">
        <v>327</v>
      </c>
      <c r="G4317" s="3" t="s">
        <v>115</v>
      </c>
      <c r="H4317" s="2" t="s">
        <v>148</v>
      </c>
      <c r="I4317" s="2" t="s">
        <v>11629</v>
      </c>
      <c r="J4317" s="3" t="str">
        <f>HYPERLINK("https://www.boe.es/gazeta/dias/1811/12/31/pdfs/GMD-1811-365.pdf#page=3","Abrir facsímil")</f>
        <v>Abrir facsímil</v>
      </c>
      <c r="K4317" s="3" t="s">
        <v>150</v>
      </c>
    </row>
    <row r="4318" spans="1:11" ht="42" customHeight="1">
      <c r="A4318" s="2" t="s">
        <v>11630</v>
      </c>
      <c r="B4318" s="2" t="s">
        <v>11631</v>
      </c>
      <c r="C4318" s="2" t="s">
        <v>17</v>
      </c>
      <c r="D4318" s="2" t="s">
        <v>18</v>
      </c>
      <c r="E4318" s="4">
        <v>-32300</v>
      </c>
      <c r="F4318" s="3" t="s">
        <v>61</v>
      </c>
      <c r="G4318" s="3" t="s">
        <v>62</v>
      </c>
      <c r="H4318" s="2" t="s">
        <v>148</v>
      </c>
      <c r="I4318" s="2" t="s">
        <v>11632</v>
      </c>
      <c r="J4318" s="3" t="str">
        <f>HYPERLINK("https://www.boe.es/gazeta/dias/1811/07/25/pdfs/GEI-1811-97.pdf#page=5","Abrir facsímil")</f>
        <v>Abrir facsímil</v>
      </c>
      <c r="K4318" s="3" t="s">
        <v>150</v>
      </c>
    </row>
    <row r="4319" spans="1:11" ht="42" customHeight="1">
      <c r="A4319" s="2" t="s">
        <v>11633</v>
      </c>
      <c r="B4319" s="2" t="s">
        <v>11634</v>
      </c>
      <c r="C4319" s="2" t="s">
        <v>17</v>
      </c>
      <c r="D4319" s="2" t="s">
        <v>18</v>
      </c>
      <c r="E4319" s="4">
        <v>-32300</v>
      </c>
      <c r="F4319" s="3" t="s">
        <v>61</v>
      </c>
      <c r="G4319" s="3" t="s">
        <v>221</v>
      </c>
      <c r="H4319" s="2" t="s">
        <v>148</v>
      </c>
      <c r="I4319" s="2" t="s">
        <v>11635</v>
      </c>
      <c r="J4319" s="3" t="str">
        <f>HYPERLINK("https://www.boe.es/gazeta/dias/1811/07/25/pdfs/GEI-1811-97.pdf#page=4","Abrir facsímil")</f>
        <v>Abrir facsímil</v>
      </c>
      <c r="K4319" s="3" t="s">
        <v>150</v>
      </c>
    </row>
    <row r="4320" spans="1:11" ht="42" customHeight="1">
      <c r="A4320" s="2" t="s">
        <v>11633</v>
      </c>
      <c r="B4320" s="2" t="s">
        <v>11634</v>
      </c>
      <c r="C4320" s="2" t="s">
        <v>17</v>
      </c>
      <c r="D4320" s="2" t="s">
        <v>18</v>
      </c>
      <c r="E4320" s="4">
        <v>-32300</v>
      </c>
      <c r="F4320" s="3" t="s">
        <v>61</v>
      </c>
      <c r="G4320" s="3" t="s">
        <v>62</v>
      </c>
      <c r="H4320" s="2" t="s">
        <v>148</v>
      </c>
      <c r="I4320" s="2" t="s">
        <v>11636</v>
      </c>
      <c r="J4320" s="3" t="str">
        <f>HYPERLINK("https://www.boe.es/gazeta/dias/1811/07/25/pdfs/GEI-1811-97.pdf#page=5","Abrir facsímil")</f>
        <v>Abrir facsímil</v>
      </c>
      <c r="K4320" s="3" t="s">
        <v>150</v>
      </c>
    </row>
    <row r="4321" spans="1:11" ht="42" customHeight="1">
      <c r="A4321" s="2" t="s">
        <v>11637</v>
      </c>
      <c r="B4321" s="2" t="s">
        <v>11638</v>
      </c>
      <c r="C4321" s="2" t="s">
        <v>26</v>
      </c>
      <c r="D4321" s="2" t="s">
        <v>18</v>
      </c>
      <c r="E4321" s="4">
        <v>-32242</v>
      </c>
      <c r="F4321" s="3" t="s">
        <v>1295</v>
      </c>
      <c r="G4321" s="3" t="s">
        <v>1296</v>
      </c>
      <c r="H4321" s="2" t="s">
        <v>148</v>
      </c>
      <c r="I4321" s="2" t="s">
        <v>11639</v>
      </c>
      <c r="J4321" s="3" t="str">
        <f>HYPERLINK("https://www.boe.es/gazeta/dias/1811/09/21/pdfs/GEI-1811-122.pdf#page=8","Abrir facsímil")</f>
        <v>Abrir facsímil</v>
      </c>
      <c r="K4321" s="3" t="s">
        <v>150</v>
      </c>
    </row>
    <row r="4322" spans="1:11" ht="42" customHeight="1">
      <c r="A4322" s="2" t="s">
        <v>11640</v>
      </c>
      <c r="B4322" s="2" t="s">
        <v>11641</v>
      </c>
      <c r="C4322" s="2" t="s">
        <v>26</v>
      </c>
      <c r="D4322" s="2" t="s">
        <v>18</v>
      </c>
      <c r="E4322" s="4">
        <v>-32172</v>
      </c>
      <c r="F4322" s="3" t="s">
        <v>300</v>
      </c>
      <c r="G4322" s="3" t="s">
        <v>301</v>
      </c>
      <c r="H4322" s="2" t="s">
        <v>148</v>
      </c>
      <c r="I4322" s="2" t="s">
        <v>11642</v>
      </c>
      <c r="J4322" s="3" t="str">
        <f>HYPERLINK("https://www.boe.es/gazeta/dias/1811/11/30/pdfs/GMD-1811-334.pdf#page=4","Abrir facsímil")</f>
        <v>Abrir facsímil</v>
      </c>
      <c r="K4322" s="3" t="s">
        <v>150</v>
      </c>
    </row>
    <row r="4323" spans="1:11" ht="42" customHeight="1">
      <c r="A4323" s="2" t="s">
        <v>11643</v>
      </c>
      <c r="B4323" s="2" t="s">
        <v>11643</v>
      </c>
      <c r="C4323" s="2" t="s">
        <v>26</v>
      </c>
      <c r="D4323" s="2" t="s">
        <v>141</v>
      </c>
      <c r="E4323" s="4">
        <v>-32238</v>
      </c>
      <c r="F4323" s="3" t="s">
        <v>166</v>
      </c>
      <c r="G4323" s="3" t="s">
        <v>39</v>
      </c>
      <c r="H4323" s="2" t="s">
        <v>148</v>
      </c>
      <c r="I4323" s="2" t="s">
        <v>11644</v>
      </c>
      <c r="J4323" s="3" t="str">
        <f>HYPERLINK("https://www.boe.es/gazeta/dias/1811/09/25/pdfs/GMD-C-1811-268.pdf#page=2","Abrir facsímil")</f>
        <v>Abrir facsímil</v>
      </c>
      <c r="K4323" s="3" t="s">
        <v>150</v>
      </c>
    </row>
    <row r="4324" spans="1:11" ht="42" customHeight="1">
      <c r="A4324" s="2" t="s">
        <v>11645</v>
      </c>
      <c r="B4324" s="2" t="s">
        <v>11645</v>
      </c>
      <c r="C4324" s="2" t="s">
        <v>17</v>
      </c>
      <c r="D4324" s="2" t="s">
        <v>528</v>
      </c>
      <c r="E4324" s="4">
        <v>-32191</v>
      </c>
      <c r="F4324" s="3" t="s">
        <v>2538</v>
      </c>
      <c r="G4324" s="3" t="s">
        <v>178</v>
      </c>
      <c r="H4324" s="2" t="s">
        <v>148</v>
      </c>
      <c r="I4324" s="2" t="s">
        <v>11646</v>
      </c>
      <c r="J4324" s="3" t="str">
        <f>HYPERLINK("https://www.boe.es/gazeta/dias/1811/11/11/pdfs/GEI-1811-147E.pdf#page=2","Abrir facsímil")</f>
        <v>Abrir facsímil</v>
      </c>
      <c r="K4324" s="3" t="s">
        <v>150</v>
      </c>
    </row>
    <row r="4325" spans="1:11" ht="42" customHeight="1">
      <c r="A4325" s="2" t="s">
        <v>11645</v>
      </c>
      <c r="B4325" s="2" t="s">
        <v>11645</v>
      </c>
      <c r="C4325" s="2" t="s">
        <v>17</v>
      </c>
      <c r="D4325" s="2" t="s">
        <v>528</v>
      </c>
      <c r="E4325" s="4">
        <v>-32191</v>
      </c>
      <c r="F4325" s="3" t="s">
        <v>2538</v>
      </c>
      <c r="G4325" s="3" t="s">
        <v>5643</v>
      </c>
      <c r="H4325" s="2" t="s">
        <v>148</v>
      </c>
      <c r="I4325" s="2" t="s">
        <v>11647</v>
      </c>
      <c r="J4325" s="3" t="str">
        <f>HYPERLINK("https://www.boe.es/gazeta/dias/1811/11/11/pdfs/GEI-1811-147E.pdf#page=4","Abrir facsímil")</f>
        <v>Abrir facsímil</v>
      </c>
      <c r="K4325" s="3" t="s">
        <v>150</v>
      </c>
    </row>
    <row r="4326" spans="1:11" ht="42" customHeight="1">
      <c r="A4326" s="2" t="s">
        <v>11645</v>
      </c>
      <c r="B4326" s="2" t="s">
        <v>11645</v>
      </c>
      <c r="C4326" s="2" t="s">
        <v>17</v>
      </c>
      <c r="D4326" s="2" t="s">
        <v>18</v>
      </c>
      <c r="E4326" s="4">
        <v>-32177</v>
      </c>
      <c r="F4326" s="3" t="s">
        <v>402</v>
      </c>
      <c r="G4326" s="3" t="s">
        <v>47</v>
      </c>
      <c r="H4326" s="2" t="s">
        <v>148</v>
      </c>
      <c r="I4326" s="2" t="s">
        <v>11648</v>
      </c>
      <c r="J4326" s="3" t="str">
        <f>HYPERLINK("https://www.boe.es/gazeta/dias/1811/11/25/pdfs/GMD-1811-329.pdf#page=3","Abrir facsímil")</f>
        <v>Abrir facsímil</v>
      </c>
      <c r="K4326" s="3" t="s">
        <v>150</v>
      </c>
    </row>
    <row r="4327" spans="1:11" ht="42" customHeight="1">
      <c r="A4327" s="2" t="s">
        <v>11649</v>
      </c>
      <c r="B4327" s="2" t="s">
        <v>11649</v>
      </c>
      <c r="C4327" s="2" t="s">
        <v>17</v>
      </c>
      <c r="D4327" s="2" t="s">
        <v>18</v>
      </c>
      <c r="E4327" s="4">
        <v>-32470</v>
      </c>
      <c r="F4327" s="3" t="s">
        <v>10438</v>
      </c>
      <c r="G4327" s="3" t="s">
        <v>10439</v>
      </c>
      <c r="H4327" s="2" t="s">
        <v>148</v>
      </c>
      <c r="I4327" s="2" t="s">
        <v>11650</v>
      </c>
      <c r="J4327" s="3" t="str">
        <f>HYPERLINK("https://www.boe.es/gazeta/dias/1811/02/05/pdfs/GMD-1811-36.pdf#page=2","Abrir facsímil")</f>
        <v>Abrir facsímil</v>
      </c>
      <c r="K4327" s="3" t="s">
        <v>150</v>
      </c>
    </row>
    <row r="4328" spans="1:11" ht="42" customHeight="1">
      <c r="A4328" s="2" t="s">
        <v>11649</v>
      </c>
      <c r="B4328" s="2" t="s">
        <v>11649</v>
      </c>
      <c r="C4328" s="2" t="s">
        <v>17</v>
      </c>
      <c r="D4328" s="2" t="s">
        <v>18</v>
      </c>
      <c r="E4328" s="4">
        <v>-32467</v>
      </c>
      <c r="F4328" s="3" t="s">
        <v>768</v>
      </c>
      <c r="G4328" s="3" t="s">
        <v>846</v>
      </c>
      <c r="H4328" s="2" t="s">
        <v>148</v>
      </c>
      <c r="I4328" s="2" t="s">
        <v>11651</v>
      </c>
      <c r="J4328" s="3" t="str">
        <f>HYPERLINK("https://www.boe.es/gazeta/dias/1811/02/08/pdfs/GMD-1811-39.pdf#page=2","Abrir facsímil")</f>
        <v>Abrir facsímil</v>
      </c>
      <c r="K4328" s="3" t="s">
        <v>150</v>
      </c>
    </row>
    <row r="4329" spans="1:11" ht="42" customHeight="1">
      <c r="A4329" s="2" t="s">
        <v>11649</v>
      </c>
      <c r="B4329" s="2" t="s">
        <v>11649</v>
      </c>
      <c r="C4329" s="2" t="s">
        <v>17</v>
      </c>
      <c r="D4329" s="2" t="s">
        <v>156</v>
      </c>
      <c r="E4329" s="4">
        <v>-32438</v>
      </c>
      <c r="F4329" s="3" t="s">
        <v>4284</v>
      </c>
      <c r="G4329" s="3" t="s">
        <v>2379</v>
      </c>
      <c r="H4329" s="2" t="s">
        <v>148</v>
      </c>
      <c r="I4329" s="2" t="s">
        <v>11652</v>
      </c>
      <c r="J4329" s="3" t="str">
        <f>HYPERLINK("https://www.boe.es/gazeta/dias/1811/03/09/pdfs/GMD-1811-68.pdf#page=2","Abrir facsímil")</f>
        <v>Abrir facsímil</v>
      </c>
      <c r="K4329" s="3" t="s">
        <v>150</v>
      </c>
    </row>
    <row r="4330" spans="1:11" ht="42" customHeight="1">
      <c r="A4330" s="2" t="s">
        <v>11649</v>
      </c>
      <c r="B4330" s="2" t="s">
        <v>11649</v>
      </c>
      <c r="C4330" s="2" t="s">
        <v>17</v>
      </c>
      <c r="D4330" s="2" t="s">
        <v>18</v>
      </c>
      <c r="E4330" s="4">
        <v>-32240</v>
      </c>
      <c r="F4330" s="3" t="s">
        <v>2753</v>
      </c>
      <c r="G4330" s="3" t="s">
        <v>778</v>
      </c>
      <c r="H4330" s="2" t="s">
        <v>148</v>
      </c>
      <c r="I4330" s="2" t="s">
        <v>11653</v>
      </c>
      <c r="J4330" s="3" t="str">
        <f>HYPERLINK("https://www.boe.es/gazeta/dias/1811/09/23/pdfs/GMD-1811-266.pdf#page=2","Abrir facsímil")</f>
        <v>Abrir facsímil</v>
      </c>
      <c r="K4330" s="3" t="s">
        <v>150</v>
      </c>
    </row>
    <row r="4331" spans="1:11" ht="42" customHeight="1">
      <c r="A4331" s="2" t="s">
        <v>11649</v>
      </c>
      <c r="B4331" s="2" t="s">
        <v>11649</v>
      </c>
      <c r="C4331" s="2" t="s">
        <v>17</v>
      </c>
      <c r="D4331" s="2" t="s">
        <v>204</v>
      </c>
      <c r="E4331" s="4">
        <v>-32228</v>
      </c>
      <c r="F4331" s="3" t="s">
        <v>899</v>
      </c>
      <c r="G4331" s="3" t="s">
        <v>900</v>
      </c>
      <c r="H4331" s="2" t="s">
        <v>148</v>
      </c>
      <c r="I4331" s="2" t="s">
        <v>11654</v>
      </c>
      <c r="J4331" s="3" t="str">
        <f>HYPERLINK("https://www.boe.es/gazeta/dias/1811/10/05/pdfs/GMD-1811-278.pdf#page=2","Abrir facsímil")</f>
        <v>Abrir facsímil</v>
      </c>
      <c r="K4331" s="3" t="s">
        <v>150</v>
      </c>
    </row>
    <row r="4332" spans="1:11" ht="42" customHeight="1">
      <c r="A4332" s="2" t="s">
        <v>11649</v>
      </c>
      <c r="B4332" s="2" t="s">
        <v>11649</v>
      </c>
      <c r="C4332" s="2" t="s">
        <v>17</v>
      </c>
      <c r="D4332" s="2" t="s">
        <v>18</v>
      </c>
      <c r="E4332" s="4">
        <v>-32198</v>
      </c>
      <c r="F4332" s="3" t="s">
        <v>330</v>
      </c>
      <c r="G4332" s="3" t="s">
        <v>331</v>
      </c>
      <c r="H4332" s="2" t="s">
        <v>148</v>
      </c>
      <c r="I4332" s="2" t="s">
        <v>11655</v>
      </c>
      <c r="J4332" s="3" t="str">
        <f>HYPERLINK("https://www.boe.es/gazeta/dias/1811/11/04/pdfs/GMD-1811-308.pdf#page=3","Abrir facsímil")</f>
        <v>Abrir facsímil</v>
      </c>
      <c r="K4332" s="3" t="s">
        <v>150</v>
      </c>
    </row>
    <row r="4333" spans="1:11" ht="42" customHeight="1">
      <c r="A4333" s="2" t="s">
        <v>11649</v>
      </c>
      <c r="B4333" s="2" t="s">
        <v>11649</v>
      </c>
      <c r="C4333" s="2" t="s">
        <v>17</v>
      </c>
      <c r="D4333" s="2" t="s">
        <v>156</v>
      </c>
      <c r="E4333" s="4">
        <v>-32198</v>
      </c>
      <c r="F4333" s="3" t="s">
        <v>6209</v>
      </c>
      <c r="G4333" s="3" t="s">
        <v>11656</v>
      </c>
      <c r="H4333" s="2" t="s">
        <v>148</v>
      </c>
      <c r="I4333" s="2" t="s">
        <v>11657</v>
      </c>
      <c r="J4333" s="3" t="str">
        <f>HYPERLINK("https://www.boe.es/gazeta/dias/1811/11/04/pdfs/GEI-1811-142E.pdf#page=1","Abrir facsímil")</f>
        <v>Abrir facsímil</v>
      </c>
      <c r="K4333" s="3" t="s">
        <v>150</v>
      </c>
    </row>
    <row r="4334" spans="1:11" ht="42" customHeight="1">
      <c r="A4334" s="2" t="s">
        <v>11649</v>
      </c>
      <c r="B4334" s="2" t="s">
        <v>11649</v>
      </c>
      <c r="C4334" s="2" t="s">
        <v>17</v>
      </c>
      <c r="D4334" s="2" t="s">
        <v>156</v>
      </c>
      <c r="E4334" s="4">
        <v>-32198</v>
      </c>
      <c r="F4334" s="3" t="s">
        <v>6209</v>
      </c>
      <c r="G4334" s="3" t="s">
        <v>6210</v>
      </c>
      <c r="H4334" s="2" t="s">
        <v>148</v>
      </c>
      <c r="I4334" s="2" t="s">
        <v>11658</v>
      </c>
      <c r="J4334" s="3" t="str">
        <f>HYPERLINK("https://www.boe.es/gazeta/dias/1811/11/04/pdfs/GEI-1811-142E.pdf#page=3","Abrir facsímil")</f>
        <v>Abrir facsímil</v>
      </c>
      <c r="K4334" s="3" t="s">
        <v>150</v>
      </c>
    </row>
    <row r="4335" spans="1:11" ht="42" customHeight="1">
      <c r="A4335" s="2" t="s">
        <v>11649</v>
      </c>
      <c r="B4335" s="2" t="s">
        <v>11649</v>
      </c>
      <c r="C4335" s="2" t="s">
        <v>17</v>
      </c>
      <c r="D4335" s="2" t="s">
        <v>528</v>
      </c>
      <c r="E4335" s="4">
        <v>-32198</v>
      </c>
      <c r="F4335" s="3" t="s">
        <v>6209</v>
      </c>
      <c r="G4335" s="3" t="s">
        <v>110</v>
      </c>
      <c r="H4335" s="2" t="s">
        <v>148</v>
      </c>
      <c r="I4335" s="2" t="s">
        <v>11659</v>
      </c>
      <c r="J4335" s="3" t="str">
        <f>HYPERLINK("https://www.boe.es/gazeta/dias/1811/11/04/pdfs/GEI-1811-142E.pdf#page=4","Abrir facsímil")</f>
        <v>Abrir facsímil</v>
      </c>
      <c r="K4335" s="3" t="s">
        <v>150</v>
      </c>
    </row>
    <row r="4336" spans="1:11" ht="42" customHeight="1">
      <c r="A4336" s="2" t="s">
        <v>11649</v>
      </c>
      <c r="B4336" s="2" t="s">
        <v>11649</v>
      </c>
      <c r="C4336" s="2" t="s">
        <v>17</v>
      </c>
      <c r="D4336" s="2" t="s">
        <v>156</v>
      </c>
      <c r="E4336" s="4">
        <v>-32191</v>
      </c>
      <c r="F4336" s="3" t="s">
        <v>2538</v>
      </c>
      <c r="G4336" s="3" t="s">
        <v>418</v>
      </c>
      <c r="H4336" s="2" t="s">
        <v>148</v>
      </c>
      <c r="I4336" s="2" t="s">
        <v>11660</v>
      </c>
      <c r="J4336" s="3" t="str">
        <f>HYPERLINK("https://www.boe.es/gazeta/dias/1811/11/11/pdfs/GEI-1811-147E.pdf#page=1","Abrir facsímil")</f>
        <v>Abrir facsímil</v>
      </c>
      <c r="K4336" s="3" t="s">
        <v>150</v>
      </c>
    </row>
    <row r="4337" spans="1:11" ht="42" customHeight="1">
      <c r="A4337" s="2" t="s">
        <v>11649</v>
      </c>
      <c r="B4337" s="2" t="s">
        <v>11649</v>
      </c>
      <c r="C4337" s="2" t="s">
        <v>17</v>
      </c>
      <c r="D4337" s="2" t="s">
        <v>156</v>
      </c>
      <c r="E4337" s="4">
        <v>-32191</v>
      </c>
      <c r="F4337" s="3" t="s">
        <v>2538</v>
      </c>
      <c r="G4337" s="3" t="s">
        <v>178</v>
      </c>
      <c r="H4337" s="2" t="s">
        <v>148</v>
      </c>
      <c r="I4337" s="2" t="s">
        <v>11661</v>
      </c>
      <c r="J4337" s="3" t="str">
        <f>HYPERLINK("https://www.boe.es/gazeta/dias/1811/11/11/pdfs/GEI-1811-147E.pdf#page=2","Abrir facsímil")</f>
        <v>Abrir facsímil</v>
      </c>
      <c r="K4337" s="3" t="s">
        <v>150</v>
      </c>
    </row>
    <row r="4338" spans="1:11" ht="42" customHeight="1">
      <c r="A4338" s="2" t="s">
        <v>11649</v>
      </c>
      <c r="B4338" s="2" t="s">
        <v>11649</v>
      </c>
      <c r="C4338" s="2" t="s">
        <v>17</v>
      </c>
      <c r="D4338" s="2" t="s">
        <v>528</v>
      </c>
      <c r="E4338" s="4">
        <v>-32191</v>
      </c>
      <c r="F4338" s="3" t="s">
        <v>2538</v>
      </c>
      <c r="G4338" s="3" t="s">
        <v>9436</v>
      </c>
      <c r="H4338" s="2" t="s">
        <v>148</v>
      </c>
      <c r="I4338" s="2" t="s">
        <v>11662</v>
      </c>
      <c r="J4338" s="3" t="str">
        <f>HYPERLINK("https://www.boe.es/gazeta/dias/1811/11/11/pdfs/GEI-1811-147E.pdf#page=6","Abrir facsímil")</f>
        <v>Abrir facsímil</v>
      </c>
      <c r="K4338" s="3" t="s">
        <v>150</v>
      </c>
    </row>
    <row r="4339" spans="1:11" ht="42" customHeight="1">
      <c r="A4339" s="2" t="s">
        <v>11649</v>
      </c>
      <c r="B4339" s="2" t="s">
        <v>11649</v>
      </c>
      <c r="C4339" s="2" t="s">
        <v>17</v>
      </c>
      <c r="D4339" s="2" t="s">
        <v>18</v>
      </c>
      <c r="E4339" s="4">
        <v>-32174</v>
      </c>
      <c r="F4339" s="3" t="s">
        <v>172</v>
      </c>
      <c r="G4339" s="3" t="s">
        <v>3067</v>
      </c>
      <c r="H4339" s="2" t="s">
        <v>148</v>
      </c>
      <c r="I4339" s="2" t="s">
        <v>11663</v>
      </c>
      <c r="J4339" s="3" t="str">
        <f>HYPERLINK("https://www.boe.es/gazeta/dias/1811/11/28/pdfs/GEI-1811-155.pdf#page=8","Abrir facsímil")</f>
        <v>Abrir facsímil</v>
      </c>
      <c r="K4339" s="3" t="s">
        <v>150</v>
      </c>
    </row>
    <row r="4340" spans="1:11" ht="42" customHeight="1">
      <c r="A4340" s="2" t="s">
        <v>11664</v>
      </c>
      <c r="B4340" s="2" t="s">
        <v>11665</v>
      </c>
      <c r="C4340" s="2" t="s">
        <v>17</v>
      </c>
      <c r="D4340" s="2" t="s">
        <v>18</v>
      </c>
      <c r="E4340" s="4">
        <v>-32372</v>
      </c>
      <c r="F4340" s="3" t="s">
        <v>2690</v>
      </c>
      <c r="G4340" s="3" t="s">
        <v>586</v>
      </c>
      <c r="H4340" s="2" t="s">
        <v>148</v>
      </c>
      <c r="I4340" s="2" t="s">
        <v>11666</v>
      </c>
      <c r="J4340" s="3" t="str">
        <f>HYPERLINK("https://www.boe.es/gazeta/dias/1811/05/14/pdfs/GEI-1811-63.pdf#page=8","Abrir facsímil")</f>
        <v>Abrir facsímil</v>
      </c>
      <c r="K4340" s="3" t="s">
        <v>150</v>
      </c>
    </row>
    <row r="4341" spans="1:11" ht="42" customHeight="1">
      <c r="A4341" s="2" t="s">
        <v>11667</v>
      </c>
      <c r="B4341" s="2" t="s">
        <v>11667</v>
      </c>
      <c r="C4341" s="2" t="s">
        <v>17</v>
      </c>
      <c r="D4341" s="2" t="s">
        <v>18</v>
      </c>
      <c r="E4341" s="4">
        <v>-32356</v>
      </c>
      <c r="F4341" s="3" t="s">
        <v>1992</v>
      </c>
      <c r="G4341" s="3" t="s">
        <v>5236</v>
      </c>
      <c r="H4341" s="2" t="s">
        <v>148</v>
      </c>
      <c r="I4341" s="2" t="s">
        <v>11668</v>
      </c>
      <c r="J4341" s="3" t="str">
        <f>HYPERLINK("https://www.boe.es/gazeta/dias/1811/05/30/pdfs/GEI-1811-73.pdf#page=4","Abrir facsímil")</f>
        <v>Abrir facsímil</v>
      </c>
      <c r="K4341" s="3" t="s">
        <v>150</v>
      </c>
    </row>
    <row r="4342" spans="1:11" ht="42" customHeight="1">
      <c r="A4342" s="2" t="s">
        <v>11669</v>
      </c>
      <c r="B4342" s="2" t="s">
        <v>11669</v>
      </c>
      <c r="C4342" s="2" t="s">
        <v>17</v>
      </c>
      <c r="D4342" s="2" t="s">
        <v>18</v>
      </c>
      <c r="E4342" s="4">
        <v>-32349</v>
      </c>
      <c r="F4342" s="3" t="s">
        <v>239</v>
      </c>
      <c r="G4342" s="3" t="s">
        <v>561</v>
      </c>
      <c r="H4342" s="2" t="s">
        <v>148</v>
      </c>
      <c r="I4342" s="2" t="s">
        <v>11670</v>
      </c>
      <c r="J4342" s="3" t="str">
        <f>HYPERLINK("https://www.boe.es/gazeta/dias/1811/06/06/pdfs/GEI-1811-76.pdf#page=4","Abrir facsímil")</f>
        <v>Abrir facsímil</v>
      </c>
      <c r="K4342" s="3" t="s">
        <v>150</v>
      </c>
    </row>
    <row r="4343" spans="1:11" ht="42" customHeight="1">
      <c r="A4343" s="2" t="s">
        <v>11671</v>
      </c>
      <c r="B4343" s="2" t="s">
        <v>11671</v>
      </c>
      <c r="C4343" s="2" t="s">
        <v>17</v>
      </c>
      <c r="D4343" s="2" t="s">
        <v>18</v>
      </c>
      <c r="E4343" s="4">
        <v>-32285</v>
      </c>
      <c r="F4343" s="3" t="s">
        <v>3716</v>
      </c>
      <c r="G4343" s="3" t="s">
        <v>162</v>
      </c>
      <c r="H4343" s="2" t="s">
        <v>148</v>
      </c>
      <c r="I4343" s="2" t="s">
        <v>11672</v>
      </c>
      <c r="J4343" s="3" t="str">
        <f>HYPERLINK("https://www.boe.es/gazeta/dias/1811/08/09/pdfs/GMD-1811-221.pdf#page=2","Abrir facsímil")</f>
        <v>Abrir facsímil</v>
      </c>
      <c r="K4343" s="3" t="s">
        <v>150</v>
      </c>
    </row>
    <row r="4344" spans="1:11" ht="42" customHeight="1">
      <c r="A4344" s="2" t="s">
        <v>11673</v>
      </c>
      <c r="B4344" s="2" t="s">
        <v>11673</v>
      </c>
      <c r="C4344" s="2" t="s">
        <v>104</v>
      </c>
      <c r="D4344" s="2" t="s">
        <v>18</v>
      </c>
      <c r="E4344" s="4">
        <v>-32451</v>
      </c>
      <c r="F4344" s="3" t="s">
        <v>2651</v>
      </c>
      <c r="G4344" s="3" t="s">
        <v>9891</v>
      </c>
      <c r="H4344" s="2" t="s">
        <v>148</v>
      </c>
      <c r="I4344" s="2" t="s">
        <v>11674</v>
      </c>
      <c r="J4344" s="3" t="str">
        <f>HYPERLINK("https://www.boe.es/gazeta/dias/1811/02/24/pdfs/GMD-1811-55.pdf#page=2","Abrir facsímil")</f>
        <v>Abrir facsímil</v>
      </c>
      <c r="K4344" s="3" t="s">
        <v>150</v>
      </c>
    </row>
    <row r="4345" spans="1:11" ht="42" customHeight="1">
      <c r="A4345" s="2" t="s">
        <v>11675</v>
      </c>
      <c r="B4345" s="2" t="s">
        <v>11675</v>
      </c>
      <c r="C4345" s="2" t="s">
        <v>17</v>
      </c>
      <c r="D4345" s="2" t="s">
        <v>156</v>
      </c>
      <c r="E4345" s="4">
        <v>-32410</v>
      </c>
      <c r="F4345" s="3" t="s">
        <v>6080</v>
      </c>
      <c r="G4345" s="3" t="s">
        <v>47</v>
      </c>
      <c r="H4345" s="2" t="s">
        <v>148</v>
      </c>
      <c r="I4345" s="2" t="s">
        <v>11676</v>
      </c>
      <c r="J4345" s="3" t="str">
        <f>HYPERLINK("https://www.boe.es/gazeta/dias/1811/04/06/pdfs/GMD-1811-96.pdf#page=2","Abrir facsímil")</f>
        <v>Abrir facsímil</v>
      </c>
      <c r="K4345" s="3" t="s">
        <v>150</v>
      </c>
    </row>
    <row r="4346" spans="1:11" ht="42" customHeight="1">
      <c r="A4346" s="2" t="s">
        <v>11677</v>
      </c>
      <c r="B4346" s="2" t="s">
        <v>11677</v>
      </c>
      <c r="C4346" s="2" t="s">
        <v>26</v>
      </c>
      <c r="D4346" s="2" t="s">
        <v>18</v>
      </c>
      <c r="E4346" s="4">
        <v>-32337</v>
      </c>
      <c r="F4346" s="3" t="s">
        <v>786</v>
      </c>
      <c r="G4346" s="3" t="s">
        <v>162</v>
      </c>
      <c r="H4346" s="2" t="s">
        <v>148</v>
      </c>
      <c r="I4346" s="2" t="s">
        <v>11678</v>
      </c>
      <c r="J4346" s="3" t="str">
        <f>HYPERLINK("https://www.boe.es/gazeta/dias/1811/06/18/pdfs/GMD-1811-169.pdf#page=2","Abrir facsímil")</f>
        <v>Abrir facsímil</v>
      </c>
      <c r="K4346" s="3" t="s">
        <v>150</v>
      </c>
    </row>
    <row r="4347" spans="1:11" ht="42" customHeight="1">
      <c r="A4347" s="2" t="s">
        <v>11679</v>
      </c>
      <c r="B4347" s="2" t="s">
        <v>11679</v>
      </c>
      <c r="C4347" s="2" t="s">
        <v>17</v>
      </c>
      <c r="D4347" s="2" t="s">
        <v>18</v>
      </c>
      <c r="E4347" s="4">
        <v>-32429</v>
      </c>
      <c r="F4347" s="3" t="s">
        <v>770</v>
      </c>
      <c r="G4347" s="3" t="s">
        <v>183</v>
      </c>
      <c r="H4347" s="2" t="s">
        <v>148</v>
      </c>
      <c r="I4347" s="2" t="s">
        <v>11680</v>
      </c>
      <c r="J4347" s="3" t="str">
        <f>HYPERLINK("https://www.boe.es/gazeta/dias/1811/03/18/pdfs/GMD-1811-77.pdf#page=4","Abrir facsímil")</f>
        <v>Abrir facsímil</v>
      </c>
      <c r="K4347" s="3" t="s">
        <v>150</v>
      </c>
    </row>
    <row r="4348" spans="1:11" ht="42" customHeight="1">
      <c r="A4348" s="2" t="s">
        <v>11681</v>
      </c>
      <c r="B4348" s="2" t="s">
        <v>11681</v>
      </c>
      <c r="C4348" s="2" t="s">
        <v>37</v>
      </c>
      <c r="D4348" s="2" t="s">
        <v>18</v>
      </c>
      <c r="E4348" s="4">
        <v>-32232</v>
      </c>
      <c r="F4348" s="3" t="s">
        <v>1879</v>
      </c>
      <c r="G4348" s="3" t="s">
        <v>120</v>
      </c>
      <c r="H4348" s="2" t="s">
        <v>148</v>
      </c>
      <c r="I4348" s="2" t="s">
        <v>11682</v>
      </c>
      <c r="J4348" s="3" t="str">
        <f>HYPERLINK("https://www.boe.es/gazeta/dias/1811/10/01/pdfs/GMD-1811-274.pdf#page=1","Abrir facsímil")</f>
        <v>Abrir facsímil</v>
      </c>
      <c r="K4348" s="3" t="s">
        <v>150</v>
      </c>
    </row>
    <row r="4349" spans="1:11" ht="42" customHeight="1">
      <c r="A4349" s="2" t="s">
        <v>11683</v>
      </c>
      <c r="B4349" s="2" t="s">
        <v>11683</v>
      </c>
      <c r="C4349" s="2" t="s">
        <v>17</v>
      </c>
      <c r="D4349" s="2" t="s">
        <v>156</v>
      </c>
      <c r="E4349" s="4">
        <v>-32232</v>
      </c>
      <c r="F4349" s="3" t="s">
        <v>1879</v>
      </c>
      <c r="G4349" s="3" t="s">
        <v>120</v>
      </c>
      <c r="H4349" s="2" t="s">
        <v>148</v>
      </c>
      <c r="I4349" s="2" t="s">
        <v>11684</v>
      </c>
      <c r="J4349" s="3" t="str">
        <f>HYPERLINK("https://www.boe.es/gazeta/dias/1811/10/01/pdfs/GMD-1811-274.pdf#page=1","Abrir facsímil")</f>
        <v>Abrir facsímil</v>
      </c>
      <c r="K4349" s="3" t="s">
        <v>150</v>
      </c>
    </row>
    <row r="4350" spans="1:11" ht="42" customHeight="1">
      <c r="A4350" s="2" t="s">
        <v>11683</v>
      </c>
      <c r="B4350" s="2" t="s">
        <v>11683</v>
      </c>
      <c r="C4350" s="2" t="s">
        <v>17</v>
      </c>
      <c r="D4350" s="2" t="s">
        <v>18</v>
      </c>
      <c r="E4350" s="4">
        <v>-32214</v>
      </c>
      <c r="F4350" s="3" t="s">
        <v>11685</v>
      </c>
      <c r="G4350" s="3" t="s">
        <v>515</v>
      </c>
      <c r="H4350" s="2" t="s">
        <v>148</v>
      </c>
      <c r="I4350" s="2" t="s">
        <v>11686</v>
      </c>
      <c r="J4350" s="3" t="str">
        <f>HYPERLINK("https://www.boe.es/gazeta/dias/1811/10/19/pdfs/GMD-1811-292.pdf#page=1","Abrir facsímil")</f>
        <v>Abrir facsímil</v>
      </c>
      <c r="K4350" s="3" t="s">
        <v>150</v>
      </c>
    </row>
    <row r="4351" spans="1:11" ht="42" customHeight="1">
      <c r="A4351" s="2" t="s">
        <v>11687</v>
      </c>
      <c r="B4351" s="2" t="s">
        <v>11687</v>
      </c>
      <c r="C4351" s="2" t="s">
        <v>104</v>
      </c>
      <c r="D4351" s="2" t="s">
        <v>204</v>
      </c>
      <c r="E4351" s="4">
        <v>-32403</v>
      </c>
      <c r="F4351" s="3" t="s">
        <v>4861</v>
      </c>
      <c r="G4351" s="3" t="s">
        <v>57</v>
      </c>
      <c r="H4351" s="2" t="s">
        <v>148</v>
      </c>
      <c r="I4351" s="2" t="s">
        <v>11688</v>
      </c>
      <c r="J4351" s="3" t="str">
        <f>HYPERLINK("https://www.boe.es/gazeta/dias/1811/04/13/pdfs/GMD-1811-103.pdf#page=2","Abrir facsímil")</f>
        <v>Abrir facsímil</v>
      </c>
      <c r="K4351" s="3" t="s">
        <v>150</v>
      </c>
    </row>
    <row r="4352" spans="1:11" ht="42" customHeight="1">
      <c r="A4352" s="2" t="s">
        <v>11689</v>
      </c>
      <c r="B4352" s="2" t="s">
        <v>11689</v>
      </c>
      <c r="C4352" s="2" t="s">
        <v>17</v>
      </c>
      <c r="D4352" s="2" t="s">
        <v>18</v>
      </c>
      <c r="E4352" s="4">
        <v>-32388</v>
      </c>
      <c r="F4352" s="3" t="s">
        <v>2772</v>
      </c>
      <c r="G4352" s="3" t="s">
        <v>9331</v>
      </c>
      <c r="H4352" s="2" t="s">
        <v>148</v>
      </c>
      <c r="I4352" s="2" t="s">
        <v>11690</v>
      </c>
      <c r="J4352" s="3" t="str">
        <f>HYPERLINK("https://www.boe.es/gazeta/dias/1811/04/28/pdfs/GMD-1811-118.pdf#page=1","Abrir facsímil")</f>
        <v>Abrir facsímil</v>
      </c>
      <c r="K4352" s="3" t="s">
        <v>150</v>
      </c>
    </row>
    <row r="4353" spans="1:11" ht="42" customHeight="1">
      <c r="A4353" s="2" t="s">
        <v>11691</v>
      </c>
      <c r="B4353" s="2" t="s">
        <v>11692</v>
      </c>
      <c r="C4353" s="2" t="s">
        <v>17</v>
      </c>
      <c r="D4353" s="2" t="s">
        <v>156</v>
      </c>
      <c r="E4353" s="4">
        <v>-32417</v>
      </c>
      <c r="F4353" s="3" t="s">
        <v>7066</v>
      </c>
      <c r="G4353" s="3" t="s">
        <v>10377</v>
      </c>
      <c r="H4353" s="2" t="s">
        <v>148</v>
      </c>
      <c r="I4353" s="2" t="s">
        <v>11693</v>
      </c>
      <c r="J4353" s="3" t="str">
        <f>HYPERLINK("https://www.boe.es/gazeta/dias/1811/03/30/pdfs/GEI-1811-44.pdf#page=7","Abrir facsímil")</f>
        <v>Abrir facsímil</v>
      </c>
      <c r="K4353" s="3" t="s">
        <v>150</v>
      </c>
    </row>
    <row r="4354" spans="1:11" ht="42" customHeight="1">
      <c r="A4354" s="2" t="s">
        <v>11694</v>
      </c>
      <c r="B4354" s="2" t="s">
        <v>11694</v>
      </c>
      <c r="C4354" s="2" t="s">
        <v>17</v>
      </c>
      <c r="D4354" s="2" t="s">
        <v>18</v>
      </c>
      <c r="E4354" s="4">
        <v>-32361</v>
      </c>
      <c r="F4354" s="3" t="s">
        <v>1104</v>
      </c>
      <c r="G4354" s="3" t="s">
        <v>5253</v>
      </c>
      <c r="H4354" s="2" t="s">
        <v>148</v>
      </c>
      <c r="I4354" s="2" t="s">
        <v>11695</v>
      </c>
      <c r="J4354" s="3" t="str">
        <f>HYPERLINK("https://www.boe.es/gazeta/dias/1811/05/25/pdfs/GEI-1811-71.pdf#page=1","Abrir facsímil")</f>
        <v>Abrir facsímil</v>
      </c>
      <c r="K4354" s="3" t="s">
        <v>150</v>
      </c>
    </row>
    <row r="4355" spans="1:11" ht="42" customHeight="1">
      <c r="A4355" s="2" t="s">
        <v>11696</v>
      </c>
      <c r="B4355" s="2" t="s">
        <v>11697</v>
      </c>
      <c r="C4355" s="2" t="s">
        <v>26</v>
      </c>
      <c r="D4355" s="2" t="s">
        <v>18</v>
      </c>
      <c r="E4355" s="4">
        <v>-32421</v>
      </c>
      <c r="F4355" s="3" t="s">
        <v>79</v>
      </c>
      <c r="G4355" s="3" t="s">
        <v>488</v>
      </c>
      <c r="H4355" s="2" t="s">
        <v>148</v>
      </c>
      <c r="I4355" s="2" t="s">
        <v>11698</v>
      </c>
      <c r="J4355" s="3" t="str">
        <f>HYPERLINK("https://www.boe.es/gazeta/dias/1811/03/26/pdfs/GEI-1811-42.pdf#page=8","Abrir facsímil")</f>
        <v>Abrir facsímil</v>
      </c>
      <c r="K4355" s="3" t="s">
        <v>150</v>
      </c>
    </row>
    <row r="4356" spans="1:11" ht="42" customHeight="1">
      <c r="A4356" s="2" t="s">
        <v>11696</v>
      </c>
      <c r="B4356" s="2" t="s">
        <v>11697</v>
      </c>
      <c r="C4356" s="2" t="s">
        <v>26</v>
      </c>
      <c r="D4356" s="2" t="s">
        <v>18</v>
      </c>
      <c r="E4356" s="4">
        <v>-32340</v>
      </c>
      <c r="F4356" s="3" t="s">
        <v>565</v>
      </c>
      <c r="G4356" s="3" t="s">
        <v>91</v>
      </c>
      <c r="H4356" s="2" t="s">
        <v>148</v>
      </c>
      <c r="I4356" s="2" t="s">
        <v>11699</v>
      </c>
      <c r="J4356" s="3" t="str">
        <f>HYPERLINK("https://www.boe.es/gazeta/dias/1811/06/15/pdfs/GEI-1811-80.pdf#page=8","Abrir facsímil")</f>
        <v>Abrir facsímil</v>
      </c>
      <c r="K4356" s="3" t="s">
        <v>150</v>
      </c>
    </row>
    <row r="4357" spans="1:11" ht="42" customHeight="1">
      <c r="A4357" s="2" t="s">
        <v>11700</v>
      </c>
      <c r="B4357" s="2" t="s">
        <v>11701</v>
      </c>
      <c r="C4357" s="2" t="s">
        <v>26</v>
      </c>
      <c r="D4357" s="2" t="s">
        <v>18</v>
      </c>
      <c r="E4357" s="4">
        <v>-32469</v>
      </c>
      <c r="F4357" s="3" t="s">
        <v>3448</v>
      </c>
      <c r="G4357" s="3" t="s">
        <v>115</v>
      </c>
      <c r="H4357" s="2" t="s">
        <v>148</v>
      </c>
      <c r="I4357" s="2" t="s">
        <v>11702</v>
      </c>
      <c r="J4357" s="3" t="str">
        <f>HYPERLINK("https://www.boe.es/gazeta/dias/1811/02/06/pdfs/GMD-1811-37.pdf#page=3","Abrir facsímil")</f>
        <v>Abrir facsímil</v>
      </c>
      <c r="K4357" s="3" t="s">
        <v>150</v>
      </c>
    </row>
    <row r="4358" spans="1:11" ht="42" customHeight="1">
      <c r="A4358" s="2" t="s">
        <v>11703</v>
      </c>
      <c r="B4358" s="2" t="s">
        <v>11703</v>
      </c>
      <c r="C4358" s="2" t="s">
        <v>17</v>
      </c>
      <c r="D4358" s="2" t="s">
        <v>18</v>
      </c>
      <c r="E4358" s="4">
        <v>-32434</v>
      </c>
      <c r="F4358" s="3" t="s">
        <v>1932</v>
      </c>
      <c r="G4358" s="3" t="s">
        <v>1784</v>
      </c>
      <c r="H4358" s="2" t="s">
        <v>148</v>
      </c>
      <c r="I4358" s="2" t="s">
        <v>11704</v>
      </c>
      <c r="J4358" s="3" t="str">
        <f>HYPERLINK("https://www.boe.es/gazeta/dias/1811/03/13/pdfs/GMD-1811-72.pdf#page=3","Abrir facsímil")</f>
        <v>Abrir facsímil</v>
      </c>
      <c r="K4358" s="3" t="s">
        <v>150</v>
      </c>
    </row>
    <row r="4359" spans="1:11" ht="42" customHeight="1">
      <c r="A4359" s="2" t="s">
        <v>11705</v>
      </c>
      <c r="B4359" s="2" t="s">
        <v>11705</v>
      </c>
      <c r="C4359" s="2" t="s">
        <v>66</v>
      </c>
      <c r="D4359" s="2" t="s">
        <v>18</v>
      </c>
      <c r="E4359" s="4">
        <v>-32320</v>
      </c>
      <c r="F4359" s="3" t="s">
        <v>3234</v>
      </c>
      <c r="G4359" s="3" t="s">
        <v>2824</v>
      </c>
      <c r="H4359" s="2" t="s">
        <v>148</v>
      </c>
      <c r="I4359" s="2" t="s">
        <v>11706</v>
      </c>
      <c r="J4359" s="3" t="str">
        <f>HYPERLINK("https://www.boe.es/gazeta/dias/1811/07/05/pdfs/GMD-1811-186.pdf#page=1","Abrir facsímil")</f>
        <v>Abrir facsímil</v>
      </c>
      <c r="K4359" s="3" t="s">
        <v>150</v>
      </c>
    </row>
    <row r="4360" spans="1:11" ht="42" customHeight="1">
      <c r="A4360" s="2" t="s">
        <v>11707</v>
      </c>
      <c r="B4360" s="2" t="s">
        <v>11707</v>
      </c>
      <c r="C4360" s="2" t="s">
        <v>104</v>
      </c>
      <c r="D4360" s="2" t="s">
        <v>18</v>
      </c>
      <c r="E4360" s="4">
        <v>-32403</v>
      </c>
      <c r="F4360" s="3" t="s">
        <v>4861</v>
      </c>
      <c r="G4360" s="3" t="s">
        <v>57</v>
      </c>
      <c r="H4360" s="2" t="s">
        <v>148</v>
      </c>
      <c r="I4360" s="2" t="s">
        <v>11708</v>
      </c>
      <c r="J4360" s="3" t="str">
        <f>HYPERLINK("https://www.boe.es/gazeta/dias/1811/04/13/pdfs/GMD-1811-103.pdf#page=2","Abrir facsímil")</f>
        <v>Abrir facsímil</v>
      </c>
      <c r="K4360" s="3" t="s">
        <v>150</v>
      </c>
    </row>
    <row r="4361" spans="1:11" ht="42" customHeight="1">
      <c r="A4361" s="2" t="s">
        <v>11707</v>
      </c>
      <c r="B4361" s="2" t="s">
        <v>11707</v>
      </c>
      <c r="C4361" s="2" t="s">
        <v>104</v>
      </c>
      <c r="D4361" s="2" t="s">
        <v>18</v>
      </c>
      <c r="E4361" s="4">
        <v>-32324</v>
      </c>
      <c r="F4361" s="3" t="s">
        <v>730</v>
      </c>
      <c r="G4361" s="3" t="s">
        <v>57</v>
      </c>
      <c r="H4361" s="2" t="s">
        <v>148</v>
      </c>
      <c r="I4361" s="2" t="s">
        <v>11709</v>
      </c>
      <c r="J4361" s="3" t="str">
        <f>HYPERLINK("https://www.boe.es/gazeta/dias/1811/07/01/pdfs/GMD-1811-182.pdf#page=2","Abrir facsímil")</f>
        <v>Abrir facsímil</v>
      </c>
      <c r="K4361" s="3" t="s">
        <v>150</v>
      </c>
    </row>
    <row r="4362" spans="1:11" ht="42" customHeight="1">
      <c r="A4362" s="2" t="s">
        <v>11710</v>
      </c>
      <c r="B4362" s="2" t="s">
        <v>11710</v>
      </c>
      <c r="C4362" s="2" t="s">
        <v>17</v>
      </c>
      <c r="D4362" s="2" t="s">
        <v>18</v>
      </c>
      <c r="E4362" s="4">
        <v>-32361</v>
      </c>
      <c r="F4362" s="3" t="s">
        <v>1104</v>
      </c>
      <c r="G4362" s="3" t="s">
        <v>5253</v>
      </c>
      <c r="H4362" s="2" t="s">
        <v>148</v>
      </c>
      <c r="I4362" s="2" t="s">
        <v>11711</v>
      </c>
      <c r="J4362" s="3" t="str">
        <f>HYPERLINK("https://www.boe.es/gazeta/dias/1811/05/25/pdfs/GEI-1811-71.pdf#page=1","Abrir facsímil")</f>
        <v>Abrir facsímil</v>
      </c>
      <c r="K4362" s="3" t="s">
        <v>150</v>
      </c>
    </row>
    <row r="4363" spans="1:11" ht="42" customHeight="1">
      <c r="A4363" s="2" t="s">
        <v>11712</v>
      </c>
      <c r="B4363" s="2" t="s">
        <v>11712</v>
      </c>
      <c r="C4363" s="2" t="s">
        <v>17</v>
      </c>
      <c r="D4363" s="2" t="s">
        <v>18</v>
      </c>
      <c r="E4363" s="4">
        <v>-32263</v>
      </c>
      <c r="F4363" s="3" t="s">
        <v>128</v>
      </c>
      <c r="G4363" s="3" t="s">
        <v>178</v>
      </c>
      <c r="H4363" s="2" t="s">
        <v>148</v>
      </c>
      <c r="I4363" s="2" t="s">
        <v>11713</v>
      </c>
      <c r="J4363" s="3" t="str">
        <f>HYPERLINK("https://www.boe.es/gazeta/dias/1811/08/31/pdfs/GEI-1811-113.pdf#page=2","Abrir facsímil")</f>
        <v>Abrir facsímil</v>
      </c>
      <c r="K4363" s="3" t="s">
        <v>150</v>
      </c>
    </row>
    <row r="4364" spans="1:11" ht="42" customHeight="1">
      <c r="A4364" s="2" t="s">
        <v>11714</v>
      </c>
      <c r="B4364" s="2" t="s">
        <v>11714</v>
      </c>
      <c r="C4364" s="2" t="s">
        <v>17</v>
      </c>
      <c r="D4364" s="2" t="s">
        <v>18</v>
      </c>
      <c r="E4364" s="4">
        <v>-32349</v>
      </c>
      <c r="F4364" s="3" t="s">
        <v>239</v>
      </c>
      <c r="G4364" s="3" t="s">
        <v>240</v>
      </c>
      <c r="H4364" s="2" t="s">
        <v>148</v>
      </c>
      <c r="I4364" s="2" t="s">
        <v>11715</v>
      </c>
      <c r="J4364" s="3" t="str">
        <f>HYPERLINK("https://www.boe.es/gazeta/dias/1811/06/06/pdfs/GEI-1811-76.pdf#page=6","Abrir facsímil")</f>
        <v>Abrir facsímil</v>
      </c>
      <c r="K4364" s="3" t="s">
        <v>150</v>
      </c>
    </row>
    <row r="4365" spans="1:11" ht="42" customHeight="1">
      <c r="A4365" s="2" t="s">
        <v>11714</v>
      </c>
      <c r="B4365" s="2" t="s">
        <v>11714</v>
      </c>
      <c r="C4365" s="2" t="s">
        <v>17</v>
      </c>
      <c r="D4365" s="2" t="s">
        <v>18</v>
      </c>
      <c r="E4365" s="4">
        <v>-32330</v>
      </c>
      <c r="F4365" s="3" t="s">
        <v>1997</v>
      </c>
      <c r="G4365" s="3" t="s">
        <v>1463</v>
      </c>
      <c r="H4365" s="2" t="s">
        <v>148</v>
      </c>
      <c r="I4365" s="2" t="s">
        <v>11716</v>
      </c>
      <c r="J4365" s="3" t="str">
        <f>HYPERLINK("https://www.boe.es/gazeta/dias/1811/06/25/pdfs/GMD-1811-176.pdf#page=3","Abrir facsímil")</f>
        <v>Abrir facsímil</v>
      </c>
      <c r="K4365" s="3" t="s">
        <v>150</v>
      </c>
    </row>
    <row r="4366" spans="1:11" ht="42" customHeight="1">
      <c r="A4366" s="2" t="s">
        <v>11714</v>
      </c>
      <c r="B4366" s="2" t="s">
        <v>11714</v>
      </c>
      <c r="C4366" s="2" t="s">
        <v>17</v>
      </c>
      <c r="D4366" s="2" t="s">
        <v>156</v>
      </c>
      <c r="E4366" s="4">
        <v>-32315</v>
      </c>
      <c r="F4366" s="3" t="s">
        <v>3189</v>
      </c>
      <c r="G4366" s="3" t="s">
        <v>57</v>
      </c>
      <c r="H4366" s="2" t="s">
        <v>148</v>
      </c>
      <c r="I4366" s="2" t="s">
        <v>11717</v>
      </c>
      <c r="J4366" s="3" t="str">
        <f>HYPERLINK("https://www.boe.es/gazeta/dias/1811/07/10/pdfs/GMD-1811-191.pdf#page=2","Abrir facsímil")</f>
        <v>Abrir facsímil</v>
      </c>
      <c r="K4366" s="3" t="s">
        <v>150</v>
      </c>
    </row>
    <row r="4367" spans="1:11" ht="42" customHeight="1">
      <c r="A4367" s="2" t="s">
        <v>11718</v>
      </c>
      <c r="B4367" s="2" t="s">
        <v>11718</v>
      </c>
      <c r="C4367" s="2" t="s">
        <v>17</v>
      </c>
      <c r="D4367" s="2" t="s">
        <v>18</v>
      </c>
      <c r="E4367" s="4">
        <v>-32351</v>
      </c>
      <c r="F4367" s="3" t="s">
        <v>2163</v>
      </c>
      <c r="G4367" s="3" t="s">
        <v>162</v>
      </c>
      <c r="H4367" s="2" t="s">
        <v>148</v>
      </c>
      <c r="I4367" s="2" t="s">
        <v>11719</v>
      </c>
      <c r="J4367" s="3" t="str">
        <f>HYPERLINK("https://www.boe.es/gazeta/dias/1811/06/04/pdfs/GEI-1811-75.pdf#page=1","Abrir facsímil")</f>
        <v>Abrir facsímil</v>
      </c>
      <c r="K4367" s="3" t="s">
        <v>150</v>
      </c>
    </row>
    <row r="4368" spans="1:11" ht="42" customHeight="1">
      <c r="A4368" s="2" t="s">
        <v>11720</v>
      </c>
      <c r="B4368" s="2" t="s">
        <v>11721</v>
      </c>
      <c r="C4368" s="2" t="s">
        <v>26</v>
      </c>
      <c r="D4368" s="2" t="s">
        <v>18</v>
      </c>
      <c r="E4368" s="4">
        <v>-32188</v>
      </c>
      <c r="F4368" s="3" t="s">
        <v>356</v>
      </c>
      <c r="G4368" s="3" t="s">
        <v>248</v>
      </c>
      <c r="H4368" s="2" t="s">
        <v>148</v>
      </c>
      <c r="I4368" s="2" t="s">
        <v>11722</v>
      </c>
      <c r="J4368" s="3" t="str">
        <f>HYPERLINK("https://www.boe.es/gazeta/dias/1811/11/14/pdfs/GMD-1811-318.pdf#page=5","Abrir facsímil")</f>
        <v>Abrir facsímil</v>
      </c>
      <c r="K4368" s="3" t="s">
        <v>150</v>
      </c>
    </row>
    <row r="4369" spans="1:11" ht="42" customHeight="1">
      <c r="A4369" s="2" t="s">
        <v>11720</v>
      </c>
      <c r="B4369" s="2" t="s">
        <v>11721</v>
      </c>
      <c r="C4369" s="2" t="s">
        <v>26</v>
      </c>
      <c r="D4369" s="2" t="s">
        <v>18</v>
      </c>
      <c r="E4369" s="4">
        <v>-32188</v>
      </c>
      <c r="F4369" s="3" t="s">
        <v>356</v>
      </c>
      <c r="G4369" s="3" t="s">
        <v>468</v>
      </c>
      <c r="H4369" s="2" t="s">
        <v>148</v>
      </c>
      <c r="I4369" s="2" t="s">
        <v>11723</v>
      </c>
      <c r="J4369" s="3" t="str">
        <f>HYPERLINK("https://www.boe.es/gazeta/dias/1811/11/14/pdfs/GMD-1811-318.pdf#page=6","Abrir facsímil")</f>
        <v>Abrir facsímil</v>
      </c>
      <c r="K4369" s="3" t="s">
        <v>150</v>
      </c>
    </row>
    <row r="4370" spans="1:11" ht="42" customHeight="1">
      <c r="A4370" s="2" t="s">
        <v>11724</v>
      </c>
      <c r="B4370" s="2" t="s">
        <v>11724</v>
      </c>
      <c r="C4370" s="2" t="s">
        <v>17</v>
      </c>
      <c r="D4370" s="2" t="s">
        <v>156</v>
      </c>
      <c r="E4370" s="4">
        <v>-32321</v>
      </c>
      <c r="F4370" s="3" t="s">
        <v>1829</v>
      </c>
      <c r="G4370" s="3" t="s">
        <v>1414</v>
      </c>
      <c r="H4370" s="2" t="s">
        <v>148</v>
      </c>
      <c r="I4370" s="2" t="s">
        <v>11725</v>
      </c>
      <c r="J4370" s="3" t="str">
        <f>HYPERLINK("https://www.boe.es/gazeta/dias/1811/07/04/pdfs/GEI-1811-88.pdf#page=1","Abrir facsímil")</f>
        <v>Abrir facsímil</v>
      </c>
      <c r="K4370" s="3" t="s">
        <v>150</v>
      </c>
    </row>
    <row r="4371" spans="1:11" ht="42" customHeight="1">
      <c r="A4371" s="2" t="s">
        <v>11726</v>
      </c>
      <c r="B4371" s="2" t="s">
        <v>11726</v>
      </c>
      <c r="C4371" s="2" t="s">
        <v>17</v>
      </c>
      <c r="D4371" s="2" t="s">
        <v>18</v>
      </c>
      <c r="E4371" s="4">
        <v>-32356</v>
      </c>
      <c r="F4371" s="3" t="s">
        <v>1992</v>
      </c>
      <c r="G4371" s="3" t="s">
        <v>5236</v>
      </c>
      <c r="H4371" s="2" t="s">
        <v>148</v>
      </c>
      <c r="I4371" s="2" t="s">
        <v>11727</v>
      </c>
      <c r="J4371" s="3" t="str">
        <f>HYPERLINK("https://www.boe.es/gazeta/dias/1811/05/30/pdfs/GEI-1811-73.pdf#page=4","Abrir facsímil")</f>
        <v>Abrir facsímil</v>
      </c>
      <c r="K4371" s="3" t="s">
        <v>150</v>
      </c>
    </row>
    <row r="4372" spans="1:11" ht="42" customHeight="1">
      <c r="A4372" s="2" t="s">
        <v>11726</v>
      </c>
      <c r="B4372" s="2" t="s">
        <v>11726</v>
      </c>
      <c r="C4372" s="2" t="s">
        <v>37</v>
      </c>
      <c r="D4372" s="2" t="s">
        <v>156</v>
      </c>
      <c r="E4372" s="4">
        <v>-32321</v>
      </c>
      <c r="F4372" s="3" t="s">
        <v>1829</v>
      </c>
      <c r="G4372" s="3" t="s">
        <v>1414</v>
      </c>
      <c r="H4372" s="2" t="s">
        <v>148</v>
      </c>
      <c r="I4372" s="2" t="s">
        <v>11728</v>
      </c>
      <c r="J4372" s="3" t="str">
        <f>HYPERLINK("https://www.boe.es/gazeta/dias/1811/07/04/pdfs/GEI-1811-88.pdf#page=1","Abrir facsímil")</f>
        <v>Abrir facsímil</v>
      </c>
      <c r="K4372" s="3" t="s">
        <v>150</v>
      </c>
    </row>
    <row r="4373" spans="1:11" ht="42" customHeight="1">
      <c r="A4373" s="2" t="s">
        <v>11726</v>
      </c>
      <c r="B4373" s="2" t="s">
        <v>11726</v>
      </c>
      <c r="C4373" s="2" t="s">
        <v>17</v>
      </c>
      <c r="D4373" s="2" t="s">
        <v>156</v>
      </c>
      <c r="E4373" s="4">
        <v>-32321</v>
      </c>
      <c r="F4373" s="3" t="s">
        <v>1829</v>
      </c>
      <c r="G4373" s="3" t="s">
        <v>8282</v>
      </c>
      <c r="H4373" s="2" t="s">
        <v>148</v>
      </c>
      <c r="I4373" s="2" t="s">
        <v>11729</v>
      </c>
      <c r="J4373" s="3" t="str">
        <f>HYPERLINK("https://www.boe.es/gazeta/dias/1811/07/04/pdfs/GEI-1811-88.pdf#page=2","Abrir facsímil")</f>
        <v>Abrir facsímil</v>
      </c>
      <c r="K4373" s="3" t="s">
        <v>150</v>
      </c>
    </row>
    <row r="4374" spans="1:11" ht="42" customHeight="1">
      <c r="A4374" s="2" t="s">
        <v>11726</v>
      </c>
      <c r="B4374" s="2" t="s">
        <v>11726</v>
      </c>
      <c r="C4374" s="2" t="s">
        <v>17</v>
      </c>
      <c r="D4374" s="2" t="s">
        <v>156</v>
      </c>
      <c r="E4374" s="4">
        <v>-32283</v>
      </c>
      <c r="F4374" s="3" t="s">
        <v>90</v>
      </c>
      <c r="G4374" s="3" t="s">
        <v>1856</v>
      </c>
      <c r="H4374" s="2" t="s">
        <v>148</v>
      </c>
      <c r="I4374" s="2" t="s">
        <v>11730</v>
      </c>
      <c r="J4374" s="3" t="str">
        <f>HYPERLINK("https://www.boe.es/gazeta/dias/1811/08/11/pdfs/GMD-1811-223.pdf#page=1","Abrir facsímil")</f>
        <v>Abrir facsímil</v>
      </c>
      <c r="K4374" s="3" t="s">
        <v>150</v>
      </c>
    </row>
    <row r="4375" spans="1:11" ht="42" customHeight="1">
      <c r="A4375" s="2" t="s">
        <v>11726</v>
      </c>
      <c r="B4375" s="2" t="s">
        <v>11726</v>
      </c>
      <c r="C4375" s="2" t="s">
        <v>17</v>
      </c>
      <c r="D4375" s="2" t="s">
        <v>18</v>
      </c>
      <c r="E4375" s="4">
        <v>-32240</v>
      </c>
      <c r="F4375" s="3" t="s">
        <v>2753</v>
      </c>
      <c r="G4375" s="3" t="s">
        <v>4151</v>
      </c>
      <c r="H4375" s="2" t="s">
        <v>148</v>
      </c>
      <c r="I4375" s="2" t="s">
        <v>11731</v>
      </c>
      <c r="J4375" s="3" t="str">
        <f>HYPERLINK("https://www.boe.es/gazeta/dias/1811/09/23/pdfs/GMD-1811-266.pdf#page=3","Abrir facsímil")</f>
        <v>Abrir facsímil</v>
      </c>
      <c r="K4375" s="3" t="s">
        <v>150</v>
      </c>
    </row>
    <row r="4376" spans="1:11" ht="42" customHeight="1">
      <c r="A4376" s="2" t="s">
        <v>11732</v>
      </c>
      <c r="B4376" s="2" t="s">
        <v>11733</v>
      </c>
      <c r="C4376" s="2" t="s">
        <v>17</v>
      </c>
      <c r="D4376" s="2" t="s">
        <v>18</v>
      </c>
      <c r="E4376" s="4">
        <v>-32503</v>
      </c>
      <c r="F4376" s="3" t="s">
        <v>487</v>
      </c>
      <c r="G4376" s="3" t="s">
        <v>28</v>
      </c>
      <c r="H4376" s="2" t="s">
        <v>148</v>
      </c>
      <c r="I4376" s="2" t="s">
        <v>11734</v>
      </c>
      <c r="J4376" s="3" t="str">
        <f>HYPERLINK("https://www.boe.es/gazeta/dias/1811/01/03/pdfs/GEI-1811-2.pdf#page=7","Abrir facsímil")</f>
        <v>Abrir facsímil</v>
      </c>
      <c r="K4376" s="3" t="s">
        <v>150</v>
      </c>
    </row>
    <row r="4377" spans="1:11" ht="42" customHeight="1">
      <c r="A4377" s="2" t="s">
        <v>11735</v>
      </c>
      <c r="B4377" s="2" t="s">
        <v>11736</v>
      </c>
      <c r="C4377" s="2" t="s">
        <v>26</v>
      </c>
      <c r="D4377" s="2" t="s">
        <v>141</v>
      </c>
      <c r="E4377" s="4">
        <v>-32238</v>
      </c>
      <c r="F4377" s="3" t="s">
        <v>166</v>
      </c>
      <c r="G4377" s="3" t="s">
        <v>178</v>
      </c>
      <c r="H4377" s="2" t="s">
        <v>148</v>
      </c>
      <c r="I4377" s="2" t="s">
        <v>11737</v>
      </c>
      <c r="J4377" s="3" t="str">
        <f>HYPERLINK("https://www.boe.es/gazeta/dias/1811/09/25/pdfs/GMD-C-1811-268.pdf#page=4","Abrir facsímil")</f>
        <v>Abrir facsímil</v>
      </c>
      <c r="K4377" s="3" t="s">
        <v>150</v>
      </c>
    </row>
    <row r="4378" spans="1:11" ht="42" customHeight="1">
      <c r="A4378" s="2" t="s">
        <v>11738</v>
      </c>
      <c r="B4378" s="2" t="s">
        <v>11738</v>
      </c>
      <c r="C4378" s="2" t="s">
        <v>17</v>
      </c>
      <c r="D4378" s="2" t="s">
        <v>156</v>
      </c>
      <c r="E4378" s="4">
        <v>-32203</v>
      </c>
      <c r="F4378" s="3" t="s">
        <v>8645</v>
      </c>
      <c r="G4378" s="3" t="s">
        <v>44</v>
      </c>
      <c r="H4378" s="2" t="s">
        <v>148</v>
      </c>
      <c r="I4378" s="2" t="s">
        <v>11739</v>
      </c>
      <c r="J4378" s="3" t="str">
        <f>HYPERLINK("https://www.boe.es/gazeta/dias/1811/10/30/pdfs/GMD-1811-303.pdf#page=4","Abrir facsímil")</f>
        <v>Abrir facsímil</v>
      </c>
      <c r="K4378" s="3" t="s">
        <v>150</v>
      </c>
    </row>
    <row r="4379" spans="1:11" ht="42" customHeight="1">
      <c r="A4379" s="2" t="s">
        <v>11740</v>
      </c>
      <c r="B4379" s="2" t="s">
        <v>11740</v>
      </c>
      <c r="C4379" s="2" t="s">
        <v>17</v>
      </c>
      <c r="D4379" s="2" t="s">
        <v>18</v>
      </c>
      <c r="E4379" s="4">
        <v>-32195</v>
      </c>
      <c r="F4379" s="3" t="s">
        <v>439</v>
      </c>
      <c r="G4379" s="3" t="s">
        <v>11741</v>
      </c>
      <c r="H4379" s="2" t="s">
        <v>148</v>
      </c>
      <c r="I4379" s="2" t="s">
        <v>11742</v>
      </c>
      <c r="J4379" s="3" t="str">
        <f>HYPERLINK("https://www.boe.es/gazeta/dias/1811/11/07/pdfs/GEI-1811-144.pdf#page=1","Abrir facsímil")</f>
        <v>Abrir facsímil</v>
      </c>
      <c r="K4379" s="3" t="s">
        <v>150</v>
      </c>
    </row>
    <row r="4380" spans="1:11" ht="42" customHeight="1">
      <c r="A4380" s="2" t="s">
        <v>11743</v>
      </c>
      <c r="B4380" s="2" t="s">
        <v>11743</v>
      </c>
      <c r="C4380" s="2" t="s">
        <v>104</v>
      </c>
      <c r="D4380" s="2" t="s">
        <v>105</v>
      </c>
      <c r="E4380" s="4">
        <v>-32267</v>
      </c>
      <c r="F4380" s="3" t="s">
        <v>1045</v>
      </c>
      <c r="G4380" s="3" t="s">
        <v>120</v>
      </c>
      <c r="H4380" s="2" t="s">
        <v>148</v>
      </c>
      <c r="I4380" s="2" t="s">
        <v>11744</v>
      </c>
      <c r="J4380" s="3" t="str">
        <f>HYPERLINK("https://www.boe.es/gazeta/dias/1811/08/27/pdfs/GEI-1811-111.pdf#page=4","Abrir facsímil")</f>
        <v>Abrir facsímil</v>
      </c>
      <c r="K4380" s="3" t="s">
        <v>150</v>
      </c>
    </row>
    <row r="4381" spans="1:11" ht="42" customHeight="1">
      <c r="A4381" s="2" t="s">
        <v>11745</v>
      </c>
      <c r="B4381" s="2" t="s">
        <v>11746</v>
      </c>
      <c r="C4381" s="2" t="s">
        <v>26</v>
      </c>
      <c r="D4381" s="2" t="s">
        <v>18</v>
      </c>
      <c r="E4381" s="4">
        <v>-32237</v>
      </c>
      <c r="F4381" s="3" t="s">
        <v>717</v>
      </c>
      <c r="G4381" s="3" t="s">
        <v>47</v>
      </c>
      <c r="H4381" s="2" t="s">
        <v>148</v>
      </c>
      <c r="I4381" s="2" t="s">
        <v>11747</v>
      </c>
      <c r="J4381" s="3" t="str">
        <f>HYPERLINK("https://www.boe.es/gazeta/dias/1811/09/26/pdfs/GEI-1811-124.pdf#page=4","Abrir facsímil")</f>
        <v>Abrir facsímil</v>
      </c>
      <c r="K4381" s="3" t="s">
        <v>150</v>
      </c>
    </row>
    <row r="4382" spans="1:11" ht="42" customHeight="1">
      <c r="A4382" s="2" t="s">
        <v>11748</v>
      </c>
      <c r="B4382" s="2" t="s">
        <v>11748</v>
      </c>
      <c r="C4382" s="2" t="s">
        <v>26</v>
      </c>
      <c r="D4382" s="2" t="s">
        <v>18</v>
      </c>
      <c r="E4382" s="4">
        <v>-32343</v>
      </c>
      <c r="F4382" s="3" t="s">
        <v>6073</v>
      </c>
      <c r="G4382" s="3" t="s">
        <v>284</v>
      </c>
      <c r="H4382" s="2" t="s">
        <v>148</v>
      </c>
      <c r="I4382" s="2" t="s">
        <v>11749</v>
      </c>
      <c r="J4382" s="3" t="str">
        <f>HYPERLINK("https://www.boe.es/gazeta/dias/1811/06/12/pdfs/GMD-1811-163.pdf#page=1","Abrir facsímil")</f>
        <v>Abrir facsímil</v>
      </c>
      <c r="K4382" s="3" t="s">
        <v>150</v>
      </c>
    </row>
    <row r="4383" spans="1:11" ht="42" customHeight="1">
      <c r="A4383" s="2" t="s">
        <v>11750</v>
      </c>
      <c r="B4383" s="2" t="s">
        <v>11750</v>
      </c>
      <c r="C4383" s="2" t="s">
        <v>17</v>
      </c>
      <c r="D4383" s="2" t="s">
        <v>18</v>
      </c>
      <c r="E4383" s="4">
        <v>-32469</v>
      </c>
      <c r="F4383" s="3" t="s">
        <v>3448</v>
      </c>
      <c r="G4383" s="3" t="s">
        <v>468</v>
      </c>
      <c r="H4383" s="2" t="s">
        <v>148</v>
      </c>
      <c r="I4383" s="2" t="s">
        <v>11751</v>
      </c>
      <c r="J4383" s="3" t="str">
        <f>HYPERLINK("https://www.boe.es/gazeta/dias/1811/02/06/pdfs/GMD-1811-37.pdf#page=4","Abrir facsímil")</f>
        <v>Abrir facsímil</v>
      </c>
      <c r="K4383" s="3" t="s">
        <v>150</v>
      </c>
    </row>
    <row r="4384" spans="1:11" ht="42" customHeight="1">
      <c r="A4384" s="2" t="s">
        <v>11752</v>
      </c>
      <c r="B4384" s="2" t="s">
        <v>11752</v>
      </c>
      <c r="C4384" s="2" t="s">
        <v>17</v>
      </c>
      <c r="D4384" s="2" t="s">
        <v>156</v>
      </c>
      <c r="E4384" s="4">
        <v>-32428</v>
      </c>
      <c r="F4384" s="3" t="s">
        <v>351</v>
      </c>
      <c r="G4384" s="3" t="s">
        <v>115</v>
      </c>
      <c r="H4384" s="2" t="s">
        <v>148</v>
      </c>
      <c r="I4384" s="2" t="s">
        <v>11753</v>
      </c>
      <c r="J4384" s="3" t="str">
        <f>HYPERLINK("https://www.boe.es/gazeta/dias/1811/03/19/pdfs/GMD-1811-78.pdf#page=3","Abrir facsímil")</f>
        <v>Abrir facsímil</v>
      </c>
      <c r="K4384" s="3" t="s">
        <v>150</v>
      </c>
    </row>
    <row r="4385" spans="1:11" ht="42" customHeight="1">
      <c r="A4385" s="2" t="s">
        <v>11754</v>
      </c>
      <c r="B4385" s="2" t="s">
        <v>11755</v>
      </c>
      <c r="C4385" s="2" t="s">
        <v>84</v>
      </c>
      <c r="D4385" s="2" t="s">
        <v>204</v>
      </c>
      <c r="E4385" s="4">
        <v>-32417</v>
      </c>
      <c r="F4385" s="3" t="s">
        <v>604</v>
      </c>
      <c r="G4385" s="3" t="s">
        <v>178</v>
      </c>
      <c r="H4385" s="2" t="s">
        <v>148</v>
      </c>
      <c r="I4385" s="2" t="s">
        <v>11756</v>
      </c>
      <c r="J4385" s="3" t="str">
        <f>HYPERLINK("https://www.boe.es/gazeta/dias/1811/03/30/pdfs/GMD-1811-89.pdf#page=3","Abrir facsímil")</f>
        <v>Abrir facsímil</v>
      </c>
      <c r="K4385" s="3" t="s">
        <v>150</v>
      </c>
    </row>
    <row r="4386" spans="1:11" ht="42" customHeight="1">
      <c r="A4386" s="2" t="s">
        <v>11757</v>
      </c>
      <c r="B4386" s="2" t="s">
        <v>11758</v>
      </c>
      <c r="C4386" s="2" t="s">
        <v>17</v>
      </c>
      <c r="D4386" s="2" t="s">
        <v>156</v>
      </c>
      <c r="E4386" s="4">
        <v>-32344</v>
      </c>
      <c r="F4386" s="3" t="s">
        <v>761</v>
      </c>
      <c r="G4386" s="3" t="s">
        <v>44</v>
      </c>
      <c r="H4386" s="2" t="s">
        <v>148</v>
      </c>
      <c r="I4386" s="2" t="s">
        <v>11759</v>
      </c>
      <c r="J4386" s="3" t="str">
        <f>HYPERLINK("https://www.boe.es/gazeta/dias/1811/06/11/pdfs/GEI-1811-78.pdf#page=7","Abrir facsímil")</f>
        <v>Abrir facsímil</v>
      </c>
      <c r="K4386" s="3" t="s">
        <v>150</v>
      </c>
    </row>
    <row r="4387" spans="1:11" ht="42" customHeight="1">
      <c r="A4387" s="2" t="s">
        <v>11760</v>
      </c>
      <c r="B4387" s="2" t="s">
        <v>11760</v>
      </c>
      <c r="C4387" s="2" t="s">
        <v>17</v>
      </c>
      <c r="D4387" s="2" t="s">
        <v>156</v>
      </c>
      <c r="E4387" s="4">
        <v>-32476</v>
      </c>
      <c r="F4387" s="3" t="s">
        <v>1896</v>
      </c>
      <c r="G4387" s="3" t="s">
        <v>1897</v>
      </c>
      <c r="H4387" s="2" t="s">
        <v>148</v>
      </c>
      <c r="I4387" s="2" t="s">
        <v>11761</v>
      </c>
      <c r="J4387" s="3" t="str">
        <f>HYPERLINK("https://www.boe.es/gazeta/dias/1811/01/30/pdfs/GMD-1811-30.pdf#page=2","Abrir facsímil")</f>
        <v>Abrir facsímil</v>
      </c>
      <c r="K4387" s="3" t="s">
        <v>150</v>
      </c>
    </row>
    <row r="4388" spans="1:11" ht="42" customHeight="1">
      <c r="A4388" s="2" t="s">
        <v>11762</v>
      </c>
      <c r="B4388" s="2" t="s">
        <v>11762</v>
      </c>
      <c r="C4388" s="2" t="s">
        <v>17</v>
      </c>
      <c r="D4388" s="2" t="s">
        <v>18</v>
      </c>
      <c r="E4388" s="4">
        <v>-32323</v>
      </c>
      <c r="F4388" s="3" t="s">
        <v>2289</v>
      </c>
      <c r="G4388" s="3" t="s">
        <v>331</v>
      </c>
      <c r="H4388" s="2" t="s">
        <v>148</v>
      </c>
      <c r="I4388" s="2" t="s">
        <v>11763</v>
      </c>
      <c r="J4388" s="3" t="str">
        <f>HYPERLINK("https://www.boe.es/gazeta/dias/1811/07/02/pdfs/GMD-1811-183.pdf#page=4","Abrir facsímil")</f>
        <v>Abrir facsímil</v>
      </c>
      <c r="K4388" s="3" t="s">
        <v>150</v>
      </c>
    </row>
    <row r="4389" spans="1:11" ht="42" customHeight="1">
      <c r="A4389" s="2" t="s">
        <v>11764</v>
      </c>
      <c r="B4389" s="2" t="s">
        <v>11764</v>
      </c>
      <c r="C4389" s="2" t="s">
        <v>17</v>
      </c>
      <c r="D4389" s="2" t="s">
        <v>18</v>
      </c>
      <c r="E4389" s="4">
        <v>-32477</v>
      </c>
      <c r="F4389" s="3" t="s">
        <v>6777</v>
      </c>
      <c r="G4389" s="3" t="s">
        <v>11765</v>
      </c>
      <c r="H4389" s="2" t="s">
        <v>148</v>
      </c>
      <c r="I4389" s="2" t="s">
        <v>11766</v>
      </c>
      <c r="J4389" s="3" t="str">
        <f>HYPERLINK("https://www.boe.es/gazeta/dias/1811/01/29/pdfs/GEI-1811-13.pdf#page=4","Abrir facsímil")</f>
        <v>Abrir facsímil</v>
      </c>
      <c r="K4389" s="3" t="s">
        <v>150</v>
      </c>
    </row>
    <row r="4390" spans="1:11" ht="42" customHeight="1">
      <c r="A4390" s="2" t="s">
        <v>11764</v>
      </c>
      <c r="B4390" s="2" t="s">
        <v>11764</v>
      </c>
      <c r="C4390" s="2" t="s">
        <v>17</v>
      </c>
      <c r="D4390" s="2" t="s">
        <v>18</v>
      </c>
      <c r="E4390" s="4">
        <v>-32467</v>
      </c>
      <c r="F4390" s="3" t="s">
        <v>768</v>
      </c>
      <c r="G4390" s="3" t="s">
        <v>178</v>
      </c>
      <c r="H4390" s="2" t="s">
        <v>148</v>
      </c>
      <c r="I4390" s="2" t="s">
        <v>11767</v>
      </c>
      <c r="J4390" s="3" t="str">
        <f>HYPERLINK("https://www.boe.es/gazeta/dias/1811/02/08/pdfs/GMD-1811-39.pdf#page=4","Abrir facsímil")</f>
        <v>Abrir facsímil</v>
      </c>
      <c r="K4390" s="3" t="s">
        <v>150</v>
      </c>
    </row>
    <row r="4391" spans="1:11" ht="42" customHeight="1">
      <c r="A4391" s="2" t="s">
        <v>11764</v>
      </c>
      <c r="B4391" s="2" t="s">
        <v>11764</v>
      </c>
      <c r="C4391" s="2" t="s">
        <v>17</v>
      </c>
      <c r="D4391" s="2" t="s">
        <v>105</v>
      </c>
      <c r="E4391" s="4">
        <v>-32433</v>
      </c>
      <c r="F4391" s="3" t="s">
        <v>676</v>
      </c>
      <c r="G4391" s="3" t="s">
        <v>39</v>
      </c>
      <c r="H4391" s="2" t="s">
        <v>148</v>
      </c>
      <c r="I4391" s="2" t="s">
        <v>11768</v>
      </c>
      <c r="J4391" s="3" t="str">
        <f>HYPERLINK("https://www.boe.es/gazeta/dias/1811/03/14/pdfs/GEI-1811-37.pdf#page=1","Abrir facsímil")</f>
        <v>Abrir facsímil</v>
      </c>
      <c r="K4391" s="3" t="s">
        <v>150</v>
      </c>
    </row>
    <row r="4392" spans="1:11" ht="42" customHeight="1">
      <c r="A4392" s="2" t="s">
        <v>11764</v>
      </c>
      <c r="B4392" s="2" t="s">
        <v>11764</v>
      </c>
      <c r="C4392" s="2" t="s">
        <v>17</v>
      </c>
      <c r="D4392" s="2" t="s">
        <v>156</v>
      </c>
      <c r="E4392" s="4">
        <v>-32433</v>
      </c>
      <c r="F4392" s="3" t="s">
        <v>676</v>
      </c>
      <c r="G4392" s="3" t="s">
        <v>91</v>
      </c>
      <c r="H4392" s="2" t="s">
        <v>148</v>
      </c>
      <c r="I4392" s="2" t="s">
        <v>11769</v>
      </c>
      <c r="J4392" s="3" t="str">
        <f>HYPERLINK("https://www.boe.es/gazeta/dias/1811/03/14/pdfs/GEI-1811-37.pdf#page=6","Abrir facsímil")</f>
        <v>Abrir facsímil</v>
      </c>
      <c r="K4392" s="3" t="s">
        <v>150</v>
      </c>
    </row>
    <row r="4393" spans="1:11" ht="42" customHeight="1">
      <c r="A4393" s="2" t="s">
        <v>11764</v>
      </c>
      <c r="B4393" s="2" t="s">
        <v>11764</v>
      </c>
      <c r="C4393" s="2" t="s">
        <v>17</v>
      </c>
      <c r="D4393" s="2" t="s">
        <v>156</v>
      </c>
      <c r="E4393" s="4">
        <v>-32433</v>
      </c>
      <c r="F4393" s="3" t="s">
        <v>676</v>
      </c>
      <c r="G4393" s="3" t="s">
        <v>679</v>
      </c>
      <c r="H4393" s="2" t="s">
        <v>148</v>
      </c>
      <c r="I4393" s="2" t="s">
        <v>11770</v>
      </c>
      <c r="J4393" s="3" t="str">
        <f>HYPERLINK("https://www.boe.es/gazeta/dias/1811/03/14/pdfs/GEI-1811-37.pdf#page=7","Abrir facsímil")</f>
        <v>Abrir facsímil</v>
      </c>
      <c r="K4393" s="3" t="s">
        <v>150</v>
      </c>
    </row>
    <row r="4394" spans="1:11" ht="42" customHeight="1">
      <c r="A4394" s="2" t="s">
        <v>11764</v>
      </c>
      <c r="B4394" s="2" t="s">
        <v>11764</v>
      </c>
      <c r="C4394" s="2" t="s">
        <v>26</v>
      </c>
      <c r="D4394" s="2" t="s">
        <v>18</v>
      </c>
      <c r="E4394" s="4">
        <v>-32428</v>
      </c>
      <c r="F4394" s="3" t="s">
        <v>351</v>
      </c>
      <c r="G4394" s="3" t="s">
        <v>115</v>
      </c>
      <c r="H4394" s="2" t="s">
        <v>148</v>
      </c>
      <c r="I4394" s="2" t="s">
        <v>11771</v>
      </c>
      <c r="J4394" s="3" t="str">
        <f>HYPERLINK("https://www.boe.es/gazeta/dias/1811/03/19/pdfs/GMD-1811-78.pdf#page=3","Abrir facsímil")</f>
        <v>Abrir facsímil</v>
      </c>
      <c r="K4394" s="3" t="s">
        <v>150</v>
      </c>
    </row>
    <row r="4395" spans="1:11" ht="42" customHeight="1">
      <c r="A4395" s="2" t="s">
        <v>11764</v>
      </c>
      <c r="B4395" s="2" t="s">
        <v>11764</v>
      </c>
      <c r="C4395" s="2" t="s">
        <v>17</v>
      </c>
      <c r="D4395" s="2" t="s">
        <v>18</v>
      </c>
      <c r="E4395" s="4">
        <v>-32428</v>
      </c>
      <c r="F4395" s="3" t="s">
        <v>1974</v>
      </c>
      <c r="G4395" s="3" t="s">
        <v>7649</v>
      </c>
      <c r="H4395" s="2" t="s">
        <v>148</v>
      </c>
      <c r="I4395" s="2" t="s">
        <v>11772</v>
      </c>
      <c r="J4395" s="3" t="str">
        <f>HYPERLINK("https://www.boe.es/gazeta/dias/1811/03/19/pdfs/GEI-1811-39.pdf#page=1","Abrir facsímil")</f>
        <v>Abrir facsímil</v>
      </c>
      <c r="K4395" s="3" t="s">
        <v>150</v>
      </c>
    </row>
    <row r="4396" spans="1:11" ht="42" customHeight="1">
      <c r="A4396" s="2" t="s">
        <v>11764</v>
      </c>
      <c r="B4396" s="2" t="s">
        <v>11764</v>
      </c>
      <c r="C4396" s="2" t="s">
        <v>17</v>
      </c>
      <c r="D4396" s="2" t="s">
        <v>18</v>
      </c>
      <c r="E4396" s="4">
        <v>-32418</v>
      </c>
      <c r="F4396" s="3" t="s">
        <v>9181</v>
      </c>
      <c r="G4396" s="3" t="s">
        <v>47</v>
      </c>
      <c r="H4396" s="2" t="s">
        <v>148</v>
      </c>
      <c r="I4396" s="2" t="s">
        <v>11773</v>
      </c>
      <c r="J4396" s="3" t="str">
        <f>HYPERLINK("https://www.boe.es/gazeta/dias/1811/03/29/pdfs/GMD-1811-88.pdf#page=3","Abrir facsímil")</f>
        <v>Abrir facsímil</v>
      </c>
      <c r="K4396" s="3" t="s">
        <v>150</v>
      </c>
    </row>
    <row r="4397" spans="1:11" ht="42" customHeight="1">
      <c r="A4397" s="2" t="s">
        <v>11764</v>
      </c>
      <c r="B4397" s="2" t="s">
        <v>11764</v>
      </c>
      <c r="C4397" s="2" t="s">
        <v>17</v>
      </c>
      <c r="D4397" s="2" t="s">
        <v>18</v>
      </c>
      <c r="E4397" s="4">
        <v>-32371</v>
      </c>
      <c r="F4397" s="3" t="s">
        <v>1518</v>
      </c>
      <c r="G4397" s="3" t="s">
        <v>597</v>
      </c>
      <c r="H4397" s="2" t="s">
        <v>148</v>
      </c>
      <c r="I4397" s="2" t="s">
        <v>11774</v>
      </c>
      <c r="J4397" s="3" t="str">
        <f>HYPERLINK("https://www.boe.es/gazeta/dias/1811/05/15/pdfs/GMD-1811-135.pdf#page=2","Abrir facsímil")</f>
        <v>Abrir facsímil</v>
      </c>
      <c r="K4397" s="3" t="s">
        <v>150</v>
      </c>
    </row>
    <row r="4398" spans="1:11" ht="42" customHeight="1">
      <c r="A4398" s="2" t="s">
        <v>11764</v>
      </c>
      <c r="B4398" s="2" t="s">
        <v>11764</v>
      </c>
      <c r="C4398" s="2" t="s">
        <v>17</v>
      </c>
      <c r="D4398" s="2" t="s">
        <v>18</v>
      </c>
      <c r="E4398" s="4">
        <v>-32358</v>
      </c>
      <c r="F4398" s="3" t="s">
        <v>2971</v>
      </c>
      <c r="G4398" s="3" t="s">
        <v>248</v>
      </c>
      <c r="H4398" s="2" t="s">
        <v>148</v>
      </c>
      <c r="I4398" s="2" t="s">
        <v>11775</v>
      </c>
      <c r="J4398" s="3" t="str">
        <f>HYPERLINK("https://www.boe.es/gazeta/dias/1811/05/28/pdfs/GEI-1811-72.pdf#page=3","Abrir facsímil")</f>
        <v>Abrir facsímil</v>
      </c>
      <c r="K4398" s="3" t="s">
        <v>150</v>
      </c>
    </row>
    <row r="4399" spans="1:11" ht="42" customHeight="1">
      <c r="A4399" s="2" t="s">
        <v>11764</v>
      </c>
      <c r="B4399" s="2" t="s">
        <v>11764</v>
      </c>
      <c r="C4399" s="2" t="s">
        <v>17</v>
      </c>
      <c r="D4399" s="2" t="s">
        <v>18</v>
      </c>
      <c r="E4399" s="4">
        <v>-32354</v>
      </c>
      <c r="F4399" s="3" t="s">
        <v>2914</v>
      </c>
      <c r="G4399" s="3" t="s">
        <v>5643</v>
      </c>
      <c r="H4399" s="2" t="s">
        <v>148</v>
      </c>
      <c r="I4399" s="2" t="s">
        <v>11776</v>
      </c>
      <c r="J4399" s="3" t="str">
        <f>HYPERLINK("https://www.boe.es/gazeta/dias/1811/06/01/pdfs/GEI-1811-74.pdf#page=3","Abrir facsímil")</f>
        <v>Abrir facsímil</v>
      </c>
      <c r="K4399" s="3" t="s">
        <v>150</v>
      </c>
    </row>
    <row r="4400" spans="1:11" ht="42" customHeight="1">
      <c r="A4400" s="2" t="s">
        <v>11764</v>
      </c>
      <c r="B4400" s="2" t="s">
        <v>11764</v>
      </c>
      <c r="C4400" s="2" t="s">
        <v>17</v>
      </c>
      <c r="D4400" s="2" t="s">
        <v>18</v>
      </c>
      <c r="E4400" s="4">
        <v>-32354</v>
      </c>
      <c r="F4400" s="3" t="s">
        <v>2914</v>
      </c>
      <c r="G4400" s="3" t="s">
        <v>2594</v>
      </c>
      <c r="H4400" s="2" t="s">
        <v>148</v>
      </c>
      <c r="I4400" s="2" t="s">
        <v>11777</v>
      </c>
      <c r="J4400" s="3" t="str">
        <f>HYPERLINK("https://www.boe.es/gazeta/dias/1811/06/01/pdfs/GEI-1811-74.pdf#page=4","Abrir facsímil")</f>
        <v>Abrir facsímil</v>
      </c>
      <c r="K4400" s="3" t="s">
        <v>150</v>
      </c>
    </row>
    <row r="4401" spans="1:11" ht="42" customHeight="1">
      <c r="A4401" s="2" t="s">
        <v>11764</v>
      </c>
      <c r="B4401" s="2" t="s">
        <v>11764</v>
      </c>
      <c r="C4401" s="2" t="s">
        <v>17</v>
      </c>
      <c r="D4401" s="2" t="s">
        <v>18</v>
      </c>
      <c r="E4401" s="4">
        <v>-32338</v>
      </c>
      <c r="F4401" s="3" t="s">
        <v>3355</v>
      </c>
      <c r="G4401" s="3" t="s">
        <v>3356</v>
      </c>
      <c r="H4401" s="2" t="s">
        <v>148</v>
      </c>
      <c r="I4401" s="2" t="s">
        <v>11778</v>
      </c>
      <c r="J4401" s="3" t="str">
        <f>HYPERLINK("https://www.boe.es/gazeta/dias/1811/06/17/pdfs/GMD-1811-168.pdf#page=2","Abrir facsímil")</f>
        <v>Abrir facsímil</v>
      </c>
      <c r="K4401" s="3" t="s">
        <v>150</v>
      </c>
    </row>
    <row r="4402" spans="1:11" ht="42" customHeight="1">
      <c r="A4402" s="2" t="s">
        <v>11764</v>
      </c>
      <c r="B4402" s="2" t="s">
        <v>11764</v>
      </c>
      <c r="C4402" s="2" t="s">
        <v>17</v>
      </c>
      <c r="D4402" s="2" t="s">
        <v>18</v>
      </c>
      <c r="E4402" s="4">
        <v>-32319</v>
      </c>
      <c r="F4402" s="3" t="s">
        <v>975</v>
      </c>
      <c r="G4402" s="3" t="s">
        <v>2470</v>
      </c>
      <c r="H4402" s="2" t="s">
        <v>148</v>
      </c>
      <c r="I4402" s="2" t="s">
        <v>11779</v>
      </c>
      <c r="J4402" s="3" t="str">
        <f>HYPERLINK("https://www.boe.es/gazeta/dias/1811/07/06/pdfs/GEI-1811-89.pdf#page=6","Abrir facsímil")</f>
        <v>Abrir facsímil</v>
      </c>
      <c r="K4402" s="3" t="s">
        <v>150</v>
      </c>
    </row>
    <row r="4403" spans="1:11" ht="42" customHeight="1">
      <c r="A4403" s="2" t="s">
        <v>11764</v>
      </c>
      <c r="B4403" s="2" t="s">
        <v>11764</v>
      </c>
      <c r="C4403" s="2" t="s">
        <v>17</v>
      </c>
      <c r="D4403" s="2" t="s">
        <v>18</v>
      </c>
      <c r="E4403" s="4">
        <v>-32319</v>
      </c>
      <c r="F4403" s="3" t="s">
        <v>975</v>
      </c>
      <c r="G4403" s="3" t="s">
        <v>2705</v>
      </c>
      <c r="H4403" s="2" t="s">
        <v>148</v>
      </c>
      <c r="I4403" s="2" t="s">
        <v>11780</v>
      </c>
      <c r="J4403" s="3" t="str">
        <f>HYPERLINK("https://www.boe.es/gazeta/dias/1811/07/06/pdfs/GEI-1811-89.pdf#page=8","Abrir facsímil")</f>
        <v>Abrir facsímil</v>
      </c>
      <c r="K4403" s="3" t="s">
        <v>150</v>
      </c>
    </row>
    <row r="4404" spans="1:11" ht="42" customHeight="1">
      <c r="A4404" s="2" t="s">
        <v>11764</v>
      </c>
      <c r="B4404" s="2" t="s">
        <v>11764</v>
      </c>
      <c r="C4404" s="2" t="s">
        <v>17</v>
      </c>
      <c r="D4404" s="2" t="s">
        <v>18</v>
      </c>
      <c r="E4404" s="4">
        <v>-32308</v>
      </c>
      <c r="F4404" s="3" t="s">
        <v>4572</v>
      </c>
      <c r="G4404" s="3" t="s">
        <v>91</v>
      </c>
      <c r="H4404" s="2" t="s">
        <v>148</v>
      </c>
      <c r="I4404" s="2" t="s">
        <v>11781</v>
      </c>
      <c r="J4404" s="3" t="str">
        <f>HYPERLINK("https://www.boe.es/gazeta/dias/1811/07/17/pdfs/GMD-1811-198.pdf#page=3","Abrir facsímil")</f>
        <v>Abrir facsímil</v>
      </c>
      <c r="K4404" s="3" t="s">
        <v>150</v>
      </c>
    </row>
    <row r="4405" spans="1:11" ht="42" customHeight="1">
      <c r="A4405" s="2" t="s">
        <v>11764</v>
      </c>
      <c r="B4405" s="2" t="s">
        <v>11764</v>
      </c>
      <c r="C4405" s="2" t="s">
        <v>17</v>
      </c>
      <c r="D4405" s="2" t="s">
        <v>156</v>
      </c>
      <c r="E4405" s="4">
        <v>-32244</v>
      </c>
      <c r="F4405" s="3" t="s">
        <v>4301</v>
      </c>
      <c r="G4405" s="3" t="s">
        <v>11384</v>
      </c>
      <c r="H4405" s="2" t="s">
        <v>148</v>
      </c>
      <c r="I4405" s="2" t="s">
        <v>11782</v>
      </c>
      <c r="J4405" s="3" t="str">
        <f>HYPERLINK("https://www.boe.es/gazeta/dias/1811/09/19/pdfs/GEI-1811-121.pdf#page=1","Abrir facsímil")</f>
        <v>Abrir facsímil</v>
      </c>
      <c r="K4405" s="3" t="s">
        <v>150</v>
      </c>
    </row>
    <row r="4406" spans="1:11" ht="42" customHeight="1">
      <c r="A4406" s="2" t="s">
        <v>11764</v>
      </c>
      <c r="B4406" s="2" t="s">
        <v>11764</v>
      </c>
      <c r="C4406" s="2" t="s">
        <v>17</v>
      </c>
      <c r="D4406" s="2" t="s">
        <v>18</v>
      </c>
      <c r="E4406" s="4">
        <v>-32200</v>
      </c>
      <c r="F4406" s="3" t="s">
        <v>109</v>
      </c>
      <c r="G4406" s="3" t="s">
        <v>11783</v>
      </c>
      <c r="H4406" s="2" t="s">
        <v>148</v>
      </c>
      <c r="I4406" s="2" t="s">
        <v>11784</v>
      </c>
      <c r="J4406" s="3" t="str">
        <f>HYPERLINK("https://www.boe.es/gazeta/dias/1811/11/02/pdfs/GEI-1811-141.pdf#page=4","Abrir facsímil")</f>
        <v>Abrir facsímil</v>
      </c>
      <c r="K4406" s="3" t="s">
        <v>150</v>
      </c>
    </row>
    <row r="4407" spans="1:11" ht="42" customHeight="1">
      <c r="A4407" s="2" t="s">
        <v>11764</v>
      </c>
      <c r="B4407" s="2" t="s">
        <v>11764</v>
      </c>
      <c r="C4407" s="2" t="s">
        <v>17</v>
      </c>
      <c r="D4407" s="2" t="s">
        <v>18</v>
      </c>
      <c r="E4407" s="4">
        <v>-32200</v>
      </c>
      <c r="F4407" s="3" t="s">
        <v>109</v>
      </c>
      <c r="G4407" s="3" t="s">
        <v>515</v>
      </c>
      <c r="H4407" s="2" t="s">
        <v>148</v>
      </c>
      <c r="I4407" s="2" t="s">
        <v>11785</v>
      </c>
      <c r="J4407" s="3" t="str">
        <f>HYPERLINK("https://www.boe.es/gazeta/dias/1811/11/02/pdfs/GEI-1811-141.pdf#page=5","Abrir facsímil")</f>
        <v>Abrir facsímil</v>
      </c>
      <c r="K4407" s="3" t="s">
        <v>150</v>
      </c>
    </row>
    <row r="4408" spans="1:11" ht="42" customHeight="1">
      <c r="A4408" s="2" t="s">
        <v>11764</v>
      </c>
      <c r="B4408" s="2" t="s">
        <v>11764</v>
      </c>
      <c r="C4408" s="2" t="s">
        <v>17</v>
      </c>
      <c r="D4408" s="2" t="s">
        <v>156</v>
      </c>
      <c r="E4408" s="4">
        <v>-32171</v>
      </c>
      <c r="F4408" s="3" t="s">
        <v>157</v>
      </c>
      <c r="G4408" s="3" t="s">
        <v>44</v>
      </c>
      <c r="H4408" s="2" t="s">
        <v>148</v>
      </c>
      <c r="I4408" s="2" t="s">
        <v>11786</v>
      </c>
      <c r="J4408" s="3" t="str">
        <f>HYPERLINK("https://www.boe.es/gazeta/dias/1811/12/01/pdfs/GMD-1811-335.pdf#page=4","Abrir facsímil")</f>
        <v>Abrir facsímil</v>
      </c>
      <c r="K4408" s="3" t="s">
        <v>150</v>
      </c>
    </row>
    <row r="4409" spans="1:11" ht="42" customHeight="1">
      <c r="A4409" s="2" t="s">
        <v>11787</v>
      </c>
      <c r="B4409" s="2" t="s">
        <v>11788</v>
      </c>
      <c r="C4409" s="2" t="s">
        <v>104</v>
      </c>
      <c r="D4409" s="2" t="s">
        <v>18</v>
      </c>
      <c r="E4409" s="4">
        <v>-32181</v>
      </c>
      <c r="F4409" s="3" t="s">
        <v>1169</v>
      </c>
      <c r="G4409" s="3" t="s">
        <v>1170</v>
      </c>
      <c r="H4409" s="2" t="s">
        <v>148</v>
      </c>
      <c r="I4409" s="2" t="s">
        <v>11789</v>
      </c>
      <c r="J4409" s="3" t="str">
        <f>HYPERLINK("https://www.boe.es/gazeta/dias/1811/11/21/pdfs/GMD-1811-325.pdf#page=4","Abrir facsímil")</f>
        <v>Abrir facsímil</v>
      </c>
      <c r="K4409" s="3" t="s">
        <v>150</v>
      </c>
    </row>
    <row r="4410" spans="1:11" ht="42" customHeight="1">
      <c r="A4410" s="2" t="s">
        <v>11790</v>
      </c>
      <c r="B4410" s="2" t="s">
        <v>11790</v>
      </c>
      <c r="C4410" s="2" t="s">
        <v>17</v>
      </c>
      <c r="D4410" s="2" t="s">
        <v>156</v>
      </c>
      <c r="E4410" s="4">
        <v>-32495</v>
      </c>
      <c r="F4410" s="3" t="s">
        <v>1681</v>
      </c>
      <c r="G4410" s="3" t="s">
        <v>553</v>
      </c>
      <c r="H4410" s="2" t="s">
        <v>148</v>
      </c>
      <c r="I4410" s="2" t="s">
        <v>11791</v>
      </c>
      <c r="J4410" s="3" t="str">
        <f>HYPERLINK("https://www.boe.es/gazeta/dias/1811/01/11/pdfs/GMD-1811-11.pdf#page=2","Abrir facsímil")</f>
        <v>Abrir facsímil</v>
      </c>
      <c r="K4410" s="3" t="s">
        <v>150</v>
      </c>
    </row>
    <row r="4411" spans="1:11" ht="42" customHeight="1">
      <c r="A4411" s="2" t="s">
        <v>11792</v>
      </c>
      <c r="B4411" s="2" t="s">
        <v>11792</v>
      </c>
      <c r="C4411" s="2" t="s">
        <v>17</v>
      </c>
      <c r="D4411" s="2" t="s">
        <v>18</v>
      </c>
      <c r="E4411" s="4">
        <v>-32495</v>
      </c>
      <c r="F4411" s="3" t="s">
        <v>1681</v>
      </c>
      <c r="G4411" s="3" t="s">
        <v>8259</v>
      </c>
      <c r="H4411" s="2" t="s">
        <v>148</v>
      </c>
      <c r="I4411" s="2" t="s">
        <v>11793</v>
      </c>
      <c r="J4411" s="3" t="str">
        <f>HYPERLINK("https://www.boe.es/gazeta/dias/1811/01/11/pdfs/GMD-1811-11.pdf#page=3","Abrir facsímil")</f>
        <v>Abrir facsímil</v>
      </c>
      <c r="K4411" s="3" t="s">
        <v>150</v>
      </c>
    </row>
    <row r="4412" spans="1:11" ht="42" customHeight="1">
      <c r="A4412" s="2" t="s">
        <v>11792</v>
      </c>
      <c r="B4412" s="2" t="s">
        <v>11792</v>
      </c>
      <c r="C4412" s="2" t="s">
        <v>17</v>
      </c>
      <c r="D4412" s="2" t="s">
        <v>156</v>
      </c>
      <c r="E4412" s="4">
        <v>-32434</v>
      </c>
      <c r="F4412" s="3" t="s">
        <v>1932</v>
      </c>
      <c r="G4412" s="3" t="s">
        <v>305</v>
      </c>
      <c r="H4412" s="2" t="s">
        <v>148</v>
      </c>
      <c r="I4412" s="2" t="s">
        <v>11794</v>
      </c>
      <c r="J4412" s="3" t="str">
        <f>HYPERLINK("https://www.boe.es/gazeta/dias/1811/03/13/pdfs/GMD-1811-72.pdf#page=1","Abrir facsímil")</f>
        <v>Abrir facsímil</v>
      </c>
      <c r="K4412" s="3" t="s">
        <v>150</v>
      </c>
    </row>
    <row r="4413" spans="1:11" ht="42" customHeight="1">
      <c r="A4413" s="2" t="s">
        <v>11792</v>
      </c>
      <c r="B4413" s="2" t="s">
        <v>11792</v>
      </c>
      <c r="C4413" s="2" t="s">
        <v>17</v>
      </c>
      <c r="D4413" s="2" t="s">
        <v>18</v>
      </c>
      <c r="E4413" s="4">
        <v>-32313</v>
      </c>
      <c r="F4413" s="3" t="s">
        <v>4708</v>
      </c>
      <c r="G4413" s="3" t="s">
        <v>468</v>
      </c>
      <c r="H4413" s="2" t="s">
        <v>148</v>
      </c>
      <c r="I4413" s="2" t="s">
        <v>11795</v>
      </c>
      <c r="J4413" s="3" t="str">
        <f>HYPERLINK("https://www.boe.es/gazeta/dias/1811/07/12/pdfs/GMD-1811-193.pdf#page=2","Abrir facsímil")</f>
        <v>Abrir facsímil</v>
      </c>
      <c r="K4413" s="3" t="s">
        <v>150</v>
      </c>
    </row>
    <row r="4414" spans="1:11" ht="42" customHeight="1">
      <c r="A4414" s="2" t="s">
        <v>11796</v>
      </c>
      <c r="B4414" s="2" t="s">
        <v>11796</v>
      </c>
      <c r="C4414" s="2" t="s">
        <v>17</v>
      </c>
      <c r="D4414" s="2" t="s">
        <v>156</v>
      </c>
      <c r="E4414" s="4">
        <v>-32363</v>
      </c>
      <c r="F4414" s="3" t="s">
        <v>1645</v>
      </c>
      <c r="G4414" s="3" t="s">
        <v>1646</v>
      </c>
      <c r="H4414" s="2" t="s">
        <v>148</v>
      </c>
      <c r="I4414" s="2" t="s">
        <v>11797</v>
      </c>
      <c r="J4414" s="3" t="str">
        <f>HYPERLINK("https://www.boe.es/gazeta/dias/1811/05/23/pdfs/GEI-1811-68.pdf#page=8","Abrir facsímil")</f>
        <v>Abrir facsímil</v>
      </c>
      <c r="K4414" s="3" t="s">
        <v>150</v>
      </c>
    </row>
    <row r="4415" spans="1:11" ht="42" customHeight="1">
      <c r="A4415" s="2" t="s">
        <v>11798</v>
      </c>
      <c r="B4415" s="2" t="s">
        <v>11799</v>
      </c>
      <c r="C4415" s="2" t="s">
        <v>26</v>
      </c>
      <c r="D4415" s="2" t="s">
        <v>18</v>
      </c>
      <c r="E4415" s="4">
        <v>-32379</v>
      </c>
      <c r="F4415" s="3" t="s">
        <v>462</v>
      </c>
      <c r="G4415" s="3" t="s">
        <v>463</v>
      </c>
      <c r="H4415" s="2" t="s">
        <v>148</v>
      </c>
      <c r="I4415" s="2" t="s">
        <v>11800</v>
      </c>
      <c r="J4415" s="3" t="str">
        <f>HYPERLINK("https://www.boe.es/gazeta/dias/1811/05/07/pdfs/GEI-1811-60.pdf#page=8","Abrir facsímil")</f>
        <v>Abrir facsímil</v>
      </c>
      <c r="K4415" s="3" t="s">
        <v>150</v>
      </c>
    </row>
    <row r="4416" spans="1:11" ht="42" customHeight="1">
      <c r="A4416" s="2" t="s">
        <v>11801</v>
      </c>
      <c r="B4416" s="2" t="s">
        <v>11801</v>
      </c>
      <c r="C4416" s="2" t="s">
        <v>17</v>
      </c>
      <c r="D4416" s="2" t="s">
        <v>18</v>
      </c>
      <c r="E4416" s="4">
        <v>-32207</v>
      </c>
      <c r="F4416" s="3" t="s">
        <v>152</v>
      </c>
      <c r="G4416" s="3" t="s">
        <v>193</v>
      </c>
      <c r="H4416" s="2" t="s">
        <v>148</v>
      </c>
      <c r="I4416" s="2" t="s">
        <v>11802</v>
      </c>
      <c r="J4416" s="3" t="str">
        <f>HYPERLINK("https://www.boe.es/gazeta/dias/1811/10/26/pdfs/GEI-1811-138.pdf#page=7","Abrir facsímil")</f>
        <v>Abrir facsímil</v>
      </c>
      <c r="K4416" s="3" t="s">
        <v>150</v>
      </c>
    </row>
    <row r="4417" spans="1:11" ht="42" customHeight="1">
      <c r="A4417" s="2" t="s">
        <v>11803</v>
      </c>
      <c r="B4417" s="2" t="s">
        <v>11803</v>
      </c>
      <c r="C4417" s="2" t="s">
        <v>17</v>
      </c>
      <c r="D4417" s="2" t="s">
        <v>18</v>
      </c>
      <c r="E4417" s="4">
        <v>-32200</v>
      </c>
      <c r="F4417" s="3" t="s">
        <v>8807</v>
      </c>
      <c r="G4417" s="3" t="s">
        <v>44</v>
      </c>
      <c r="H4417" s="2" t="s">
        <v>148</v>
      </c>
      <c r="I4417" s="2" t="s">
        <v>11804</v>
      </c>
      <c r="J4417" s="3" t="str">
        <f>HYPERLINK("https://www.boe.es/gazeta/dias/1811/11/02/pdfs/GMD-1811-306.pdf#page=1","Abrir facsímil")</f>
        <v>Abrir facsímil</v>
      </c>
      <c r="K4417" s="3" t="s">
        <v>150</v>
      </c>
    </row>
    <row r="4418" spans="1:11" ht="42" customHeight="1">
      <c r="A4418" s="2" t="s">
        <v>11805</v>
      </c>
      <c r="B4418" s="2" t="s">
        <v>11805</v>
      </c>
      <c r="C4418" s="2" t="s">
        <v>17</v>
      </c>
      <c r="D4418" s="2" t="s">
        <v>18</v>
      </c>
      <c r="E4418" s="4">
        <v>-32152</v>
      </c>
      <c r="F4418" s="3" t="s">
        <v>1673</v>
      </c>
      <c r="G4418" s="3" t="s">
        <v>57</v>
      </c>
      <c r="H4418" s="2" t="s">
        <v>148</v>
      </c>
      <c r="I4418" s="2" t="s">
        <v>11806</v>
      </c>
      <c r="J4418" s="3" t="str">
        <f>HYPERLINK("https://www.boe.es/gazeta/dias/1811/12/20/pdfs/GMD-1811-354.pdf#page=2","Abrir facsímil")</f>
        <v>Abrir facsímil</v>
      </c>
      <c r="K4418" s="3" t="s">
        <v>150</v>
      </c>
    </row>
    <row r="4419" spans="1:11" ht="42" customHeight="1">
      <c r="A4419" s="2" t="s">
        <v>11807</v>
      </c>
      <c r="B4419" s="2" t="s">
        <v>11808</v>
      </c>
      <c r="C4419" s="2" t="s">
        <v>17</v>
      </c>
      <c r="D4419" s="2" t="s">
        <v>156</v>
      </c>
      <c r="E4419" s="4">
        <v>-32303</v>
      </c>
      <c r="F4419" s="3" t="s">
        <v>2811</v>
      </c>
      <c r="G4419" s="3" t="s">
        <v>3577</v>
      </c>
      <c r="H4419" s="2" t="s">
        <v>148</v>
      </c>
      <c r="I4419" s="2" t="s">
        <v>11809</v>
      </c>
      <c r="J4419" s="3" t="str">
        <f>HYPERLINK("https://www.boe.es/gazeta/dias/1811/07/22/pdfs/GMD-1811-203.pdf#page=4","Abrir facsímil")</f>
        <v>Abrir facsímil</v>
      </c>
      <c r="K4419" s="3" t="s">
        <v>150</v>
      </c>
    </row>
    <row r="4420" spans="1:11" ht="42" customHeight="1">
      <c r="A4420" s="2" t="s">
        <v>11810</v>
      </c>
      <c r="B4420" s="2" t="s">
        <v>11810</v>
      </c>
      <c r="C4420" s="2" t="s">
        <v>26</v>
      </c>
      <c r="D4420" s="2" t="s">
        <v>18</v>
      </c>
      <c r="E4420" s="4">
        <v>-32415</v>
      </c>
      <c r="F4420" s="3" t="s">
        <v>3041</v>
      </c>
      <c r="G4420" s="3" t="s">
        <v>115</v>
      </c>
      <c r="H4420" s="2" t="s">
        <v>148</v>
      </c>
      <c r="I4420" s="2" t="s">
        <v>11811</v>
      </c>
      <c r="J4420" s="3" t="str">
        <f>HYPERLINK("https://www.boe.es/gazeta/dias/1811/04/01/pdfs/GMD-1811-91.pdf#page=3","Abrir facsímil")</f>
        <v>Abrir facsímil</v>
      </c>
      <c r="K4420" s="3" t="s">
        <v>150</v>
      </c>
    </row>
    <row r="4421" spans="1:11" ht="42" customHeight="1">
      <c r="A4421" s="2" t="s">
        <v>11812</v>
      </c>
      <c r="B4421" s="2" t="s">
        <v>11812</v>
      </c>
      <c r="C4421" s="2" t="s">
        <v>17</v>
      </c>
      <c r="D4421" s="2" t="s">
        <v>18</v>
      </c>
      <c r="E4421" s="4">
        <v>-32310</v>
      </c>
      <c r="F4421" s="3" t="s">
        <v>2317</v>
      </c>
      <c r="G4421" s="3" t="s">
        <v>468</v>
      </c>
      <c r="H4421" s="2" t="s">
        <v>148</v>
      </c>
      <c r="I4421" s="2" t="s">
        <v>11813</v>
      </c>
      <c r="J4421" s="3" t="str">
        <f>HYPERLINK("https://www.boe.es/gazeta/dias/1811/07/15/pdfs/GMD-1811-196.pdf#page=2","Abrir facsímil")</f>
        <v>Abrir facsímil</v>
      </c>
      <c r="K4421" s="3" t="s">
        <v>150</v>
      </c>
    </row>
    <row r="4422" spans="1:11" ht="42" customHeight="1">
      <c r="A4422" s="2" t="s">
        <v>11814</v>
      </c>
      <c r="B4422" s="2" t="s">
        <v>11814</v>
      </c>
      <c r="C4422" s="2" t="s">
        <v>17</v>
      </c>
      <c r="D4422" s="2" t="s">
        <v>18</v>
      </c>
      <c r="E4422" s="4">
        <v>-32335</v>
      </c>
      <c r="F4422" s="3" t="s">
        <v>3776</v>
      </c>
      <c r="G4422" s="3" t="s">
        <v>91</v>
      </c>
      <c r="H4422" s="2" t="s">
        <v>148</v>
      </c>
      <c r="I4422" s="2" t="s">
        <v>11815</v>
      </c>
      <c r="J4422" s="3" t="str">
        <f>HYPERLINK("https://www.boe.es/gazeta/dias/1811/06/20/pdfs/GEI-1811-82.pdf#page=3","Abrir facsímil")</f>
        <v>Abrir facsímil</v>
      </c>
      <c r="K4422" s="3" t="s">
        <v>150</v>
      </c>
    </row>
    <row r="4423" spans="1:11" ht="42" customHeight="1">
      <c r="A4423" s="2" t="s">
        <v>11816</v>
      </c>
      <c r="B4423" s="2" t="s">
        <v>11816</v>
      </c>
      <c r="C4423" s="2" t="s">
        <v>104</v>
      </c>
      <c r="D4423" s="2" t="s">
        <v>18</v>
      </c>
      <c r="E4423" s="4">
        <v>-32380</v>
      </c>
      <c r="F4423" s="3" t="s">
        <v>9358</v>
      </c>
      <c r="G4423" s="3" t="s">
        <v>20</v>
      </c>
      <c r="H4423" s="2" t="s">
        <v>148</v>
      </c>
      <c r="I4423" s="2" t="s">
        <v>11817</v>
      </c>
      <c r="J4423" s="3" t="str">
        <f>HYPERLINK("https://www.boe.es/gazeta/dias/1811/05/06/pdfs/GMD-1811-126.pdf#page=4","Abrir facsímil")</f>
        <v>Abrir facsímil</v>
      </c>
      <c r="K4423" s="3" t="s">
        <v>150</v>
      </c>
    </row>
    <row r="4424" spans="1:11" ht="42" customHeight="1">
      <c r="A4424" s="2" t="s">
        <v>11818</v>
      </c>
      <c r="B4424" s="2" t="s">
        <v>11818</v>
      </c>
      <c r="C4424" s="2" t="s">
        <v>17</v>
      </c>
      <c r="D4424" s="2" t="s">
        <v>18</v>
      </c>
      <c r="E4424" s="4">
        <v>-32356</v>
      </c>
      <c r="F4424" s="3" t="s">
        <v>1992</v>
      </c>
      <c r="G4424" s="3" t="s">
        <v>20</v>
      </c>
      <c r="H4424" s="2" t="s">
        <v>148</v>
      </c>
      <c r="I4424" s="2" t="s">
        <v>11819</v>
      </c>
      <c r="J4424" s="3" t="str">
        <f>HYPERLINK("https://www.boe.es/gazeta/dias/1811/05/30/pdfs/GEI-1811-73.pdf#page=3","Abrir facsímil")</f>
        <v>Abrir facsímil</v>
      </c>
      <c r="K4424" s="3" t="s">
        <v>150</v>
      </c>
    </row>
    <row r="4425" spans="1:11" ht="42" customHeight="1">
      <c r="A4425" s="2" t="s">
        <v>11820</v>
      </c>
      <c r="B4425" s="2" t="s">
        <v>11821</v>
      </c>
      <c r="C4425" s="2" t="s">
        <v>17</v>
      </c>
      <c r="D4425" s="2" t="s">
        <v>156</v>
      </c>
      <c r="E4425" s="4">
        <v>-32487</v>
      </c>
      <c r="F4425" s="3" t="s">
        <v>842</v>
      </c>
      <c r="G4425" s="3" t="s">
        <v>409</v>
      </c>
      <c r="H4425" s="2" t="s">
        <v>21</v>
      </c>
      <c r="I4425" s="2" t="s">
        <v>11822</v>
      </c>
      <c r="J4425" s="3" t="str">
        <f>HYPERLINK("https://www.boe.es/gazeta/dias/1811/01/19/pdfs/GEI-1811-9.pdf#page=6","Abrir facsímil")</f>
        <v>Abrir facsímil</v>
      </c>
      <c r="K4425" s="3" t="s">
        <v>23</v>
      </c>
    </row>
    <row r="4426" spans="1:11" ht="42" customHeight="1">
      <c r="A4426" s="2" t="s">
        <v>11823</v>
      </c>
      <c r="B4426" s="2" t="s">
        <v>11824</v>
      </c>
      <c r="C4426" s="2" t="s">
        <v>17</v>
      </c>
      <c r="D4426" s="2" t="s">
        <v>156</v>
      </c>
      <c r="E4426" s="4">
        <v>-32417</v>
      </c>
      <c r="F4426" s="3" t="s">
        <v>7066</v>
      </c>
      <c r="G4426" s="3" t="s">
        <v>11825</v>
      </c>
      <c r="H4426" s="2" t="s">
        <v>21</v>
      </c>
      <c r="I4426" s="2" t="s">
        <v>11826</v>
      </c>
      <c r="J4426" s="3" t="str">
        <f>HYPERLINK("https://www.boe.es/gazeta/dias/1811/03/30/pdfs/GEI-1811-44.pdf#page=3","Abrir facsímil")</f>
        <v>Abrir facsímil</v>
      </c>
      <c r="K4426" s="3" t="s">
        <v>23</v>
      </c>
    </row>
    <row r="4427" spans="1:11" ht="42" customHeight="1">
      <c r="A4427" s="2" t="s">
        <v>11827</v>
      </c>
      <c r="B4427" s="2" t="s">
        <v>11828</v>
      </c>
      <c r="C4427" s="2" t="s">
        <v>17</v>
      </c>
      <c r="D4427" s="2" t="s">
        <v>156</v>
      </c>
      <c r="E4427" s="4">
        <v>-32394</v>
      </c>
      <c r="F4427" s="3" t="s">
        <v>1709</v>
      </c>
      <c r="G4427" s="3" t="s">
        <v>248</v>
      </c>
      <c r="H4427" s="2" t="s">
        <v>21</v>
      </c>
      <c r="I4427" s="2" t="s">
        <v>11829</v>
      </c>
      <c r="J4427" s="3" t="str">
        <f>HYPERLINK("https://www.boe.es/gazeta/dias/1811/04/22/pdfs/GMD-1811-112.pdf#page=2","Abrir facsímil")</f>
        <v>Abrir facsímil</v>
      </c>
      <c r="K4427" s="3" t="s">
        <v>23</v>
      </c>
    </row>
    <row r="4428" spans="1:11" ht="42" customHeight="1">
      <c r="A4428" s="2" t="s">
        <v>11827</v>
      </c>
      <c r="B4428" s="2" t="s">
        <v>11828</v>
      </c>
      <c r="C4428" s="2" t="s">
        <v>26</v>
      </c>
      <c r="D4428" s="2" t="s">
        <v>18</v>
      </c>
      <c r="E4428" s="4">
        <v>-32393</v>
      </c>
      <c r="F4428" s="3" t="s">
        <v>2467</v>
      </c>
      <c r="G4428" s="3" t="s">
        <v>129</v>
      </c>
      <c r="H4428" s="2" t="s">
        <v>21</v>
      </c>
      <c r="I4428" s="2" t="s">
        <v>11830</v>
      </c>
      <c r="J4428" s="3" t="str">
        <f>HYPERLINK("https://www.boe.es/gazeta/dias/1811/04/23/pdfs/GMD-1811-113.pdf#page=2","Abrir facsímil")</f>
        <v>Abrir facsímil</v>
      </c>
      <c r="K4428" s="3" t="s">
        <v>23</v>
      </c>
    </row>
    <row r="4429" spans="1:11" ht="42" customHeight="1">
      <c r="A4429" s="2" t="s">
        <v>11831</v>
      </c>
      <c r="B4429" s="2" t="s">
        <v>11832</v>
      </c>
      <c r="C4429" s="2" t="s">
        <v>17</v>
      </c>
      <c r="D4429" s="2" t="s">
        <v>156</v>
      </c>
      <c r="E4429" s="4">
        <v>-32435</v>
      </c>
      <c r="F4429" s="3" t="s">
        <v>11833</v>
      </c>
      <c r="G4429" s="3" t="s">
        <v>44</v>
      </c>
      <c r="H4429" s="2" t="s">
        <v>21</v>
      </c>
      <c r="I4429" s="2" t="s">
        <v>11834</v>
      </c>
      <c r="J4429" s="3" t="str">
        <f>HYPERLINK("https://www.boe.es/gazeta/dias/1811/03/12/pdfs/GEI-1811-36E.pdf#page=1","Abrir facsímil")</f>
        <v>Abrir facsímil</v>
      </c>
      <c r="K4429" s="3" t="s">
        <v>23</v>
      </c>
    </row>
    <row r="4430" spans="1:11" ht="42" customHeight="1">
      <c r="A4430" s="2" t="s">
        <v>11835</v>
      </c>
      <c r="B4430" s="2" t="s">
        <v>11836</v>
      </c>
      <c r="C4430" s="2" t="s">
        <v>26</v>
      </c>
      <c r="D4430" s="2" t="s">
        <v>18</v>
      </c>
      <c r="E4430" s="4">
        <v>-32141</v>
      </c>
      <c r="F4430" s="3" t="s">
        <v>327</v>
      </c>
      <c r="G4430" s="3" t="s">
        <v>20</v>
      </c>
      <c r="H4430" s="2" t="s">
        <v>21</v>
      </c>
      <c r="I4430" s="2" t="s">
        <v>11837</v>
      </c>
      <c r="J4430" s="3" t="str">
        <f>HYPERLINK("https://www.boe.es/gazeta/dias/1811/12/31/pdfs/GMD-1811-365.pdf#page=4","Abrir facsímil")</f>
        <v>Abrir facsímil</v>
      </c>
      <c r="K4430" s="3" t="s">
        <v>23</v>
      </c>
    </row>
    <row r="4431" spans="1:11" ht="42" customHeight="1">
      <c r="A4431" s="2" t="s">
        <v>11838</v>
      </c>
      <c r="B4431" s="2" t="s">
        <v>11839</v>
      </c>
      <c r="C4431" s="2" t="s">
        <v>17</v>
      </c>
      <c r="D4431" s="2" t="s">
        <v>18</v>
      </c>
      <c r="E4431" s="4">
        <v>-32300</v>
      </c>
      <c r="F4431" s="3" t="s">
        <v>492</v>
      </c>
      <c r="G4431" s="3" t="s">
        <v>493</v>
      </c>
      <c r="H4431" s="2" t="s">
        <v>148</v>
      </c>
      <c r="I4431" s="2" t="s">
        <v>11840</v>
      </c>
      <c r="J4431" s="3" t="str">
        <f>HYPERLINK("https://www.boe.es/gazeta/dias/1811/07/25/pdfs/GMD-1811-206.pdf#page=4","Abrir facsímil")</f>
        <v>Abrir facsímil</v>
      </c>
      <c r="K4431" s="3" t="s">
        <v>150</v>
      </c>
    </row>
    <row r="4432" spans="1:11" ht="42" customHeight="1">
      <c r="A4432" s="2" t="s">
        <v>11841</v>
      </c>
      <c r="B4432" s="2" t="s">
        <v>11842</v>
      </c>
      <c r="C4432" s="2" t="s">
        <v>84</v>
      </c>
      <c r="D4432" s="2" t="s">
        <v>18</v>
      </c>
      <c r="E4432" s="4">
        <v>-32295</v>
      </c>
      <c r="F4432" s="3" t="s">
        <v>6168</v>
      </c>
      <c r="G4432" s="3" t="s">
        <v>9285</v>
      </c>
      <c r="H4432" s="2" t="s">
        <v>148</v>
      </c>
      <c r="I4432" s="2" t="s">
        <v>11843</v>
      </c>
      <c r="J4432" s="3" t="str">
        <f>HYPERLINK("https://www.boe.es/gazeta/dias/1811/07/30/pdfs/GMD-1811-211.pdf#page=1","Abrir facsímil")</f>
        <v>Abrir facsímil</v>
      </c>
      <c r="K4432" s="3" t="s">
        <v>150</v>
      </c>
    </row>
    <row r="4433" spans="1:11" ht="42" customHeight="1">
      <c r="A4433" s="2" t="s">
        <v>11844</v>
      </c>
      <c r="B4433" s="2" t="s">
        <v>11845</v>
      </c>
      <c r="C4433" s="2" t="s">
        <v>26</v>
      </c>
      <c r="D4433" s="2" t="s">
        <v>18</v>
      </c>
      <c r="E4433" s="4">
        <v>-32155</v>
      </c>
      <c r="F4433" s="3" t="s">
        <v>99</v>
      </c>
      <c r="G4433" s="3" t="s">
        <v>100</v>
      </c>
      <c r="H4433" s="2" t="s">
        <v>148</v>
      </c>
      <c r="I4433" s="2" t="s">
        <v>11846</v>
      </c>
      <c r="J4433" s="3" t="str">
        <f>HYPERLINK("https://www.boe.es/gazeta/dias/1811/12/17/pdfs/GMD-1811-351.pdf#page=4","Abrir facsímil")</f>
        <v>Abrir facsímil</v>
      </c>
      <c r="K4433" s="3" t="s">
        <v>150</v>
      </c>
    </row>
    <row r="4434" spans="1:11" ht="42" customHeight="1">
      <c r="A4434" s="2" t="s">
        <v>11847</v>
      </c>
      <c r="B4434" s="2" t="s">
        <v>11848</v>
      </c>
      <c r="C4434" s="2" t="s">
        <v>84</v>
      </c>
      <c r="D4434" s="2" t="s">
        <v>18</v>
      </c>
      <c r="E4434" s="4">
        <v>-32153</v>
      </c>
      <c r="F4434" s="3" t="s">
        <v>123</v>
      </c>
      <c r="G4434" s="3" t="s">
        <v>288</v>
      </c>
      <c r="H4434" s="2" t="s">
        <v>148</v>
      </c>
      <c r="I4434" s="2" t="s">
        <v>11849</v>
      </c>
      <c r="J4434" s="3" t="str">
        <f>HYPERLINK("https://www.boe.es/gazeta/dias/1811/12/19/pdfs/GMD-1811-353.pdf#page=4","Abrir facsímil")</f>
        <v>Abrir facsímil</v>
      </c>
      <c r="K4434" s="3" t="s">
        <v>150</v>
      </c>
    </row>
    <row r="4435" spans="1:11" ht="42" customHeight="1">
      <c r="A4435" s="2" t="s">
        <v>11850</v>
      </c>
      <c r="B4435" s="2" t="s">
        <v>11851</v>
      </c>
      <c r="C4435" s="2" t="s">
        <v>26</v>
      </c>
      <c r="D4435" s="2" t="s">
        <v>18</v>
      </c>
      <c r="E4435" s="4">
        <v>-32153</v>
      </c>
      <c r="F4435" s="3" t="s">
        <v>123</v>
      </c>
      <c r="G4435" s="3" t="s">
        <v>1067</v>
      </c>
      <c r="H4435" s="2" t="s">
        <v>148</v>
      </c>
      <c r="I4435" s="2" t="s">
        <v>11852</v>
      </c>
      <c r="J4435" s="3" t="str">
        <f>HYPERLINK("https://www.boe.es/gazeta/dias/1811/12/19/pdfs/GMD-1811-353.pdf#page=5","Abrir facsímil")</f>
        <v>Abrir facsímil</v>
      </c>
      <c r="K4435" s="3" t="s">
        <v>150</v>
      </c>
    </row>
    <row r="4436" spans="1:11" ht="42" customHeight="1">
      <c r="A4436" s="2" t="s">
        <v>11853</v>
      </c>
      <c r="B4436" s="2" t="s">
        <v>11854</v>
      </c>
      <c r="C4436" s="2" t="s">
        <v>17</v>
      </c>
      <c r="D4436" s="2" t="s">
        <v>18</v>
      </c>
      <c r="E4436" s="4">
        <v>-32421</v>
      </c>
      <c r="F4436" s="3" t="s">
        <v>79</v>
      </c>
      <c r="G4436" s="3" t="s">
        <v>488</v>
      </c>
      <c r="H4436" s="2" t="s">
        <v>148</v>
      </c>
      <c r="I4436" s="2" t="s">
        <v>11855</v>
      </c>
      <c r="J4436" s="3" t="str">
        <f>HYPERLINK("https://www.boe.es/gazeta/dias/1811/03/26/pdfs/GEI-1811-42.pdf#page=8","Abrir facsímil")</f>
        <v>Abrir facsímil</v>
      </c>
      <c r="K4436" s="3" t="s">
        <v>150</v>
      </c>
    </row>
    <row r="4437" spans="1:11" ht="42" customHeight="1">
      <c r="A4437" s="2" t="s">
        <v>11856</v>
      </c>
      <c r="B4437" s="2" t="s">
        <v>11857</v>
      </c>
      <c r="C4437" s="2" t="s">
        <v>17</v>
      </c>
      <c r="D4437" s="2" t="s">
        <v>156</v>
      </c>
      <c r="E4437" s="4">
        <v>-32197</v>
      </c>
      <c r="F4437" s="3" t="s">
        <v>687</v>
      </c>
      <c r="G4437" s="3" t="s">
        <v>1240</v>
      </c>
      <c r="H4437" s="2" t="s">
        <v>148</v>
      </c>
      <c r="I4437" s="2" t="s">
        <v>11858</v>
      </c>
      <c r="J4437" s="3" t="str">
        <f>HYPERLINK("https://www.boe.es/gazeta/dias/1811/11/05/pdfs/GEI-1811-143.pdf#page=8","Abrir facsímil")</f>
        <v>Abrir facsímil</v>
      </c>
      <c r="K4437" s="3" t="s">
        <v>150</v>
      </c>
    </row>
    <row r="4438" spans="1:11" ht="42" customHeight="1">
      <c r="A4438" s="2" t="s">
        <v>11859</v>
      </c>
      <c r="B4438" s="2" t="s">
        <v>11860</v>
      </c>
      <c r="C4438" s="2" t="s">
        <v>17</v>
      </c>
      <c r="D4438" s="2" t="s">
        <v>18</v>
      </c>
      <c r="E4438" s="4">
        <v>-32230</v>
      </c>
      <c r="F4438" s="3" t="s">
        <v>625</v>
      </c>
      <c r="G4438" s="3" t="s">
        <v>1258</v>
      </c>
      <c r="H4438" s="2" t="s">
        <v>148</v>
      </c>
      <c r="I4438" s="2" t="s">
        <v>11861</v>
      </c>
      <c r="J4438" s="3" t="str">
        <f>HYPERLINK("https://www.boe.es/gazeta/dias/1811/10/03/pdfs/GEI-1811-127.pdf#page=8","Abrir facsímil")</f>
        <v>Abrir facsímil</v>
      </c>
      <c r="K4438" s="3" t="s">
        <v>150</v>
      </c>
    </row>
    <row r="4439" spans="1:11" ht="42" customHeight="1">
      <c r="A4439" s="2" t="s">
        <v>11862</v>
      </c>
      <c r="B4439" s="2" t="s">
        <v>11863</v>
      </c>
      <c r="C4439" s="2" t="s">
        <v>26</v>
      </c>
      <c r="D4439" s="2" t="s">
        <v>18</v>
      </c>
      <c r="E4439" s="4">
        <v>-32394</v>
      </c>
      <c r="F4439" s="3" t="s">
        <v>1709</v>
      </c>
      <c r="G4439" s="3" t="s">
        <v>115</v>
      </c>
      <c r="H4439" s="2" t="s">
        <v>148</v>
      </c>
      <c r="I4439" s="2" t="s">
        <v>11864</v>
      </c>
      <c r="J4439" s="3" t="str">
        <f>HYPERLINK("https://www.boe.es/gazeta/dias/1811/04/22/pdfs/GMD-1811-112.pdf#page=3","Abrir facsímil")</f>
        <v>Abrir facsímil</v>
      </c>
      <c r="K4439" s="3" t="s">
        <v>150</v>
      </c>
    </row>
    <row r="4440" spans="1:11" ht="42" customHeight="1">
      <c r="A4440" s="2" t="s">
        <v>11865</v>
      </c>
      <c r="B4440" s="2" t="s">
        <v>11866</v>
      </c>
      <c r="C4440" s="2" t="s">
        <v>26</v>
      </c>
      <c r="D4440" s="2" t="s">
        <v>105</v>
      </c>
      <c r="E4440" s="4">
        <v>-32272</v>
      </c>
      <c r="F4440" s="3" t="s">
        <v>1150</v>
      </c>
      <c r="G4440" s="3" t="s">
        <v>248</v>
      </c>
      <c r="H4440" s="2" t="s">
        <v>148</v>
      </c>
      <c r="I4440" s="2" t="s">
        <v>11867</v>
      </c>
      <c r="J4440" s="3" t="str">
        <f>HYPERLINK("https://www.boe.es/gazeta/dias/1811/08/22/pdfs/GMD-C-1811-234.pdf#page=1","Abrir facsímil")</f>
        <v>Abrir facsímil</v>
      </c>
      <c r="K4440" s="3" t="s">
        <v>150</v>
      </c>
    </row>
    <row r="4441" spans="1:11" ht="42" customHeight="1">
      <c r="A4441" s="2" t="s">
        <v>11865</v>
      </c>
      <c r="B4441" s="2" t="s">
        <v>11866</v>
      </c>
      <c r="C4441" s="2" t="s">
        <v>26</v>
      </c>
      <c r="D4441" s="2" t="s">
        <v>18</v>
      </c>
      <c r="E4441" s="4">
        <v>-32153</v>
      </c>
      <c r="F4441" s="3" t="s">
        <v>123</v>
      </c>
      <c r="G4441" s="3" t="s">
        <v>1067</v>
      </c>
      <c r="H4441" s="2" t="s">
        <v>148</v>
      </c>
      <c r="I4441" s="2" t="s">
        <v>11868</v>
      </c>
      <c r="J4441" s="3" t="str">
        <f>HYPERLINK("https://www.boe.es/gazeta/dias/1811/12/19/pdfs/GMD-1811-353.pdf#page=5","Abrir facsímil")</f>
        <v>Abrir facsímil</v>
      </c>
      <c r="K4441" s="3" t="s">
        <v>150</v>
      </c>
    </row>
    <row r="4442" spans="1:11" ht="42" customHeight="1">
      <c r="A4442" s="2" t="s">
        <v>11869</v>
      </c>
      <c r="B4442" s="2" t="s">
        <v>11870</v>
      </c>
      <c r="C4442" s="2" t="s">
        <v>26</v>
      </c>
      <c r="D4442" s="2" t="s">
        <v>141</v>
      </c>
      <c r="E4442" s="4">
        <v>-32396</v>
      </c>
      <c r="F4442" s="3" t="s">
        <v>804</v>
      </c>
      <c r="G4442" s="3" t="s">
        <v>805</v>
      </c>
      <c r="H4442" s="2" t="s">
        <v>148</v>
      </c>
      <c r="I4442" s="2" t="s">
        <v>11871</v>
      </c>
      <c r="J4442" s="3" t="str">
        <f>HYPERLINK("https://www.boe.es/gazeta/dias/1811/04/20/pdfs/GEI-D-1811-53.pdf#page=4","Abrir facsímil")</f>
        <v>Abrir facsímil</v>
      </c>
      <c r="K4442" s="3" t="s">
        <v>150</v>
      </c>
    </row>
    <row r="4443" spans="1:11" ht="42" customHeight="1">
      <c r="A4443" s="2" t="s">
        <v>11872</v>
      </c>
      <c r="B4443" s="2" t="s">
        <v>11873</v>
      </c>
      <c r="C4443" s="2" t="s">
        <v>17</v>
      </c>
      <c r="D4443" s="2" t="s">
        <v>18</v>
      </c>
      <c r="E4443" s="4">
        <v>-32480</v>
      </c>
      <c r="F4443" s="3" t="s">
        <v>2421</v>
      </c>
      <c r="G4443" s="3" t="s">
        <v>20</v>
      </c>
      <c r="H4443" s="2" t="s">
        <v>148</v>
      </c>
      <c r="I4443" s="2" t="s">
        <v>11874</v>
      </c>
      <c r="J4443" s="3" t="str">
        <f>HYPERLINK("https://www.boe.es/gazeta/dias/1811/01/26/pdfs/GMD-1811-26.pdf#page=4","Abrir facsímil")</f>
        <v>Abrir facsímil</v>
      </c>
      <c r="K4443" s="3" t="s">
        <v>150</v>
      </c>
    </row>
    <row r="4444" spans="1:11" ht="42" customHeight="1">
      <c r="A4444" s="2" t="s">
        <v>11875</v>
      </c>
      <c r="B4444" s="2" t="s">
        <v>11876</v>
      </c>
      <c r="C4444" s="2" t="s">
        <v>26</v>
      </c>
      <c r="D4444" s="2" t="s">
        <v>18</v>
      </c>
      <c r="E4444" s="4">
        <v>-32396</v>
      </c>
      <c r="F4444" s="3" t="s">
        <v>1267</v>
      </c>
      <c r="G4444" s="3" t="s">
        <v>382</v>
      </c>
      <c r="H4444" s="2" t="s">
        <v>148</v>
      </c>
      <c r="I4444" s="2" t="s">
        <v>11877</v>
      </c>
      <c r="J4444" s="3" t="str">
        <f>HYPERLINK("https://www.boe.es/gazeta/dias/1811/04/20/pdfs/GMD-1811-110.pdf#page=2","Abrir facsímil")</f>
        <v>Abrir facsímil</v>
      </c>
      <c r="K4444" s="3" t="s">
        <v>150</v>
      </c>
    </row>
    <row r="4445" spans="1:11" ht="42" customHeight="1">
      <c r="A4445" s="2" t="s">
        <v>11878</v>
      </c>
      <c r="B4445" s="2" t="s">
        <v>11879</v>
      </c>
      <c r="C4445" s="2" t="s">
        <v>26</v>
      </c>
      <c r="D4445" s="2" t="s">
        <v>18</v>
      </c>
      <c r="E4445" s="4">
        <v>-32228</v>
      </c>
      <c r="F4445" s="3" t="s">
        <v>372</v>
      </c>
      <c r="G4445" s="3" t="s">
        <v>373</v>
      </c>
      <c r="H4445" s="2" t="s">
        <v>148</v>
      </c>
      <c r="I4445" s="2" t="s">
        <v>11880</v>
      </c>
      <c r="J4445" s="3" t="str">
        <f>HYPERLINK("https://www.boe.es/gazeta/dias/1811/10/05/pdfs/GEI-1811-128.pdf#page=7","Abrir facsímil")</f>
        <v>Abrir facsímil</v>
      </c>
      <c r="K4445" s="3" t="s">
        <v>150</v>
      </c>
    </row>
    <row r="4446" spans="1:11" ht="42" customHeight="1">
      <c r="A4446" s="2" t="s">
        <v>11881</v>
      </c>
      <c r="B4446" s="2" t="s">
        <v>11882</v>
      </c>
      <c r="C4446" s="2" t="s">
        <v>26</v>
      </c>
      <c r="D4446" s="2" t="s">
        <v>18</v>
      </c>
      <c r="E4446" s="4">
        <v>-32153</v>
      </c>
      <c r="F4446" s="3" t="s">
        <v>123</v>
      </c>
      <c r="G4446" s="3" t="s">
        <v>288</v>
      </c>
      <c r="H4446" s="2" t="s">
        <v>148</v>
      </c>
      <c r="I4446" s="2" t="s">
        <v>11883</v>
      </c>
      <c r="J4446" s="3" t="str">
        <f>HYPERLINK("https://www.boe.es/gazeta/dias/1811/12/19/pdfs/GMD-1811-353.pdf#page=4","Abrir facsímil")</f>
        <v>Abrir facsímil</v>
      </c>
      <c r="K4446" s="3" t="s">
        <v>150</v>
      </c>
    </row>
    <row r="4447" spans="1:11" ht="42" customHeight="1">
      <c r="A4447" s="2" t="s">
        <v>11884</v>
      </c>
      <c r="B4447" s="2" t="s">
        <v>11885</v>
      </c>
      <c r="C4447" s="2" t="s">
        <v>26</v>
      </c>
      <c r="D4447" s="2" t="s">
        <v>141</v>
      </c>
      <c r="E4447" s="4">
        <v>-32238</v>
      </c>
      <c r="F4447" s="3" t="s">
        <v>166</v>
      </c>
      <c r="G4447" s="3" t="s">
        <v>657</v>
      </c>
      <c r="H4447" s="2" t="s">
        <v>148</v>
      </c>
      <c r="I4447" s="2" t="s">
        <v>11886</v>
      </c>
      <c r="J4447" s="3" t="str">
        <f>HYPERLINK("https://www.boe.es/gazeta/dias/1811/09/25/pdfs/GMD-C-1811-268.pdf#page=3","Abrir facsímil")</f>
        <v>Abrir facsímil</v>
      </c>
      <c r="K4447" s="3" t="s">
        <v>150</v>
      </c>
    </row>
    <row r="4448" spans="1:11" ht="42" customHeight="1">
      <c r="A4448" s="2" t="s">
        <v>11887</v>
      </c>
      <c r="B4448" s="2" t="s">
        <v>11888</v>
      </c>
      <c r="C4448" s="2" t="s">
        <v>26</v>
      </c>
      <c r="D4448" s="2" t="s">
        <v>105</v>
      </c>
      <c r="E4448" s="4">
        <v>-32379</v>
      </c>
      <c r="F4448" s="3" t="s">
        <v>462</v>
      </c>
      <c r="G4448" s="3" t="s">
        <v>463</v>
      </c>
      <c r="H4448" s="2" t="s">
        <v>148</v>
      </c>
      <c r="I4448" s="2" t="s">
        <v>11889</v>
      </c>
      <c r="J4448" s="3" t="str">
        <f>HYPERLINK("https://www.boe.es/gazeta/dias/1811/05/07/pdfs/GEI-1811-60.pdf#page=8","Abrir facsímil")</f>
        <v>Abrir facsímil</v>
      </c>
      <c r="K4448" s="3" t="s">
        <v>150</v>
      </c>
    </row>
    <row r="4449" spans="1:11" ht="42" customHeight="1">
      <c r="A4449" s="2" t="s">
        <v>11890</v>
      </c>
      <c r="B4449" s="2" t="s">
        <v>11891</v>
      </c>
      <c r="C4449" s="2" t="s">
        <v>17</v>
      </c>
      <c r="D4449" s="2" t="s">
        <v>18</v>
      </c>
      <c r="E4449" s="4">
        <v>-32200</v>
      </c>
      <c r="F4449" s="3" t="s">
        <v>109</v>
      </c>
      <c r="G4449" s="3" t="s">
        <v>110</v>
      </c>
      <c r="H4449" s="2" t="s">
        <v>148</v>
      </c>
      <c r="I4449" s="2" t="s">
        <v>11892</v>
      </c>
      <c r="J4449" s="3" t="str">
        <f>HYPERLINK("https://www.boe.es/gazeta/dias/1811/11/02/pdfs/GEI-1811-141.pdf#page=6","Abrir facsímil")</f>
        <v>Abrir facsímil</v>
      </c>
      <c r="K4449" s="3" t="s">
        <v>150</v>
      </c>
    </row>
    <row r="4450" spans="1:11" ht="42" customHeight="1">
      <c r="A4450" s="2" t="s">
        <v>11893</v>
      </c>
      <c r="B4450" s="2" t="s">
        <v>11894</v>
      </c>
      <c r="C4450" s="2" t="s">
        <v>26</v>
      </c>
      <c r="D4450" s="2" t="s">
        <v>18</v>
      </c>
      <c r="E4450" s="4">
        <v>-32442</v>
      </c>
      <c r="F4450" s="3" t="s">
        <v>634</v>
      </c>
      <c r="G4450" s="3" t="s">
        <v>3430</v>
      </c>
      <c r="H4450" s="2" t="s">
        <v>148</v>
      </c>
      <c r="I4450" s="2" t="s">
        <v>11895</v>
      </c>
      <c r="J4450" s="3" t="str">
        <f>HYPERLINK("https://www.boe.es/gazeta/dias/1811/03/05/pdfs/GEI-1811-29.pdf#page=3","Abrir facsímil")</f>
        <v>Abrir facsímil</v>
      </c>
      <c r="K4450" s="3" t="s">
        <v>150</v>
      </c>
    </row>
    <row r="4451" spans="1:11" ht="42" customHeight="1">
      <c r="A4451" s="2" t="s">
        <v>11896</v>
      </c>
      <c r="B4451" s="2" t="s">
        <v>11897</v>
      </c>
      <c r="C4451" s="2" t="s">
        <v>26</v>
      </c>
      <c r="D4451" s="2" t="s">
        <v>18</v>
      </c>
      <c r="E4451" s="4">
        <v>-32225</v>
      </c>
      <c r="F4451" s="3" t="s">
        <v>390</v>
      </c>
      <c r="G4451" s="3" t="s">
        <v>248</v>
      </c>
      <c r="H4451" s="2" t="s">
        <v>21</v>
      </c>
      <c r="I4451" s="2" t="s">
        <v>11898</v>
      </c>
      <c r="J4451" s="3" t="str">
        <f>HYPERLINK("https://www.boe.es/gazeta/dias/1811/10/08/pdfs/GEI-1811-129.pdf#page=3","Abrir facsímil")</f>
        <v>Abrir facsímil</v>
      </c>
      <c r="K4451" s="3" t="s">
        <v>23</v>
      </c>
    </row>
    <row r="4452" spans="1:11" ht="42" customHeight="1">
      <c r="A4452" s="2" t="s">
        <v>11899</v>
      </c>
      <c r="B4452" s="2" t="s">
        <v>11899</v>
      </c>
      <c r="C4452" s="2" t="s">
        <v>17</v>
      </c>
      <c r="D4452" s="2" t="s">
        <v>18</v>
      </c>
      <c r="E4452" s="4">
        <v>-32145</v>
      </c>
      <c r="F4452" s="3" t="s">
        <v>417</v>
      </c>
      <c r="G4452" s="3" t="s">
        <v>515</v>
      </c>
      <c r="H4452" s="2" t="s">
        <v>148</v>
      </c>
      <c r="I4452" s="2" t="s">
        <v>11900</v>
      </c>
      <c r="J4452" s="3" t="str">
        <f>HYPERLINK("https://www.boe.es/gazeta/dias/1811/12/27/pdfs/GMD-1811-361.pdf#page=3","Abrir facsímil")</f>
        <v>Abrir facsímil</v>
      </c>
      <c r="K4452" s="3" t="s">
        <v>150</v>
      </c>
    </row>
    <row r="4453" spans="1:11" ht="42" customHeight="1">
      <c r="A4453" s="2" t="s">
        <v>11901</v>
      </c>
      <c r="B4453" s="2" t="s">
        <v>11902</v>
      </c>
      <c r="C4453" s="2" t="s">
        <v>17</v>
      </c>
      <c r="D4453" s="2" t="s">
        <v>156</v>
      </c>
      <c r="E4453" s="4">
        <v>-32356</v>
      </c>
      <c r="F4453" s="3" t="s">
        <v>1992</v>
      </c>
      <c r="G4453" s="3" t="s">
        <v>5236</v>
      </c>
      <c r="H4453" s="2" t="s">
        <v>148</v>
      </c>
      <c r="I4453" s="2" t="s">
        <v>11903</v>
      </c>
      <c r="J4453" s="3" t="str">
        <f>HYPERLINK("https://www.boe.es/gazeta/dias/1811/05/30/pdfs/GEI-1811-73.pdf#page=4","Abrir facsímil")</f>
        <v>Abrir facsímil</v>
      </c>
      <c r="K4453" s="3" t="s">
        <v>150</v>
      </c>
    </row>
    <row r="4454" spans="1:11" ht="42" customHeight="1">
      <c r="A4454" s="2" t="s">
        <v>11904</v>
      </c>
      <c r="B4454" s="2" t="s">
        <v>11904</v>
      </c>
      <c r="C4454" s="2" t="s">
        <v>17</v>
      </c>
      <c r="D4454" s="2" t="s">
        <v>18</v>
      </c>
      <c r="E4454" s="4">
        <v>-32310</v>
      </c>
      <c r="F4454" s="3" t="s">
        <v>2317</v>
      </c>
      <c r="G4454" s="3" t="s">
        <v>11905</v>
      </c>
      <c r="H4454" s="2" t="s">
        <v>148</v>
      </c>
      <c r="I4454" s="2" t="s">
        <v>11906</v>
      </c>
      <c r="J4454" s="3" t="str">
        <f>HYPERLINK("https://www.boe.es/gazeta/dias/1811/07/15/pdfs/GMD-1811-196.pdf#page=1","Abrir facsímil")</f>
        <v>Abrir facsímil</v>
      </c>
      <c r="K4454" s="3" t="s">
        <v>150</v>
      </c>
    </row>
    <row r="4455" spans="1:11" ht="42" customHeight="1">
      <c r="A4455" s="2" t="s">
        <v>11907</v>
      </c>
      <c r="B4455" s="2" t="s">
        <v>11908</v>
      </c>
      <c r="C4455" s="2" t="s">
        <v>367</v>
      </c>
      <c r="D4455" s="2" t="s">
        <v>18</v>
      </c>
      <c r="E4455" s="4">
        <v>-32202</v>
      </c>
      <c r="F4455" s="3" t="s">
        <v>2194</v>
      </c>
      <c r="G4455" s="3" t="s">
        <v>47</v>
      </c>
      <c r="H4455" s="2" t="s">
        <v>148</v>
      </c>
      <c r="I4455" s="2" t="s">
        <v>11909</v>
      </c>
      <c r="J4455" s="3" t="str">
        <f>HYPERLINK("https://www.boe.es/gazeta/dias/1811/10/31/pdfs/GEI-1811-140.pdf#page=7","Abrir facsímil")</f>
        <v>Abrir facsímil</v>
      </c>
      <c r="K4455" s="3" t="s">
        <v>150</v>
      </c>
    </row>
    <row r="4456" spans="1:11" ht="42" customHeight="1">
      <c r="A4456" s="2" t="s">
        <v>11910</v>
      </c>
      <c r="B4456" s="2" t="s">
        <v>11911</v>
      </c>
      <c r="C4456" s="2" t="s">
        <v>122</v>
      </c>
      <c r="D4456" s="2" t="s">
        <v>18</v>
      </c>
      <c r="E4456" s="4">
        <v>-32394</v>
      </c>
      <c r="F4456" s="3" t="s">
        <v>1709</v>
      </c>
      <c r="G4456" s="3" t="s">
        <v>115</v>
      </c>
      <c r="H4456" s="2" t="s">
        <v>148</v>
      </c>
      <c r="I4456" s="2" t="s">
        <v>11912</v>
      </c>
      <c r="J4456" s="3" t="str">
        <f>HYPERLINK("https://www.boe.es/gazeta/dias/1811/04/22/pdfs/GMD-1811-112.pdf#page=3","Abrir facsímil")</f>
        <v>Abrir facsímil</v>
      </c>
      <c r="K4456" s="3" t="s">
        <v>150</v>
      </c>
    </row>
    <row r="4457" spans="1:11" ht="42" customHeight="1">
      <c r="A4457" s="2" t="s">
        <v>11913</v>
      </c>
      <c r="B4457" s="2" t="s">
        <v>11914</v>
      </c>
      <c r="C4457" s="2" t="s">
        <v>104</v>
      </c>
      <c r="D4457" s="2" t="s">
        <v>18</v>
      </c>
      <c r="E4457" s="4">
        <v>-32468</v>
      </c>
      <c r="F4457" s="3" t="s">
        <v>683</v>
      </c>
      <c r="G4457" s="3" t="s">
        <v>20</v>
      </c>
      <c r="H4457" s="2" t="s">
        <v>148</v>
      </c>
      <c r="I4457" s="2" t="s">
        <v>11915</v>
      </c>
      <c r="J4457" s="3" t="str">
        <f>HYPERLINK("https://www.boe.es/gazeta/dias/1811/02/07/pdfs/GEI-1811-17.pdf#page=2","Abrir facsímil")</f>
        <v>Abrir facsímil</v>
      </c>
      <c r="K4457" s="3" t="s">
        <v>150</v>
      </c>
    </row>
    <row r="4458" spans="1:11" ht="42" customHeight="1">
      <c r="A4458" s="2" t="s">
        <v>11916</v>
      </c>
      <c r="B4458" s="2" t="s">
        <v>11917</v>
      </c>
      <c r="C4458" s="2" t="s">
        <v>17</v>
      </c>
      <c r="D4458" s="2" t="s">
        <v>156</v>
      </c>
      <c r="E4458" s="4">
        <v>-32459</v>
      </c>
      <c r="F4458" s="3" t="s">
        <v>1034</v>
      </c>
      <c r="G4458" s="3" t="s">
        <v>2260</v>
      </c>
      <c r="H4458" s="2" t="s">
        <v>148</v>
      </c>
      <c r="I4458" s="2" t="s">
        <v>11918</v>
      </c>
      <c r="J4458" s="3" t="str">
        <f>HYPERLINK("https://www.boe.es/gazeta/dias/1811/02/16/pdfs/GEI-1811-21.pdf#page=7","Abrir facsímil")</f>
        <v>Abrir facsímil</v>
      </c>
      <c r="K4458" s="3" t="s">
        <v>150</v>
      </c>
    </row>
    <row r="4459" spans="1:11" ht="42" customHeight="1">
      <c r="A4459" s="2" t="s">
        <v>11919</v>
      </c>
      <c r="B4459" s="2" t="s">
        <v>11920</v>
      </c>
      <c r="C4459" s="2" t="s">
        <v>26</v>
      </c>
      <c r="D4459" s="2" t="s">
        <v>18</v>
      </c>
      <c r="E4459" s="4">
        <v>-32270</v>
      </c>
      <c r="F4459" s="3" t="s">
        <v>431</v>
      </c>
      <c r="G4459" s="3" t="s">
        <v>2080</v>
      </c>
      <c r="H4459" s="2" t="s">
        <v>148</v>
      </c>
      <c r="I4459" s="2" t="s">
        <v>11921</v>
      </c>
      <c r="J4459" s="3" t="str">
        <f>HYPERLINK("https://www.boe.es/gazeta/dias/1811/08/24/pdfs/GEI-1811-110.pdf#page=5","Abrir facsímil")</f>
        <v>Abrir facsímil</v>
      </c>
      <c r="K4459" s="3" t="s">
        <v>150</v>
      </c>
    </row>
    <row r="4460" spans="1:11" ht="42" customHeight="1">
      <c r="A4460" s="2" t="s">
        <v>11922</v>
      </c>
      <c r="B4460" s="2" t="s">
        <v>11923</v>
      </c>
      <c r="C4460" s="2" t="s">
        <v>26</v>
      </c>
      <c r="D4460" s="2" t="s">
        <v>18</v>
      </c>
      <c r="E4460" s="4">
        <v>-32288</v>
      </c>
      <c r="F4460" s="3" t="s">
        <v>95</v>
      </c>
      <c r="G4460" s="3" t="s">
        <v>47</v>
      </c>
      <c r="H4460" s="2" t="s">
        <v>148</v>
      </c>
      <c r="I4460" s="2" t="s">
        <v>11924</v>
      </c>
      <c r="J4460" s="3" t="str">
        <f>HYPERLINK("https://www.boe.es/gazeta/dias/1811/08/06/pdfs/GEI-1811-102.pdf#page=8","Abrir facsímil")</f>
        <v>Abrir facsímil</v>
      </c>
      <c r="K4460" s="3" t="s">
        <v>150</v>
      </c>
    </row>
    <row r="4461" spans="1:11" ht="42" customHeight="1">
      <c r="A4461" s="2" t="s">
        <v>11925</v>
      </c>
      <c r="B4461" s="2" t="s">
        <v>11926</v>
      </c>
      <c r="C4461" s="2" t="s">
        <v>122</v>
      </c>
      <c r="D4461" s="2" t="s">
        <v>18</v>
      </c>
      <c r="E4461" s="4">
        <v>-32152</v>
      </c>
      <c r="F4461" s="3" t="s">
        <v>1673</v>
      </c>
      <c r="G4461" s="3" t="s">
        <v>183</v>
      </c>
      <c r="H4461" s="2" t="s">
        <v>148</v>
      </c>
      <c r="I4461" s="2" t="s">
        <v>11927</v>
      </c>
      <c r="J4461" s="3" t="str">
        <f>HYPERLINK("https://www.boe.es/gazeta/dias/1811/12/20/pdfs/GMD-1811-354.pdf#page=4","Abrir facsímil")</f>
        <v>Abrir facsímil</v>
      </c>
      <c r="K4461" s="3" t="s">
        <v>150</v>
      </c>
    </row>
    <row r="4462" spans="1:11" ht="42" customHeight="1">
      <c r="A4462" s="2" t="s">
        <v>11928</v>
      </c>
      <c r="B4462" s="2" t="s">
        <v>11929</v>
      </c>
      <c r="C4462" s="2" t="s">
        <v>26</v>
      </c>
      <c r="D4462" s="2" t="s">
        <v>18</v>
      </c>
      <c r="E4462" s="4">
        <v>-32323</v>
      </c>
      <c r="F4462" s="3" t="s">
        <v>322</v>
      </c>
      <c r="G4462" s="3" t="s">
        <v>323</v>
      </c>
      <c r="H4462" s="2" t="s">
        <v>148</v>
      </c>
      <c r="I4462" s="2" t="s">
        <v>11930</v>
      </c>
      <c r="J4462" s="3" t="str">
        <f>HYPERLINK("https://www.boe.es/gazeta/dias/1811/07/02/pdfs/GEI-1811-87.pdf#page=8","Abrir facsímil")</f>
        <v>Abrir facsímil</v>
      </c>
      <c r="K4462" s="3" t="s">
        <v>150</v>
      </c>
    </row>
    <row r="4463" spans="1:11" ht="42" customHeight="1">
      <c r="A4463" s="2" t="s">
        <v>11931</v>
      </c>
      <c r="B4463" s="2" t="s">
        <v>11931</v>
      </c>
      <c r="C4463" s="2" t="s">
        <v>17</v>
      </c>
      <c r="D4463" s="2" t="s">
        <v>156</v>
      </c>
      <c r="E4463" s="4">
        <v>-32428</v>
      </c>
      <c r="F4463" s="3" t="s">
        <v>351</v>
      </c>
      <c r="G4463" s="3" t="s">
        <v>57</v>
      </c>
      <c r="H4463" s="2" t="s">
        <v>148</v>
      </c>
      <c r="I4463" s="2" t="s">
        <v>11932</v>
      </c>
      <c r="J4463" s="3" t="str">
        <f>HYPERLINK("https://www.boe.es/gazeta/dias/1811/03/19/pdfs/GMD-1811-78.pdf#page=2","Abrir facsímil")</f>
        <v>Abrir facsímil</v>
      </c>
      <c r="K4463" s="3" t="s">
        <v>150</v>
      </c>
    </row>
    <row r="4464" spans="1:11" ht="42" customHeight="1">
      <c r="A4464" s="2" t="s">
        <v>11931</v>
      </c>
      <c r="B4464" s="2" t="s">
        <v>11931</v>
      </c>
      <c r="C4464" s="2" t="s">
        <v>17</v>
      </c>
      <c r="D4464" s="2" t="s">
        <v>156</v>
      </c>
      <c r="E4464" s="4">
        <v>-32393</v>
      </c>
      <c r="F4464" s="3" t="s">
        <v>32</v>
      </c>
      <c r="G4464" s="3" t="s">
        <v>391</v>
      </c>
      <c r="H4464" s="2" t="s">
        <v>148</v>
      </c>
      <c r="I4464" s="2" t="s">
        <v>11933</v>
      </c>
      <c r="J4464" s="3" t="str">
        <f>HYPERLINK("https://www.boe.es/gazeta/dias/1811/04/23/pdfs/GEI-1811-54.pdf#page=4","Abrir facsímil")</f>
        <v>Abrir facsímil</v>
      </c>
      <c r="K4464" s="3" t="s">
        <v>150</v>
      </c>
    </row>
    <row r="4465" spans="1:11" ht="42" customHeight="1">
      <c r="A4465" s="2" t="s">
        <v>11934</v>
      </c>
      <c r="B4465" s="2" t="s">
        <v>11935</v>
      </c>
      <c r="C4465" s="2" t="s">
        <v>17</v>
      </c>
      <c r="D4465" s="2" t="s">
        <v>18</v>
      </c>
      <c r="E4465" s="4">
        <v>-32300</v>
      </c>
      <c r="F4465" s="3" t="s">
        <v>61</v>
      </c>
      <c r="G4465" s="3" t="s">
        <v>62</v>
      </c>
      <c r="H4465" s="2" t="s">
        <v>148</v>
      </c>
      <c r="I4465" s="2" t="s">
        <v>11936</v>
      </c>
      <c r="J4465" s="3" t="str">
        <f>HYPERLINK("https://www.boe.es/gazeta/dias/1811/07/25/pdfs/GEI-1811-97.pdf#page=5","Abrir facsímil")</f>
        <v>Abrir facsímil</v>
      </c>
      <c r="K4465" s="3" t="s">
        <v>150</v>
      </c>
    </row>
    <row r="4466" spans="1:11" ht="42" customHeight="1">
      <c r="A4466" s="2" t="s">
        <v>11937</v>
      </c>
      <c r="B4466" s="2" t="s">
        <v>11938</v>
      </c>
      <c r="C4466" s="2" t="s">
        <v>26</v>
      </c>
      <c r="D4466" s="2" t="s">
        <v>18</v>
      </c>
      <c r="E4466" s="4">
        <v>-32179</v>
      </c>
      <c r="F4466" s="3" t="s">
        <v>614</v>
      </c>
      <c r="G4466" s="3" t="s">
        <v>11939</v>
      </c>
      <c r="H4466" s="2" t="s">
        <v>148</v>
      </c>
      <c r="I4466" s="2" t="s">
        <v>11940</v>
      </c>
      <c r="J4466" s="3" t="str">
        <f>HYPERLINK("https://www.boe.es/gazeta/dias/1811/11/23/pdfs/GEI-1811-153.pdf#page=3","Abrir facsímil")</f>
        <v>Abrir facsímil</v>
      </c>
      <c r="K4466" s="3" t="s">
        <v>150</v>
      </c>
    </row>
    <row r="4467" spans="1:11" ht="42" customHeight="1">
      <c r="A4467" s="2" t="s">
        <v>11941</v>
      </c>
      <c r="B4467" s="2" t="s">
        <v>11942</v>
      </c>
      <c r="C4467" s="2" t="s">
        <v>17</v>
      </c>
      <c r="D4467" s="2" t="s">
        <v>105</v>
      </c>
      <c r="E4467" s="4">
        <v>-32171</v>
      </c>
      <c r="F4467" s="3" t="s">
        <v>157</v>
      </c>
      <c r="G4467" s="3" t="s">
        <v>44</v>
      </c>
      <c r="H4467" s="2" t="s">
        <v>148</v>
      </c>
      <c r="I4467" s="2" t="s">
        <v>11943</v>
      </c>
      <c r="J4467" s="3" t="str">
        <f>HYPERLINK("https://www.boe.es/gazeta/dias/1811/12/01/pdfs/GMD-1811-335.pdf#page=4","Abrir facsímil")</f>
        <v>Abrir facsímil</v>
      </c>
      <c r="K4467" s="3" t="s">
        <v>150</v>
      </c>
    </row>
    <row r="4468" spans="1:11" ht="42" customHeight="1">
      <c r="A4468" s="2" t="s">
        <v>11944</v>
      </c>
      <c r="B4468" s="2" t="s">
        <v>11945</v>
      </c>
      <c r="C4468" s="2" t="s">
        <v>17</v>
      </c>
      <c r="D4468" s="2" t="s">
        <v>156</v>
      </c>
      <c r="E4468" s="4">
        <v>-32256</v>
      </c>
      <c r="F4468" s="3" t="s">
        <v>161</v>
      </c>
      <c r="G4468" s="3" t="s">
        <v>39</v>
      </c>
      <c r="H4468" s="2" t="s">
        <v>21</v>
      </c>
      <c r="I4468" s="2" t="s">
        <v>11946</v>
      </c>
      <c r="J4468" s="3" t="str">
        <f>HYPERLINK("https://www.boe.es/gazeta/dias/1811/09/07/pdfs/GEI-1811-116.pdf#page=1","Abrir facsímil")</f>
        <v>Abrir facsímil</v>
      </c>
      <c r="K4468" s="3" t="s">
        <v>23</v>
      </c>
    </row>
    <row r="4469" spans="1:11" ht="42" customHeight="1">
      <c r="A4469" s="2" t="s">
        <v>11947</v>
      </c>
      <c r="B4469" s="2" t="s">
        <v>11947</v>
      </c>
      <c r="C4469" s="2" t="s">
        <v>84</v>
      </c>
      <c r="D4469" s="2" t="s">
        <v>18</v>
      </c>
      <c r="E4469" s="4">
        <v>-32146</v>
      </c>
      <c r="F4469" s="3" t="s">
        <v>3210</v>
      </c>
      <c r="G4469" s="3" t="s">
        <v>57</v>
      </c>
      <c r="H4469" s="2" t="s">
        <v>148</v>
      </c>
      <c r="I4469" s="2" t="s">
        <v>11948</v>
      </c>
      <c r="J4469" s="3" t="str">
        <f>HYPERLINK("https://www.boe.es/gazeta/dias/1811/12/26/pdfs/GMD-1811-360.pdf#page=2","Abrir facsímil")</f>
        <v>Abrir facsímil</v>
      </c>
      <c r="K4469" s="3" t="s">
        <v>150</v>
      </c>
    </row>
    <row r="4470" spans="1:11" ht="42" customHeight="1">
      <c r="A4470" s="2" t="s">
        <v>11949</v>
      </c>
      <c r="B4470" s="2" t="s">
        <v>11950</v>
      </c>
      <c r="C4470" s="2" t="s">
        <v>17</v>
      </c>
      <c r="D4470" s="2" t="s">
        <v>18</v>
      </c>
      <c r="E4470" s="4">
        <v>-32286</v>
      </c>
      <c r="F4470" s="3" t="s">
        <v>754</v>
      </c>
      <c r="G4470" s="3" t="s">
        <v>115</v>
      </c>
      <c r="H4470" s="2" t="s">
        <v>148</v>
      </c>
      <c r="I4470" s="2" t="s">
        <v>11951</v>
      </c>
      <c r="J4470" s="3" t="str">
        <f>HYPERLINK("https://www.boe.es/gazeta/dias/1811/08/08/pdfs/GEI-1811-103.pdf#page=3","Abrir facsímil")</f>
        <v>Abrir facsímil</v>
      </c>
      <c r="K4470" s="3" t="s">
        <v>150</v>
      </c>
    </row>
    <row r="4471" spans="1:11" ht="42" customHeight="1">
      <c r="A4471" s="2" t="s">
        <v>11952</v>
      </c>
      <c r="B4471" s="2" t="s">
        <v>11953</v>
      </c>
      <c r="C4471" s="2" t="s">
        <v>26</v>
      </c>
      <c r="D4471" s="2" t="s">
        <v>141</v>
      </c>
      <c r="E4471" s="4">
        <v>-32238</v>
      </c>
      <c r="F4471" s="3" t="s">
        <v>166</v>
      </c>
      <c r="G4471" s="3" t="s">
        <v>178</v>
      </c>
      <c r="H4471" s="2" t="s">
        <v>148</v>
      </c>
      <c r="I4471" s="2" t="s">
        <v>11954</v>
      </c>
      <c r="J4471" s="3" t="str">
        <f>HYPERLINK("https://www.boe.es/gazeta/dias/1811/09/25/pdfs/GMD-C-1811-268.pdf#page=4","Abrir facsímil")</f>
        <v>Abrir facsímil</v>
      </c>
      <c r="K4471" s="3" t="s">
        <v>150</v>
      </c>
    </row>
    <row r="4472" spans="1:11" ht="42" customHeight="1">
      <c r="A4472" s="2" t="s">
        <v>11955</v>
      </c>
      <c r="B4472" s="2" t="s">
        <v>11956</v>
      </c>
      <c r="C4472" s="2" t="s">
        <v>17</v>
      </c>
      <c r="D4472" s="2" t="s">
        <v>18</v>
      </c>
      <c r="E4472" s="4">
        <v>-32218</v>
      </c>
      <c r="F4472" s="3" t="s">
        <v>938</v>
      </c>
      <c r="G4472" s="3" t="s">
        <v>939</v>
      </c>
      <c r="H4472" s="2" t="s">
        <v>148</v>
      </c>
      <c r="I4472" s="2" t="s">
        <v>11957</v>
      </c>
      <c r="J4472" s="3" t="str">
        <f>HYPERLINK("https://www.boe.es/gazeta/dias/1811/10/15/pdfs/GEI-1811-133.pdf#page=8","Abrir facsímil")</f>
        <v>Abrir facsímil</v>
      </c>
      <c r="K4472" s="3" t="s">
        <v>150</v>
      </c>
    </row>
    <row r="4473" spans="1:11" ht="42" customHeight="1">
      <c r="A4473" s="2" t="s">
        <v>11958</v>
      </c>
      <c r="B4473" s="2" t="s">
        <v>11959</v>
      </c>
      <c r="C4473" s="2" t="s">
        <v>17</v>
      </c>
      <c r="D4473" s="2" t="s">
        <v>105</v>
      </c>
      <c r="E4473" s="4">
        <v>-32155</v>
      </c>
      <c r="F4473" s="3" t="s">
        <v>263</v>
      </c>
      <c r="G4473" s="3" t="s">
        <v>264</v>
      </c>
      <c r="H4473" s="2" t="s">
        <v>148</v>
      </c>
      <c r="I4473" s="2" t="s">
        <v>11960</v>
      </c>
      <c r="J4473" s="3" t="str">
        <f>HYPERLINK("https://www.boe.es/gazeta/dias/1811/12/17/pdfs/GEI-1811-163.pdf#page=8","Abrir facsímil")</f>
        <v>Abrir facsímil</v>
      </c>
      <c r="K4473" s="3" t="s">
        <v>150</v>
      </c>
    </row>
    <row r="4474" spans="1:11" ht="42" customHeight="1">
      <c r="A4474" s="2" t="s">
        <v>11961</v>
      </c>
      <c r="B4474" s="2" t="s">
        <v>11962</v>
      </c>
      <c r="C4474" s="2" t="s">
        <v>17</v>
      </c>
      <c r="D4474" s="2" t="s">
        <v>18</v>
      </c>
      <c r="E4474" s="4">
        <v>-32436</v>
      </c>
      <c r="F4474" s="3" t="s">
        <v>1972</v>
      </c>
      <c r="G4474" s="3" t="s">
        <v>178</v>
      </c>
      <c r="H4474" s="2" t="s">
        <v>21</v>
      </c>
      <c r="I4474" s="2" t="s">
        <v>11963</v>
      </c>
      <c r="J4474" s="3" t="str">
        <f>HYPERLINK("https://www.boe.es/gazeta/dias/1811/03/11/pdfs/GMD-1811-70.pdf#page=3","Abrir facsímil")</f>
        <v>Abrir facsímil</v>
      </c>
      <c r="K4474" s="3" t="s">
        <v>23</v>
      </c>
    </row>
    <row r="4475" spans="1:11" ht="42" customHeight="1">
      <c r="A4475" s="2" t="s">
        <v>11964</v>
      </c>
      <c r="B4475" s="2" t="s">
        <v>11965</v>
      </c>
      <c r="C4475" s="2" t="s">
        <v>17</v>
      </c>
      <c r="D4475" s="2" t="s">
        <v>18</v>
      </c>
      <c r="E4475" s="4">
        <v>-32485</v>
      </c>
      <c r="F4475" s="3" t="s">
        <v>2106</v>
      </c>
      <c r="G4475" s="3" t="s">
        <v>248</v>
      </c>
      <c r="H4475" s="2" t="s">
        <v>148</v>
      </c>
      <c r="I4475" s="2" t="s">
        <v>11966</v>
      </c>
      <c r="J4475" s="3" t="str">
        <f>HYPERLINK("https://www.boe.es/gazeta/dias/1811/01/21/pdfs/GMD-1811-21.pdf#page=2","Abrir facsímil")</f>
        <v>Abrir facsímil</v>
      </c>
      <c r="K4475" s="3" t="s">
        <v>150</v>
      </c>
    </row>
    <row r="4476" spans="1:11" ht="42" customHeight="1">
      <c r="A4476" s="2" t="s">
        <v>11967</v>
      </c>
      <c r="B4476" s="2" t="s">
        <v>11967</v>
      </c>
      <c r="C4476" s="2" t="s">
        <v>17</v>
      </c>
      <c r="D4476" s="2" t="s">
        <v>528</v>
      </c>
      <c r="E4476" s="4">
        <v>-32191</v>
      </c>
      <c r="F4476" s="3" t="s">
        <v>2538</v>
      </c>
      <c r="G4476" s="3" t="s">
        <v>162</v>
      </c>
      <c r="H4476" s="2" t="s">
        <v>148</v>
      </c>
      <c r="I4476" s="2" t="s">
        <v>11968</v>
      </c>
      <c r="J4476" s="3" t="str">
        <f>HYPERLINK("https://www.boe.es/gazeta/dias/1811/11/11/pdfs/GEI-1811-147E.pdf#page=5","Abrir facsímil")</f>
        <v>Abrir facsímil</v>
      </c>
      <c r="K4476" s="3" t="s">
        <v>150</v>
      </c>
    </row>
    <row r="4477" spans="1:11" ht="42" customHeight="1">
      <c r="A4477" s="2" t="s">
        <v>11969</v>
      </c>
      <c r="B4477" s="2" t="s">
        <v>11970</v>
      </c>
      <c r="C4477" s="2" t="s">
        <v>17</v>
      </c>
      <c r="D4477" s="2" t="s">
        <v>156</v>
      </c>
      <c r="E4477" s="4">
        <v>-32286</v>
      </c>
      <c r="F4477" s="3" t="s">
        <v>754</v>
      </c>
      <c r="G4477" s="3" t="s">
        <v>1728</v>
      </c>
      <c r="H4477" s="2" t="s">
        <v>148</v>
      </c>
      <c r="I4477" s="2" t="s">
        <v>11971</v>
      </c>
      <c r="J4477" s="3" t="str">
        <f>HYPERLINK("https://www.boe.es/gazeta/dias/1811/08/08/pdfs/GEI-1811-103.pdf#page=8","Abrir facsímil")</f>
        <v>Abrir facsímil</v>
      </c>
      <c r="K4477" s="3" t="s">
        <v>150</v>
      </c>
    </row>
    <row r="4478" spans="1:11" ht="42" customHeight="1">
      <c r="A4478" s="2" t="s">
        <v>11972</v>
      </c>
      <c r="B4478" s="2" t="s">
        <v>11972</v>
      </c>
      <c r="C4478" s="2" t="s">
        <v>17</v>
      </c>
      <c r="D4478" s="2" t="s">
        <v>18</v>
      </c>
      <c r="E4478" s="4">
        <v>-32468</v>
      </c>
      <c r="F4478" s="3" t="s">
        <v>11973</v>
      </c>
      <c r="G4478" s="3" t="s">
        <v>553</v>
      </c>
      <c r="H4478" s="2" t="s">
        <v>148</v>
      </c>
      <c r="I4478" s="2" t="s">
        <v>11974</v>
      </c>
      <c r="J4478" s="3" t="str">
        <f>HYPERLINK("https://www.boe.es/gazeta/dias/1811/02/07/pdfs/GMD-1811-38.pdf#page=3","Abrir facsímil")</f>
        <v>Abrir facsímil</v>
      </c>
      <c r="K4478" s="3" t="s">
        <v>150</v>
      </c>
    </row>
    <row r="4479" spans="1:11" ht="42" customHeight="1">
      <c r="A4479" s="2" t="s">
        <v>11975</v>
      </c>
      <c r="B4479" s="2" t="s">
        <v>11976</v>
      </c>
      <c r="C4479" s="2" t="s">
        <v>17</v>
      </c>
      <c r="D4479" s="2" t="s">
        <v>18</v>
      </c>
      <c r="E4479" s="4">
        <v>-32144</v>
      </c>
      <c r="F4479" s="3" t="s">
        <v>1097</v>
      </c>
      <c r="G4479" s="3" t="s">
        <v>1098</v>
      </c>
      <c r="H4479" s="2" t="s">
        <v>148</v>
      </c>
      <c r="I4479" s="2" t="s">
        <v>11977</v>
      </c>
      <c r="J4479" s="3" t="str">
        <f>HYPERLINK("https://www.boe.es/gazeta/dias/1811/12/28/pdfs/GEI-1811-168.pdf#page=8","Abrir facsímil")</f>
        <v>Abrir facsímil</v>
      </c>
      <c r="K4479" s="3" t="s">
        <v>150</v>
      </c>
    </row>
    <row r="4480" spans="1:11" ht="42" customHeight="1">
      <c r="A4480" s="2" t="s">
        <v>11978</v>
      </c>
      <c r="B4480" s="2" t="s">
        <v>11979</v>
      </c>
      <c r="C4480" s="2" t="s">
        <v>17</v>
      </c>
      <c r="D4480" s="2" t="s">
        <v>156</v>
      </c>
      <c r="E4480" s="4">
        <v>-32482</v>
      </c>
      <c r="F4480" s="3" t="s">
        <v>924</v>
      </c>
      <c r="G4480" s="3" t="s">
        <v>586</v>
      </c>
      <c r="H4480" s="2" t="s">
        <v>148</v>
      </c>
      <c r="I4480" s="2" t="s">
        <v>11980</v>
      </c>
      <c r="J4480" s="3" t="str">
        <f>HYPERLINK("https://www.boe.es/gazeta/dias/1811/01/24/pdfs/GEI-1811-11.pdf#page=7","Abrir facsímil")</f>
        <v>Abrir facsímil</v>
      </c>
      <c r="K4480" s="3" t="s">
        <v>150</v>
      </c>
    </row>
    <row r="4481" spans="1:11" ht="42" customHeight="1">
      <c r="A4481" s="2" t="s">
        <v>11981</v>
      </c>
      <c r="B4481" s="2" t="s">
        <v>11982</v>
      </c>
      <c r="C4481" s="2" t="s">
        <v>26</v>
      </c>
      <c r="D4481" s="2" t="s">
        <v>18</v>
      </c>
      <c r="E4481" s="4">
        <v>-32214</v>
      </c>
      <c r="F4481" s="3" t="s">
        <v>1753</v>
      </c>
      <c r="G4481" s="3" t="s">
        <v>11983</v>
      </c>
      <c r="H4481" s="2" t="s">
        <v>148</v>
      </c>
      <c r="I4481" s="2" t="s">
        <v>11984</v>
      </c>
      <c r="J4481" s="3" t="str">
        <f>HYPERLINK("https://www.boe.es/gazeta/dias/1811/10/19/pdfs/GEI-1811-135.pdf#page=5","Abrir facsímil")</f>
        <v>Abrir facsímil</v>
      </c>
      <c r="K4481" s="3" t="s">
        <v>150</v>
      </c>
    </row>
    <row r="4482" spans="1:11" ht="42" customHeight="1">
      <c r="A4482" s="2" t="s">
        <v>11985</v>
      </c>
      <c r="B4482" s="2" t="s">
        <v>11986</v>
      </c>
      <c r="C4482" s="2" t="s">
        <v>122</v>
      </c>
      <c r="D4482" s="2" t="s">
        <v>18</v>
      </c>
      <c r="E4482" s="4">
        <v>-32300</v>
      </c>
      <c r="F4482" s="3" t="s">
        <v>492</v>
      </c>
      <c r="G4482" s="3" t="s">
        <v>493</v>
      </c>
      <c r="H4482" s="2" t="s">
        <v>148</v>
      </c>
      <c r="I4482" s="2" t="s">
        <v>11987</v>
      </c>
      <c r="J4482" s="3" t="str">
        <f>HYPERLINK("https://www.boe.es/gazeta/dias/1811/07/25/pdfs/GMD-1811-206.pdf#page=4","Abrir facsímil")</f>
        <v>Abrir facsímil</v>
      </c>
      <c r="K4482" s="3" t="s">
        <v>150</v>
      </c>
    </row>
    <row r="4483" spans="1:11" ht="42" customHeight="1">
      <c r="A4483" s="2" t="s">
        <v>11988</v>
      </c>
      <c r="B4483" s="2" t="s">
        <v>11989</v>
      </c>
      <c r="C4483" s="2" t="s">
        <v>26</v>
      </c>
      <c r="D4483" s="2" t="s">
        <v>18</v>
      </c>
      <c r="E4483" s="4">
        <v>-32218</v>
      </c>
      <c r="F4483" s="3" t="s">
        <v>938</v>
      </c>
      <c r="G4483" s="3" t="s">
        <v>9559</v>
      </c>
      <c r="H4483" s="2" t="s">
        <v>148</v>
      </c>
      <c r="I4483" s="2" t="s">
        <v>11990</v>
      </c>
      <c r="J4483" s="3" t="str">
        <f>HYPERLINK("https://www.boe.es/gazeta/dias/1811/10/15/pdfs/GEI-1811-133.pdf#page=2","Abrir facsímil")</f>
        <v>Abrir facsímil</v>
      </c>
      <c r="K4483" s="3" t="s">
        <v>150</v>
      </c>
    </row>
    <row r="4484" spans="1:11" ht="42" customHeight="1">
      <c r="A4484" s="2" t="s">
        <v>11991</v>
      </c>
      <c r="B4484" s="2" t="s">
        <v>11992</v>
      </c>
      <c r="C4484" s="2" t="s">
        <v>26</v>
      </c>
      <c r="D4484" s="2" t="s">
        <v>18</v>
      </c>
      <c r="E4484" s="4">
        <v>-32288</v>
      </c>
      <c r="F4484" s="3" t="s">
        <v>95</v>
      </c>
      <c r="G4484" s="3" t="s">
        <v>47</v>
      </c>
      <c r="H4484" s="2" t="s">
        <v>148</v>
      </c>
      <c r="I4484" s="2" t="s">
        <v>11993</v>
      </c>
      <c r="J4484" s="3" t="str">
        <f>HYPERLINK("https://www.boe.es/gazeta/dias/1811/08/06/pdfs/GEI-1811-102.pdf#page=8","Abrir facsímil")</f>
        <v>Abrir facsímil</v>
      </c>
      <c r="K4484" s="3" t="s">
        <v>150</v>
      </c>
    </row>
    <row r="4485" spans="1:11" ht="42" customHeight="1">
      <c r="A4485" s="2" t="s">
        <v>11994</v>
      </c>
      <c r="B4485" s="2" t="s">
        <v>11994</v>
      </c>
      <c r="C4485" s="2" t="s">
        <v>17</v>
      </c>
      <c r="D4485" s="2" t="s">
        <v>156</v>
      </c>
      <c r="E4485" s="4">
        <v>-32428</v>
      </c>
      <c r="F4485" s="3" t="s">
        <v>351</v>
      </c>
      <c r="G4485" s="3" t="s">
        <v>57</v>
      </c>
      <c r="H4485" s="2" t="s">
        <v>148</v>
      </c>
      <c r="I4485" s="2" t="s">
        <v>11995</v>
      </c>
      <c r="J4485" s="3" t="str">
        <f>HYPERLINK("https://www.boe.es/gazeta/dias/1811/03/19/pdfs/GMD-1811-78.pdf#page=2","Abrir facsímil")</f>
        <v>Abrir facsímil</v>
      </c>
      <c r="K4485" s="3" t="s">
        <v>150</v>
      </c>
    </row>
    <row r="4486" spans="1:11" ht="42" customHeight="1">
      <c r="A4486" s="2" t="s">
        <v>11996</v>
      </c>
      <c r="B4486" s="2" t="s">
        <v>11997</v>
      </c>
      <c r="C4486" s="2" t="s">
        <v>26</v>
      </c>
      <c r="D4486" s="2" t="s">
        <v>18</v>
      </c>
      <c r="E4486" s="4">
        <v>-32155</v>
      </c>
      <c r="F4486" s="3" t="s">
        <v>263</v>
      </c>
      <c r="G4486" s="3" t="s">
        <v>1800</v>
      </c>
      <c r="H4486" s="2" t="s">
        <v>148</v>
      </c>
      <c r="I4486" s="2" t="s">
        <v>11998</v>
      </c>
      <c r="J4486" s="3" t="str">
        <f>HYPERLINK("https://www.boe.es/gazeta/dias/1811/12/17/pdfs/GEI-1811-163.pdf#page=7","Abrir facsímil")</f>
        <v>Abrir facsímil</v>
      </c>
      <c r="K4486" s="3" t="s">
        <v>150</v>
      </c>
    </row>
    <row r="4487" spans="1:11" ht="42" customHeight="1">
      <c r="A4487" s="2" t="s">
        <v>11999</v>
      </c>
      <c r="B4487" s="2" t="s">
        <v>11999</v>
      </c>
      <c r="C4487" s="2" t="s">
        <v>17</v>
      </c>
      <c r="D4487" s="2" t="s">
        <v>204</v>
      </c>
      <c r="E4487" s="4">
        <v>-32318</v>
      </c>
      <c r="F4487" s="3" t="s">
        <v>1193</v>
      </c>
      <c r="G4487" s="3" t="s">
        <v>134</v>
      </c>
      <c r="H4487" s="2" t="s">
        <v>148</v>
      </c>
      <c r="I4487" s="2" t="s">
        <v>12000</v>
      </c>
      <c r="J4487" s="3" t="str">
        <f>HYPERLINK("https://www.boe.es/gazeta/dias/1811/07/07/pdfs/GMD-1811-188.pdf#page=4","Abrir facsímil")</f>
        <v>Abrir facsímil</v>
      </c>
      <c r="K4487" s="3" t="s">
        <v>150</v>
      </c>
    </row>
    <row r="4488" spans="1:11" ht="42" customHeight="1">
      <c r="A4488" s="2" t="s">
        <v>12001</v>
      </c>
      <c r="B4488" s="2" t="s">
        <v>12001</v>
      </c>
      <c r="C4488" s="2" t="s">
        <v>17</v>
      </c>
      <c r="D4488" s="2" t="s">
        <v>156</v>
      </c>
      <c r="E4488" s="4">
        <v>-32349</v>
      </c>
      <c r="F4488" s="3" t="s">
        <v>239</v>
      </c>
      <c r="G4488" s="3" t="s">
        <v>1451</v>
      </c>
      <c r="H4488" s="2" t="s">
        <v>148</v>
      </c>
      <c r="I4488" s="2" t="s">
        <v>12002</v>
      </c>
      <c r="J4488" s="3" t="str">
        <f>HYPERLINK("https://www.boe.es/gazeta/dias/1811/06/06/pdfs/GEI-1811-76.pdf#page=8","Abrir facsímil")</f>
        <v>Abrir facsímil</v>
      </c>
      <c r="K4488" s="3" t="s">
        <v>150</v>
      </c>
    </row>
    <row r="4489" spans="1:11" ht="42" customHeight="1">
      <c r="A4489" s="2" t="s">
        <v>12003</v>
      </c>
      <c r="B4489" s="2" t="s">
        <v>12003</v>
      </c>
      <c r="C4489" s="2" t="s">
        <v>17</v>
      </c>
      <c r="D4489" s="2" t="s">
        <v>18</v>
      </c>
      <c r="E4489" s="4">
        <v>-32227</v>
      </c>
      <c r="F4489" s="3" t="s">
        <v>4688</v>
      </c>
      <c r="G4489" s="3" t="s">
        <v>44</v>
      </c>
      <c r="H4489" s="2" t="s">
        <v>148</v>
      </c>
      <c r="I4489" s="2" t="s">
        <v>12004</v>
      </c>
      <c r="J4489" s="3" t="str">
        <f>HYPERLINK("https://www.boe.es/gazeta/dias/1811/10/06/pdfs/GMD-1811-279.pdf#page=4","Abrir facsímil")</f>
        <v>Abrir facsímil</v>
      </c>
      <c r="K4489" s="3" t="s">
        <v>150</v>
      </c>
    </row>
    <row r="4490" spans="1:11" ht="42" customHeight="1">
      <c r="A4490" s="2" t="s">
        <v>12005</v>
      </c>
      <c r="B4490" s="2" t="s">
        <v>12005</v>
      </c>
      <c r="C4490" s="2" t="s">
        <v>17</v>
      </c>
      <c r="D4490" s="2" t="s">
        <v>18</v>
      </c>
      <c r="E4490" s="4">
        <v>-32488</v>
      </c>
      <c r="F4490" s="3" t="s">
        <v>3154</v>
      </c>
      <c r="G4490" s="3" t="s">
        <v>115</v>
      </c>
      <c r="H4490" s="2" t="s">
        <v>148</v>
      </c>
      <c r="I4490" s="2" t="s">
        <v>12006</v>
      </c>
      <c r="J4490" s="3" t="str">
        <f>HYPERLINK("https://www.boe.es/gazeta/dias/1811/01/18/pdfs/GMD-1811-18.pdf#page=3","Abrir facsímil")</f>
        <v>Abrir facsímil</v>
      </c>
      <c r="K4490" s="3" t="s">
        <v>150</v>
      </c>
    </row>
    <row r="4491" spans="1:11" ht="42" customHeight="1">
      <c r="A4491" s="2" t="s">
        <v>12007</v>
      </c>
      <c r="B4491" s="2" t="s">
        <v>12008</v>
      </c>
      <c r="C4491" s="2" t="s">
        <v>17</v>
      </c>
      <c r="D4491" s="2" t="s">
        <v>156</v>
      </c>
      <c r="E4491" s="4">
        <v>-32176</v>
      </c>
      <c r="F4491" s="3" t="s">
        <v>638</v>
      </c>
      <c r="G4491" s="3" t="s">
        <v>515</v>
      </c>
      <c r="H4491" s="2" t="s">
        <v>148</v>
      </c>
      <c r="I4491" s="2" t="s">
        <v>12009</v>
      </c>
      <c r="J4491" s="3" t="str">
        <f>HYPERLINK("https://www.boe.es/gazeta/dias/1811/11/26/pdfs/GEI-1811-154.pdf#page=3","Abrir facsímil")</f>
        <v>Abrir facsímil</v>
      </c>
      <c r="K4491" s="3" t="s">
        <v>150</v>
      </c>
    </row>
    <row r="4492" spans="1:11" ht="42" customHeight="1">
      <c r="A4492" s="2" t="s">
        <v>12010</v>
      </c>
      <c r="B4492" s="2" t="s">
        <v>12011</v>
      </c>
      <c r="C4492" s="2" t="s">
        <v>26</v>
      </c>
      <c r="D4492" s="2" t="s">
        <v>18</v>
      </c>
      <c r="E4492" s="4">
        <v>-32286</v>
      </c>
      <c r="F4492" s="3" t="s">
        <v>754</v>
      </c>
      <c r="G4492" s="3" t="s">
        <v>1728</v>
      </c>
      <c r="H4492" s="2" t="s">
        <v>148</v>
      </c>
      <c r="I4492" s="2" t="s">
        <v>12012</v>
      </c>
      <c r="J4492" s="3" t="str">
        <f>HYPERLINK("https://www.boe.es/gazeta/dias/1811/08/08/pdfs/GEI-1811-103.pdf#page=8","Abrir facsímil")</f>
        <v>Abrir facsímil</v>
      </c>
      <c r="K4492" s="3" t="s">
        <v>150</v>
      </c>
    </row>
    <row r="4493" spans="1:11" ht="42" customHeight="1">
      <c r="A4493" s="2" t="s">
        <v>12013</v>
      </c>
      <c r="B4493" s="2" t="s">
        <v>12013</v>
      </c>
      <c r="C4493" s="2" t="s">
        <v>17</v>
      </c>
      <c r="D4493" s="2" t="s">
        <v>18</v>
      </c>
      <c r="E4493" s="4">
        <v>-32285</v>
      </c>
      <c r="F4493" s="3" t="s">
        <v>3716</v>
      </c>
      <c r="G4493" s="3" t="s">
        <v>162</v>
      </c>
      <c r="H4493" s="2" t="s">
        <v>148</v>
      </c>
      <c r="I4493" s="2" t="s">
        <v>12014</v>
      </c>
      <c r="J4493" s="3" t="str">
        <f>HYPERLINK("https://www.boe.es/gazeta/dias/1811/08/09/pdfs/GMD-1811-221.pdf#page=2","Abrir facsímil")</f>
        <v>Abrir facsímil</v>
      </c>
      <c r="K4493" s="3" t="s">
        <v>150</v>
      </c>
    </row>
    <row r="4494" spans="1:11" ht="42" customHeight="1">
      <c r="A4494" s="2" t="s">
        <v>12015</v>
      </c>
      <c r="B4494" s="2" t="s">
        <v>12015</v>
      </c>
      <c r="C4494" s="2" t="s">
        <v>17</v>
      </c>
      <c r="D4494" s="2" t="s">
        <v>156</v>
      </c>
      <c r="E4494" s="4">
        <v>-32368</v>
      </c>
      <c r="F4494" s="3" t="s">
        <v>2511</v>
      </c>
      <c r="G4494" s="3" t="s">
        <v>20</v>
      </c>
      <c r="H4494" s="2" t="s">
        <v>148</v>
      </c>
      <c r="I4494" s="2" t="s">
        <v>12016</v>
      </c>
      <c r="J4494" s="3" t="str">
        <f>HYPERLINK("https://www.boe.es/gazeta/dias/1811/05/18/pdfs/GEI-1811-65.pdf#page=8","Abrir facsímil")</f>
        <v>Abrir facsímil</v>
      </c>
      <c r="K4494" s="3" t="s">
        <v>150</v>
      </c>
    </row>
    <row r="4495" spans="1:11" ht="42" customHeight="1">
      <c r="A4495" s="2" t="s">
        <v>12017</v>
      </c>
      <c r="B4495" s="2" t="s">
        <v>12018</v>
      </c>
      <c r="C4495" s="2" t="s">
        <v>26</v>
      </c>
      <c r="D4495" s="2" t="s">
        <v>18</v>
      </c>
      <c r="E4495" s="4">
        <v>-32263</v>
      </c>
      <c r="F4495" s="3" t="s">
        <v>128</v>
      </c>
      <c r="G4495" s="3" t="s">
        <v>925</v>
      </c>
      <c r="H4495" s="2" t="s">
        <v>148</v>
      </c>
      <c r="I4495" s="2" t="s">
        <v>12019</v>
      </c>
      <c r="J4495" s="3" t="str">
        <f>HYPERLINK("https://www.boe.es/gazeta/dias/1811/08/31/pdfs/GEI-1811-113.pdf#page=7","Abrir facsímil")</f>
        <v>Abrir facsímil</v>
      </c>
      <c r="K4495" s="3" t="s">
        <v>150</v>
      </c>
    </row>
    <row r="4496" spans="1:11" ht="42" customHeight="1">
      <c r="A4496" s="2" t="s">
        <v>12020</v>
      </c>
      <c r="B4496" s="2" t="s">
        <v>12020</v>
      </c>
      <c r="C4496" s="2" t="s">
        <v>26</v>
      </c>
      <c r="D4496" s="2" t="s">
        <v>18</v>
      </c>
      <c r="E4496" s="4">
        <v>-32417</v>
      </c>
      <c r="F4496" s="3" t="s">
        <v>7066</v>
      </c>
      <c r="G4496" s="3" t="s">
        <v>12021</v>
      </c>
      <c r="H4496" s="2" t="s">
        <v>148</v>
      </c>
      <c r="I4496" s="2" t="s">
        <v>12022</v>
      </c>
      <c r="J4496" s="3" t="str">
        <f>HYPERLINK("https://www.boe.es/gazeta/dias/1811/03/30/pdfs/GEI-1811-44.pdf#page=2","Abrir facsímil")</f>
        <v>Abrir facsímil</v>
      </c>
      <c r="K4496" s="3" t="s">
        <v>150</v>
      </c>
    </row>
    <row r="4497" spans="1:11" ht="42" customHeight="1">
      <c r="A4497" s="2" t="s">
        <v>12020</v>
      </c>
      <c r="B4497" s="2" t="s">
        <v>12020</v>
      </c>
      <c r="C4497" s="2" t="s">
        <v>17</v>
      </c>
      <c r="D4497" s="2" t="s">
        <v>156</v>
      </c>
      <c r="E4497" s="4">
        <v>-32417</v>
      </c>
      <c r="F4497" s="3" t="s">
        <v>7066</v>
      </c>
      <c r="G4497" s="3" t="s">
        <v>510</v>
      </c>
      <c r="H4497" s="2" t="s">
        <v>148</v>
      </c>
      <c r="I4497" s="2" t="s">
        <v>12023</v>
      </c>
      <c r="J4497" s="3" t="str">
        <f>HYPERLINK("https://www.boe.es/gazeta/dias/1811/03/30/pdfs/GEI-1811-44.pdf#page=8","Abrir facsímil")</f>
        <v>Abrir facsímil</v>
      </c>
      <c r="K4497" s="3" t="s">
        <v>150</v>
      </c>
    </row>
    <row r="4498" spans="1:11" ht="42" customHeight="1">
      <c r="A4498" s="2" t="s">
        <v>12024</v>
      </c>
      <c r="B4498" s="2" t="s">
        <v>12025</v>
      </c>
      <c r="C4498" s="2" t="s">
        <v>26</v>
      </c>
      <c r="D4498" s="2" t="s">
        <v>18</v>
      </c>
      <c r="E4498" s="4">
        <v>-32286</v>
      </c>
      <c r="F4498" s="3" t="s">
        <v>754</v>
      </c>
      <c r="G4498" s="3" t="s">
        <v>1728</v>
      </c>
      <c r="H4498" s="2" t="s">
        <v>148</v>
      </c>
      <c r="I4498" s="2" t="s">
        <v>12026</v>
      </c>
      <c r="J4498" s="3" t="str">
        <f>HYPERLINK("https://www.boe.es/gazeta/dias/1811/08/08/pdfs/GEI-1811-103.pdf#page=8","Abrir facsímil")</f>
        <v>Abrir facsímil</v>
      </c>
      <c r="K4498" s="3" t="s">
        <v>150</v>
      </c>
    </row>
    <row r="4499" spans="1:11" ht="42" customHeight="1">
      <c r="A4499" s="2" t="s">
        <v>12027</v>
      </c>
      <c r="B4499" s="2" t="s">
        <v>12027</v>
      </c>
      <c r="C4499" s="2" t="s">
        <v>17</v>
      </c>
      <c r="D4499" s="2" t="s">
        <v>156</v>
      </c>
      <c r="E4499" s="4">
        <v>-32193</v>
      </c>
      <c r="F4499" s="3" t="s">
        <v>6497</v>
      </c>
      <c r="G4499" s="3" t="s">
        <v>162</v>
      </c>
      <c r="H4499" s="2" t="s">
        <v>148</v>
      </c>
      <c r="I4499" s="2" t="s">
        <v>12028</v>
      </c>
      <c r="J4499" s="3" t="str">
        <f>HYPERLINK("https://www.boe.es/gazeta/dias/1811/11/09/pdfs/GMD-1811-313.pdf#page=1","Abrir facsímil")</f>
        <v>Abrir facsímil</v>
      </c>
      <c r="K4499" s="3" t="s">
        <v>150</v>
      </c>
    </row>
    <row r="4500" spans="1:11" ht="42" customHeight="1">
      <c r="A4500" s="2" t="s">
        <v>12029</v>
      </c>
      <c r="B4500" s="2" t="s">
        <v>12030</v>
      </c>
      <c r="C4500" s="2" t="s">
        <v>17</v>
      </c>
      <c r="D4500" s="2" t="s">
        <v>18</v>
      </c>
      <c r="E4500" s="4">
        <v>-32480</v>
      </c>
      <c r="F4500" s="3" t="s">
        <v>2421</v>
      </c>
      <c r="G4500" s="3" t="s">
        <v>20</v>
      </c>
      <c r="H4500" s="2" t="s">
        <v>148</v>
      </c>
      <c r="I4500" s="2" t="s">
        <v>12031</v>
      </c>
      <c r="J4500" s="3" t="str">
        <f>HYPERLINK("https://www.boe.es/gazeta/dias/1811/01/26/pdfs/GMD-1811-26.pdf#page=4","Abrir facsímil")</f>
        <v>Abrir facsímil</v>
      </c>
      <c r="K4500" s="3" t="s">
        <v>150</v>
      </c>
    </row>
    <row r="4501" spans="1:11" ht="42" customHeight="1">
      <c r="A4501" s="2" t="s">
        <v>12032</v>
      </c>
      <c r="B4501" s="2" t="s">
        <v>12032</v>
      </c>
      <c r="C4501" s="2" t="s">
        <v>17</v>
      </c>
      <c r="D4501" s="2" t="s">
        <v>18</v>
      </c>
      <c r="E4501" s="4">
        <v>-32379</v>
      </c>
      <c r="F4501" s="3" t="s">
        <v>462</v>
      </c>
      <c r="G4501" s="3" t="s">
        <v>4609</v>
      </c>
      <c r="H4501" s="2" t="s">
        <v>148</v>
      </c>
      <c r="I4501" s="2" t="s">
        <v>12033</v>
      </c>
      <c r="J4501" s="3" t="str">
        <f>HYPERLINK("https://www.boe.es/gazeta/dias/1811/05/07/pdfs/GEI-1811-60.pdf#page=2","Abrir facsímil")</f>
        <v>Abrir facsímil</v>
      </c>
      <c r="K4501" s="3" t="s">
        <v>150</v>
      </c>
    </row>
    <row r="4502" spans="1:11" ht="42" customHeight="1">
      <c r="A4502" s="2" t="s">
        <v>12034</v>
      </c>
      <c r="B4502" s="2" t="s">
        <v>12035</v>
      </c>
      <c r="C4502" s="2" t="s">
        <v>26</v>
      </c>
      <c r="D4502" s="2" t="s">
        <v>18</v>
      </c>
      <c r="E4502" s="4">
        <v>-32505</v>
      </c>
      <c r="F4502" s="3" t="s">
        <v>475</v>
      </c>
      <c r="G4502" s="3" t="s">
        <v>755</v>
      </c>
      <c r="H4502" s="2" t="s">
        <v>148</v>
      </c>
      <c r="I4502" s="2" t="s">
        <v>12036</v>
      </c>
      <c r="J4502" s="3" t="str">
        <f>HYPERLINK("https://www.boe.es/gazeta/dias/1811/01/01/pdfs/GEI-1811-1.pdf#page=8","Abrir facsímil")</f>
        <v>Abrir facsímil</v>
      </c>
      <c r="K4502" s="3" t="s">
        <v>150</v>
      </c>
    </row>
    <row r="4503" spans="1:11" ht="42" customHeight="1">
      <c r="A4503" s="2" t="s">
        <v>12037</v>
      </c>
      <c r="B4503" s="2" t="s">
        <v>12038</v>
      </c>
      <c r="C4503" s="2" t="s">
        <v>26</v>
      </c>
      <c r="D4503" s="2" t="s">
        <v>18</v>
      </c>
      <c r="E4503" s="4">
        <v>-32286</v>
      </c>
      <c r="F4503" s="3" t="s">
        <v>754</v>
      </c>
      <c r="G4503" s="3" t="s">
        <v>1728</v>
      </c>
      <c r="H4503" s="2" t="s">
        <v>148</v>
      </c>
      <c r="I4503" s="2" t="s">
        <v>12039</v>
      </c>
      <c r="J4503" s="3" t="str">
        <f>HYPERLINK("https://www.boe.es/gazeta/dias/1811/08/08/pdfs/GEI-1811-103.pdf#page=8","Abrir facsímil")</f>
        <v>Abrir facsímil</v>
      </c>
      <c r="K4503" s="3" t="s">
        <v>150</v>
      </c>
    </row>
    <row r="4504" spans="1:11" ht="42" customHeight="1">
      <c r="A4504" s="2" t="s">
        <v>12040</v>
      </c>
      <c r="B4504" s="2" t="s">
        <v>12040</v>
      </c>
      <c r="C4504" s="2" t="s">
        <v>104</v>
      </c>
      <c r="D4504" s="2" t="s">
        <v>18</v>
      </c>
      <c r="E4504" s="4">
        <v>-32246</v>
      </c>
      <c r="F4504" s="3" t="s">
        <v>19</v>
      </c>
      <c r="G4504" s="3" t="s">
        <v>5368</v>
      </c>
      <c r="H4504" s="2" t="s">
        <v>148</v>
      </c>
      <c r="I4504" s="2" t="s">
        <v>12041</v>
      </c>
      <c r="J4504" s="3" t="str">
        <f>HYPERLINK("https://www.boe.es/gazeta/dias/1811/09/17/pdfs/GEI-1811-120.pdf#page=9","Abrir facsímil")</f>
        <v>Abrir facsímil</v>
      </c>
      <c r="K4504" s="3" t="s">
        <v>150</v>
      </c>
    </row>
    <row r="4505" spans="1:11" ht="42" customHeight="1">
      <c r="A4505" s="2" t="s">
        <v>12042</v>
      </c>
      <c r="B4505" s="2" t="s">
        <v>12042</v>
      </c>
      <c r="C4505" s="2" t="s">
        <v>37</v>
      </c>
      <c r="D4505" s="2" t="s">
        <v>18</v>
      </c>
      <c r="E4505" s="4">
        <v>-32407</v>
      </c>
      <c r="F4505" s="3" t="s">
        <v>38</v>
      </c>
      <c r="G4505" s="3" t="s">
        <v>480</v>
      </c>
      <c r="H4505" s="2" t="s">
        <v>148</v>
      </c>
      <c r="I4505" s="2" t="s">
        <v>12043</v>
      </c>
      <c r="J4505" s="3" t="str">
        <f>HYPERLINK("https://www.boe.es/gazeta/dias/1811/04/09/pdfs/GEI-1811-48.pdf#page=4","Abrir facsímil")</f>
        <v>Abrir facsímil</v>
      </c>
      <c r="K4505" s="3" t="s">
        <v>150</v>
      </c>
    </row>
    <row r="4506" spans="1:11" ht="42" customHeight="1">
      <c r="A4506" s="2" t="s">
        <v>12044</v>
      </c>
      <c r="B4506" s="2" t="s">
        <v>12044</v>
      </c>
      <c r="C4506" s="2" t="s">
        <v>17</v>
      </c>
      <c r="D4506" s="2" t="s">
        <v>156</v>
      </c>
      <c r="E4506" s="4">
        <v>-32349</v>
      </c>
      <c r="F4506" s="3" t="s">
        <v>239</v>
      </c>
      <c r="G4506" s="3" t="s">
        <v>240</v>
      </c>
      <c r="H4506" s="2" t="s">
        <v>148</v>
      </c>
      <c r="I4506" s="2" t="s">
        <v>12045</v>
      </c>
      <c r="J4506" s="3" t="str">
        <f>HYPERLINK("https://www.boe.es/gazeta/dias/1811/06/06/pdfs/GEI-1811-76.pdf#page=6","Abrir facsímil")</f>
        <v>Abrir facsímil</v>
      </c>
      <c r="K4506" s="3" t="s">
        <v>150</v>
      </c>
    </row>
    <row r="4507" spans="1:11" ht="42" customHeight="1">
      <c r="A4507" s="2" t="s">
        <v>12046</v>
      </c>
      <c r="B4507" s="2" t="s">
        <v>12046</v>
      </c>
      <c r="C4507" s="2" t="s">
        <v>26</v>
      </c>
      <c r="D4507" s="2" t="s">
        <v>141</v>
      </c>
      <c r="E4507" s="4">
        <v>-32355</v>
      </c>
      <c r="F4507" s="3" t="s">
        <v>537</v>
      </c>
      <c r="G4507" s="3" t="s">
        <v>12047</v>
      </c>
      <c r="H4507" s="2" t="s">
        <v>148</v>
      </c>
      <c r="I4507" s="2" t="s">
        <v>12048</v>
      </c>
      <c r="J4507" s="3" t="str">
        <f>HYPERLINK("https://www.boe.es/gazeta/dias/1811/05/31/pdfs/GMD-C-1811-151.pdf#page=13","Abrir facsímil")</f>
        <v>Abrir facsímil</v>
      </c>
      <c r="K4507" s="3" t="s">
        <v>150</v>
      </c>
    </row>
    <row r="4508" spans="1:11" ht="42" customHeight="1">
      <c r="A4508" s="2" t="s">
        <v>12049</v>
      </c>
      <c r="B4508" s="2" t="s">
        <v>12050</v>
      </c>
      <c r="C4508" s="2" t="s">
        <v>17</v>
      </c>
      <c r="D4508" s="2" t="s">
        <v>18</v>
      </c>
      <c r="E4508" s="4">
        <v>-32323</v>
      </c>
      <c r="F4508" s="3" t="s">
        <v>322</v>
      </c>
      <c r="G4508" s="3" t="s">
        <v>2164</v>
      </c>
      <c r="H4508" s="2" t="s">
        <v>148</v>
      </c>
      <c r="I4508" s="2" t="s">
        <v>12051</v>
      </c>
      <c r="J4508" s="3" t="str">
        <f>HYPERLINK("https://www.boe.es/gazeta/dias/1811/07/02/pdfs/GEI-1811-87.pdf#page=7","Abrir facsímil")</f>
        <v>Abrir facsímil</v>
      </c>
      <c r="K4508" s="3" t="s">
        <v>150</v>
      </c>
    </row>
    <row r="4509" spans="1:11" ht="42" customHeight="1">
      <c r="A4509" s="2" t="s">
        <v>12049</v>
      </c>
      <c r="B4509" s="2" t="s">
        <v>12050</v>
      </c>
      <c r="C4509" s="2" t="s">
        <v>122</v>
      </c>
      <c r="D4509" s="2" t="s">
        <v>18</v>
      </c>
      <c r="E4509" s="4">
        <v>-32284</v>
      </c>
      <c r="F4509" s="3" t="s">
        <v>170</v>
      </c>
      <c r="G4509" s="3" t="s">
        <v>1388</v>
      </c>
      <c r="H4509" s="2" t="s">
        <v>148</v>
      </c>
      <c r="I4509" s="2" t="s">
        <v>12052</v>
      </c>
      <c r="J4509" s="3" t="str">
        <f>HYPERLINK("https://www.boe.es/gazeta/dias/1811/08/10/pdfs/GEI-1811-104.pdf#page=8","Abrir facsímil")</f>
        <v>Abrir facsímil</v>
      </c>
      <c r="K4509" s="3" t="s">
        <v>150</v>
      </c>
    </row>
    <row r="4510" spans="1:11" ht="42" customHeight="1">
      <c r="A4510" s="2" t="s">
        <v>12049</v>
      </c>
      <c r="B4510" s="2" t="s">
        <v>12050</v>
      </c>
      <c r="C4510" s="2" t="s">
        <v>17</v>
      </c>
      <c r="D4510" s="2" t="s">
        <v>18</v>
      </c>
      <c r="E4510" s="4">
        <v>-32225</v>
      </c>
      <c r="F4510" s="3" t="s">
        <v>390</v>
      </c>
      <c r="G4510" s="3" t="s">
        <v>1368</v>
      </c>
      <c r="H4510" s="2" t="s">
        <v>148</v>
      </c>
      <c r="I4510" s="2" t="s">
        <v>12053</v>
      </c>
      <c r="J4510" s="3" t="str">
        <f>HYPERLINK("https://www.boe.es/gazeta/dias/1811/10/08/pdfs/GEI-1811-129.pdf#page=8","Abrir facsímil")</f>
        <v>Abrir facsímil</v>
      </c>
      <c r="K4510" s="3" t="s">
        <v>150</v>
      </c>
    </row>
    <row r="4511" spans="1:11" ht="42" customHeight="1">
      <c r="A4511" s="2" t="s">
        <v>12054</v>
      </c>
      <c r="B4511" s="2" t="s">
        <v>12055</v>
      </c>
      <c r="C4511" s="2" t="s">
        <v>26</v>
      </c>
      <c r="D4511" s="2" t="s">
        <v>18</v>
      </c>
      <c r="E4511" s="4">
        <v>-32193</v>
      </c>
      <c r="F4511" s="3" t="s">
        <v>1037</v>
      </c>
      <c r="G4511" s="3" t="s">
        <v>44</v>
      </c>
      <c r="H4511" s="2" t="s">
        <v>148</v>
      </c>
      <c r="I4511" s="2" t="s">
        <v>12056</v>
      </c>
      <c r="J4511" s="3" t="str">
        <f>HYPERLINK("https://www.boe.es/gazeta/dias/1811/11/09/pdfs/GEI-1811-145.pdf#page=4","Abrir facsímil")</f>
        <v>Abrir facsímil</v>
      </c>
      <c r="K4511" s="3" t="s">
        <v>150</v>
      </c>
    </row>
    <row r="4512" spans="1:11" ht="42" customHeight="1">
      <c r="A4512" s="2" t="s">
        <v>12057</v>
      </c>
      <c r="B4512" s="2" t="s">
        <v>12058</v>
      </c>
      <c r="C4512" s="2" t="s">
        <v>17</v>
      </c>
      <c r="D4512" s="2" t="s">
        <v>18</v>
      </c>
      <c r="E4512" s="4">
        <v>-32155</v>
      </c>
      <c r="F4512" s="3" t="s">
        <v>263</v>
      </c>
      <c r="G4512" s="3" t="s">
        <v>264</v>
      </c>
      <c r="H4512" s="2" t="s">
        <v>148</v>
      </c>
      <c r="I4512" s="2" t="s">
        <v>12059</v>
      </c>
      <c r="J4512" s="3" t="str">
        <f>HYPERLINK("https://www.boe.es/gazeta/dias/1811/12/17/pdfs/GEI-1811-163.pdf#page=8","Abrir facsímil")</f>
        <v>Abrir facsímil</v>
      </c>
      <c r="K4512" s="3" t="s">
        <v>150</v>
      </c>
    </row>
    <row r="4513" spans="1:11" ht="42" customHeight="1">
      <c r="A4513" s="2" t="s">
        <v>12060</v>
      </c>
      <c r="B4513" s="2" t="s">
        <v>12061</v>
      </c>
      <c r="C4513" s="2" t="s">
        <v>26</v>
      </c>
      <c r="D4513" s="2" t="s">
        <v>18</v>
      </c>
      <c r="E4513" s="4">
        <v>-32384</v>
      </c>
      <c r="F4513" s="3" t="s">
        <v>338</v>
      </c>
      <c r="G4513" s="3" t="s">
        <v>339</v>
      </c>
      <c r="H4513" s="2" t="s">
        <v>148</v>
      </c>
      <c r="I4513" s="2" t="s">
        <v>12062</v>
      </c>
      <c r="J4513" s="3" t="str">
        <f>HYPERLINK("https://www.boe.es/gazeta/dias/1811/05/02/pdfs/GEI-1811-58.pdf#page=8","Abrir facsímil")</f>
        <v>Abrir facsímil</v>
      </c>
      <c r="K4513" s="3" t="s">
        <v>150</v>
      </c>
    </row>
    <row r="4514" spans="1:11" ht="42" customHeight="1">
      <c r="A4514" s="2" t="s">
        <v>12063</v>
      </c>
      <c r="B4514" s="2" t="s">
        <v>12064</v>
      </c>
      <c r="C4514" s="2" t="s">
        <v>17</v>
      </c>
      <c r="D4514" s="2" t="s">
        <v>156</v>
      </c>
      <c r="E4514" s="4">
        <v>-32228</v>
      </c>
      <c r="F4514" s="3" t="s">
        <v>372</v>
      </c>
      <c r="G4514" s="3" t="s">
        <v>20</v>
      </c>
      <c r="H4514" s="2" t="s">
        <v>148</v>
      </c>
      <c r="I4514" s="2" t="s">
        <v>12065</v>
      </c>
      <c r="J4514" s="3" t="str">
        <f>HYPERLINK("https://www.boe.es/gazeta/dias/1811/10/05/pdfs/GEI-1811-128.pdf#page=8","Abrir facsímil")</f>
        <v>Abrir facsímil</v>
      </c>
      <c r="K4514" s="3" t="s">
        <v>150</v>
      </c>
    </row>
    <row r="4515" spans="1:11" ht="42" customHeight="1">
      <c r="A4515" s="2" t="s">
        <v>12066</v>
      </c>
      <c r="B4515" s="2" t="s">
        <v>12067</v>
      </c>
      <c r="C4515" s="2" t="s">
        <v>17</v>
      </c>
      <c r="D4515" s="2" t="s">
        <v>156</v>
      </c>
      <c r="E4515" s="4">
        <v>-32482</v>
      </c>
      <c r="F4515" s="3" t="s">
        <v>924</v>
      </c>
      <c r="G4515" s="3" t="s">
        <v>925</v>
      </c>
      <c r="H4515" s="2" t="s">
        <v>148</v>
      </c>
      <c r="I4515" s="2" t="s">
        <v>12068</v>
      </c>
      <c r="J4515" s="3" t="str">
        <f>HYPERLINK("https://www.boe.es/gazeta/dias/1811/01/24/pdfs/GEI-1811-11.pdf#page=6","Abrir facsímil")</f>
        <v>Abrir facsímil</v>
      </c>
      <c r="K4515" s="3" t="s">
        <v>150</v>
      </c>
    </row>
    <row r="4516" spans="1:11" ht="42" customHeight="1">
      <c r="A4516" s="2" t="s">
        <v>12069</v>
      </c>
      <c r="B4516" s="2" t="s">
        <v>12070</v>
      </c>
      <c r="C4516" s="2" t="s">
        <v>26</v>
      </c>
      <c r="D4516" s="2" t="s">
        <v>18</v>
      </c>
      <c r="E4516" s="4">
        <v>-32286</v>
      </c>
      <c r="F4516" s="3" t="s">
        <v>754</v>
      </c>
      <c r="G4516" s="3" t="s">
        <v>1728</v>
      </c>
      <c r="H4516" s="2" t="s">
        <v>148</v>
      </c>
      <c r="I4516" s="2" t="s">
        <v>12071</v>
      </c>
      <c r="J4516" s="3" t="str">
        <f>HYPERLINK("https://www.boe.es/gazeta/dias/1811/08/08/pdfs/GEI-1811-103.pdf#page=8","Abrir facsímil")</f>
        <v>Abrir facsímil</v>
      </c>
      <c r="K4516" s="3" t="s">
        <v>150</v>
      </c>
    </row>
    <row r="4517" spans="1:11" ht="42" customHeight="1">
      <c r="A4517" s="2" t="s">
        <v>12072</v>
      </c>
      <c r="B4517" s="2" t="s">
        <v>12073</v>
      </c>
      <c r="C4517" s="2" t="s">
        <v>26</v>
      </c>
      <c r="D4517" s="2" t="s">
        <v>18</v>
      </c>
      <c r="E4517" s="4">
        <v>-32188</v>
      </c>
      <c r="F4517" s="3" t="s">
        <v>356</v>
      </c>
      <c r="G4517" s="3" t="s">
        <v>248</v>
      </c>
      <c r="H4517" s="2" t="s">
        <v>148</v>
      </c>
      <c r="I4517" s="2" t="s">
        <v>12074</v>
      </c>
      <c r="J4517" s="3" t="str">
        <f>HYPERLINK("https://www.boe.es/gazeta/dias/1811/11/14/pdfs/GMD-1811-318.pdf#page=5","Abrir facsímil")</f>
        <v>Abrir facsímil</v>
      </c>
      <c r="K4517" s="3" t="s">
        <v>150</v>
      </c>
    </row>
    <row r="4518" spans="1:11" ht="42" customHeight="1">
      <c r="A4518" s="2" t="s">
        <v>12075</v>
      </c>
      <c r="B4518" s="2" t="s">
        <v>12076</v>
      </c>
      <c r="C4518" s="2" t="s">
        <v>26</v>
      </c>
      <c r="D4518" s="2" t="s">
        <v>18</v>
      </c>
      <c r="E4518" s="4">
        <v>-32379</v>
      </c>
      <c r="F4518" s="3" t="s">
        <v>462</v>
      </c>
      <c r="G4518" s="3" t="s">
        <v>463</v>
      </c>
      <c r="H4518" s="2" t="s">
        <v>148</v>
      </c>
      <c r="I4518" s="2" t="s">
        <v>12077</v>
      </c>
      <c r="J4518" s="3" t="str">
        <f>HYPERLINK("https://www.boe.es/gazeta/dias/1811/05/07/pdfs/GEI-1811-60.pdf#page=8","Abrir facsímil")</f>
        <v>Abrir facsímil</v>
      </c>
      <c r="K4518" s="3" t="s">
        <v>150</v>
      </c>
    </row>
    <row r="4519" spans="1:11" ht="42" customHeight="1">
      <c r="A4519" s="2" t="s">
        <v>12078</v>
      </c>
      <c r="B4519" s="2" t="s">
        <v>12079</v>
      </c>
      <c r="C4519" s="2" t="s">
        <v>26</v>
      </c>
      <c r="D4519" s="2" t="s">
        <v>141</v>
      </c>
      <c r="E4519" s="4">
        <v>-32238</v>
      </c>
      <c r="F4519" s="3" t="s">
        <v>166</v>
      </c>
      <c r="G4519" s="3" t="s">
        <v>178</v>
      </c>
      <c r="H4519" s="2" t="s">
        <v>148</v>
      </c>
      <c r="I4519" s="2" t="s">
        <v>12080</v>
      </c>
      <c r="J4519" s="3" t="str">
        <f>HYPERLINK("https://www.boe.es/gazeta/dias/1811/09/25/pdfs/GMD-C-1811-268.pdf#page=4","Abrir facsímil")</f>
        <v>Abrir facsímil</v>
      </c>
      <c r="K4519" s="3" t="s">
        <v>150</v>
      </c>
    </row>
    <row r="4520" spans="1:11" ht="42" customHeight="1">
      <c r="A4520" s="2" t="s">
        <v>12081</v>
      </c>
      <c r="B4520" s="2" t="s">
        <v>12082</v>
      </c>
      <c r="C4520" s="2" t="s">
        <v>17</v>
      </c>
      <c r="D4520" s="2" t="s">
        <v>156</v>
      </c>
      <c r="E4520" s="4">
        <v>-32470</v>
      </c>
      <c r="F4520" s="3" t="s">
        <v>1432</v>
      </c>
      <c r="G4520" s="3" t="s">
        <v>1784</v>
      </c>
      <c r="H4520" s="2" t="s">
        <v>148</v>
      </c>
      <c r="I4520" s="2" t="s">
        <v>12083</v>
      </c>
      <c r="J4520" s="3" t="str">
        <f>HYPERLINK("https://www.boe.es/gazeta/dias/1811/02/05/pdfs/GEI-1811-16.pdf#page=7","Abrir facsímil")</f>
        <v>Abrir facsímil</v>
      </c>
      <c r="K4520" s="3" t="s">
        <v>150</v>
      </c>
    </row>
    <row r="4521" spans="1:11" ht="42" customHeight="1">
      <c r="A4521" s="2" t="s">
        <v>12084</v>
      </c>
      <c r="B4521" s="2" t="s">
        <v>12085</v>
      </c>
      <c r="C4521" s="2" t="s">
        <v>26</v>
      </c>
      <c r="D4521" s="2" t="s">
        <v>18</v>
      </c>
      <c r="E4521" s="4">
        <v>-32295</v>
      </c>
      <c r="F4521" s="3" t="s">
        <v>279</v>
      </c>
      <c r="G4521" s="3" t="s">
        <v>44</v>
      </c>
      <c r="H4521" s="2" t="s">
        <v>148</v>
      </c>
      <c r="I4521" s="2" t="s">
        <v>12086</v>
      </c>
      <c r="J4521" s="3" t="str">
        <f>HYPERLINK("https://www.boe.es/gazeta/dias/1811/07/30/pdfs/GEI-1811-99.pdf#page=8","Abrir facsímil")</f>
        <v>Abrir facsímil</v>
      </c>
      <c r="K4521" s="3" t="s">
        <v>150</v>
      </c>
    </row>
    <row r="4522" spans="1:11" ht="42" customHeight="1">
      <c r="A4522" s="2" t="s">
        <v>12087</v>
      </c>
      <c r="B4522" s="2" t="s">
        <v>12088</v>
      </c>
      <c r="C4522" s="2" t="s">
        <v>26</v>
      </c>
      <c r="D4522" s="2" t="s">
        <v>18</v>
      </c>
      <c r="E4522" s="4">
        <v>-32153</v>
      </c>
      <c r="F4522" s="3" t="s">
        <v>123</v>
      </c>
      <c r="G4522" s="3" t="s">
        <v>288</v>
      </c>
      <c r="H4522" s="2" t="s">
        <v>148</v>
      </c>
      <c r="I4522" s="2" t="s">
        <v>12089</v>
      </c>
      <c r="J4522" s="3" t="str">
        <f>HYPERLINK("https://www.boe.es/gazeta/dias/1811/12/19/pdfs/GMD-1811-353.pdf#page=4","Abrir facsímil")</f>
        <v>Abrir facsímil</v>
      </c>
      <c r="K4522" s="3" t="s">
        <v>150</v>
      </c>
    </row>
    <row r="4523" spans="1:11" ht="42" customHeight="1">
      <c r="A4523" s="2" t="s">
        <v>12090</v>
      </c>
      <c r="B4523" s="2" t="s">
        <v>12090</v>
      </c>
      <c r="C4523" s="2" t="s">
        <v>66</v>
      </c>
      <c r="D4523" s="2" t="s">
        <v>18</v>
      </c>
      <c r="E4523" s="4">
        <v>-32356</v>
      </c>
      <c r="F4523" s="3" t="s">
        <v>648</v>
      </c>
      <c r="G4523" s="3" t="s">
        <v>115</v>
      </c>
      <c r="H4523" s="2" t="s">
        <v>148</v>
      </c>
      <c r="I4523" s="2" t="s">
        <v>12091</v>
      </c>
      <c r="J4523" s="3" t="str">
        <f>HYPERLINK("https://www.boe.es/gazeta/dias/1811/05/30/pdfs/GMD-1811-150.pdf#page=3","Abrir facsímil")</f>
        <v>Abrir facsímil</v>
      </c>
      <c r="K4523" s="3" t="s">
        <v>150</v>
      </c>
    </row>
    <row r="4524" spans="1:11" ht="42" customHeight="1">
      <c r="A4524" s="2" t="s">
        <v>12090</v>
      </c>
      <c r="B4524" s="2" t="s">
        <v>12090</v>
      </c>
      <c r="C4524" s="2" t="s">
        <v>26</v>
      </c>
      <c r="D4524" s="2" t="s">
        <v>204</v>
      </c>
      <c r="E4524" s="4">
        <v>-32160</v>
      </c>
      <c r="F4524" s="3" t="s">
        <v>205</v>
      </c>
      <c r="G4524" s="3" t="s">
        <v>115</v>
      </c>
      <c r="H4524" s="2" t="s">
        <v>148</v>
      </c>
      <c r="I4524" s="2" t="s">
        <v>12092</v>
      </c>
      <c r="J4524" s="3" t="str">
        <f>HYPERLINK("https://www.boe.es/gazeta/dias/1811/12/12/pdfs/GMD-1811-346.pdf#page=3","Abrir facsímil")</f>
        <v>Abrir facsímil</v>
      </c>
      <c r="K4524" s="3" t="s">
        <v>150</v>
      </c>
    </row>
    <row r="4525" spans="1:11" ht="42" customHeight="1">
      <c r="A4525" s="2" t="s">
        <v>12093</v>
      </c>
      <c r="B4525" s="2" t="s">
        <v>12093</v>
      </c>
      <c r="C4525" s="2" t="s">
        <v>26</v>
      </c>
      <c r="D4525" s="2" t="s">
        <v>18</v>
      </c>
      <c r="E4525" s="4">
        <v>-32461</v>
      </c>
      <c r="F4525" s="3" t="s">
        <v>1383</v>
      </c>
      <c r="G4525" s="3" t="s">
        <v>553</v>
      </c>
      <c r="H4525" s="2" t="s">
        <v>148</v>
      </c>
      <c r="I4525" s="2" t="s">
        <v>12094</v>
      </c>
      <c r="J4525" s="3" t="str">
        <f>HYPERLINK("https://www.boe.es/gazeta/dias/1811/02/14/pdfs/GMD-1811-45.pdf#page=4","Abrir facsímil")</f>
        <v>Abrir facsímil</v>
      </c>
      <c r="K4525" s="3" t="s">
        <v>150</v>
      </c>
    </row>
    <row r="4526" spans="1:11" ht="42" customHeight="1">
      <c r="A4526" s="2" t="s">
        <v>12095</v>
      </c>
      <c r="B4526" s="2" t="s">
        <v>12095</v>
      </c>
      <c r="C4526" s="2" t="s">
        <v>26</v>
      </c>
      <c r="D4526" s="2" t="s">
        <v>105</v>
      </c>
      <c r="E4526" s="4">
        <v>-32461</v>
      </c>
      <c r="F4526" s="3" t="s">
        <v>1383</v>
      </c>
      <c r="G4526" s="3" t="s">
        <v>553</v>
      </c>
      <c r="H4526" s="2" t="s">
        <v>148</v>
      </c>
      <c r="I4526" s="2" t="s">
        <v>12096</v>
      </c>
      <c r="J4526" s="3" t="str">
        <f>HYPERLINK("https://www.boe.es/gazeta/dias/1811/02/14/pdfs/GMD-1811-45.pdf#page=4","Abrir facsímil")</f>
        <v>Abrir facsímil</v>
      </c>
      <c r="K4526" s="3" t="s">
        <v>150</v>
      </c>
    </row>
    <row r="4527" spans="1:11" ht="42" customHeight="1">
      <c r="A4527" s="2" t="s">
        <v>12097</v>
      </c>
      <c r="B4527" s="2" t="s">
        <v>12097</v>
      </c>
      <c r="C4527" s="2" t="s">
        <v>26</v>
      </c>
      <c r="D4527" s="2" t="s">
        <v>18</v>
      </c>
      <c r="E4527" s="4">
        <v>-32288</v>
      </c>
      <c r="F4527" s="3" t="s">
        <v>95</v>
      </c>
      <c r="G4527" s="3" t="s">
        <v>47</v>
      </c>
      <c r="H4527" s="2" t="s">
        <v>148</v>
      </c>
      <c r="I4527" s="2" t="s">
        <v>12098</v>
      </c>
      <c r="J4527" s="3" t="str">
        <f>HYPERLINK("https://www.boe.es/gazeta/dias/1811/08/06/pdfs/GEI-1811-102.pdf#page=8","Abrir facsímil")</f>
        <v>Abrir facsímil</v>
      </c>
      <c r="K4527" s="3" t="s">
        <v>150</v>
      </c>
    </row>
    <row r="4528" spans="1:11" ht="42" customHeight="1">
      <c r="A4528" s="2" t="s">
        <v>12099</v>
      </c>
      <c r="B4528" s="2" t="s">
        <v>12099</v>
      </c>
      <c r="C4528" s="2" t="s">
        <v>26</v>
      </c>
      <c r="D4528" s="2" t="s">
        <v>18</v>
      </c>
      <c r="E4528" s="4">
        <v>-32471</v>
      </c>
      <c r="F4528" s="3" t="s">
        <v>1571</v>
      </c>
      <c r="G4528" s="3" t="s">
        <v>530</v>
      </c>
      <c r="H4528" s="2" t="s">
        <v>148</v>
      </c>
      <c r="I4528" s="2" t="s">
        <v>12100</v>
      </c>
      <c r="J4528" s="3" t="str">
        <f>HYPERLINK("https://www.boe.es/gazeta/dias/1811/02/04/pdfs/GMD-1811-35.pdf#page=3","Abrir facsímil")</f>
        <v>Abrir facsímil</v>
      </c>
      <c r="K4528" s="3" t="s">
        <v>150</v>
      </c>
    </row>
    <row r="4529" spans="1:11" ht="42" customHeight="1">
      <c r="A4529" s="2" t="s">
        <v>12101</v>
      </c>
      <c r="B4529" s="2" t="s">
        <v>12102</v>
      </c>
      <c r="C4529" s="2" t="s">
        <v>26</v>
      </c>
      <c r="D4529" s="2" t="s">
        <v>18</v>
      </c>
      <c r="E4529" s="4">
        <v>-32172</v>
      </c>
      <c r="F4529" s="3" t="s">
        <v>300</v>
      </c>
      <c r="G4529" s="3" t="s">
        <v>301</v>
      </c>
      <c r="H4529" s="2" t="s">
        <v>148</v>
      </c>
      <c r="I4529" s="2" t="s">
        <v>12103</v>
      </c>
      <c r="J4529" s="3" t="str">
        <f>HYPERLINK("https://www.boe.es/gazeta/dias/1811/11/30/pdfs/GMD-1811-334.pdf#page=4","Abrir facsímil")</f>
        <v>Abrir facsímil</v>
      </c>
      <c r="K4529" s="3" t="s">
        <v>150</v>
      </c>
    </row>
    <row r="4530" spans="1:11" ht="42" customHeight="1">
      <c r="A4530" s="2" t="s">
        <v>12104</v>
      </c>
      <c r="B4530" s="2" t="s">
        <v>12105</v>
      </c>
      <c r="C4530" s="2" t="s">
        <v>26</v>
      </c>
      <c r="D4530" s="2" t="s">
        <v>105</v>
      </c>
      <c r="E4530" s="4">
        <v>-32270</v>
      </c>
      <c r="F4530" s="3" t="s">
        <v>431</v>
      </c>
      <c r="G4530" s="3" t="s">
        <v>2080</v>
      </c>
      <c r="H4530" s="2" t="s">
        <v>148</v>
      </c>
      <c r="I4530" s="2" t="s">
        <v>12106</v>
      </c>
      <c r="J4530" s="3" t="str">
        <f>HYPERLINK("https://www.boe.es/gazeta/dias/1811/08/24/pdfs/GEI-1811-110.pdf#page=5","Abrir facsímil")</f>
        <v>Abrir facsímil</v>
      </c>
      <c r="K4530" s="3" t="s">
        <v>150</v>
      </c>
    </row>
    <row r="4531" spans="1:11" ht="42" customHeight="1">
      <c r="A4531" s="2" t="s">
        <v>12107</v>
      </c>
      <c r="B4531" s="2" t="s">
        <v>12107</v>
      </c>
      <c r="C4531" s="2" t="s">
        <v>17</v>
      </c>
      <c r="D4531" s="2" t="s">
        <v>156</v>
      </c>
      <c r="E4531" s="4">
        <v>-32433</v>
      </c>
      <c r="F4531" s="3" t="s">
        <v>676</v>
      </c>
      <c r="G4531" s="3" t="s">
        <v>1143</v>
      </c>
      <c r="H4531" s="2" t="s">
        <v>148</v>
      </c>
      <c r="I4531" s="2" t="s">
        <v>12108</v>
      </c>
      <c r="J4531" s="3" t="str">
        <f>HYPERLINK("https://www.boe.es/gazeta/dias/1811/03/14/pdfs/GEI-1811-37.pdf#page=8","Abrir facsímil")</f>
        <v>Abrir facsímil</v>
      </c>
      <c r="K4531" s="3" t="s">
        <v>150</v>
      </c>
    </row>
    <row r="4532" spans="1:11" ht="42" customHeight="1">
      <c r="A4532" s="2" t="s">
        <v>12109</v>
      </c>
      <c r="B4532" s="2" t="s">
        <v>12109</v>
      </c>
      <c r="C4532" s="2" t="s">
        <v>26</v>
      </c>
      <c r="D4532" s="2" t="s">
        <v>18</v>
      </c>
      <c r="E4532" s="4">
        <v>-32491</v>
      </c>
      <c r="F4532" s="3" t="s">
        <v>2280</v>
      </c>
      <c r="G4532" s="3" t="s">
        <v>115</v>
      </c>
      <c r="H4532" s="2" t="s">
        <v>148</v>
      </c>
      <c r="I4532" s="2" t="s">
        <v>12110</v>
      </c>
      <c r="J4532" s="3" t="str">
        <f>HYPERLINK("https://www.boe.es/gazeta/dias/1811/01/15/pdfs/GMD-1811-15.pdf#page=3","Abrir facsímil")</f>
        <v>Abrir facsímil</v>
      </c>
      <c r="K4532" s="3" t="s">
        <v>150</v>
      </c>
    </row>
    <row r="4533" spans="1:11" ht="42" customHeight="1">
      <c r="A4533" s="2" t="s">
        <v>12111</v>
      </c>
      <c r="B4533" s="2" t="s">
        <v>12111</v>
      </c>
      <c r="C4533" s="2" t="s">
        <v>37</v>
      </c>
      <c r="D4533" s="2" t="s">
        <v>204</v>
      </c>
      <c r="E4533" s="4">
        <v>-32499</v>
      </c>
      <c r="F4533" s="3" t="s">
        <v>1685</v>
      </c>
      <c r="G4533" s="3" t="s">
        <v>468</v>
      </c>
      <c r="H4533" s="2" t="s">
        <v>148</v>
      </c>
      <c r="I4533" s="2" t="s">
        <v>12112</v>
      </c>
      <c r="J4533" s="3" t="str">
        <f>HYPERLINK("https://www.boe.es/gazeta/dias/1811/01/07/pdfs/GMD-1811-7.pdf#page=1","Abrir facsímil")</f>
        <v>Abrir facsímil</v>
      </c>
      <c r="K4533" s="3" t="s">
        <v>150</v>
      </c>
    </row>
    <row r="4534" spans="1:11" ht="42" customHeight="1">
      <c r="A4534" s="2" t="s">
        <v>12113</v>
      </c>
      <c r="B4534" s="2" t="s">
        <v>12113</v>
      </c>
      <c r="C4534" s="2" t="s">
        <v>26</v>
      </c>
      <c r="D4534" s="2" t="s">
        <v>18</v>
      </c>
      <c r="E4534" s="4">
        <v>-32153</v>
      </c>
      <c r="F4534" s="3" t="s">
        <v>235</v>
      </c>
      <c r="G4534" s="3" t="s">
        <v>44</v>
      </c>
      <c r="H4534" s="2" t="s">
        <v>148</v>
      </c>
      <c r="I4534" s="2" t="s">
        <v>12114</v>
      </c>
      <c r="J4534" s="3" t="str">
        <f>HYPERLINK("https://www.boe.es/gazeta/dias/1811/12/19/pdfs/GEI-1811-164.pdf#page=4","Abrir facsímil")</f>
        <v>Abrir facsímil</v>
      </c>
      <c r="K4534" s="3" t="s">
        <v>150</v>
      </c>
    </row>
    <row r="4535" spans="1:11" ht="42" customHeight="1">
      <c r="A4535" s="2" t="s">
        <v>12115</v>
      </c>
      <c r="B4535" s="2" t="s">
        <v>12115</v>
      </c>
      <c r="C4535" s="2" t="s">
        <v>26</v>
      </c>
      <c r="D4535" s="2" t="s">
        <v>18</v>
      </c>
      <c r="E4535" s="4">
        <v>-32444</v>
      </c>
      <c r="F4535" s="3" t="s">
        <v>4512</v>
      </c>
      <c r="G4535" s="3" t="s">
        <v>20</v>
      </c>
      <c r="H4535" s="2" t="s">
        <v>148</v>
      </c>
      <c r="I4535" s="2" t="s">
        <v>12116</v>
      </c>
      <c r="J4535" s="3" t="str">
        <f>HYPERLINK("https://www.boe.es/gazeta/dias/1811/03/03/pdfs/GMD-1811-62.pdf#page=1","Abrir facsímil")</f>
        <v>Abrir facsímil</v>
      </c>
      <c r="K4535" s="3" t="s">
        <v>150</v>
      </c>
    </row>
    <row r="4536" spans="1:11" ht="42" customHeight="1">
      <c r="A4536" s="2" t="s">
        <v>12117</v>
      </c>
      <c r="B4536" s="2" t="s">
        <v>12118</v>
      </c>
      <c r="C4536" s="2" t="s">
        <v>26</v>
      </c>
      <c r="D4536" s="2" t="s">
        <v>18</v>
      </c>
      <c r="E4536" s="4">
        <v>-32428</v>
      </c>
      <c r="F4536" s="3" t="s">
        <v>1974</v>
      </c>
      <c r="G4536" s="3" t="s">
        <v>1977</v>
      </c>
      <c r="H4536" s="2" t="s">
        <v>148</v>
      </c>
      <c r="I4536" s="2" t="s">
        <v>12119</v>
      </c>
      <c r="J4536" s="3" t="str">
        <f>HYPERLINK("https://www.boe.es/gazeta/dias/1811/03/19/pdfs/GEI-1811-39.pdf#page=5","Abrir facsímil")</f>
        <v>Abrir facsímil</v>
      </c>
      <c r="K4536" s="3" t="s">
        <v>150</v>
      </c>
    </row>
    <row r="4537" spans="1:11" ht="42" customHeight="1">
      <c r="A4537" s="2" t="s">
        <v>12120</v>
      </c>
      <c r="B4537" s="2" t="s">
        <v>12121</v>
      </c>
      <c r="C4537" s="2" t="s">
        <v>26</v>
      </c>
      <c r="D4537" s="2" t="s">
        <v>18</v>
      </c>
      <c r="E4537" s="4">
        <v>-32288</v>
      </c>
      <c r="F4537" s="3" t="s">
        <v>95</v>
      </c>
      <c r="G4537" s="3" t="s">
        <v>47</v>
      </c>
      <c r="H4537" s="2" t="s">
        <v>148</v>
      </c>
      <c r="I4537" s="2" t="s">
        <v>12122</v>
      </c>
      <c r="J4537" s="3" t="str">
        <f>HYPERLINK("https://www.boe.es/gazeta/dias/1811/08/06/pdfs/GEI-1811-102.pdf#page=8","Abrir facsímil")</f>
        <v>Abrir facsímil</v>
      </c>
      <c r="K4537" s="3" t="s">
        <v>150</v>
      </c>
    </row>
    <row r="4538" spans="1:11" ht="42" customHeight="1">
      <c r="A4538" s="2" t="s">
        <v>12123</v>
      </c>
      <c r="B4538" s="2" t="s">
        <v>12124</v>
      </c>
      <c r="C4538" s="2" t="s">
        <v>37</v>
      </c>
      <c r="D4538" s="2" t="s">
        <v>18</v>
      </c>
      <c r="E4538" s="4">
        <v>-32158</v>
      </c>
      <c r="F4538" s="3" t="s">
        <v>46</v>
      </c>
      <c r="G4538" s="3" t="s">
        <v>47</v>
      </c>
      <c r="H4538" s="2" t="s">
        <v>148</v>
      </c>
      <c r="I4538" s="2" t="s">
        <v>12125</v>
      </c>
      <c r="J4538" s="3" t="str">
        <f>HYPERLINK("https://www.boe.es/gazeta/dias/1811/12/14/pdfs/GEI-1811-162.pdf#page=7","Abrir facsímil")</f>
        <v>Abrir facsímil</v>
      </c>
      <c r="K4538" s="3" t="s">
        <v>150</v>
      </c>
    </row>
    <row r="4539" spans="1:11" ht="42" customHeight="1">
      <c r="A4539" s="2" t="s">
        <v>12126</v>
      </c>
      <c r="B4539" s="2" t="s">
        <v>12127</v>
      </c>
      <c r="C4539" s="2" t="s">
        <v>26</v>
      </c>
      <c r="D4539" s="2" t="s">
        <v>204</v>
      </c>
      <c r="E4539" s="4">
        <v>-32145</v>
      </c>
      <c r="F4539" s="3" t="s">
        <v>417</v>
      </c>
      <c r="G4539" s="3" t="s">
        <v>418</v>
      </c>
      <c r="H4539" s="2" t="s">
        <v>148</v>
      </c>
      <c r="I4539" s="2" t="s">
        <v>12128</v>
      </c>
      <c r="J4539" s="3" t="str">
        <f>HYPERLINK("https://www.boe.es/gazeta/dias/1811/12/27/pdfs/GMD-1811-361.pdf#page=4","Abrir facsímil")</f>
        <v>Abrir facsímil</v>
      </c>
      <c r="K4539" s="3" t="s">
        <v>150</v>
      </c>
    </row>
    <row r="4540" spans="1:11" ht="42" customHeight="1">
      <c r="A4540" s="2" t="s">
        <v>12129</v>
      </c>
      <c r="B4540" s="2" t="s">
        <v>12130</v>
      </c>
      <c r="C4540" s="2" t="s">
        <v>26</v>
      </c>
      <c r="D4540" s="2" t="s">
        <v>18</v>
      </c>
      <c r="E4540" s="4">
        <v>-32396</v>
      </c>
      <c r="F4540" s="3" t="s">
        <v>1267</v>
      </c>
      <c r="G4540" s="3" t="s">
        <v>1143</v>
      </c>
      <c r="H4540" s="2" t="s">
        <v>148</v>
      </c>
      <c r="I4540" s="2" t="s">
        <v>12131</v>
      </c>
      <c r="J4540" s="3" t="str">
        <f>HYPERLINK("https://www.boe.es/gazeta/dias/1811/04/20/pdfs/GMD-1811-110.pdf#page=3","Abrir facsímil")</f>
        <v>Abrir facsímil</v>
      </c>
      <c r="K4540" s="3" t="s">
        <v>150</v>
      </c>
    </row>
    <row r="4541" spans="1:11" ht="42" customHeight="1">
      <c r="A4541" s="2" t="s">
        <v>12132</v>
      </c>
      <c r="B4541" s="2" t="s">
        <v>12133</v>
      </c>
      <c r="C4541" s="2" t="s">
        <v>17</v>
      </c>
      <c r="D4541" s="2" t="s">
        <v>156</v>
      </c>
      <c r="E4541" s="4">
        <v>-32300</v>
      </c>
      <c r="F4541" s="3" t="s">
        <v>492</v>
      </c>
      <c r="G4541" s="3" t="s">
        <v>493</v>
      </c>
      <c r="H4541" s="2" t="s">
        <v>148</v>
      </c>
      <c r="I4541" s="2" t="s">
        <v>12134</v>
      </c>
      <c r="J4541" s="3" t="str">
        <f>HYPERLINK("https://www.boe.es/gazeta/dias/1811/07/25/pdfs/GMD-1811-206.pdf#page=4","Abrir facsímil")</f>
        <v>Abrir facsímil</v>
      </c>
      <c r="K4541" s="3" t="s">
        <v>150</v>
      </c>
    </row>
    <row r="4542" spans="1:11" ht="42" customHeight="1">
      <c r="A4542" s="2" t="s">
        <v>12135</v>
      </c>
      <c r="B4542" s="2" t="s">
        <v>12136</v>
      </c>
      <c r="C4542" s="2" t="s">
        <v>26</v>
      </c>
      <c r="D4542" s="2" t="s">
        <v>105</v>
      </c>
      <c r="E4542" s="4">
        <v>-32190</v>
      </c>
      <c r="F4542" s="3" t="s">
        <v>85</v>
      </c>
      <c r="G4542" s="3" t="s">
        <v>86</v>
      </c>
      <c r="H4542" s="2" t="s">
        <v>148</v>
      </c>
      <c r="I4542" s="2" t="s">
        <v>12137</v>
      </c>
      <c r="J4542" s="3" t="str">
        <f>HYPERLINK("https://www.boe.es/gazeta/dias/1811/11/12/pdfs/GEI-1811-148.pdf#page=8","Abrir facsímil")</f>
        <v>Abrir facsímil</v>
      </c>
      <c r="K4542" s="3" t="s">
        <v>150</v>
      </c>
    </row>
    <row r="4543" spans="1:11" ht="42" customHeight="1">
      <c r="A4543" s="2" t="s">
        <v>12138</v>
      </c>
      <c r="B4543" s="2" t="s">
        <v>12138</v>
      </c>
      <c r="C4543" s="2" t="s">
        <v>17</v>
      </c>
      <c r="D4543" s="2" t="s">
        <v>18</v>
      </c>
      <c r="E4543" s="4">
        <v>-32314</v>
      </c>
      <c r="F4543" s="3" t="s">
        <v>6914</v>
      </c>
      <c r="G4543" s="3" t="s">
        <v>47</v>
      </c>
      <c r="H4543" s="2" t="s">
        <v>148</v>
      </c>
      <c r="I4543" s="2" t="s">
        <v>12139</v>
      </c>
      <c r="J4543" s="3" t="str">
        <f>HYPERLINK("https://www.boe.es/gazeta/dias/1811/07/11/pdfs/GMD-1811-192.pdf#page=2","Abrir facsímil")</f>
        <v>Abrir facsímil</v>
      </c>
      <c r="K4543" s="3" t="s">
        <v>150</v>
      </c>
    </row>
    <row r="4544" spans="1:11" ht="42" customHeight="1">
      <c r="A4544" s="2" t="s">
        <v>12140</v>
      </c>
      <c r="B4544" s="2" t="s">
        <v>12141</v>
      </c>
      <c r="C4544" s="2" t="s">
        <v>26</v>
      </c>
      <c r="D4544" s="2" t="s">
        <v>18</v>
      </c>
      <c r="E4544" s="4">
        <v>-32288</v>
      </c>
      <c r="F4544" s="3" t="s">
        <v>95</v>
      </c>
      <c r="G4544" s="3" t="s">
        <v>1071</v>
      </c>
      <c r="H4544" s="2" t="s">
        <v>148</v>
      </c>
      <c r="I4544" s="2" t="s">
        <v>12142</v>
      </c>
      <c r="J4544" s="3" t="str">
        <f>HYPERLINK("https://www.boe.es/gazeta/dias/1811/08/06/pdfs/GEI-1811-102.pdf#page=6","Abrir facsímil")</f>
        <v>Abrir facsímil</v>
      </c>
      <c r="K4544" s="3" t="s">
        <v>150</v>
      </c>
    </row>
    <row r="4545" spans="1:11" ht="42" customHeight="1">
      <c r="A4545" s="2" t="s">
        <v>12143</v>
      </c>
      <c r="B4545" s="2" t="s">
        <v>12144</v>
      </c>
      <c r="C4545" s="2" t="s">
        <v>26</v>
      </c>
      <c r="D4545" s="2" t="s">
        <v>18</v>
      </c>
      <c r="E4545" s="4">
        <v>-32179</v>
      </c>
      <c r="F4545" s="3" t="s">
        <v>614</v>
      </c>
      <c r="G4545" s="3" t="s">
        <v>47</v>
      </c>
      <c r="H4545" s="2" t="s">
        <v>148</v>
      </c>
      <c r="I4545" s="2" t="s">
        <v>12145</v>
      </c>
      <c r="J4545" s="3" t="str">
        <f>HYPERLINK("https://www.boe.es/gazeta/dias/1811/11/23/pdfs/GEI-1811-153.pdf#page=8","Abrir facsímil")</f>
        <v>Abrir facsímil</v>
      </c>
      <c r="K4545" s="3" t="s">
        <v>150</v>
      </c>
    </row>
    <row r="4546" spans="1:11" ht="42" customHeight="1">
      <c r="A4546" s="2" t="s">
        <v>12146</v>
      </c>
      <c r="B4546" s="2" t="s">
        <v>12147</v>
      </c>
      <c r="C4546" s="2" t="s">
        <v>17</v>
      </c>
      <c r="D4546" s="2" t="s">
        <v>156</v>
      </c>
      <c r="E4546" s="4">
        <v>-32470</v>
      </c>
      <c r="F4546" s="3" t="s">
        <v>1432</v>
      </c>
      <c r="G4546" s="3" t="s">
        <v>3543</v>
      </c>
      <c r="H4546" s="2" t="s">
        <v>148</v>
      </c>
      <c r="I4546" s="2" t="s">
        <v>12148</v>
      </c>
      <c r="J4546" s="3" t="str">
        <f>HYPERLINK("https://www.boe.es/gazeta/dias/1811/02/05/pdfs/GEI-1811-16.pdf#page=8","Abrir facsímil")</f>
        <v>Abrir facsímil</v>
      </c>
      <c r="K4546" s="3" t="s">
        <v>150</v>
      </c>
    </row>
    <row r="4547" spans="1:11" ht="42" customHeight="1">
      <c r="A4547" s="2" t="s">
        <v>12149</v>
      </c>
      <c r="B4547" s="2" t="s">
        <v>12150</v>
      </c>
      <c r="C4547" s="2" t="s">
        <v>17</v>
      </c>
      <c r="D4547" s="2" t="s">
        <v>18</v>
      </c>
      <c r="E4547" s="4">
        <v>-32421</v>
      </c>
      <c r="F4547" s="3" t="s">
        <v>79</v>
      </c>
      <c r="G4547" s="3" t="s">
        <v>488</v>
      </c>
      <c r="H4547" s="2" t="s">
        <v>148</v>
      </c>
      <c r="I4547" s="2" t="s">
        <v>12151</v>
      </c>
      <c r="J4547" s="3" t="str">
        <f>HYPERLINK("https://www.boe.es/gazeta/dias/1811/03/26/pdfs/GEI-1811-42.pdf#page=8","Abrir facsímil")</f>
        <v>Abrir facsímil</v>
      </c>
      <c r="K4547" s="3" t="s">
        <v>150</v>
      </c>
    </row>
    <row r="4548" spans="1:11" ht="42" customHeight="1">
      <c r="A4548" s="2" t="s">
        <v>12152</v>
      </c>
      <c r="B4548" s="2" t="s">
        <v>12153</v>
      </c>
      <c r="C4548" s="2" t="s">
        <v>26</v>
      </c>
      <c r="D4548" s="2" t="s">
        <v>18</v>
      </c>
      <c r="E4548" s="4">
        <v>-32286</v>
      </c>
      <c r="F4548" s="3" t="s">
        <v>754</v>
      </c>
      <c r="G4548" s="3" t="s">
        <v>1728</v>
      </c>
      <c r="H4548" s="2" t="s">
        <v>148</v>
      </c>
      <c r="I4548" s="2" t="s">
        <v>12154</v>
      </c>
      <c r="J4548" s="3" t="str">
        <f>HYPERLINK("https://www.boe.es/gazeta/dias/1811/08/08/pdfs/GEI-1811-103.pdf#page=8","Abrir facsímil")</f>
        <v>Abrir facsímil</v>
      </c>
      <c r="K4548" s="3" t="s">
        <v>150</v>
      </c>
    </row>
    <row r="4549" spans="1:11" ht="42" customHeight="1">
      <c r="A4549" s="2" t="s">
        <v>12155</v>
      </c>
      <c r="B4549" s="2" t="s">
        <v>12156</v>
      </c>
      <c r="C4549" s="2" t="s">
        <v>26</v>
      </c>
      <c r="D4549" s="2" t="s">
        <v>105</v>
      </c>
      <c r="E4549" s="4">
        <v>-32344</v>
      </c>
      <c r="F4549" s="3" t="s">
        <v>761</v>
      </c>
      <c r="G4549" s="3" t="s">
        <v>44</v>
      </c>
      <c r="H4549" s="2" t="s">
        <v>21</v>
      </c>
      <c r="I4549" s="2" t="s">
        <v>12157</v>
      </c>
      <c r="J4549" s="3" t="str">
        <f>HYPERLINK("https://www.boe.es/gazeta/dias/1811/06/11/pdfs/GEI-1811-78.pdf#page=7","Abrir facsímil")</f>
        <v>Abrir facsímil</v>
      </c>
      <c r="K4549" s="3" t="s">
        <v>23</v>
      </c>
    </row>
    <row r="4550" spans="1:11" ht="42" customHeight="1">
      <c r="A4550" s="2" t="s">
        <v>12158</v>
      </c>
      <c r="B4550" s="2" t="s">
        <v>12159</v>
      </c>
      <c r="C4550" s="2" t="s">
        <v>17</v>
      </c>
      <c r="D4550" s="2" t="s">
        <v>18</v>
      </c>
      <c r="E4550" s="4">
        <v>-32384</v>
      </c>
      <c r="F4550" s="3" t="s">
        <v>338</v>
      </c>
      <c r="G4550" s="3" t="s">
        <v>339</v>
      </c>
      <c r="H4550" s="2" t="s">
        <v>21</v>
      </c>
      <c r="I4550" s="2" t="s">
        <v>12160</v>
      </c>
      <c r="J4550" s="3" t="str">
        <f>HYPERLINK("https://www.boe.es/gazeta/dias/1811/05/02/pdfs/GEI-1811-58.pdf#page=8","Abrir facsímil")</f>
        <v>Abrir facsímil</v>
      </c>
      <c r="K4550" s="3" t="s">
        <v>23</v>
      </c>
    </row>
    <row r="4551" spans="1:11" ht="42" customHeight="1">
      <c r="A4551" s="2" t="s">
        <v>12161</v>
      </c>
      <c r="B4551" s="2" t="s">
        <v>12162</v>
      </c>
      <c r="C4551" s="2" t="s">
        <v>17</v>
      </c>
      <c r="D4551" s="2" t="s">
        <v>156</v>
      </c>
      <c r="E4551" s="4">
        <v>-32407</v>
      </c>
      <c r="F4551" s="3" t="s">
        <v>38</v>
      </c>
      <c r="G4551" s="3" t="s">
        <v>2213</v>
      </c>
      <c r="H4551" s="2" t="s">
        <v>21</v>
      </c>
      <c r="I4551" s="2" t="s">
        <v>12163</v>
      </c>
      <c r="J4551" s="3" t="str">
        <f>HYPERLINK("https://www.boe.es/gazeta/dias/1811/04/09/pdfs/GEI-1811-48.pdf#page=2","Abrir facsímil")</f>
        <v>Abrir facsímil</v>
      </c>
      <c r="K4551" s="3" t="s">
        <v>23</v>
      </c>
    </row>
    <row r="4552" spans="1:11" ht="42" customHeight="1">
      <c r="A4552" s="2" t="s">
        <v>12164</v>
      </c>
      <c r="B4552" s="2" t="s">
        <v>12165</v>
      </c>
      <c r="C4552" s="2" t="s">
        <v>17</v>
      </c>
      <c r="D4552" s="2" t="s">
        <v>18</v>
      </c>
      <c r="E4552" s="4">
        <v>-32211</v>
      </c>
      <c r="F4552" s="3" t="s">
        <v>1074</v>
      </c>
      <c r="G4552" s="3" t="s">
        <v>1058</v>
      </c>
      <c r="H4552" s="2" t="s">
        <v>21</v>
      </c>
      <c r="I4552" s="2" t="s">
        <v>12166</v>
      </c>
      <c r="J4552" s="3" t="str">
        <f>HYPERLINK("https://www.boe.es/gazeta/dias/1811/10/22/pdfs/GEI-1811-136.pdf#page=6","Abrir facsímil")</f>
        <v>Abrir facsímil</v>
      </c>
      <c r="K4552" s="3" t="s">
        <v>23</v>
      </c>
    </row>
    <row r="4553" spans="1:11" ht="42" customHeight="1">
      <c r="A4553" s="2" t="s">
        <v>12167</v>
      </c>
      <c r="B4553" s="2" t="s">
        <v>12168</v>
      </c>
      <c r="C4553" s="2" t="s">
        <v>17</v>
      </c>
      <c r="D4553" s="2" t="s">
        <v>156</v>
      </c>
      <c r="E4553" s="4">
        <v>-32176</v>
      </c>
      <c r="F4553" s="3" t="s">
        <v>638</v>
      </c>
      <c r="G4553" s="3" t="s">
        <v>47</v>
      </c>
      <c r="H4553" s="2" t="s">
        <v>21</v>
      </c>
      <c r="I4553" s="2" t="s">
        <v>12169</v>
      </c>
      <c r="J4553" s="3" t="str">
        <f>HYPERLINK("https://www.boe.es/gazeta/dias/1811/11/26/pdfs/GEI-1811-154.pdf#page=5","Abrir facsímil")</f>
        <v>Abrir facsímil</v>
      </c>
      <c r="K4553" s="3" t="s">
        <v>23</v>
      </c>
    </row>
    <row r="4554" spans="1:11" ht="42" customHeight="1">
      <c r="A4554" s="2" t="s">
        <v>12170</v>
      </c>
      <c r="B4554" s="2" t="s">
        <v>12171</v>
      </c>
      <c r="C4554" s="2" t="s">
        <v>17</v>
      </c>
      <c r="D4554" s="2" t="s">
        <v>156</v>
      </c>
      <c r="E4554" s="4">
        <v>-32416</v>
      </c>
      <c r="F4554" s="3" t="s">
        <v>954</v>
      </c>
      <c r="G4554" s="3" t="s">
        <v>183</v>
      </c>
      <c r="H4554" s="2" t="s">
        <v>21</v>
      </c>
      <c r="I4554" s="2" t="s">
        <v>12172</v>
      </c>
      <c r="J4554" s="3" t="str">
        <f>HYPERLINK("https://www.boe.es/gazeta/dias/1811/03/31/pdfs/GMD-1811-90.pdf#page=4","Abrir facsímil")</f>
        <v>Abrir facsímil</v>
      </c>
      <c r="K4554" s="3" t="s">
        <v>23</v>
      </c>
    </row>
    <row r="4555" spans="1:11" ht="42" customHeight="1">
      <c r="A4555" s="2" t="s">
        <v>12173</v>
      </c>
      <c r="B4555" s="2" t="s">
        <v>12174</v>
      </c>
      <c r="C4555" s="2" t="s">
        <v>26</v>
      </c>
      <c r="D4555" s="2" t="s">
        <v>18</v>
      </c>
      <c r="E4555" s="4">
        <v>-32197</v>
      </c>
      <c r="F4555" s="3" t="s">
        <v>687</v>
      </c>
      <c r="G4555" s="3" t="s">
        <v>1240</v>
      </c>
      <c r="H4555" s="2" t="s">
        <v>21</v>
      </c>
      <c r="I4555" s="2" t="s">
        <v>12175</v>
      </c>
      <c r="J4555" s="3" t="str">
        <f>HYPERLINK("https://www.boe.es/gazeta/dias/1811/11/05/pdfs/GEI-1811-143.pdf#page=8","Abrir facsímil")</f>
        <v>Abrir facsímil</v>
      </c>
      <c r="K4555" s="3" t="s">
        <v>23</v>
      </c>
    </row>
    <row r="4556" spans="1:11" ht="42" customHeight="1">
      <c r="A4556" s="2" t="s">
        <v>12176</v>
      </c>
      <c r="B4556" s="2" t="s">
        <v>12176</v>
      </c>
      <c r="C4556" s="2" t="s">
        <v>17</v>
      </c>
      <c r="D4556" s="2" t="s">
        <v>18</v>
      </c>
      <c r="E4556" s="4">
        <v>-32421</v>
      </c>
      <c r="F4556" s="3" t="s">
        <v>79</v>
      </c>
      <c r="G4556" s="3" t="s">
        <v>12177</v>
      </c>
      <c r="H4556" s="2" t="s">
        <v>148</v>
      </c>
      <c r="I4556" s="2" t="s">
        <v>12178</v>
      </c>
      <c r="J4556" s="3" t="str">
        <f>HYPERLINK("https://www.boe.es/gazeta/dias/1811/03/26/pdfs/GEI-1811-42.pdf#page=6","Abrir facsímil")</f>
        <v>Abrir facsímil</v>
      </c>
      <c r="K4556" s="3" t="s">
        <v>150</v>
      </c>
    </row>
    <row r="4557" spans="1:11" ht="42" customHeight="1">
      <c r="A4557" s="2" t="s">
        <v>12179</v>
      </c>
      <c r="B4557" s="2" t="s">
        <v>12180</v>
      </c>
      <c r="C4557" s="2" t="s">
        <v>26</v>
      </c>
      <c r="D4557" s="2" t="s">
        <v>18</v>
      </c>
      <c r="E4557" s="4">
        <v>-32267</v>
      </c>
      <c r="F4557" s="3" t="s">
        <v>8812</v>
      </c>
      <c r="G4557" s="3" t="s">
        <v>91</v>
      </c>
      <c r="H4557" s="2" t="s">
        <v>148</v>
      </c>
      <c r="I4557" s="2" t="s">
        <v>12181</v>
      </c>
      <c r="J4557" s="3" t="str">
        <f>HYPERLINK("https://www.boe.es/gazeta/dias/1811/08/27/pdfs/GMD-1811-239.pdf#page=1","Abrir facsímil")</f>
        <v>Abrir facsímil</v>
      </c>
      <c r="K4557" s="3" t="s">
        <v>150</v>
      </c>
    </row>
    <row r="4558" spans="1:11" ht="42" customHeight="1">
      <c r="A4558" s="2" t="s">
        <v>12182</v>
      </c>
      <c r="B4558" s="2" t="s">
        <v>12182</v>
      </c>
      <c r="C4558" s="2" t="s">
        <v>26</v>
      </c>
      <c r="D4558" s="2" t="s">
        <v>18</v>
      </c>
      <c r="E4558" s="4">
        <v>-32377</v>
      </c>
      <c r="F4558" s="3" t="s">
        <v>2461</v>
      </c>
      <c r="G4558" s="3" t="s">
        <v>183</v>
      </c>
      <c r="H4558" s="2" t="s">
        <v>148</v>
      </c>
      <c r="I4558" s="2" t="s">
        <v>12183</v>
      </c>
      <c r="J4558" s="3" t="str">
        <f>HYPERLINK("https://www.boe.es/gazeta/dias/1811/05/09/pdfs/GMD-1811-129.pdf#page=4","Abrir facsímil")</f>
        <v>Abrir facsímil</v>
      </c>
      <c r="K4558" s="3" t="s">
        <v>150</v>
      </c>
    </row>
    <row r="4559" spans="1:11" ht="42" customHeight="1">
      <c r="A4559" s="2" t="s">
        <v>12184</v>
      </c>
      <c r="B4559" s="2" t="s">
        <v>12184</v>
      </c>
      <c r="C4559" s="2" t="s">
        <v>17</v>
      </c>
      <c r="D4559" s="2" t="s">
        <v>18</v>
      </c>
      <c r="E4559" s="4">
        <v>-32201</v>
      </c>
      <c r="F4559" s="3" t="s">
        <v>2643</v>
      </c>
      <c r="G4559" s="3" t="s">
        <v>1087</v>
      </c>
      <c r="H4559" s="2" t="s">
        <v>148</v>
      </c>
      <c r="I4559" s="2" t="s">
        <v>12185</v>
      </c>
      <c r="J4559" s="3" t="str">
        <f>HYPERLINK("https://www.boe.es/gazeta/dias/1811/11/01/pdfs/GMD-1811-305.pdf#page=4","Abrir facsímil")</f>
        <v>Abrir facsímil</v>
      </c>
      <c r="K4559" s="3" t="s">
        <v>150</v>
      </c>
    </row>
    <row r="4560" spans="1:11" ht="42" customHeight="1">
      <c r="A4560" s="2" t="s">
        <v>12186</v>
      </c>
      <c r="B4560" s="2" t="s">
        <v>12187</v>
      </c>
      <c r="C4560" s="2" t="s">
        <v>26</v>
      </c>
      <c r="D4560" s="2" t="s">
        <v>18</v>
      </c>
      <c r="E4560" s="4">
        <v>-32459</v>
      </c>
      <c r="F4560" s="3" t="s">
        <v>1034</v>
      </c>
      <c r="G4560" s="3" t="s">
        <v>510</v>
      </c>
      <c r="H4560" s="2" t="s">
        <v>148</v>
      </c>
      <c r="I4560" s="2" t="s">
        <v>12188</v>
      </c>
      <c r="J4560" s="3" t="str">
        <f>HYPERLINK("https://www.boe.es/gazeta/dias/1811/02/16/pdfs/GEI-1811-21.pdf#page=8","Abrir facsímil")</f>
        <v>Abrir facsímil</v>
      </c>
      <c r="K4560" s="3" t="s">
        <v>150</v>
      </c>
    </row>
    <row r="4561" spans="1:11" ht="42" customHeight="1">
      <c r="A4561" s="2" t="s">
        <v>12189</v>
      </c>
      <c r="B4561" s="2" t="s">
        <v>12189</v>
      </c>
      <c r="C4561" s="2" t="s">
        <v>26</v>
      </c>
      <c r="D4561" s="2" t="s">
        <v>18</v>
      </c>
      <c r="E4561" s="4">
        <v>-32172</v>
      </c>
      <c r="F4561" s="3" t="s">
        <v>300</v>
      </c>
      <c r="G4561" s="3" t="s">
        <v>305</v>
      </c>
      <c r="H4561" s="2" t="s">
        <v>148</v>
      </c>
      <c r="I4561" s="2" t="s">
        <v>12190</v>
      </c>
      <c r="J4561" s="3" t="str">
        <f>HYPERLINK("https://www.boe.es/gazeta/dias/1811/11/30/pdfs/GMD-1811-334.pdf#page=3","Abrir facsímil")</f>
        <v>Abrir facsímil</v>
      </c>
      <c r="K4561" s="3" t="s">
        <v>150</v>
      </c>
    </row>
    <row r="4562" spans="1:11" ht="42" customHeight="1">
      <c r="A4562" s="2" t="s">
        <v>12191</v>
      </c>
      <c r="B4562" s="2" t="s">
        <v>12191</v>
      </c>
      <c r="C4562" s="2" t="s">
        <v>26</v>
      </c>
      <c r="D4562" s="2" t="s">
        <v>18</v>
      </c>
      <c r="E4562" s="4">
        <v>-32330</v>
      </c>
      <c r="F4562" s="3" t="s">
        <v>1824</v>
      </c>
      <c r="G4562" s="3" t="s">
        <v>2883</v>
      </c>
      <c r="H4562" s="2" t="s">
        <v>148</v>
      </c>
      <c r="I4562" s="2" t="s">
        <v>12192</v>
      </c>
      <c r="J4562" s="3" t="str">
        <f>HYPERLINK("https://www.boe.es/gazeta/dias/1811/06/25/pdfs/GEI-1811-84.pdf#page=8","Abrir facsímil")</f>
        <v>Abrir facsímil</v>
      </c>
      <c r="K4562" s="3" t="s">
        <v>150</v>
      </c>
    </row>
    <row r="4563" spans="1:11" ht="42" customHeight="1">
      <c r="A4563" s="2" t="s">
        <v>12193</v>
      </c>
      <c r="B4563" s="2" t="s">
        <v>12193</v>
      </c>
      <c r="C4563" s="2" t="s">
        <v>17</v>
      </c>
      <c r="D4563" s="2" t="s">
        <v>18</v>
      </c>
      <c r="E4563" s="4">
        <v>-32252</v>
      </c>
      <c r="F4563" s="3" t="s">
        <v>3502</v>
      </c>
      <c r="G4563" s="3" t="s">
        <v>488</v>
      </c>
      <c r="H4563" s="2" t="s">
        <v>148</v>
      </c>
      <c r="I4563" s="2" t="s">
        <v>12194</v>
      </c>
      <c r="J4563" s="3" t="str">
        <f>HYPERLINK("https://www.boe.es/gazeta/dias/1811/09/11/pdfs/GMD-1811-254.pdf#page=3","Abrir facsímil")</f>
        <v>Abrir facsímil</v>
      </c>
      <c r="K4563" s="3" t="s">
        <v>150</v>
      </c>
    </row>
    <row r="4564" spans="1:11" ht="42" customHeight="1">
      <c r="A4564" s="2" t="s">
        <v>12195</v>
      </c>
      <c r="B4564" s="2" t="s">
        <v>12195</v>
      </c>
      <c r="C4564" s="2" t="s">
        <v>26</v>
      </c>
      <c r="D4564" s="2" t="s">
        <v>18</v>
      </c>
      <c r="E4564" s="4">
        <v>-32155</v>
      </c>
      <c r="F4564" s="3" t="s">
        <v>263</v>
      </c>
      <c r="G4564" s="3" t="s">
        <v>1800</v>
      </c>
      <c r="H4564" s="2" t="s">
        <v>148</v>
      </c>
      <c r="I4564" s="2" t="s">
        <v>12196</v>
      </c>
      <c r="J4564" s="3" t="str">
        <f>HYPERLINK("https://www.boe.es/gazeta/dias/1811/12/17/pdfs/GEI-1811-163.pdf#page=7","Abrir facsímil")</f>
        <v>Abrir facsímil</v>
      </c>
      <c r="K4564" s="3" t="s">
        <v>150</v>
      </c>
    </row>
    <row r="4565" spans="1:11" ht="42" customHeight="1">
      <c r="A4565" s="2" t="s">
        <v>12197</v>
      </c>
      <c r="B4565" s="2" t="s">
        <v>12198</v>
      </c>
      <c r="C4565" s="2" t="s">
        <v>26</v>
      </c>
      <c r="D4565" s="2" t="s">
        <v>18</v>
      </c>
      <c r="E4565" s="4">
        <v>-32314</v>
      </c>
      <c r="F4565" s="3" t="s">
        <v>570</v>
      </c>
      <c r="G4565" s="3" t="s">
        <v>12199</v>
      </c>
      <c r="H4565" s="2" t="s">
        <v>148</v>
      </c>
      <c r="I4565" s="2" t="s">
        <v>12200</v>
      </c>
      <c r="J4565" s="3" t="str">
        <f>HYPERLINK("https://www.boe.es/gazeta/dias/1811/07/11/pdfs/GEI-1811-91.pdf#page=4","Abrir facsímil")</f>
        <v>Abrir facsímil</v>
      </c>
      <c r="K4565" s="3" t="s">
        <v>150</v>
      </c>
    </row>
    <row r="4566" spans="1:11" ht="42" customHeight="1">
      <c r="A4566" s="2" t="s">
        <v>12201</v>
      </c>
      <c r="B4566" s="2" t="s">
        <v>12202</v>
      </c>
      <c r="C4566" s="2" t="s">
        <v>37</v>
      </c>
      <c r="D4566" s="2" t="s">
        <v>18</v>
      </c>
      <c r="E4566" s="4">
        <v>-32176</v>
      </c>
      <c r="F4566" s="3" t="s">
        <v>638</v>
      </c>
      <c r="G4566" s="3" t="s">
        <v>47</v>
      </c>
      <c r="H4566" s="2" t="s">
        <v>148</v>
      </c>
      <c r="I4566" s="2" t="s">
        <v>12203</v>
      </c>
      <c r="J4566" s="3" t="str">
        <f>HYPERLINK("https://www.boe.es/gazeta/dias/1811/11/26/pdfs/GEI-1811-154.pdf#page=5","Abrir facsímil")</f>
        <v>Abrir facsímil</v>
      </c>
      <c r="K4566" s="3" t="s">
        <v>150</v>
      </c>
    </row>
    <row r="4567" spans="1:11" ht="42" customHeight="1">
      <c r="A4567" s="2" t="s">
        <v>12204</v>
      </c>
      <c r="B4567" s="2" t="s">
        <v>12204</v>
      </c>
      <c r="C4567" s="2" t="s">
        <v>17</v>
      </c>
      <c r="D4567" s="2" t="s">
        <v>204</v>
      </c>
      <c r="E4567" s="4">
        <v>-32363</v>
      </c>
      <c r="F4567" s="3" t="s">
        <v>1645</v>
      </c>
      <c r="G4567" s="3" t="s">
        <v>12205</v>
      </c>
      <c r="H4567" s="2" t="s">
        <v>148</v>
      </c>
      <c r="I4567" s="2" t="s">
        <v>12206</v>
      </c>
      <c r="J4567" s="3" t="str">
        <f>HYPERLINK("https://www.boe.es/gazeta/dias/1811/05/23/pdfs/GEI-1811-68.pdf#page=1","Abrir facsímil")</f>
        <v>Abrir facsímil</v>
      </c>
      <c r="K4567" s="3" t="s">
        <v>150</v>
      </c>
    </row>
    <row r="4568" spans="1:11" ht="42" customHeight="1">
      <c r="A4568" s="2" t="s">
        <v>12207</v>
      </c>
      <c r="B4568" s="2" t="s">
        <v>12207</v>
      </c>
      <c r="C4568" s="2" t="s">
        <v>26</v>
      </c>
      <c r="D4568" s="2" t="s">
        <v>204</v>
      </c>
      <c r="E4568" s="4">
        <v>-32393</v>
      </c>
      <c r="F4568" s="3" t="s">
        <v>2467</v>
      </c>
      <c r="G4568" s="3" t="s">
        <v>129</v>
      </c>
      <c r="H4568" s="2" t="s">
        <v>148</v>
      </c>
      <c r="I4568" s="2" t="s">
        <v>12208</v>
      </c>
      <c r="J4568" s="3" t="str">
        <f>HYPERLINK("https://www.boe.es/gazeta/dias/1811/04/23/pdfs/GMD-1811-113.pdf#page=2","Abrir facsímil")</f>
        <v>Abrir facsímil</v>
      </c>
      <c r="K4568" s="3" t="s">
        <v>150</v>
      </c>
    </row>
    <row r="4569" spans="1:11" ht="42" customHeight="1">
      <c r="A4569" s="2" t="s">
        <v>12209</v>
      </c>
      <c r="B4569" s="2" t="s">
        <v>12209</v>
      </c>
      <c r="C4569" s="2" t="s">
        <v>17</v>
      </c>
      <c r="D4569" s="2" t="s">
        <v>18</v>
      </c>
      <c r="E4569" s="4">
        <v>-32188</v>
      </c>
      <c r="F4569" s="3" t="s">
        <v>74</v>
      </c>
      <c r="G4569" s="3" t="s">
        <v>2196</v>
      </c>
      <c r="H4569" s="2" t="s">
        <v>148</v>
      </c>
      <c r="I4569" s="2" t="s">
        <v>12210</v>
      </c>
      <c r="J4569" s="3" t="str">
        <f>HYPERLINK("https://www.boe.es/gazeta/dias/1811/11/14/pdfs/GEI-1811-149.pdf#page=7","Abrir facsímil")</f>
        <v>Abrir facsímil</v>
      </c>
      <c r="K4569" s="3" t="s">
        <v>150</v>
      </c>
    </row>
    <row r="4570" spans="1:11" ht="42" customHeight="1">
      <c r="A4570" s="2" t="s">
        <v>12211</v>
      </c>
      <c r="B4570" s="2" t="s">
        <v>12211</v>
      </c>
      <c r="C4570" s="2" t="s">
        <v>17</v>
      </c>
      <c r="D4570" s="2" t="s">
        <v>18</v>
      </c>
      <c r="E4570" s="4">
        <v>-32319</v>
      </c>
      <c r="F4570" s="3" t="s">
        <v>975</v>
      </c>
      <c r="G4570" s="3" t="s">
        <v>2470</v>
      </c>
      <c r="H4570" s="2" t="s">
        <v>148</v>
      </c>
      <c r="I4570" s="2" t="s">
        <v>12212</v>
      </c>
      <c r="J4570" s="3" t="str">
        <f>HYPERLINK("https://www.boe.es/gazeta/dias/1811/07/06/pdfs/GEI-1811-89.pdf#page=6","Abrir facsímil")</f>
        <v>Abrir facsímil</v>
      </c>
      <c r="K4570" s="3" t="s">
        <v>150</v>
      </c>
    </row>
    <row r="4571" spans="1:11" ht="42" customHeight="1">
      <c r="A4571" s="2" t="s">
        <v>12213</v>
      </c>
      <c r="B4571" s="2" t="s">
        <v>12214</v>
      </c>
      <c r="C4571" s="2" t="s">
        <v>104</v>
      </c>
      <c r="D4571" s="2" t="s">
        <v>204</v>
      </c>
      <c r="E4571" s="4">
        <v>-32343</v>
      </c>
      <c r="F4571" s="3" t="s">
        <v>6073</v>
      </c>
      <c r="G4571" s="3" t="s">
        <v>284</v>
      </c>
      <c r="H4571" s="2" t="s">
        <v>148</v>
      </c>
      <c r="I4571" s="2" t="s">
        <v>12215</v>
      </c>
      <c r="J4571" s="3" t="str">
        <f>HYPERLINK("https://www.boe.es/gazeta/dias/1811/06/12/pdfs/GMD-1811-163.pdf#page=1","Abrir facsímil")</f>
        <v>Abrir facsímil</v>
      </c>
      <c r="K4571" s="3" t="s">
        <v>150</v>
      </c>
    </row>
    <row r="4572" spans="1:11" ht="42" customHeight="1">
      <c r="A4572" s="2" t="s">
        <v>12216</v>
      </c>
      <c r="B4572" s="2" t="s">
        <v>12216</v>
      </c>
      <c r="C4572" s="2" t="s">
        <v>17</v>
      </c>
      <c r="D4572" s="2" t="s">
        <v>18</v>
      </c>
      <c r="E4572" s="4">
        <v>-32329</v>
      </c>
      <c r="F4572" s="3" t="s">
        <v>3214</v>
      </c>
      <c r="G4572" s="3" t="s">
        <v>44</v>
      </c>
      <c r="H4572" s="2" t="s">
        <v>148</v>
      </c>
      <c r="I4572" s="2" t="s">
        <v>12217</v>
      </c>
      <c r="J4572" s="3" t="str">
        <f>HYPERLINK("https://www.boe.es/gazeta/dias/1811/06/26/pdfs/GMD-1811-177.pdf#page=4","Abrir facsímil")</f>
        <v>Abrir facsímil</v>
      </c>
      <c r="K4572" s="3" t="s">
        <v>150</v>
      </c>
    </row>
    <row r="4573" spans="1:11" ht="42" customHeight="1">
      <c r="A4573" s="2" t="s">
        <v>12218</v>
      </c>
      <c r="B4573" s="2" t="s">
        <v>12218</v>
      </c>
      <c r="C4573" s="2" t="s">
        <v>104</v>
      </c>
      <c r="D4573" s="2" t="s">
        <v>18</v>
      </c>
      <c r="E4573" s="4">
        <v>-32286</v>
      </c>
      <c r="F4573" s="3" t="s">
        <v>754</v>
      </c>
      <c r="G4573" s="3" t="s">
        <v>115</v>
      </c>
      <c r="H4573" s="2" t="s">
        <v>148</v>
      </c>
      <c r="I4573" s="2" t="s">
        <v>12219</v>
      </c>
      <c r="J4573" s="3" t="str">
        <f>HYPERLINK("https://www.boe.es/gazeta/dias/1811/08/08/pdfs/GEI-1811-103.pdf#page=3","Abrir facsímil")</f>
        <v>Abrir facsímil</v>
      </c>
      <c r="K4573" s="3" t="s">
        <v>150</v>
      </c>
    </row>
    <row r="4574" spans="1:11" ht="42" customHeight="1">
      <c r="A4574" s="2" t="s">
        <v>12218</v>
      </c>
      <c r="B4574" s="2" t="s">
        <v>12218</v>
      </c>
      <c r="C4574" s="2" t="s">
        <v>104</v>
      </c>
      <c r="D4574" s="2" t="s">
        <v>204</v>
      </c>
      <c r="E4574" s="4">
        <v>-32267</v>
      </c>
      <c r="F4574" s="3" t="s">
        <v>1045</v>
      </c>
      <c r="G4574" s="3" t="s">
        <v>8282</v>
      </c>
      <c r="H4574" s="2" t="s">
        <v>148</v>
      </c>
      <c r="I4574" s="2" t="s">
        <v>12220</v>
      </c>
      <c r="J4574" s="3" t="str">
        <f>HYPERLINK("https://www.boe.es/gazeta/dias/1811/08/27/pdfs/GEI-1811-111.pdf#page=8","Abrir facsímil")</f>
        <v>Abrir facsímil</v>
      </c>
      <c r="K4574" s="3" t="s">
        <v>150</v>
      </c>
    </row>
    <row r="4575" spans="1:11" ht="42" customHeight="1">
      <c r="A4575" s="2" t="s">
        <v>12221</v>
      </c>
      <c r="B4575" s="2" t="s">
        <v>12222</v>
      </c>
      <c r="C4575" s="2" t="s">
        <v>26</v>
      </c>
      <c r="D4575" s="2" t="s">
        <v>18</v>
      </c>
      <c r="E4575" s="4">
        <v>-32155</v>
      </c>
      <c r="F4575" s="3" t="s">
        <v>263</v>
      </c>
      <c r="G4575" s="3" t="s">
        <v>264</v>
      </c>
      <c r="H4575" s="2" t="s">
        <v>148</v>
      </c>
      <c r="I4575" s="2" t="s">
        <v>12223</v>
      </c>
      <c r="J4575" s="3" t="str">
        <f>HYPERLINK("https://www.boe.es/gazeta/dias/1811/12/17/pdfs/GEI-1811-163.pdf#page=8","Abrir facsímil")</f>
        <v>Abrir facsímil</v>
      </c>
      <c r="K4575" s="3" t="s">
        <v>150</v>
      </c>
    </row>
    <row r="4576" spans="1:11" ht="42" customHeight="1">
      <c r="A4576" s="2" t="s">
        <v>12224</v>
      </c>
      <c r="B4576" s="2" t="s">
        <v>12224</v>
      </c>
      <c r="C4576" s="2" t="s">
        <v>17</v>
      </c>
      <c r="D4576" s="2" t="s">
        <v>18</v>
      </c>
      <c r="E4576" s="4">
        <v>-32177</v>
      </c>
      <c r="F4576" s="3" t="s">
        <v>402</v>
      </c>
      <c r="G4576" s="3" t="s">
        <v>47</v>
      </c>
      <c r="H4576" s="2" t="s">
        <v>148</v>
      </c>
      <c r="I4576" s="2" t="s">
        <v>12225</v>
      </c>
      <c r="J4576" s="3" t="str">
        <f>HYPERLINK("https://www.boe.es/gazeta/dias/1811/11/25/pdfs/GMD-1811-329.pdf#page=3","Abrir facsímil")</f>
        <v>Abrir facsímil</v>
      </c>
      <c r="K4576" s="3" t="s">
        <v>150</v>
      </c>
    </row>
    <row r="4577" spans="1:11" ht="42" customHeight="1">
      <c r="A4577" s="2" t="s">
        <v>12226</v>
      </c>
      <c r="B4577" s="2" t="s">
        <v>12226</v>
      </c>
      <c r="C4577" s="2" t="s">
        <v>17</v>
      </c>
      <c r="D4577" s="2" t="s">
        <v>18</v>
      </c>
      <c r="E4577" s="4">
        <v>-32209</v>
      </c>
      <c r="F4577" s="3" t="s">
        <v>9303</v>
      </c>
      <c r="G4577" s="3" t="s">
        <v>11100</v>
      </c>
      <c r="H4577" s="2" t="s">
        <v>148</v>
      </c>
      <c r="I4577" s="2" t="s">
        <v>12227</v>
      </c>
      <c r="J4577" s="3" t="str">
        <f>HYPERLINK("https://www.boe.es/gazeta/dias/1811/10/24/pdfs/GEI-1811-137.pdf#page=4","Abrir facsímil")</f>
        <v>Abrir facsímil</v>
      </c>
      <c r="K4577" s="3" t="s">
        <v>150</v>
      </c>
    </row>
    <row r="4578" spans="1:11" ht="42" customHeight="1">
      <c r="A4578" s="2" t="s">
        <v>12228</v>
      </c>
      <c r="B4578" s="2" t="s">
        <v>12229</v>
      </c>
      <c r="C4578" s="2" t="s">
        <v>26</v>
      </c>
      <c r="D4578" s="2" t="s">
        <v>105</v>
      </c>
      <c r="E4578" s="4">
        <v>-32183</v>
      </c>
      <c r="F4578" s="3" t="s">
        <v>3310</v>
      </c>
      <c r="G4578" s="3" t="s">
        <v>8017</v>
      </c>
      <c r="H4578" s="2" t="s">
        <v>148</v>
      </c>
      <c r="I4578" s="2" t="s">
        <v>12230</v>
      </c>
      <c r="J4578" s="3" t="str">
        <f>HYPERLINK("https://www.boe.es/gazeta/dias/1811/11/19/pdfs/GEI-1811-151.pdf#page=8","Abrir facsímil")</f>
        <v>Abrir facsímil</v>
      </c>
      <c r="K4578" s="3" t="s">
        <v>150</v>
      </c>
    </row>
    <row r="4579" spans="1:11" ht="42" customHeight="1">
      <c r="A4579" s="2" t="s">
        <v>12231</v>
      </c>
      <c r="B4579" s="2" t="s">
        <v>12231</v>
      </c>
      <c r="C4579" s="2" t="s">
        <v>26</v>
      </c>
      <c r="D4579" s="2" t="s">
        <v>18</v>
      </c>
      <c r="E4579" s="4">
        <v>-32410</v>
      </c>
      <c r="F4579" s="3" t="s">
        <v>6080</v>
      </c>
      <c r="G4579" s="3" t="s">
        <v>6081</v>
      </c>
      <c r="H4579" s="2" t="s">
        <v>148</v>
      </c>
      <c r="I4579" s="2" t="s">
        <v>12232</v>
      </c>
      <c r="J4579" s="3" t="str">
        <f>HYPERLINK("https://www.boe.es/gazeta/dias/1811/04/06/pdfs/GMD-1811-96.pdf#page=3","Abrir facsímil")</f>
        <v>Abrir facsímil</v>
      </c>
      <c r="K4579" s="3" t="s">
        <v>150</v>
      </c>
    </row>
    <row r="4580" spans="1:11" ht="42" customHeight="1">
      <c r="A4580" s="2" t="s">
        <v>12233</v>
      </c>
      <c r="B4580" s="2" t="s">
        <v>12234</v>
      </c>
      <c r="C4580" s="2" t="s">
        <v>17</v>
      </c>
      <c r="D4580" s="2" t="s">
        <v>156</v>
      </c>
      <c r="E4580" s="4">
        <v>-32282</v>
      </c>
      <c r="F4580" s="3" t="s">
        <v>10800</v>
      </c>
      <c r="G4580" s="3" t="s">
        <v>20</v>
      </c>
      <c r="H4580" s="2" t="s">
        <v>148</v>
      </c>
      <c r="I4580" s="2" t="s">
        <v>12235</v>
      </c>
      <c r="J4580" s="3" t="str">
        <f>HYPERLINK("https://www.boe.es/gazeta/dias/1811/08/12/pdfs/GMD-1811-224.pdf#page=4","Abrir facsímil")</f>
        <v>Abrir facsímil</v>
      </c>
      <c r="K4580" s="3" t="s">
        <v>150</v>
      </c>
    </row>
    <row r="4581" spans="1:11" ht="42" customHeight="1">
      <c r="A4581" s="2" t="s">
        <v>12236</v>
      </c>
      <c r="B4581" s="2" t="s">
        <v>12236</v>
      </c>
      <c r="C4581" s="2" t="s">
        <v>17</v>
      </c>
      <c r="D4581" s="2" t="s">
        <v>18</v>
      </c>
      <c r="E4581" s="4">
        <v>-32434</v>
      </c>
      <c r="F4581" s="3" t="s">
        <v>1932</v>
      </c>
      <c r="G4581" s="3" t="s">
        <v>468</v>
      </c>
      <c r="H4581" s="2" t="s">
        <v>148</v>
      </c>
      <c r="I4581" s="2" t="s">
        <v>12237</v>
      </c>
      <c r="J4581" s="3" t="str">
        <f>HYPERLINK("https://www.boe.es/gazeta/dias/1811/03/13/pdfs/GMD-1811-72.pdf#page=4","Abrir facsímil")</f>
        <v>Abrir facsímil</v>
      </c>
      <c r="K4581" s="3" t="s">
        <v>150</v>
      </c>
    </row>
    <row r="4582" spans="1:11" ht="42" customHeight="1">
      <c r="A4582" s="2" t="s">
        <v>12238</v>
      </c>
      <c r="B4582" s="2" t="s">
        <v>12239</v>
      </c>
      <c r="C4582" s="2" t="s">
        <v>26</v>
      </c>
      <c r="D4582" s="2" t="s">
        <v>18</v>
      </c>
      <c r="E4582" s="4">
        <v>-32311</v>
      </c>
      <c r="F4582" s="3" t="s">
        <v>9612</v>
      </c>
      <c r="G4582" s="3" t="s">
        <v>468</v>
      </c>
      <c r="H4582" s="2" t="s">
        <v>148</v>
      </c>
      <c r="I4582" s="2" t="s">
        <v>12240</v>
      </c>
      <c r="J4582" s="3" t="str">
        <f>HYPERLINK("https://www.boe.es/gazeta/dias/1811/07/14/pdfs/GMD-1811-195.pdf#page=4","Abrir facsímil")</f>
        <v>Abrir facsímil</v>
      </c>
      <c r="K4582" s="3" t="s">
        <v>150</v>
      </c>
    </row>
    <row r="4583" spans="1:11" ht="42" customHeight="1">
      <c r="A4583" s="2" t="s">
        <v>12241</v>
      </c>
      <c r="B4583" s="2" t="s">
        <v>12242</v>
      </c>
      <c r="C4583" s="2" t="s">
        <v>26</v>
      </c>
      <c r="D4583" s="2" t="s">
        <v>18</v>
      </c>
      <c r="E4583" s="4">
        <v>-32400</v>
      </c>
      <c r="F4583" s="3" t="s">
        <v>3343</v>
      </c>
      <c r="G4583" s="3" t="s">
        <v>846</v>
      </c>
      <c r="H4583" s="2" t="s">
        <v>148</v>
      </c>
      <c r="I4583" s="2" t="s">
        <v>12243</v>
      </c>
      <c r="J4583" s="3" t="str">
        <f>HYPERLINK("https://www.boe.es/gazeta/dias/1811/04/16/pdfs/GMD-1811-106.pdf#page=3","Abrir facsímil")</f>
        <v>Abrir facsímil</v>
      </c>
      <c r="K4583" s="3" t="s">
        <v>150</v>
      </c>
    </row>
    <row r="4584" spans="1:11" ht="42" customHeight="1">
      <c r="A4584" s="2" t="s">
        <v>12244</v>
      </c>
      <c r="B4584" s="2" t="s">
        <v>12245</v>
      </c>
      <c r="C4584" s="2" t="s">
        <v>37</v>
      </c>
      <c r="D4584" s="2" t="s">
        <v>105</v>
      </c>
      <c r="E4584" s="4">
        <v>-32292</v>
      </c>
      <c r="F4584" s="3" t="s">
        <v>408</v>
      </c>
      <c r="G4584" s="3" t="s">
        <v>409</v>
      </c>
      <c r="H4584" s="2" t="s">
        <v>148</v>
      </c>
      <c r="I4584" s="2" t="s">
        <v>12246</v>
      </c>
      <c r="J4584" s="3" t="str">
        <f>HYPERLINK("https://www.boe.es/gazeta/dias/1811/08/02/pdfs/GMD-1811-214.pdf#page=4","Abrir facsímil")</f>
        <v>Abrir facsímil</v>
      </c>
      <c r="K4584" s="3" t="s">
        <v>150</v>
      </c>
    </row>
    <row r="4585" spans="1:11" ht="42" customHeight="1">
      <c r="A4585" s="2" t="s">
        <v>12247</v>
      </c>
      <c r="B4585" s="2" t="s">
        <v>12248</v>
      </c>
      <c r="C4585" s="2" t="s">
        <v>26</v>
      </c>
      <c r="D4585" s="2" t="s">
        <v>105</v>
      </c>
      <c r="E4585" s="4">
        <v>-32384</v>
      </c>
      <c r="F4585" s="3" t="s">
        <v>338</v>
      </c>
      <c r="G4585" s="3" t="s">
        <v>339</v>
      </c>
      <c r="H4585" s="2" t="s">
        <v>148</v>
      </c>
      <c r="I4585" s="2" t="s">
        <v>12249</v>
      </c>
      <c r="J4585" s="3" t="str">
        <f>HYPERLINK("https://www.boe.es/gazeta/dias/1811/05/02/pdfs/GEI-1811-58.pdf#page=8","Abrir facsímil")</f>
        <v>Abrir facsímil</v>
      </c>
      <c r="K4585" s="3" t="s">
        <v>150</v>
      </c>
    </row>
    <row r="4586" spans="1:11" ht="42" customHeight="1">
      <c r="A4586" s="2" t="s">
        <v>12250</v>
      </c>
      <c r="B4586" s="2" t="s">
        <v>12251</v>
      </c>
      <c r="C4586" s="2" t="s">
        <v>26</v>
      </c>
      <c r="D4586" s="2" t="s">
        <v>105</v>
      </c>
      <c r="E4586" s="4">
        <v>-32384</v>
      </c>
      <c r="F4586" s="3" t="s">
        <v>338</v>
      </c>
      <c r="G4586" s="3" t="s">
        <v>339</v>
      </c>
      <c r="H4586" s="2" t="s">
        <v>148</v>
      </c>
      <c r="I4586" s="2" t="s">
        <v>12252</v>
      </c>
      <c r="J4586" s="3" t="str">
        <f>HYPERLINK("https://www.boe.es/gazeta/dias/1811/05/02/pdfs/GEI-1811-58.pdf#page=8","Abrir facsímil")</f>
        <v>Abrir facsímil</v>
      </c>
      <c r="K4586" s="3" t="s">
        <v>150</v>
      </c>
    </row>
    <row r="4587" spans="1:11" ht="42" customHeight="1">
      <c r="A4587" s="2" t="s">
        <v>12253</v>
      </c>
      <c r="B4587" s="2" t="s">
        <v>12253</v>
      </c>
      <c r="C4587" s="2" t="s">
        <v>17</v>
      </c>
      <c r="D4587" s="2" t="s">
        <v>18</v>
      </c>
      <c r="E4587" s="4">
        <v>-32223</v>
      </c>
      <c r="F4587" s="3" t="s">
        <v>5139</v>
      </c>
      <c r="G4587" s="3" t="s">
        <v>8549</v>
      </c>
      <c r="H4587" s="2" t="s">
        <v>148</v>
      </c>
      <c r="I4587" s="2" t="s">
        <v>12254</v>
      </c>
      <c r="J4587" s="3" t="str">
        <f>HYPERLINK("https://www.boe.es/gazeta/dias/1811/10/10/pdfs/GMD-1811-283.pdf#page=1","Abrir facsímil")</f>
        <v>Abrir facsímil</v>
      </c>
      <c r="K4587" s="3" t="s">
        <v>150</v>
      </c>
    </row>
    <row r="4588" spans="1:11" ht="42" customHeight="1">
      <c r="A4588" s="2" t="s">
        <v>12255</v>
      </c>
      <c r="B4588" s="2" t="s">
        <v>12256</v>
      </c>
      <c r="C4588" s="2" t="s">
        <v>26</v>
      </c>
      <c r="D4588" s="2" t="s">
        <v>18</v>
      </c>
      <c r="E4588" s="4">
        <v>-32288</v>
      </c>
      <c r="F4588" s="3" t="s">
        <v>95</v>
      </c>
      <c r="G4588" s="3" t="s">
        <v>47</v>
      </c>
      <c r="H4588" s="2" t="s">
        <v>148</v>
      </c>
      <c r="I4588" s="2" t="s">
        <v>12257</v>
      </c>
      <c r="J4588" s="3" t="str">
        <f>HYPERLINK("https://www.boe.es/gazeta/dias/1811/08/06/pdfs/GEI-1811-102.pdf#page=8","Abrir facsímil")</f>
        <v>Abrir facsímil</v>
      </c>
      <c r="K4588" s="3" t="s">
        <v>150</v>
      </c>
    </row>
    <row r="4589" spans="1:11" ht="42" customHeight="1">
      <c r="A4589" s="2" t="s">
        <v>12258</v>
      </c>
      <c r="B4589" s="2" t="s">
        <v>12258</v>
      </c>
      <c r="C4589" s="2" t="s">
        <v>84</v>
      </c>
      <c r="D4589" s="2" t="s">
        <v>18</v>
      </c>
      <c r="E4589" s="4">
        <v>-32327</v>
      </c>
      <c r="F4589" s="3" t="s">
        <v>9216</v>
      </c>
      <c r="G4589" s="3" t="s">
        <v>115</v>
      </c>
      <c r="H4589" s="2" t="s">
        <v>148</v>
      </c>
      <c r="I4589" s="2" t="s">
        <v>12259</v>
      </c>
      <c r="J4589" s="3" t="str">
        <f>HYPERLINK("https://www.boe.es/gazeta/dias/1811/06/28/pdfs/GMD-1811-179.pdf#page=3","Abrir facsímil")</f>
        <v>Abrir facsímil</v>
      </c>
      <c r="K4589" s="3" t="s">
        <v>150</v>
      </c>
    </row>
    <row r="4590" spans="1:11" ht="42" customHeight="1">
      <c r="A4590" s="2" t="s">
        <v>12260</v>
      </c>
      <c r="B4590" s="2" t="s">
        <v>12260</v>
      </c>
      <c r="C4590" s="2" t="s">
        <v>26</v>
      </c>
      <c r="D4590" s="2" t="s">
        <v>204</v>
      </c>
      <c r="E4590" s="4">
        <v>-32328</v>
      </c>
      <c r="F4590" s="3" t="s">
        <v>2055</v>
      </c>
      <c r="G4590" s="3" t="s">
        <v>20</v>
      </c>
      <c r="H4590" s="2" t="s">
        <v>148</v>
      </c>
      <c r="I4590" s="2" t="s">
        <v>12261</v>
      </c>
      <c r="J4590" s="3" t="str">
        <f>HYPERLINK("https://www.boe.es/gazeta/dias/1811/06/27/pdfs/GMD-1811-178.pdf#page=3","Abrir facsímil")</f>
        <v>Abrir facsímil</v>
      </c>
      <c r="K4590" s="3" t="s">
        <v>150</v>
      </c>
    </row>
    <row r="4591" spans="1:11" ht="42" customHeight="1">
      <c r="A4591" s="2" t="s">
        <v>12262</v>
      </c>
      <c r="B4591" s="2" t="s">
        <v>12262</v>
      </c>
      <c r="C4591" s="2" t="s">
        <v>37</v>
      </c>
      <c r="D4591" s="2" t="s">
        <v>18</v>
      </c>
      <c r="E4591" s="4">
        <v>-32365</v>
      </c>
      <c r="F4591" s="3" t="s">
        <v>5322</v>
      </c>
      <c r="G4591" s="3" t="s">
        <v>488</v>
      </c>
      <c r="H4591" s="2" t="s">
        <v>148</v>
      </c>
      <c r="I4591" s="2" t="s">
        <v>12263</v>
      </c>
      <c r="J4591" s="3" t="str">
        <f>HYPERLINK("https://www.boe.es/gazeta/dias/1811/05/21/pdfs/GMD-1811-141.pdf#page=2","Abrir facsímil")</f>
        <v>Abrir facsímil</v>
      </c>
      <c r="K4591" s="3" t="s">
        <v>150</v>
      </c>
    </row>
    <row r="4592" spans="1:11" ht="42" customHeight="1">
      <c r="A4592" s="2" t="s">
        <v>12264</v>
      </c>
      <c r="B4592" s="2" t="s">
        <v>12265</v>
      </c>
      <c r="C4592" s="2" t="s">
        <v>17</v>
      </c>
      <c r="D4592" s="2" t="s">
        <v>156</v>
      </c>
      <c r="E4592" s="4">
        <v>-32286</v>
      </c>
      <c r="F4592" s="3" t="s">
        <v>754</v>
      </c>
      <c r="G4592" s="3" t="s">
        <v>755</v>
      </c>
      <c r="H4592" s="2" t="s">
        <v>148</v>
      </c>
      <c r="I4592" s="2" t="s">
        <v>12266</v>
      </c>
      <c r="J4592" s="3" t="str">
        <f>HYPERLINK("https://www.boe.es/gazeta/dias/1811/08/08/pdfs/GEI-1811-103.pdf#page=2","Abrir facsímil")</f>
        <v>Abrir facsímil</v>
      </c>
      <c r="K4592" s="3" t="s">
        <v>150</v>
      </c>
    </row>
    <row r="4593" spans="1:11" ht="42" customHeight="1">
      <c r="A4593" s="2" t="s">
        <v>12267</v>
      </c>
      <c r="B4593" s="2" t="s">
        <v>12268</v>
      </c>
      <c r="C4593" s="2" t="s">
        <v>26</v>
      </c>
      <c r="D4593" s="2" t="s">
        <v>141</v>
      </c>
      <c r="E4593" s="4">
        <v>-32280</v>
      </c>
      <c r="F4593" s="3" t="s">
        <v>142</v>
      </c>
      <c r="G4593" s="3" t="s">
        <v>47</v>
      </c>
      <c r="H4593" s="2" t="s">
        <v>148</v>
      </c>
      <c r="I4593" s="2" t="s">
        <v>12269</v>
      </c>
      <c r="J4593" s="3" t="str">
        <f>HYPERLINK("https://www.boe.es/gazeta/dias/1811/08/14/pdfs/GMD-C-1811-226.pdf#page=1","Abrir facsímil")</f>
        <v>Abrir facsímil</v>
      </c>
      <c r="K4593" s="3" t="s">
        <v>150</v>
      </c>
    </row>
    <row r="4594" spans="1:11" ht="42" customHeight="1">
      <c r="A4594" s="2" t="s">
        <v>12270</v>
      </c>
      <c r="B4594" s="2" t="s">
        <v>12271</v>
      </c>
      <c r="C4594" s="2" t="s">
        <v>26</v>
      </c>
      <c r="D4594" s="2" t="s">
        <v>18</v>
      </c>
      <c r="E4594" s="4">
        <v>-32155</v>
      </c>
      <c r="F4594" s="3" t="s">
        <v>263</v>
      </c>
      <c r="G4594" s="3" t="s">
        <v>1800</v>
      </c>
      <c r="H4594" s="2" t="s">
        <v>148</v>
      </c>
      <c r="I4594" s="2" t="s">
        <v>12272</v>
      </c>
      <c r="J4594" s="3" t="str">
        <f>HYPERLINK("https://www.boe.es/gazeta/dias/1811/12/17/pdfs/GEI-1811-163.pdf#page=7","Abrir facsímil")</f>
        <v>Abrir facsímil</v>
      </c>
      <c r="K4594" s="3" t="s">
        <v>150</v>
      </c>
    </row>
    <row r="4595" spans="1:11" ht="42" customHeight="1">
      <c r="A4595" s="2" t="s">
        <v>12273</v>
      </c>
      <c r="B4595" s="2" t="s">
        <v>12273</v>
      </c>
      <c r="C4595" s="2" t="s">
        <v>17</v>
      </c>
      <c r="D4595" s="2" t="s">
        <v>18</v>
      </c>
      <c r="E4595" s="4">
        <v>-32357</v>
      </c>
      <c r="F4595" s="3" t="s">
        <v>2775</v>
      </c>
      <c r="G4595" s="3" t="s">
        <v>282</v>
      </c>
      <c r="H4595" s="2" t="s">
        <v>148</v>
      </c>
      <c r="I4595" s="2" t="s">
        <v>12274</v>
      </c>
      <c r="J4595" s="3" t="str">
        <f>HYPERLINK("https://www.boe.es/gazeta/dias/1811/05/29/pdfs/GMD-1811-149.pdf#page=4","Abrir facsímil")</f>
        <v>Abrir facsímil</v>
      </c>
      <c r="K4595" s="3" t="s">
        <v>150</v>
      </c>
    </row>
    <row r="4596" spans="1:11" ht="42" customHeight="1">
      <c r="A4596" s="2" t="s">
        <v>12275</v>
      </c>
      <c r="B4596" s="2" t="s">
        <v>12276</v>
      </c>
      <c r="C4596" s="2" t="s">
        <v>84</v>
      </c>
      <c r="D4596" s="2" t="s">
        <v>18</v>
      </c>
      <c r="E4596" s="4">
        <v>-32351</v>
      </c>
      <c r="F4596" s="3" t="s">
        <v>2163</v>
      </c>
      <c r="G4596" s="3" t="s">
        <v>39</v>
      </c>
      <c r="H4596" s="2" t="s">
        <v>148</v>
      </c>
      <c r="I4596" s="2" t="s">
        <v>12277</v>
      </c>
      <c r="J4596" s="3" t="str">
        <f>HYPERLINK("https://www.boe.es/gazeta/dias/1811/06/04/pdfs/GEI-1811-75.pdf#page=3","Abrir facsímil")</f>
        <v>Abrir facsímil</v>
      </c>
      <c r="K4596" s="3" t="s">
        <v>150</v>
      </c>
    </row>
    <row r="4597" spans="1:11" ht="42" customHeight="1">
      <c r="A4597" s="2" t="s">
        <v>12278</v>
      </c>
      <c r="B4597" s="2" t="s">
        <v>12278</v>
      </c>
      <c r="C4597" s="2" t="s">
        <v>37</v>
      </c>
      <c r="D4597" s="2" t="s">
        <v>18</v>
      </c>
      <c r="E4597" s="4">
        <v>-32177</v>
      </c>
      <c r="F4597" s="3" t="s">
        <v>402</v>
      </c>
      <c r="G4597" s="3" t="s">
        <v>47</v>
      </c>
      <c r="H4597" s="2" t="s">
        <v>148</v>
      </c>
      <c r="I4597" s="2" t="s">
        <v>12279</v>
      </c>
      <c r="J4597" s="3" t="str">
        <f>HYPERLINK("https://www.boe.es/gazeta/dias/1811/11/25/pdfs/GMD-1811-329.pdf#page=3","Abrir facsímil")</f>
        <v>Abrir facsímil</v>
      </c>
      <c r="K4597" s="3" t="s">
        <v>150</v>
      </c>
    </row>
    <row r="4598" spans="1:11" ht="42" customHeight="1">
      <c r="A4598" s="2" t="s">
        <v>12280</v>
      </c>
      <c r="B4598" s="2" t="s">
        <v>12280</v>
      </c>
      <c r="C4598" s="2" t="s">
        <v>26</v>
      </c>
      <c r="D4598" s="2" t="s">
        <v>18</v>
      </c>
      <c r="E4598" s="4">
        <v>-32265</v>
      </c>
      <c r="F4598" s="3" t="s">
        <v>2375</v>
      </c>
      <c r="G4598" s="3" t="s">
        <v>3367</v>
      </c>
      <c r="H4598" s="2" t="s">
        <v>148</v>
      </c>
      <c r="I4598" s="2" t="s">
        <v>12281</v>
      </c>
      <c r="J4598" s="3" t="str">
        <f>HYPERLINK("https://www.boe.es/gazeta/dias/1811/08/29/pdfs/GEI-1811-112.pdf#page=8","Abrir facsímil")</f>
        <v>Abrir facsímil</v>
      </c>
      <c r="K4598" s="3" t="s">
        <v>150</v>
      </c>
    </row>
    <row r="4599" spans="1:11" ht="42" customHeight="1">
      <c r="A4599" s="2" t="s">
        <v>12282</v>
      </c>
      <c r="B4599" s="2" t="s">
        <v>12282</v>
      </c>
      <c r="C4599" s="2" t="s">
        <v>17</v>
      </c>
      <c r="D4599" s="2" t="s">
        <v>18</v>
      </c>
      <c r="E4599" s="4">
        <v>-32450</v>
      </c>
      <c r="F4599" s="3" t="s">
        <v>794</v>
      </c>
      <c r="G4599" s="3" t="s">
        <v>795</v>
      </c>
      <c r="H4599" s="2" t="s">
        <v>148</v>
      </c>
      <c r="I4599" s="2" t="s">
        <v>12283</v>
      </c>
      <c r="J4599" s="3" t="str">
        <f>HYPERLINK("https://www.boe.es/gazeta/dias/1811/02/25/pdfs/GMD-1811-56.pdf#page=3","Abrir facsímil")</f>
        <v>Abrir facsímil</v>
      </c>
      <c r="K4599" s="3" t="s">
        <v>150</v>
      </c>
    </row>
    <row r="4600" spans="1:11" ht="42" customHeight="1">
      <c r="A4600" s="2" t="s">
        <v>12284</v>
      </c>
      <c r="B4600" s="2" t="s">
        <v>12285</v>
      </c>
      <c r="C4600" s="2" t="s">
        <v>84</v>
      </c>
      <c r="D4600" s="2" t="s">
        <v>105</v>
      </c>
      <c r="E4600" s="4">
        <v>-32295</v>
      </c>
      <c r="F4600" s="3" t="s">
        <v>279</v>
      </c>
      <c r="G4600" s="3" t="s">
        <v>44</v>
      </c>
      <c r="H4600" s="2" t="s">
        <v>148</v>
      </c>
      <c r="I4600" s="2" t="s">
        <v>12286</v>
      </c>
      <c r="J4600" s="3" t="str">
        <f>HYPERLINK("https://www.boe.es/gazeta/dias/1811/07/30/pdfs/GEI-1811-99.pdf#page=8","Abrir facsímil")</f>
        <v>Abrir facsímil</v>
      </c>
      <c r="K4600" s="3" t="s">
        <v>150</v>
      </c>
    </row>
    <row r="4601" spans="1:11" ht="42" customHeight="1">
      <c r="A4601" s="2" t="s">
        <v>12287</v>
      </c>
      <c r="B4601" s="2" t="s">
        <v>12287</v>
      </c>
      <c r="C4601" s="2" t="s">
        <v>17</v>
      </c>
      <c r="D4601" s="2" t="s">
        <v>528</v>
      </c>
      <c r="E4601" s="4">
        <v>-32191</v>
      </c>
      <c r="F4601" s="3" t="s">
        <v>2538</v>
      </c>
      <c r="G4601" s="3" t="s">
        <v>2539</v>
      </c>
      <c r="H4601" s="2" t="s">
        <v>148</v>
      </c>
      <c r="I4601" s="2" t="s">
        <v>12288</v>
      </c>
      <c r="J4601" s="3" t="str">
        <f>HYPERLINK("https://www.boe.es/gazeta/dias/1811/11/11/pdfs/GEI-1811-147E.pdf#page=7","Abrir facsímil")</f>
        <v>Abrir facsímil</v>
      </c>
      <c r="K4601" s="3" t="s">
        <v>150</v>
      </c>
    </row>
    <row r="4602" spans="1:11" ht="42" customHeight="1">
      <c r="A4602" s="2" t="s">
        <v>12289</v>
      </c>
      <c r="B4602" s="2" t="s">
        <v>12290</v>
      </c>
      <c r="C4602" s="2" t="s">
        <v>26</v>
      </c>
      <c r="D4602" s="2" t="s">
        <v>18</v>
      </c>
      <c r="E4602" s="4">
        <v>-32204</v>
      </c>
      <c r="F4602" s="3" t="s">
        <v>1053</v>
      </c>
      <c r="G4602" s="3" t="s">
        <v>62</v>
      </c>
      <c r="H4602" s="2" t="s">
        <v>148</v>
      </c>
      <c r="I4602" s="2" t="s">
        <v>12291</v>
      </c>
      <c r="J4602" s="3" t="str">
        <f>HYPERLINK("https://www.boe.es/gazeta/dias/1811/10/29/pdfs/GEI-1811-139.pdf#page=5","Abrir facsímil")</f>
        <v>Abrir facsímil</v>
      </c>
      <c r="K4602" s="3" t="s">
        <v>150</v>
      </c>
    </row>
    <row r="4603" spans="1:11" ht="42" customHeight="1">
      <c r="A4603" s="2" t="s">
        <v>12292</v>
      </c>
      <c r="B4603" s="2" t="s">
        <v>12293</v>
      </c>
      <c r="C4603" s="2" t="s">
        <v>26</v>
      </c>
      <c r="D4603" s="2" t="s">
        <v>18</v>
      </c>
      <c r="E4603" s="4">
        <v>-32155</v>
      </c>
      <c r="F4603" s="3" t="s">
        <v>263</v>
      </c>
      <c r="G4603" s="3" t="s">
        <v>1800</v>
      </c>
      <c r="H4603" s="2" t="s">
        <v>148</v>
      </c>
      <c r="I4603" s="2" t="s">
        <v>12294</v>
      </c>
      <c r="J4603" s="3" t="str">
        <f>HYPERLINK("https://www.boe.es/gazeta/dias/1811/12/17/pdfs/GEI-1811-163.pdf#page=7","Abrir facsímil")</f>
        <v>Abrir facsímil</v>
      </c>
      <c r="K4603" s="3" t="s">
        <v>150</v>
      </c>
    </row>
    <row r="4604" spans="1:11" ht="42" customHeight="1">
      <c r="A4604" s="2" t="s">
        <v>12295</v>
      </c>
      <c r="B4604" s="2" t="s">
        <v>12296</v>
      </c>
      <c r="C4604" s="2" t="s">
        <v>26</v>
      </c>
      <c r="D4604" s="2" t="s">
        <v>18</v>
      </c>
      <c r="E4604" s="4">
        <v>-32300</v>
      </c>
      <c r="F4604" s="3" t="s">
        <v>61</v>
      </c>
      <c r="G4604" s="3" t="s">
        <v>12297</v>
      </c>
      <c r="H4604" s="2" t="s">
        <v>148</v>
      </c>
      <c r="I4604" s="2" t="s">
        <v>12298</v>
      </c>
      <c r="J4604" s="3" t="str">
        <f>HYPERLINK("https://www.boe.es/gazeta/dias/1811/07/25/pdfs/GEI-1811-97.pdf#page=8","Abrir facsímil")</f>
        <v>Abrir facsímil</v>
      </c>
      <c r="K4604" s="3" t="s">
        <v>150</v>
      </c>
    </row>
    <row r="4605" spans="1:11" ht="42" customHeight="1">
      <c r="A4605" s="2" t="s">
        <v>12299</v>
      </c>
      <c r="B4605" s="2" t="s">
        <v>12300</v>
      </c>
      <c r="C4605" s="2" t="s">
        <v>26</v>
      </c>
      <c r="D4605" s="2" t="s">
        <v>18</v>
      </c>
      <c r="E4605" s="4">
        <v>-32153</v>
      </c>
      <c r="F4605" s="3" t="s">
        <v>123</v>
      </c>
      <c r="G4605" s="3" t="s">
        <v>288</v>
      </c>
      <c r="H4605" s="2" t="s">
        <v>21</v>
      </c>
      <c r="I4605" s="2" t="s">
        <v>12301</v>
      </c>
      <c r="J4605" s="3" t="str">
        <f>HYPERLINK("https://www.boe.es/gazeta/dias/1811/12/19/pdfs/GMD-1811-353.pdf#page=4","Abrir facsímil")</f>
        <v>Abrir facsímil</v>
      </c>
      <c r="K4605" s="3" t="s">
        <v>23</v>
      </c>
    </row>
    <row r="4606" spans="1:11" ht="42" customHeight="1">
      <c r="A4606" s="2" t="s">
        <v>12302</v>
      </c>
      <c r="B4606" s="2" t="s">
        <v>12302</v>
      </c>
      <c r="C4606" s="2" t="s">
        <v>17</v>
      </c>
      <c r="D4606" s="2" t="s">
        <v>156</v>
      </c>
      <c r="E4606" s="4">
        <v>-32473</v>
      </c>
      <c r="F4606" s="3" t="s">
        <v>3399</v>
      </c>
      <c r="G4606" s="3" t="s">
        <v>3400</v>
      </c>
      <c r="H4606" s="2" t="s">
        <v>148</v>
      </c>
      <c r="I4606" s="2" t="s">
        <v>12303</v>
      </c>
      <c r="J4606" s="3" t="str">
        <f>HYPERLINK("https://www.boe.es/gazeta/dias/1811/02/02/pdfs/GEI-1811-15.pdf#page=6","Abrir facsímil")</f>
        <v>Abrir facsímil</v>
      </c>
      <c r="K4606" s="3" t="s">
        <v>150</v>
      </c>
    </row>
    <row r="4607" spans="1:11" ht="42" customHeight="1">
      <c r="A4607" s="2" t="s">
        <v>12302</v>
      </c>
      <c r="B4607" s="2" t="s">
        <v>12302</v>
      </c>
      <c r="C4607" s="2" t="s">
        <v>26</v>
      </c>
      <c r="D4607" s="2" t="s">
        <v>18</v>
      </c>
      <c r="E4607" s="4">
        <v>-32433</v>
      </c>
      <c r="F4607" s="3" t="s">
        <v>209</v>
      </c>
      <c r="G4607" s="3" t="s">
        <v>115</v>
      </c>
      <c r="H4607" s="2" t="s">
        <v>148</v>
      </c>
      <c r="I4607" s="2" t="s">
        <v>12304</v>
      </c>
      <c r="J4607" s="3" t="str">
        <f>HYPERLINK("https://www.boe.es/gazeta/dias/1811/03/14/pdfs/GMD-1811-73.pdf#page=3","Abrir facsímil")</f>
        <v>Abrir facsímil</v>
      </c>
      <c r="K4607" s="3" t="s">
        <v>150</v>
      </c>
    </row>
    <row r="4608" spans="1:11" ht="42" customHeight="1">
      <c r="A4608" s="2" t="s">
        <v>12302</v>
      </c>
      <c r="B4608" s="2" t="s">
        <v>12302</v>
      </c>
      <c r="C4608" s="2" t="s">
        <v>367</v>
      </c>
      <c r="D4608" s="2" t="s">
        <v>18</v>
      </c>
      <c r="E4608" s="4">
        <v>-32430</v>
      </c>
      <c r="F4608" s="3" t="s">
        <v>4714</v>
      </c>
      <c r="G4608" s="3" t="s">
        <v>20</v>
      </c>
      <c r="H4608" s="2" t="s">
        <v>148</v>
      </c>
      <c r="I4608" s="2" t="s">
        <v>12305</v>
      </c>
      <c r="J4608" s="3" t="str">
        <f>HYPERLINK("https://www.boe.es/gazeta/dias/1811/03/17/pdfs/GMD-1811-76.pdf#page=4","Abrir facsímil")</f>
        <v>Abrir facsímil</v>
      </c>
      <c r="K4608" s="3" t="s">
        <v>150</v>
      </c>
    </row>
    <row r="4609" spans="1:11" ht="42" customHeight="1">
      <c r="A4609" s="2" t="s">
        <v>12302</v>
      </c>
      <c r="B4609" s="2" t="s">
        <v>12302</v>
      </c>
      <c r="C4609" s="2" t="s">
        <v>26</v>
      </c>
      <c r="D4609" s="2" t="s">
        <v>18</v>
      </c>
      <c r="E4609" s="4">
        <v>-32286</v>
      </c>
      <c r="F4609" s="3" t="s">
        <v>754</v>
      </c>
      <c r="G4609" s="3" t="s">
        <v>1728</v>
      </c>
      <c r="H4609" s="2" t="s">
        <v>148</v>
      </c>
      <c r="I4609" s="2" t="s">
        <v>12306</v>
      </c>
      <c r="J4609" s="3" t="str">
        <f>HYPERLINK("https://www.boe.es/gazeta/dias/1811/08/08/pdfs/GEI-1811-103.pdf#page=8","Abrir facsímil")</f>
        <v>Abrir facsímil</v>
      </c>
      <c r="K4609" s="3" t="s">
        <v>150</v>
      </c>
    </row>
    <row r="4610" spans="1:11" ht="42" customHeight="1">
      <c r="A4610" s="2" t="s">
        <v>12302</v>
      </c>
      <c r="B4610" s="2" t="s">
        <v>12302</v>
      </c>
      <c r="C4610" s="2" t="s">
        <v>26</v>
      </c>
      <c r="D4610" s="2" t="s">
        <v>18</v>
      </c>
      <c r="E4610" s="4">
        <v>-32284</v>
      </c>
      <c r="F4610" s="3" t="s">
        <v>170</v>
      </c>
      <c r="G4610" s="3" t="s">
        <v>1388</v>
      </c>
      <c r="H4610" s="2" t="s">
        <v>148</v>
      </c>
      <c r="I4610" s="2" t="s">
        <v>12307</v>
      </c>
      <c r="J4610" s="3" t="str">
        <f>HYPERLINK("https://www.boe.es/gazeta/dias/1811/08/10/pdfs/GEI-1811-104.pdf#page=8","Abrir facsímil")</f>
        <v>Abrir facsímil</v>
      </c>
      <c r="K4610" s="3" t="s">
        <v>150</v>
      </c>
    </row>
    <row r="4611" spans="1:11" ht="42" customHeight="1">
      <c r="A4611" s="2" t="s">
        <v>12302</v>
      </c>
      <c r="B4611" s="2" t="s">
        <v>12302</v>
      </c>
      <c r="C4611" s="2" t="s">
        <v>26</v>
      </c>
      <c r="D4611" s="2" t="s">
        <v>18</v>
      </c>
      <c r="E4611" s="4">
        <v>-32274</v>
      </c>
      <c r="F4611" s="3" t="s">
        <v>5081</v>
      </c>
      <c r="G4611" s="3" t="s">
        <v>515</v>
      </c>
      <c r="H4611" s="2" t="s">
        <v>148</v>
      </c>
      <c r="I4611" s="2" t="s">
        <v>12308</v>
      </c>
      <c r="J4611" s="3" t="str">
        <f>HYPERLINK("https://www.boe.es/gazeta/dias/1811/08/20/pdfs/GEI-1811-108.pdf#page=5","Abrir facsímil")</f>
        <v>Abrir facsímil</v>
      </c>
      <c r="K4611" s="3" t="s">
        <v>150</v>
      </c>
    </row>
    <row r="4612" spans="1:11" ht="42" customHeight="1">
      <c r="A4612" s="2" t="s">
        <v>12302</v>
      </c>
      <c r="B4612" s="2" t="s">
        <v>12302</v>
      </c>
      <c r="C4612" s="2" t="s">
        <v>26</v>
      </c>
      <c r="D4612" s="2" t="s">
        <v>105</v>
      </c>
      <c r="E4612" s="4">
        <v>-32238</v>
      </c>
      <c r="F4612" s="3" t="s">
        <v>166</v>
      </c>
      <c r="G4612" s="3" t="s">
        <v>39</v>
      </c>
      <c r="H4612" s="2" t="s">
        <v>148</v>
      </c>
      <c r="I4612" s="2" t="s">
        <v>12309</v>
      </c>
      <c r="J4612" s="3" t="str">
        <f>HYPERLINK("https://www.boe.es/gazeta/dias/1811/09/25/pdfs/GMD-C-1811-268.pdf#page=2","Abrir facsímil")</f>
        <v>Abrir facsímil</v>
      </c>
      <c r="K4612" s="3" t="s">
        <v>150</v>
      </c>
    </row>
    <row r="4613" spans="1:11" ht="42" customHeight="1">
      <c r="A4613" s="2" t="s">
        <v>12302</v>
      </c>
      <c r="B4613" s="2" t="s">
        <v>12302</v>
      </c>
      <c r="C4613" s="2" t="s">
        <v>26</v>
      </c>
      <c r="D4613" s="2" t="s">
        <v>18</v>
      </c>
      <c r="E4613" s="4">
        <v>-32230</v>
      </c>
      <c r="F4613" s="3" t="s">
        <v>625</v>
      </c>
      <c r="G4613" s="3" t="s">
        <v>1258</v>
      </c>
      <c r="H4613" s="2" t="s">
        <v>148</v>
      </c>
      <c r="I4613" s="2" t="s">
        <v>12310</v>
      </c>
      <c r="J4613" s="3" t="str">
        <f>HYPERLINK("https://www.boe.es/gazeta/dias/1811/10/03/pdfs/GEI-1811-127.pdf#page=8","Abrir facsímil")</f>
        <v>Abrir facsímil</v>
      </c>
      <c r="K4613" s="3" t="s">
        <v>150</v>
      </c>
    </row>
    <row r="4614" spans="1:11" ht="42" customHeight="1">
      <c r="A4614" s="2" t="s">
        <v>12302</v>
      </c>
      <c r="B4614" s="2" t="s">
        <v>12302</v>
      </c>
      <c r="C4614" s="2" t="s">
        <v>17</v>
      </c>
      <c r="D4614" s="2" t="s">
        <v>528</v>
      </c>
      <c r="E4614" s="4">
        <v>-32219</v>
      </c>
      <c r="F4614" s="3" t="s">
        <v>529</v>
      </c>
      <c r="G4614" s="3" t="s">
        <v>1143</v>
      </c>
      <c r="H4614" s="2" t="s">
        <v>148</v>
      </c>
      <c r="I4614" s="2" t="s">
        <v>12311</v>
      </c>
      <c r="J4614" s="3" t="str">
        <f>HYPERLINK("https://www.boe.es/gazeta/dias/1811/10/14/pdfs/GEI-1811-132E.pdf#page=3","Abrir facsímil")</f>
        <v>Abrir facsímil</v>
      </c>
      <c r="K4614" s="3" t="s">
        <v>150</v>
      </c>
    </row>
    <row r="4615" spans="1:11" ht="42" customHeight="1">
      <c r="A4615" s="2" t="s">
        <v>12302</v>
      </c>
      <c r="B4615" s="2" t="s">
        <v>12302</v>
      </c>
      <c r="C4615" s="2" t="s">
        <v>17</v>
      </c>
      <c r="D4615" s="2" t="s">
        <v>18</v>
      </c>
      <c r="E4615" s="4">
        <v>-32209</v>
      </c>
      <c r="F4615" s="3" t="s">
        <v>9303</v>
      </c>
      <c r="G4615" s="3" t="s">
        <v>12312</v>
      </c>
      <c r="H4615" s="2" t="s">
        <v>148</v>
      </c>
      <c r="I4615" s="2" t="s">
        <v>12313</v>
      </c>
      <c r="J4615" s="3" t="str">
        <f>HYPERLINK("https://www.boe.es/gazeta/dias/1811/10/24/pdfs/GEI-1811-137.pdf#page=5","Abrir facsímil")</f>
        <v>Abrir facsímil</v>
      </c>
      <c r="K4615" s="3" t="s">
        <v>150</v>
      </c>
    </row>
    <row r="4616" spans="1:11" ht="42" customHeight="1">
      <c r="A4616" s="2" t="s">
        <v>12302</v>
      </c>
      <c r="B4616" s="2" t="s">
        <v>12302</v>
      </c>
      <c r="C4616" s="2" t="s">
        <v>26</v>
      </c>
      <c r="D4616" s="2" t="s">
        <v>105</v>
      </c>
      <c r="E4616" s="4">
        <v>-32197</v>
      </c>
      <c r="F4616" s="3" t="s">
        <v>687</v>
      </c>
      <c r="G4616" s="3" t="s">
        <v>1240</v>
      </c>
      <c r="H4616" s="2" t="s">
        <v>148</v>
      </c>
      <c r="I4616" s="2" t="s">
        <v>12314</v>
      </c>
      <c r="J4616" s="3" t="str">
        <f>HYPERLINK("https://www.boe.es/gazeta/dias/1811/11/05/pdfs/GEI-1811-143.pdf#page=8","Abrir facsímil")</f>
        <v>Abrir facsímil</v>
      </c>
      <c r="K4616" s="3" t="s">
        <v>150</v>
      </c>
    </row>
    <row r="4617" spans="1:11" ht="42" customHeight="1">
      <c r="A4617" s="2" t="s">
        <v>12302</v>
      </c>
      <c r="B4617" s="2" t="s">
        <v>12302</v>
      </c>
      <c r="C4617" s="2" t="s">
        <v>26</v>
      </c>
      <c r="D4617" s="2" t="s">
        <v>18</v>
      </c>
      <c r="E4617" s="4">
        <v>-32186</v>
      </c>
      <c r="F4617" s="3" t="s">
        <v>1425</v>
      </c>
      <c r="G4617" s="3" t="s">
        <v>91</v>
      </c>
      <c r="H4617" s="2" t="s">
        <v>148</v>
      </c>
      <c r="I4617" s="2" t="s">
        <v>12315</v>
      </c>
      <c r="J4617" s="3" t="str">
        <f>HYPERLINK("https://www.boe.es/gazeta/dias/1811/11/16/pdfs/GEI-1811-150.pdf#page=5","Abrir facsímil")</f>
        <v>Abrir facsímil</v>
      </c>
      <c r="K4617" s="3" t="s">
        <v>150</v>
      </c>
    </row>
    <row r="4618" spans="1:11" ht="42" customHeight="1">
      <c r="A4618" s="2" t="s">
        <v>12316</v>
      </c>
      <c r="B4618" s="2" t="s">
        <v>12317</v>
      </c>
      <c r="C4618" s="2" t="s">
        <v>17</v>
      </c>
      <c r="D4618" s="2" t="s">
        <v>18</v>
      </c>
      <c r="E4618" s="4">
        <v>-32258</v>
      </c>
      <c r="F4618" s="3" t="s">
        <v>449</v>
      </c>
      <c r="G4618" s="3" t="s">
        <v>10060</v>
      </c>
      <c r="H4618" s="2" t="s">
        <v>148</v>
      </c>
      <c r="I4618" s="2" t="s">
        <v>12318</v>
      </c>
      <c r="J4618" s="3" t="str">
        <f>HYPERLINK("https://www.boe.es/gazeta/dias/1811/09/05/pdfs/GEI-1811-115.pdf#page=2","Abrir facsímil")</f>
        <v>Abrir facsímil</v>
      </c>
      <c r="K4618" s="3" t="s">
        <v>150</v>
      </c>
    </row>
    <row r="4619" spans="1:11" ht="42" customHeight="1">
      <c r="A4619" s="2" t="s">
        <v>12319</v>
      </c>
      <c r="B4619" s="2" t="s">
        <v>12319</v>
      </c>
      <c r="C4619" s="2" t="s">
        <v>17</v>
      </c>
      <c r="D4619" s="2" t="s">
        <v>156</v>
      </c>
      <c r="E4619" s="4">
        <v>-32412</v>
      </c>
      <c r="F4619" s="3" t="s">
        <v>998</v>
      </c>
      <c r="G4619" s="3" t="s">
        <v>4144</v>
      </c>
      <c r="H4619" s="2" t="s">
        <v>148</v>
      </c>
      <c r="I4619" s="2" t="s">
        <v>12320</v>
      </c>
      <c r="J4619" s="3" t="str">
        <f>HYPERLINK("https://www.boe.es/gazeta/dias/1811/04/04/pdfs/GEI-1811-46.pdf#page=2","Abrir facsímil")</f>
        <v>Abrir facsímil</v>
      </c>
      <c r="K4619" s="3" t="s">
        <v>150</v>
      </c>
    </row>
    <row r="4620" spans="1:11" ht="42" customHeight="1">
      <c r="A4620" s="2" t="s">
        <v>12319</v>
      </c>
      <c r="B4620" s="2" t="s">
        <v>12319</v>
      </c>
      <c r="C4620" s="2" t="s">
        <v>17</v>
      </c>
      <c r="D4620" s="2" t="s">
        <v>156</v>
      </c>
      <c r="E4620" s="4">
        <v>-32171</v>
      </c>
      <c r="F4620" s="3" t="s">
        <v>157</v>
      </c>
      <c r="G4620" s="3" t="s">
        <v>44</v>
      </c>
      <c r="H4620" s="2" t="s">
        <v>148</v>
      </c>
      <c r="I4620" s="2" t="s">
        <v>12321</v>
      </c>
      <c r="J4620" s="3" t="str">
        <f>HYPERLINK("https://www.boe.es/gazeta/dias/1811/12/01/pdfs/GMD-1811-335.pdf#page=4","Abrir facsímil")</f>
        <v>Abrir facsímil</v>
      </c>
      <c r="K4620" s="3" t="s">
        <v>150</v>
      </c>
    </row>
    <row r="4621" spans="1:11" ht="42" customHeight="1">
      <c r="A4621" s="2" t="s">
        <v>12322</v>
      </c>
      <c r="B4621" s="2" t="s">
        <v>12322</v>
      </c>
      <c r="C4621" s="2" t="s">
        <v>84</v>
      </c>
      <c r="D4621" s="2" t="s">
        <v>18</v>
      </c>
      <c r="E4621" s="4">
        <v>-32426</v>
      </c>
      <c r="F4621" s="3" t="s">
        <v>2729</v>
      </c>
      <c r="G4621" s="3" t="s">
        <v>2730</v>
      </c>
      <c r="H4621" s="2" t="s">
        <v>148</v>
      </c>
      <c r="I4621" s="2" t="s">
        <v>12323</v>
      </c>
      <c r="J4621" s="3" t="str">
        <f>HYPERLINK("https://www.boe.es/gazeta/dias/1811/03/21/pdfs/GEI-1811-40.pdf#page=6","Abrir facsímil")</f>
        <v>Abrir facsímil</v>
      </c>
      <c r="K4621" s="3" t="s">
        <v>150</v>
      </c>
    </row>
    <row r="4622" spans="1:11" ht="42" customHeight="1">
      <c r="A4622" s="2" t="s">
        <v>12324</v>
      </c>
      <c r="B4622" s="2" t="s">
        <v>12324</v>
      </c>
      <c r="C4622" s="2" t="s">
        <v>17</v>
      </c>
      <c r="D4622" s="2" t="s">
        <v>156</v>
      </c>
      <c r="E4622" s="4">
        <v>-32428</v>
      </c>
      <c r="F4622" s="3" t="s">
        <v>351</v>
      </c>
      <c r="G4622" s="3" t="s">
        <v>115</v>
      </c>
      <c r="H4622" s="2" t="s">
        <v>148</v>
      </c>
      <c r="I4622" s="2" t="s">
        <v>12325</v>
      </c>
      <c r="J4622" s="3" t="str">
        <f>HYPERLINK("https://www.boe.es/gazeta/dias/1811/03/19/pdfs/GMD-1811-78.pdf#page=3","Abrir facsímil")</f>
        <v>Abrir facsímil</v>
      </c>
      <c r="K4622" s="3" t="s">
        <v>150</v>
      </c>
    </row>
    <row r="4623" spans="1:11" ht="42" customHeight="1">
      <c r="A4623" s="2" t="s">
        <v>12326</v>
      </c>
      <c r="B4623" s="2" t="s">
        <v>12326</v>
      </c>
      <c r="C4623" s="2" t="s">
        <v>17</v>
      </c>
      <c r="D4623" s="2" t="s">
        <v>18</v>
      </c>
      <c r="E4623" s="4">
        <v>-32279</v>
      </c>
      <c r="F4623" s="3" t="s">
        <v>540</v>
      </c>
      <c r="G4623" s="3" t="s">
        <v>20</v>
      </c>
      <c r="H4623" s="2" t="s">
        <v>148</v>
      </c>
      <c r="I4623" s="2" t="s">
        <v>12327</v>
      </c>
      <c r="J4623" s="3" t="str">
        <f>HYPERLINK("https://www.boe.es/gazeta/dias/1811/08/15/pdfs/GMD-1811-227.pdf#page=4","Abrir facsímil")</f>
        <v>Abrir facsímil</v>
      </c>
      <c r="K4623" s="3" t="s">
        <v>150</v>
      </c>
    </row>
    <row r="4624" spans="1:11" ht="42" customHeight="1">
      <c r="A4624" s="2" t="s">
        <v>12328</v>
      </c>
      <c r="B4624" s="2" t="s">
        <v>12328</v>
      </c>
      <c r="C4624" s="2" t="s">
        <v>17</v>
      </c>
      <c r="D4624" s="2" t="s">
        <v>18</v>
      </c>
      <c r="E4624" s="4">
        <v>-32421</v>
      </c>
      <c r="F4624" s="3" t="s">
        <v>79</v>
      </c>
      <c r="G4624" s="3" t="s">
        <v>80</v>
      </c>
      <c r="H4624" s="2" t="s">
        <v>148</v>
      </c>
      <c r="I4624" s="2" t="s">
        <v>12329</v>
      </c>
      <c r="J4624" s="3" t="str">
        <f>HYPERLINK("https://www.boe.es/gazeta/dias/1811/03/26/pdfs/GEI-1811-42.pdf#page=7","Abrir facsímil")</f>
        <v>Abrir facsímil</v>
      </c>
      <c r="K4624" s="3" t="s">
        <v>150</v>
      </c>
    </row>
    <row r="4625" spans="1:11" ht="42" customHeight="1">
      <c r="A4625" s="2" t="s">
        <v>12330</v>
      </c>
      <c r="B4625" s="2" t="s">
        <v>12330</v>
      </c>
      <c r="C4625" s="2" t="s">
        <v>37</v>
      </c>
      <c r="D4625" s="2" t="s">
        <v>18</v>
      </c>
      <c r="E4625" s="4">
        <v>-32442</v>
      </c>
      <c r="F4625" s="3" t="s">
        <v>634</v>
      </c>
      <c r="G4625" s="3" t="s">
        <v>245</v>
      </c>
      <c r="H4625" s="2" t="s">
        <v>148</v>
      </c>
      <c r="I4625" s="2" t="s">
        <v>12331</v>
      </c>
      <c r="J4625" s="3" t="str">
        <f>HYPERLINK("https://www.boe.es/gazeta/dias/1811/03/05/pdfs/GEI-1811-29.pdf#page=1","Abrir facsímil")</f>
        <v>Abrir facsímil</v>
      </c>
      <c r="K4625" s="3" t="s">
        <v>150</v>
      </c>
    </row>
    <row r="4626" spans="1:11" ht="42" customHeight="1">
      <c r="A4626" s="2" t="s">
        <v>12330</v>
      </c>
      <c r="B4626" s="2" t="s">
        <v>12330</v>
      </c>
      <c r="C4626" s="2" t="s">
        <v>26</v>
      </c>
      <c r="D4626" s="2" t="s">
        <v>18</v>
      </c>
      <c r="E4626" s="4">
        <v>-32428</v>
      </c>
      <c r="F4626" s="3" t="s">
        <v>351</v>
      </c>
      <c r="G4626" s="3" t="s">
        <v>57</v>
      </c>
      <c r="H4626" s="2" t="s">
        <v>148</v>
      </c>
      <c r="I4626" s="2" t="s">
        <v>12332</v>
      </c>
      <c r="J4626" s="3" t="str">
        <f>HYPERLINK("https://www.boe.es/gazeta/dias/1811/03/19/pdfs/GMD-1811-78.pdf#page=2","Abrir facsímil")</f>
        <v>Abrir facsímil</v>
      </c>
      <c r="K4626" s="3" t="s">
        <v>150</v>
      </c>
    </row>
    <row r="4627" spans="1:11" ht="42" customHeight="1">
      <c r="A4627" s="2" t="s">
        <v>12330</v>
      </c>
      <c r="B4627" s="2" t="s">
        <v>12330</v>
      </c>
      <c r="C4627" s="2" t="s">
        <v>26</v>
      </c>
      <c r="D4627" s="2" t="s">
        <v>105</v>
      </c>
      <c r="E4627" s="4">
        <v>-32428</v>
      </c>
      <c r="F4627" s="3" t="s">
        <v>351</v>
      </c>
      <c r="G4627" s="3" t="s">
        <v>352</v>
      </c>
      <c r="H4627" s="2" t="s">
        <v>148</v>
      </c>
      <c r="I4627" s="2" t="s">
        <v>12333</v>
      </c>
      <c r="J4627" s="3" t="str">
        <f>HYPERLINK("https://www.boe.es/gazeta/dias/1811/03/19/pdfs/GMD-1811-78.pdf#page=4","Abrir facsímil")</f>
        <v>Abrir facsímil</v>
      </c>
      <c r="K4627" s="3" t="s">
        <v>150</v>
      </c>
    </row>
    <row r="4628" spans="1:11" ht="42" customHeight="1">
      <c r="A4628" s="2" t="s">
        <v>12330</v>
      </c>
      <c r="B4628" s="2" t="s">
        <v>12330</v>
      </c>
      <c r="C4628" s="2" t="s">
        <v>841</v>
      </c>
      <c r="D4628" s="2" t="s">
        <v>18</v>
      </c>
      <c r="E4628" s="4">
        <v>-32309</v>
      </c>
      <c r="F4628" s="3" t="s">
        <v>2496</v>
      </c>
      <c r="G4628" s="3" t="s">
        <v>47</v>
      </c>
      <c r="H4628" s="2" t="s">
        <v>148</v>
      </c>
      <c r="I4628" s="2" t="s">
        <v>12334</v>
      </c>
      <c r="J4628" s="3" t="str">
        <f>HYPERLINK("https://www.boe.es/gazeta/dias/1811/07/16/pdfs/GEI-1811-93.pdf#page=8","Abrir facsímil")</f>
        <v>Abrir facsímil</v>
      </c>
      <c r="K4628" s="3" t="s">
        <v>150</v>
      </c>
    </row>
    <row r="4629" spans="1:11" ht="42" customHeight="1">
      <c r="A4629" s="2" t="s">
        <v>12330</v>
      </c>
      <c r="B4629" s="2" t="s">
        <v>12330</v>
      </c>
      <c r="C4629" s="2" t="s">
        <v>17</v>
      </c>
      <c r="D4629" s="2" t="s">
        <v>18</v>
      </c>
      <c r="E4629" s="4">
        <v>-32186</v>
      </c>
      <c r="F4629" s="3" t="s">
        <v>1425</v>
      </c>
      <c r="G4629" s="3" t="s">
        <v>91</v>
      </c>
      <c r="H4629" s="2" t="s">
        <v>148</v>
      </c>
      <c r="I4629" s="2" t="s">
        <v>12335</v>
      </c>
      <c r="J4629" s="3" t="str">
        <f>HYPERLINK("https://www.boe.es/gazeta/dias/1811/11/16/pdfs/GEI-1811-150.pdf#page=5","Abrir facsímil")</f>
        <v>Abrir facsímil</v>
      </c>
      <c r="K4629" s="3" t="s">
        <v>150</v>
      </c>
    </row>
    <row r="4630" spans="1:11" ht="42" customHeight="1">
      <c r="A4630" s="2" t="s">
        <v>12330</v>
      </c>
      <c r="B4630" s="2" t="s">
        <v>12330</v>
      </c>
      <c r="C4630" s="2" t="s">
        <v>17</v>
      </c>
      <c r="D4630" s="2" t="s">
        <v>141</v>
      </c>
      <c r="E4630" s="4">
        <v>-32179</v>
      </c>
      <c r="F4630" s="3" t="s">
        <v>2924</v>
      </c>
      <c r="G4630" s="3" t="s">
        <v>12336</v>
      </c>
      <c r="H4630" s="2" t="s">
        <v>148</v>
      </c>
      <c r="I4630" s="2" t="s">
        <v>12337</v>
      </c>
      <c r="J4630" s="3" t="str">
        <f>HYPERLINK("https://www.boe.es/gazeta/dias/1811/11/23/pdfs/GEI-D-1811-153.pdf#page=2","Abrir facsímil")</f>
        <v>Abrir facsímil</v>
      </c>
      <c r="K4630" s="3" t="s">
        <v>150</v>
      </c>
    </row>
    <row r="4631" spans="1:11" ht="42" customHeight="1">
      <c r="A4631" s="2" t="s">
        <v>12330</v>
      </c>
      <c r="B4631" s="2" t="s">
        <v>12330</v>
      </c>
      <c r="C4631" s="2" t="s">
        <v>26</v>
      </c>
      <c r="D4631" s="2" t="s">
        <v>18</v>
      </c>
      <c r="E4631" s="4">
        <v>-32171</v>
      </c>
      <c r="F4631" s="3" t="s">
        <v>157</v>
      </c>
      <c r="G4631" s="3" t="s">
        <v>44</v>
      </c>
      <c r="H4631" s="2" t="s">
        <v>148</v>
      </c>
      <c r="I4631" s="2" t="s">
        <v>12338</v>
      </c>
      <c r="J4631" s="3" t="str">
        <f>HYPERLINK("https://www.boe.es/gazeta/dias/1811/12/01/pdfs/GMD-1811-335.pdf#page=4","Abrir facsímil")</f>
        <v>Abrir facsímil</v>
      </c>
      <c r="K4631" s="3" t="s">
        <v>150</v>
      </c>
    </row>
    <row r="4632" spans="1:11" ht="42" customHeight="1">
      <c r="A4632" s="2" t="s">
        <v>12330</v>
      </c>
      <c r="B4632" s="2" t="s">
        <v>12330</v>
      </c>
      <c r="C4632" s="2" t="s">
        <v>26</v>
      </c>
      <c r="D4632" s="2" t="s">
        <v>18</v>
      </c>
      <c r="E4632" s="4">
        <v>-32155</v>
      </c>
      <c r="F4632" s="3" t="s">
        <v>263</v>
      </c>
      <c r="G4632" s="3" t="s">
        <v>264</v>
      </c>
      <c r="H4632" s="2" t="s">
        <v>148</v>
      </c>
      <c r="I4632" s="2" t="s">
        <v>12339</v>
      </c>
      <c r="J4632" s="3" t="str">
        <f>HYPERLINK("https://www.boe.es/gazeta/dias/1811/12/17/pdfs/GEI-1811-163.pdf#page=8","Abrir facsímil")</f>
        <v>Abrir facsímil</v>
      </c>
      <c r="K4632" s="3" t="s">
        <v>150</v>
      </c>
    </row>
    <row r="4633" spans="1:11" ht="42" customHeight="1">
      <c r="A4633" s="2" t="s">
        <v>12340</v>
      </c>
      <c r="B4633" s="2" t="s">
        <v>12341</v>
      </c>
      <c r="C4633" s="2" t="s">
        <v>17</v>
      </c>
      <c r="D4633" s="2" t="s">
        <v>18</v>
      </c>
      <c r="E4633" s="4">
        <v>-32144</v>
      </c>
      <c r="F4633" s="3" t="s">
        <v>1097</v>
      </c>
      <c r="G4633" s="3" t="s">
        <v>1098</v>
      </c>
      <c r="H4633" s="2" t="s">
        <v>21</v>
      </c>
      <c r="I4633" s="2" t="s">
        <v>12342</v>
      </c>
      <c r="J4633" s="3" t="str">
        <f>HYPERLINK("https://www.boe.es/gazeta/dias/1811/12/28/pdfs/GEI-1811-168.pdf#page=8","Abrir facsímil")</f>
        <v>Abrir facsímil</v>
      </c>
      <c r="K4633" s="3" t="s">
        <v>23</v>
      </c>
    </row>
    <row r="4634" spans="1:11" ht="42" customHeight="1">
      <c r="A4634" s="2" t="s">
        <v>12343</v>
      </c>
      <c r="B4634" s="2" t="s">
        <v>12344</v>
      </c>
      <c r="C4634" s="2" t="s">
        <v>17</v>
      </c>
      <c r="D4634" s="2" t="s">
        <v>18</v>
      </c>
      <c r="E4634" s="4">
        <v>-32263</v>
      </c>
      <c r="F4634" s="3" t="s">
        <v>128</v>
      </c>
      <c r="G4634" s="3" t="s">
        <v>925</v>
      </c>
      <c r="H4634" s="2" t="s">
        <v>148</v>
      </c>
      <c r="I4634" s="2" t="s">
        <v>12345</v>
      </c>
      <c r="J4634" s="3" t="str">
        <f>HYPERLINK("https://www.boe.es/gazeta/dias/1811/08/31/pdfs/GEI-1811-113.pdf#page=7","Abrir facsímil")</f>
        <v>Abrir facsímil</v>
      </c>
      <c r="K4634" s="3" t="s">
        <v>150</v>
      </c>
    </row>
    <row r="4635" spans="1:11" ht="42" customHeight="1">
      <c r="A4635" s="2" t="s">
        <v>12346</v>
      </c>
      <c r="B4635" s="2" t="s">
        <v>12347</v>
      </c>
      <c r="C4635" s="2" t="s">
        <v>26</v>
      </c>
      <c r="D4635" s="2" t="s">
        <v>105</v>
      </c>
      <c r="E4635" s="4">
        <v>-32288</v>
      </c>
      <c r="F4635" s="3" t="s">
        <v>95</v>
      </c>
      <c r="G4635" s="3" t="s">
        <v>47</v>
      </c>
      <c r="H4635" s="2" t="s">
        <v>148</v>
      </c>
      <c r="I4635" s="2" t="s">
        <v>12348</v>
      </c>
      <c r="J4635" s="3" t="str">
        <f>HYPERLINK("https://www.boe.es/gazeta/dias/1811/08/06/pdfs/GEI-1811-102.pdf#page=8","Abrir facsímil")</f>
        <v>Abrir facsímil</v>
      </c>
      <c r="K4635" s="3" t="s">
        <v>150</v>
      </c>
    </row>
    <row r="4636" spans="1:11" ht="42" customHeight="1">
      <c r="A4636" s="2" t="s">
        <v>12349</v>
      </c>
      <c r="B4636" s="2" t="s">
        <v>12350</v>
      </c>
      <c r="C4636" s="2" t="s">
        <v>26</v>
      </c>
      <c r="D4636" s="2" t="s">
        <v>105</v>
      </c>
      <c r="E4636" s="4">
        <v>-32404</v>
      </c>
      <c r="F4636" s="3" t="s">
        <v>911</v>
      </c>
      <c r="G4636" s="3" t="s">
        <v>468</v>
      </c>
      <c r="H4636" s="2" t="s">
        <v>148</v>
      </c>
      <c r="I4636" s="2" t="s">
        <v>12351</v>
      </c>
      <c r="J4636" s="3" t="str">
        <f>HYPERLINK("https://www.boe.es/gazeta/dias/1811/04/12/pdfs/GMD-1811-102.pdf#page=3","Abrir facsímil")</f>
        <v>Abrir facsímil</v>
      </c>
      <c r="K4636" s="3" t="s">
        <v>150</v>
      </c>
    </row>
    <row r="4637" spans="1:11" ht="42" customHeight="1">
      <c r="A4637" s="2" t="s">
        <v>12349</v>
      </c>
      <c r="B4637" s="2" t="s">
        <v>12350</v>
      </c>
      <c r="C4637" s="2" t="s">
        <v>26</v>
      </c>
      <c r="D4637" s="2" t="s">
        <v>18</v>
      </c>
      <c r="E4637" s="4">
        <v>-32157</v>
      </c>
      <c r="F4637" s="3" t="s">
        <v>200</v>
      </c>
      <c r="G4637" s="3" t="s">
        <v>6030</v>
      </c>
      <c r="H4637" s="2" t="s">
        <v>148</v>
      </c>
      <c r="I4637" s="2" t="s">
        <v>12352</v>
      </c>
      <c r="J4637" s="3" t="str">
        <f>HYPERLINK("https://www.boe.es/gazeta/dias/1811/12/15/pdfs/GMD-1811-349.pdf#page=4","Abrir facsímil")</f>
        <v>Abrir facsímil</v>
      </c>
      <c r="K4637" s="3" t="s">
        <v>150</v>
      </c>
    </row>
    <row r="4638" spans="1:11" ht="42" customHeight="1">
      <c r="A4638" s="2" t="s">
        <v>12353</v>
      </c>
      <c r="B4638" s="2" t="s">
        <v>12354</v>
      </c>
      <c r="C4638" s="2" t="s">
        <v>17</v>
      </c>
      <c r="D4638" s="2" t="s">
        <v>156</v>
      </c>
      <c r="E4638" s="4">
        <v>-32171</v>
      </c>
      <c r="F4638" s="3" t="s">
        <v>157</v>
      </c>
      <c r="G4638" s="3" t="s">
        <v>44</v>
      </c>
      <c r="H4638" s="2" t="s">
        <v>148</v>
      </c>
      <c r="I4638" s="2" t="s">
        <v>12355</v>
      </c>
      <c r="J4638" s="3" t="str">
        <f>HYPERLINK("https://www.boe.es/gazeta/dias/1811/12/01/pdfs/GMD-1811-335.pdf#page=4","Abrir facsímil")</f>
        <v>Abrir facsímil</v>
      </c>
      <c r="K4638" s="3" t="s">
        <v>150</v>
      </c>
    </row>
    <row r="4639" spans="1:11" ht="42" customHeight="1">
      <c r="A4639" s="2" t="s">
        <v>12356</v>
      </c>
      <c r="B4639" s="2" t="s">
        <v>12357</v>
      </c>
      <c r="C4639" s="2" t="s">
        <v>26</v>
      </c>
      <c r="D4639" s="2" t="s">
        <v>18</v>
      </c>
      <c r="E4639" s="4">
        <v>-32396</v>
      </c>
      <c r="F4639" s="3" t="s">
        <v>1267</v>
      </c>
      <c r="G4639" s="3" t="s">
        <v>1143</v>
      </c>
      <c r="H4639" s="2" t="s">
        <v>148</v>
      </c>
      <c r="I4639" s="2" t="s">
        <v>12358</v>
      </c>
      <c r="J4639" s="3" t="str">
        <f>HYPERLINK("https://www.boe.es/gazeta/dias/1811/04/20/pdfs/GMD-1811-110.pdf#page=3","Abrir facsímil")</f>
        <v>Abrir facsímil</v>
      </c>
      <c r="K4639" s="3" t="s">
        <v>150</v>
      </c>
    </row>
    <row r="4640" spans="1:11" ht="42" customHeight="1">
      <c r="A4640" s="2" t="s">
        <v>12359</v>
      </c>
      <c r="B4640" s="2" t="s">
        <v>12359</v>
      </c>
      <c r="C4640" s="2" t="s">
        <v>367</v>
      </c>
      <c r="D4640" s="2" t="s">
        <v>141</v>
      </c>
      <c r="E4640" s="4">
        <v>-32355</v>
      </c>
      <c r="F4640" s="3" t="s">
        <v>537</v>
      </c>
      <c r="G4640" s="3" t="s">
        <v>44</v>
      </c>
      <c r="H4640" s="2" t="s">
        <v>148</v>
      </c>
      <c r="I4640" s="2" t="s">
        <v>12360</v>
      </c>
      <c r="J4640" s="3" t="str">
        <f>HYPERLINK("https://www.boe.es/gazeta/dias/1811/05/31/pdfs/GMD-C-1811-151.pdf#page=6","Abrir facsímil")</f>
        <v>Abrir facsímil</v>
      </c>
      <c r="K4640" s="3" t="s">
        <v>150</v>
      </c>
    </row>
    <row r="4641" spans="1:11" ht="42" customHeight="1">
      <c r="A4641" s="2" t="s">
        <v>12361</v>
      </c>
      <c r="B4641" s="2" t="s">
        <v>12361</v>
      </c>
      <c r="C4641" s="2" t="s">
        <v>17</v>
      </c>
      <c r="D4641" s="2" t="s">
        <v>18</v>
      </c>
      <c r="E4641" s="4">
        <v>-32141</v>
      </c>
      <c r="F4641" s="3" t="s">
        <v>308</v>
      </c>
      <c r="G4641" s="3" t="s">
        <v>12362</v>
      </c>
      <c r="H4641" s="2" t="s">
        <v>148</v>
      </c>
      <c r="I4641" s="2" t="s">
        <v>12363</v>
      </c>
      <c r="J4641" s="3" t="str">
        <f>HYPERLINK("https://www.boe.es/gazeta/dias/1811/12/31/pdfs/GEI-1811-169.pdf#page=1","Abrir facsímil")</f>
        <v>Abrir facsímil</v>
      </c>
      <c r="K4641" s="3" t="s">
        <v>150</v>
      </c>
    </row>
    <row r="4642" spans="1:11" ht="42" customHeight="1">
      <c r="A4642" s="2" t="s">
        <v>12364</v>
      </c>
      <c r="B4642" s="2" t="s">
        <v>12364</v>
      </c>
      <c r="C4642" s="2" t="s">
        <v>17</v>
      </c>
      <c r="D4642" s="2" t="s">
        <v>156</v>
      </c>
      <c r="E4642" s="4">
        <v>-32428</v>
      </c>
      <c r="F4642" s="3" t="s">
        <v>351</v>
      </c>
      <c r="G4642" s="3" t="s">
        <v>115</v>
      </c>
      <c r="H4642" s="2" t="s">
        <v>148</v>
      </c>
      <c r="I4642" s="2" t="s">
        <v>12365</v>
      </c>
      <c r="J4642" s="3" t="str">
        <f>HYPERLINK("https://www.boe.es/gazeta/dias/1811/03/19/pdfs/GMD-1811-78.pdf#page=3","Abrir facsímil")</f>
        <v>Abrir facsímil</v>
      </c>
      <c r="K4642" s="3" t="s">
        <v>150</v>
      </c>
    </row>
    <row r="4643" spans="1:11" ht="42" customHeight="1">
      <c r="A4643" s="2" t="s">
        <v>12366</v>
      </c>
      <c r="B4643" s="2" t="s">
        <v>12366</v>
      </c>
      <c r="C4643" s="2" t="s">
        <v>26</v>
      </c>
      <c r="D4643" s="2" t="s">
        <v>141</v>
      </c>
      <c r="E4643" s="4">
        <v>-32179</v>
      </c>
      <c r="F4643" s="3" t="s">
        <v>2924</v>
      </c>
      <c r="G4643" s="3" t="s">
        <v>12336</v>
      </c>
      <c r="H4643" s="2" t="s">
        <v>148</v>
      </c>
      <c r="I4643" s="2" t="s">
        <v>12367</v>
      </c>
      <c r="J4643" s="3" t="str">
        <f>HYPERLINK("https://www.boe.es/gazeta/dias/1811/11/23/pdfs/GEI-D-1811-153.pdf#page=2","Abrir facsímil")</f>
        <v>Abrir facsímil</v>
      </c>
      <c r="K4643" s="3" t="s">
        <v>150</v>
      </c>
    </row>
    <row r="4644" spans="1:11" ht="42" customHeight="1">
      <c r="A4644" s="2" t="s">
        <v>12368</v>
      </c>
      <c r="B4644" s="2" t="s">
        <v>12368</v>
      </c>
      <c r="C4644" s="2" t="s">
        <v>17</v>
      </c>
      <c r="D4644" s="2" t="s">
        <v>156</v>
      </c>
      <c r="E4644" s="4">
        <v>-32428</v>
      </c>
      <c r="F4644" s="3" t="s">
        <v>351</v>
      </c>
      <c r="G4644" s="3" t="s">
        <v>57</v>
      </c>
      <c r="H4644" s="2" t="s">
        <v>148</v>
      </c>
      <c r="I4644" s="2" t="s">
        <v>12369</v>
      </c>
      <c r="J4644" s="3" t="str">
        <f>HYPERLINK("https://www.boe.es/gazeta/dias/1811/03/19/pdfs/GMD-1811-78.pdf#page=2","Abrir facsímil")</f>
        <v>Abrir facsímil</v>
      </c>
      <c r="K4644" s="3" t="s">
        <v>150</v>
      </c>
    </row>
    <row r="4645" spans="1:11" ht="42" customHeight="1">
      <c r="A4645" s="2" t="s">
        <v>12368</v>
      </c>
      <c r="B4645" s="2" t="s">
        <v>12368</v>
      </c>
      <c r="C4645" s="2" t="s">
        <v>26</v>
      </c>
      <c r="D4645" s="2" t="s">
        <v>18</v>
      </c>
      <c r="E4645" s="4">
        <v>-32357</v>
      </c>
      <c r="F4645" s="3" t="s">
        <v>2775</v>
      </c>
      <c r="G4645" s="3" t="s">
        <v>57</v>
      </c>
      <c r="H4645" s="2" t="s">
        <v>148</v>
      </c>
      <c r="I4645" s="2" t="s">
        <v>12370</v>
      </c>
      <c r="J4645" s="3" t="str">
        <f>HYPERLINK("https://www.boe.es/gazeta/dias/1811/05/29/pdfs/GMD-1811-149.pdf#page=2","Abrir facsímil")</f>
        <v>Abrir facsímil</v>
      </c>
      <c r="K4645" s="3" t="s">
        <v>150</v>
      </c>
    </row>
    <row r="4646" spans="1:11" ht="42" customHeight="1">
      <c r="A4646" s="2" t="s">
        <v>12368</v>
      </c>
      <c r="B4646" s="2" t="s">
        <v>12368</v>
      </c>
      <c r="C4646" s="2" t="s">
        <v>17</v>
      </c>
      <c r="D4646" s="2" t="s">
        <v>156</v>
      </c>
      <c r="E4646" s="4">
        <v>-32279</v>
      </c>
      <c r="F4646" s="3" t="s">
        <v>540</v>
      </c>
      <c r="G4646" s="3" t="s">
        <v>91</v>
      </c>
      <c r="H4646" s="2" t="s">
        <v>148</v>
      </c>
      <c r="I4646" s="2" t="s">
        <v>12371</v>
      </c>
      <c r="J4646" s="3" t="str">
        <f>HYPERLINK("https://www.boe.es/gazeta/dias/1811/08/15/pdfs/GMD-1811-227.pdf#page=3","Abrir facsímil")</f>
        <v>Abrir facsímil</v>
      </c>
      <c r="K4646" s="3" t="s">
        <v>150</v>
      </c>
    </row>
    <row r="4647" spans="1:11" ht="42" customHeight="1">
      <c r="A4647" s="2" t="s">
        <v>12368</v>
      </c>
      <c r="B4647" s="2" t="s">
        <v>12368</v>
      </c>
      <c r="C4647" s="2" t="s">
        <v>104</v>
      </c>
      <c r="D4647" s="2" t="s">
        <v>18</v>
      </c>
      <c r="E4647" s="4">
        <v>-32202</v>
      </c>
      <c r="F4647" s="3" t="s">
        <v>2194</v>
      </c>
      <c r="G4647" s="3" t="s">
        <v>12372</v>
      </c>
      <c r="H4647" s="2" t="s">
        <v>148</v>
      </c>
      <c r="I4647" s="2" t="s">
        <v>12373</v>
      </c>
      <c r="J4647" s="3" t="str">
        <f>HYPERLINK("https://www.boe.es/gazeta/dias/1811/10/31/pdfs/GEI-1811-140.pdf#page=1","Abrir facsímil")</f>
        <v>Abrir facsímil</v>
      </c>
      <c r="K4647" s="3" t="s">
        <v>150</v>
      </c>
    </row>
    <row r="4648" spans="1:11" ht="42" customHeight="1">
      <c r="A4648" s="2" t="s">
        <v>12368</v>
      </c>
      <c r="B4648" s="2" t="s">
        <v>12368</v>
      </c>
      <c r="C4648" s="2" t="s">
        <v>17</v>
      </c>
      <c r="D4648" s="2" t="s">
        <v>156</v>
      </c>
      <c r="E4648" s="4">
        <v>-32171</v>
      </c>
      <c r="F4648" s="3" t="s">
        <v>157</v>
      </c>
      <c r="G4648" s="3" t="s">
        <v>44</v>
      </c>
      <c r="H4648" s="2" t="s">
        <v>148</v>
      </c>
      <c r="I4648" s="2" t="s">
        <v>12374</v>
      </c>
      <c r="J4648" s="3" t="str">
        <f>HYPERLINK("https://www.boe.es/gazeta/dias/1811/12/01/pdfs/GMD-1811-335.pdf#page=4","Abrir facsímil")</f>
        <v>Abrir facsímil</v>
      </c>
      <c r="K4648" s="3" t="s">
        <v>150</v>
      </c>
    </row>
    <row r="4649" spans="1:11" ht="42" customHeight="1">
      <c r="A4649" s="2" t="s">
        <v>12375</v>
      </c>
      <c r="B4649" s="2" t="s">
        <v>12376</v>
      </c>
      <c r="C4649" s="2" t="s">
        <v>17</v>
      </c>
      <c r="D4649" s="2" t="s">
        <v>18</v>
      </c>
      <c r="E4649" s="4">
        <v>-32227</v>
      </c>
      <c r="F4649" s="3" t="s">
        <v>4688</v>
      </c>
      <c r="G4649" s="3" t="s">
        <v>20</v>
      </c>
      <c r="H4649" s="2" t="s">
        <v>148</v>
      </c>
      <c r="I4649" s="2" t="s">
        <v>12377</v>
      </c>
      <c r="J4649" s="3" t="str">
        <f>HYPERLINK("https://www.boe.es/gazeta/dias/1811/10/06/pdfs/GMD-1811-279.pdf#page=1","Abrir facsímil")</f>
        <v>Abrir facsímil</v>
      </c>
      <c r="K4649" s="3" t="s">
        <v>150</v>
      </c>
    </row>
    <row r="4650" spans="1:11" ht="42" customHeight="1">
      <c r="A4650" s="2" t="s">
        <v>12378</v>
      </c>
      <c r="B4650" s="2" t="s">
        <v>12379</v>
      </c>
      <c r="C4650" s="2" t="s">
        <v>26</v>
      </c>
      <c r="D4650" s="2" t="s">
        <v>105</v>
      </c>
      <c r="E4650" s="4">
        <v>-32175</v>
      </c>
      <c r="F4650" s="3" t="s">
        <v>1671</v>
      </c>
      <c r="G4650" s="3" t="s">
        <v>1184</v>
      </c>
      <c r="H4650" s="2" t="s">
        <v>148</v>
      </c>
      <c r="I4650" s="2" t="s">
        <v>12380</v>
      </c>
      <c r="J4650" s="3" t="str">
        <f>HYPERLINK("https://www.boe.es/gazeta/dias/1811/11/27/pdfs/GMD-1811-331.pdf#page=4","Abrir facsímil")</f>
        <v>Abrir facsímil</v>
      </c>
      <c r="K4650" s="3" t="s">
        <v>150</v>
      </c>
    </row>
    <row r="4651" spans="1:11" ht="42" customHeight="1">
      <c r="A4651" s="2" t="s">
        <v>12381</v>
      </c>
      <c r="B4651" s="2" t="s">
        <v>12382</v>
      </c>
      <c r="C4651" s="2" t="s">
        <v>26</v>
      </c>
      <c r="D4651" s="2" t="s">
        <v>18</v>
      </c>
      <c r="E4651" s="4">
        <v>-32394</v>
      </c>
      <c r="F4651" s="3" t="s">
        <v>1709</v>
      </c>
      <c r="G4651" s="3" t="s">
        <v>115</v>
      </c>
      <c r="H4651" s="2" t="s">
        <v>148</v>
      </c>
      <c r="I4651" s="2" t="s">
        <v>12383</v>
      </c>
      <c r="J4651" s="3" t="str">
        <f>HYPERLINK("https://www.boe.es/gazeta/dias/1811/04/22/pdfs/GMD-1811-112.pdf#page=3","Abrir facsímil")</f>
        <v>Abrir facsímil</v>
      </c>
      <c r="K4651" s="3" t="s">
        <v>150</v>
      </c>
    </row>
    <row r="4652" spans="1:11" ht="42" customHeight="1">
      <c r="A4652" s="2" t="s">
        <v>12384</v>
      </c>
      <c r="B4652" s="2" t="s">
        <v>12384</v>
      </c>
      <c r="C4652" s="2" t="s">
        <v>17</v>
      </c>
      <c r="D4652" s="2" t="s">
        <v>18</v>
      </c>
      <c r="E4652" s="4">
        <v>-32323</v>
      </c>
      <c r="F4652" s="3" t="s">
        <v>2289</v>
      </c>
      <c r="G4652" s="3" t="s">
        <v>47</v>
      </c>
      <c r="H4652" s="2" t="s">
        <v>148</v>
      </c>
      <c r="I4652" s="2" t="s">
        <v>12385</v>
      </c>
      <c r="J4652" s="3" t="str">
        <f>HYPERLINK("https://www.boe.es/gazeta/dias/1811/07/02/pdfs/GMD-1811-183.pdf#page=3","Abrir facsímil")</f>
        <v>Abrir facsímil</v>
      </c>
      <c r="K4652" s="3" t="s">
        <v>150</v>
      </c>
    </row>
    <row r="4653" spans="1:11" ht="42" customHeight="1">
      <c r="A4653" s="2" t="s">
        <v>12384</v>
      </c>
      <c r="B4653" s="2" t="s">
        <v>12384</v>
      </c>
      <c r="C4653" s="2" t="s">
        <v>26</v>
      </c>
      <c r="D4653" s="2" t="s">
        <v>18</v>
      </c>
      <c r="E4653" s="4">
        <v>-32279</v>
      </c>
      <c r="F4653" s="3" t="s">
        <v>540</v>
      </c>
      <c r="G4653" s="3" t="s">
        <v>20</v>
      </c>
      <c r="H4653" s="2" t="s">
        <v>148</v>
      </c>
      <c r="I4653" s="2" t="s">
        <v>12386</v>
      </c>
      <c r="J4653" s="3" t="str">
        <f>HYPERLINK("https://www.boe.es/gazeta/dias/1811/08/15/pdfs/GMD-1811-227.pdf#page=4","Abrir facsímil")</f>
        <v>Abrir facsímil</v>
      </c>
      <c r="K4653" s="3" t="s">
        <v>150</v>
      </c>
    </row>
    <row r="4654" spans="1:11" ht="42" customHeight="1">
      <c r="A4654" s="2" t="s">
        <v>12384</v>
      </c>
      <c r="B4654" s="2" t="s">
        <v>12384</v>
      </c>
      <c r="C4654" s="2" t="s">
        <v>26</v>
      </c>
      <c r="D4654" s="2" t="s">
        <v>18</v>
      </c>
      <c r="E4654" s="4">
        <v>-32188</v>
      </c>
      <c r="F4654" s="3" t="s">
        <v>356</v>
      </c>
      <c r="G4654" s="3" t="s">
        <v>468</v>
      </c>
      <c r="H4654" s="2" t="s">
        <v>148</v>
      </c>
      <c r="I4654" s="2" t="s">
        <v>12387</v>
      </c>
      <c r="J4654" s="3" t="str">
        <f>HYPERLINK("https://www.boe.es/gazeta/dias/1811/11/14/pdfs/GMD-1811-318.pdf#page=6","Abrir facsímil")</f>
        <v>Abrir facsímil</v>
      </c>
      <c r="K4654" s="3" t="s">
        <v>150</v>
      </c>
    </row>
    <row r="4655" spans="1:11" ht="42" customHeight="1">
      <c r="A4655" s="2" t="s">
        <v>12388</v>
      </c>
      <c r="B4655" s="2" t="s">
        <v>12389</v>
      </c>
      <c r="C4655" s="2" t="s">
        <v>17</v>
      </c>
      <c r="D4655" s="2" t="s">
        <v>18</v>
      </c>
      <c r="E4655" s="4">
        <v>-32190</v>
      </c>
      <c r="F4655" s="3" t="s">
        <v>1282</v>
      </c>
      <c r="G4655" s="3" t="s">
        <v>47</v>
      </c>
      <c r="H4655" s="2" t="s">
        <v>148</v>
      </c>
      <c r="I4655" s="2" t="s">
        <v>12390</v>
      </c>
      <c r="J4655" s="3" t="str">
        <f>HYPERLINK("https://www.boe.es/gazeta/dias/1811/11/12/pdfs/GMD-1811-316.pdf#page=3","Abrir facsímil")</f>
        <v>Abrir facsímil</v>
      </c>
      <c r="K4655" s="3" t="s">
        <v>150</v>
      </c>
    </row>
    <row r="4656" spans="1:11" ht="42" customHeight="1">
      <c r="A4656" s="2" t="s">
        <v>12391</v>
      </c>
      <c r="B4656" s="2" t="s">
        <v>12391</v>
      </c>
      <c r="C4656" s="2" t="s">
        <v>37</v>
      </c>
      <c r="D4656" s="2" t="s">
        <v>18</v>
      </c>
      <c r="E4656" s="4">
        <v>-32463</v>
      </c>
      <c r="F4656" s="3" t="s">
        <v>734</v>
      </c>
      <c r="G4656" s="3" t="s">
        <v>735</v>
      </c>
      <c r="H4656" s="2" t="s">
        <v>148</v>
      </c>
      <c r="I4656" s="2" t="s">
        <v>12392</v>
      </c>
      <c r="J4656" s="3" t="str">
        <f>HYPERLINK("https://www.boe.es/gazeta/dias/1811/02/12/pdfs/GEI-1811-19.pdf#page=8","Abrir facsímil")</f>
        <v>Abrir facsímil</v>
      </c>
      <c r="K4656" s="3" t="s">
        <v>150</v>
      </c>
    </row>
    <row r="4657" spans="1:11" ht="42" customHeight="1">
      <c r="A4657" s="2" t="s">
        <v>12391</v>
      </c>
      <c r="B4657" s="2" t="s">
        <v>12391</v>
      </c>
      <c r="C4657" s="2" t="s">
        <v>104</v>
      </c>
      <c r="D4657" s="2" t="s">
        <v>18</v>
      </c>
      <c r="E4657" s="4">
        <v>-32459</v>
      </c>
      <c r="F4657" s="3" t="s">
        <v>1034</v>
      </c>
      <c r="G4657" s="3" t="s">
        <v>510</v>
      </c>
      <c r="H4657" s="2" t="s">
        <v>148</v>
      </c>
      <c r="I4657" s="2" t="s">
        <v>12393</v>
      </c>
      <c r="J4657" s="3" t="str">
        <f>HYPERLINK("https://www.boe.es/gazeta/dias/1811/02/16/pdfs/GEI-1811-21.pdf#page=8","Abrir facsímil")</f>
        <v>Abrir facsímil</v>
      </c>
      <c r="K4657" s="3" t="s">
        <v>150</v>
      </c>
    </row>
    <row r="4658" spans="1:11" ht="42" customHeight="1">
      <c r="A4658" s="2" t="s">
        <v>12391</v>
      </c>
      <c r="B4658" s="2" t="s">
        <v>12391</v>
      </c>
      <c r="C4658" s="2" t="s">
        <v>26</v>
      </c>
      <c r="D4658" s="2" t="s">
        <v>18</v>
      </c>
      <c r="E4658" s="4">
        <v>-32428</v>
      </c>
      <c r="F4658" s="3" t="s">
        <v>1974</v>
      </c>
      <c r="G4658" s="3" t="s">
        <v>4738</v>
      </c>
      <c r="H4658" s="2" t="s">
        <v>148</v>
      </c>
      <c r="I4658" s="2" t="s">
        <v>12394</v>
      </c>
      <c r="J4658" s="3" t="str">
        <f>HYPERLINK("https://www.boe.es/gazeta/dias/1811/03/19/pdfs/GEI-1811-39.pdf#page=8","Abrir facsímil")</f>
        <v>Abrir facsímil</v>
      </c>
      <c r="K4658" s="3" t="s">
        <v>150</v>
      </c>
    </row>
    <row r="4659" spans="1:11" ht="42" customHeight="1">
      <c r="A4659" s="2" t="s">
        <v>12391</v>
      </c>
      <c r="B4659" s="2" t="s">
        <v>12391</v>
      </c>
      <c r="C4659" s="2" t="s">
        <v>26</v>
      </c>
      <c r="D4659" s="2" t="s">
        <v>18</v>
      </c>
      <c r="E4659" s="4">
        <v>-32416</v>
      </c>
      <c r="F4659" s="3" t="s">
        <v>954</v>
      </c>
      <c r="G4659" s="3" t="s">
        <v>47</v>
      </c>
      <c r="H4659" s="2" t="s">
        <v>148</v>
      </c>
      <c r="I4659" s="2" t="s">
        <v>12395</v>
      </c>
      <c r="J4659" s="3" t="str">
        <f>HYPERLINK("https://www.boe.es/gazeta/dias/1811/03/31/pdfs/GMD-1811-90.pdf#page=3","Abrir facsímil")</f>
        <v>Abrir facsímil</v>
      </c>
      <c r="K4659" s="3" t="s">
        <v>150</v>
      </c>
    </row>
    <row r="4660" spans="1:11" ht="42" customHeight="1">
      <c r="A4660" s="2" t="s">
        <v>12396</v>
      </c>
      <c r="B4660" s="2" t="s">
        <v>12396</v>
      </c>
      <c r="C4660" s="2" t="s">
        <v>17</v>
      </c>
      <c r="D4660" s="2" t="s">
        <v>18</v>
      </c>
      <c r="E4660" s="4">
        <v>-32381</v>
      </c>
      <c r="F4660" s="3" t="s">
        <v>1698</v>
      </c>
      <c r="G4660" s="3" t="s">
        <v>134</v>
      </c>
      <c r="H4660" s="2" t="s">
        <v>148</v>
      </c>
      <c r="I4660" s="2" t="s">
        <v>12397</v>
      </c>
      <c r="J4660" s="3" t="str">
        <f>HYPERLINK("https://www.boe.es/gazeta/dias/1811/05/05/pdfs/GMD-1811-125.pdf#page=3","Abrir facsímil")</f>
        <v>Abrir facsímil</v>
      </c>
      <c r="K4660" s="3" t="s">
        <v>150</v>
      </c>
    </row>
    <row r="4661" spans="1:11" ht="42" customHeight="1">
      <c r="A4661" s="2" t="s">
        <v>12391</v>
      </c>
      <c r="B4661" s="2" t="s">
        <v>12391</v>
      </c>
      <c r="C4661" s="2" t="s">
        <v>17</v>
      </c>
      <c r="D4661" s="2" t="s">
        <v>156</v>
      </c>
      <c r="E4661" s="4">
        <v>-32309</v>
      </c>
      <c r="F4661" s="3" t="s">
        <v>2496</v>
      </c>
      <c r="G4661" s="3" t="s">
        <v>2748</v>
      </c>
      <c r="H4661" s="2" t="s">
        <v>148</v>
      </c>
      <c r="I4661" s="2" t="s">
        <v>12398</v>
      </c>
      <c r="J4661" s="3" t="str">
        <f>HYPERLINK("https://www.boe.es/gazeta/dias/1811/07/16/pdfs/GEI-1811-93.pdf#page=2","Abrir facsímil")</f>
        <v>Abrir facsímil</v>
      </c>
      <c r="K4661" s="3" t="s">
        <v>150</v>
      </c>
    </row>
    <row r="4662" spans="1:11" ht="42" customHeight="1">
      <c r="A4662" s="2" t="s">
        <v>12391</v>
      </c>
      <c r="B4662" s="2" t="s">
        <v>12391</v>
      </c>
      <c r="C4662" s="2" t="s">
        <v>37</v>
      </c>
      <c r="D4662" s="2" t="s">
        <v>18</v>
      </c>
      <c r="E4662" s="4">
        <v>-32298</v>
      </c>
      <c r="F4662" s="3" t="s">
        <v>133</v>
      </c>
      <c r="G4662" s="3" t="s">
        <v>91</v>
      </c>
      <c r="H4662" s="2" t="s">
        <v>148</v>
      </c>
      <c r="I4662" s="2" t="s">
        <v>12399</v>
      </c>
      <c r="J4662" s="3" t="str">
        <f>HYPERLINK("https://www.boe.es/gazeta/dias/1811/07/27/pdfs/GEI-1811-98.pdf#page=1","Abrir facsímil")</f>
        <v>Abrir facsímil</v>
      </c>
      <c r="K4662" s="3" t="s">
        <v>150</v>
      </c>
    </row>
    <row r="4663" spans="1:11" ht="42" customHeight="1">
      <c r="A4663" s="2" t="s">
        <v>12391</v>
      </c>
      <c r="B4663" s="2" t="s">
        <v>12391</v>
      </c>
      <c r="C4663" s="2" t="s">
        <v>104</v>
      </c>
      <c r="D4663" s="2" t="s">
        <v>105</v>
      </c>
      <c r="E4663" s="4">
        <v>-32295</v>
      </c>
      <c r="F4663" s="3" t="s">
        <v>279</v>
      </c>
      <c r="G4663" s="3" t="s">
        <v>44</v>
      </c>
      <c r="H4663" s="2" t="s">
        <v>148</v>
      </c>
      <c r="I4663" s="2" t="s">
        <v>12400</v>
      </c>
      <c r="J4663" s="3" t="str">
        <f>HYPERLINK("https://www.boe.es/gazeta/dias/1811/07/30/pdfs/GEI-1811-99.pdf#page=2","Abrir facsímil")</f>
        <v>Abrir facsímil</v>
      </c>
      <c r="K4663" s="3" t="s">
        <v>150</v>
      </c>
    </row>
    <row r="4664" spans="1:11" ht="42" customHeight="1">
      <c r="A4664" s="2" t="s">
        <v>12391</v>
      </c>
      <c r="B4664" s="2" t="s">
        <v>12391</v>
      </c>
      <c r="C4664" s="2" t="s">
        <v>104</v>
      </c>
      <c r="D4664" s="2" t="s">
        <v>18</v>
      </c>
      <c r="E4664" s="4">
        <v>-32274</v>
      </c>
      <c r="F4664" s="3" t="s">
        <v>5081</v>
      </c>
      <c r="G4664" s="3" t="s">
        <v>515</v>
      </c>
      <c r="H4664" s="2" t="s">
        <v>148</v>
      </c>
      <c r="I4664" s="2" t="s">
        <v>12401</v>
      </c>
      <c r="J4664" s="3" t="str">
        <f>HYPERLINK("https://www.boe.es/gazeta/dias/1811/08/20/pdfs/GEI-1811-108.pdf#page=5","Abrir facsímil")</f>
        <v>Abrir facsímil</v>
      </c>
      <c r="K4664" s="3" t="s">
        <v>150</v>
      </c>
    </row>
    <row r="4665" spans="1:11" ht="42" customHeight="1">
      <c r="A4665" s="2" t="s">
        <v>12391</v>
      </c>
      <c r="B4665" s="2" t="s">
        <v>12391</v>
      </c>
      <c r="C4665" s="2" t="s">
        <v>84</v>
      </c>
      <c r="D4665" s="2" t="s">
        <v>18</v>
      </c>
      <c r="E4665" s="4">
        <v>-32267</v>
      </c>
      <c r="F4665" s="3" t="s">
        <v>1045</v>
      </c>
      <c r="G4665" s="3" t="s">
        <v>8282</v>
      </c>
      <c r="H4665" s="2" t="s">
        <v>148</v>
      </c>
      <c r="I4665" s="2" t="s">
        <v>12402</v>
      </c>
      <c r="J4665" s="3" t="str">
        <f>HYPERLINK("https://www.boe.es/gazeta/dias/1811/08/27/pdfs/GEI-1811-111.pdf#page=8","Abrir facsímil")</f>
        <v>Abrir facsímil</v>
      </c>
      <c r="K4665" s="3" t="s">
        <v>150</v>
      </c>
    </row>
    <row r="4666" spans="1:11" ht="42" customHeight="1">
      <c r="A4666" s="2" t="s">
        <v>12391</v>
      </c>
      <c r="B4666" s="2" t="s">
        <v>12391</v>
      </c>
      <c r="C4666" s="2" t="s">
        <v>37</v>
      </c>
      <c r="D4666" s="2" t="s">
        <v>18</v>
      </c>
      <c r="E4666" s="4">
        <v>-32258</v>
      </c>
      <c r="F4666" s="3" t="s">
        <v>449</v>
      </c>
      <c r="G4666" s="3" t="s">
        <v>903</v>
      </c>
      <c r="H4666" s="2" t="s">
        <v>148</v>
      </c>
      <c r="I4666" s="2" t="s">
        <v>12403</v>
      </c>
      <c r="J4666" s="3" t="str">
        <f>HYPERLINK("https://www.boe.es/gazeta/dias/1811/09/05/pdfs/GEI-1811-115.pdf#page=4","Abrir facsímil")</f>
        <v>Abrir facsímil</v>
      </c>
      <c r="K4666" s="3" t="s">
        <v>150</v>
      </c>
    </row>
    <row r="4667" spans="1:11" ht="42" customHeight="1">
      <c r="A4667" s="2" t="s">
        <v>12391</v>
      </c>
      <c r="B4667" s="2" t="s">
        <v>12391</v>
      </c>
      <c r="C4667" s="2" t="s">
        <v>84</v>
      </c>
      <c r="D4667" s="2" t="s">
        <v>105</v>
      </c>
      <c r="E4667" s="4">
        <v>-32235</v>
      </c>
      <c r="F4667" s="3" t="s">
        <v>190</v>
      </c>
      <c r="G4667" s="3" t="s">
        <v>188</v>
      </c>
      <c r="H4667" s="2" t="s">
        <v>148</v>
      </c>
      <c r="I4667" s="2" t="s">
        <v>12404</v>
      </c>
      <c r="J4667" s="3" t="str">
        <f>HYPERLINK("https://www.boe.es/gazeta/dias/1811/09/28/pdfs/GEI-1811-125.pdf#page=8","Abrir facsímil")</f>
        <v>Abrir facsímil</v>
      </c>
      <c r="K4667" s="3" t="s">
        <v>150</v>
      </c>
    </row>
    <row r="4668" spans="1:11" ht="42" customHeight="1">
      <c r="A4668" s="2" t="s">
        <v>12391</v>
      </c>
      <c r="B4668" s="2" t="s">
        <v>12391</v>
      </c>
      <c r="C4668" s="2" t="s">
        <v>17</v>
      </c>
      <c r="D4668" s="2" t="s">
        <v>18</v>
      </c>
      <c r="E4668" s="4">
        <v>-32230</v>
      </c>
      <c r="F4668" s="3" t="s">
        <v>625</v>
      </c>
      <c r="G4668" s="3" t="s">
        <v>162</v>
      </c>
      <c r="H4668" s="2" t="s">
        <v>148</v>
      </c>
      <c r="I4668" s="2" t="s">
        <v>12405</v>
      </c>
      <c r="J4668" s="3" t="str">
        <f>HYPERLINK("https://www.boe.es/gazeta/dias/1811/10/03/pdfs/GEI-1811-127.pdf#page=7","Abrir facsímil")</f>
        <v>Abrir facsímil</v>
      </c>
      <c r="K4668" s="3" t="s">
        <v>150</v>
      </c>
    </row>
    <row r="4669" spans="1:11" ht="42" customHeight="1">
      <c r="A4669" s="2" t="s">
        <v>12406</v>
      </c>
      <c r="B4669" s="2" t="s">
        <v>12406</v>
      </c>
      <c r="C4669" s="2" t="s">
        <v>841</v>
      </c>
      <c r="D4669" s="2" t="s">
        <v>18</v>
      </c>
      <c r="E4669" s="4">
        <v>-32209</v>
      </c>
      <c r="F4669" s="3" t="s">
        <v>1324</v>
      </c>
      <c r="G4669" s="3" t="s">
        <v>1325</v>
      </c>
      <c r="H4669" s="2" t="s">
        <v>148</v>
      </c>
      <c r="I4669" s="2" t="s">
        <v>12407</v>
      </c>
      <c r="J4669" s="3" t="str">
        <f>HYPERLINK("https://www.boe.es/gazeta/dias/1811/10/24/pdfs/GMD-1811-297.pdf#page=2","Abrir facsímil")</f>
        <v>Abrir facsímil</v>
      </c>
      <c r="K4669" s="3" t="s">
        <v>150</v>
      </c>
    </row>
    <row r="4670" spans="1:11" ht="42" customHeight="1">
      <c r="A4670" s="2" t="s">
        <v>12391</v>
      </c>
      <c r="B4670" s="2" t="s">
        <v>12391</v>
      </c>
      <c r="C4670" s="2" t="s">
        <v>26</v>
      </c>
      <c r="D4670" s="2" t="s">
        <v>18</v>
      </c>
      <c r="E4670" s="4">
        <v>-32197</v>
      </c>
      <c r="F4670" s="3" t="s">
        <v>687</v>
      </c>
      <c r="G4670" s="3" t="s">
        <v>1240</v>
      </c>
      <c r="H4670" s="2" t="s">
        <v>148</v>
      </c>
      <c r="I4670" s="2" t="s">
        <v>12408</v>
      </c>
      <c r="J4670" s="3" t="str">
        <f>HYPERLINK("https://www.boe.es/gazeta/dias/1811/11/05/pdfs/GEI-1811-143.pdf#page=8","Abrir facsímil")</f>
        <v>Abrir facsímil</v>
      </c>
      <c r="K4670" s="3" t="s">
        <v>150</v>
      </c>
    </row>
    <row r="4671" spans="1:11" ht="42" customHeight="1">
      <c r="A4671" s="2" t="s">
        <v>12391</v>
      </c>
      <c r="B4671" s="2" t="s">
        <v>12391</v>
      </c>
      <c r="C4671" s="2" t="s">
        <v>26</v>
      </c>
      <c r="D4671" s="2" t="s">
        <v>18</v>
      </c>
      <c r="E4671" s="4">
        <v>-32195</v>
      </c>
      <c r="F4671" s="3" t="s">
        <v>439</v>
      </c>
      <c r="G4671" s="3" t="s">
        <v>440</v>
      </c>
      <c r="H4671" s="2" t="s">
        <v>148</v>
      </c>
      <c r="I4671" s="2" t="s">
        <v>12409</v>
      </c>
      <c r="J4671" s="3" t="str">
        <f>HYPERLINK("https://www.boe.es/gazeta/dias/1811/11/07/pdfs/GEI-1811-144.pdf#page=8","Abrir facsímil")</f>
        <v>Abrir facsímil</v>
      </c>
      <c r="K4671" s="3" t="s">
        <v>150</v>
      </c>
    </row>
    <row r="4672" spans="1:11" ht="42" customHeight="1">
      <c r="A4672" s="2" t="s">
        <v>12391</v>
      </c>
      <c r="B4672" s="2" t="s">
        <v>12391</v>
      </c>
      <c r="C4672" s="2" t="s">
        <v>84</v>
      </c>
      <c r="D4672" s="2" t="s">
        <v>105</v>
      </c>
      <c r="E4672" s="4">
        <v>-32190</v>
      </c>
      <c r="F4672" s="3" t="s">
        <v>85</v>
      </c>
      <c r="G4672" s="3" t="s">
        <v>86</v>
      </c>
      <c r="H4672" s="2" t="s">
        <v>148</v>
      </c>
      <c r="I4672" s="2" t="s">
        <v>12410</v>
      </c>
      <c r="J4672" s="3" t="str">
        <f>HYPERLINK("https://www.boe.es/gazeta/dias/1811/11/12/pdfs/GEI-1811-148.pdf#page=8","Abrir facsímil")</f>
        <v>Abrir facsímil</v>
      </c>
      <c r="K4672" s="3" t="s">
        <v>150</v>
      </c>
    </row>
    <row r="4673" spans="1:11" ht="42" customHeight="1">
      <c r="A4673" s="2" t="s">
        <v>12391</v>
      </c>
      <c r="B4673" s="2" t="s">
        <v>12391</v>
      </c>
      <c r="C4673" s="2" t="s">
        <v>17</v>
      </c>
      <c r="D4673" s="2" t="s">
        <v>156</v>
      </c>
      <c r="E4673" s="4">
        <v>-32167</v>
      </c>
      <c r="F4673" s="3" t="s">
        <v>195</v>
      </c>
      <c r="G4673" s="3" t="s">
        <v>196</v>
      </c>
      <c r="H4673" s="2" t="s">
        <v>148</v>
      </c>
      <c r="I4673" s="2" t="s">
        <v>12411</v>
      </c>
      <c r="J4673" s="3" t="str">
        <f>HYPERLINK("https://www.boe.es/gazeta/dias/1811/12/05/pdfs/GEI-1811-158.pdf#page=1","Abrir facsímil")</f>
        <v>Abrir facsímil</v>
      </c>
      <c r="K4673" s="3" t="s">
        <v>150</v>
      </c>
    </row>
    <row r="4674" spans="1:11" ht="42" customHeight="1">
      <c r="A4674" s="2" t="s">
        <v>12391</v>
      </c>
      <c r="B4674" s="2" t="s">
        <v>12391</v>
      </c>
      <c r="C4674" s="2" t="s">
        <v>17</v>
      </c>
      <c r="D4674" s="2" t="s">
        <v>18</v>
      </c>
      <c r="E4674" s="4">
        <v>-32153</v>
      </c>
      <c r="F4674" s="3" t="s">
        <v>235</v>
      </c>
      <c r="G4674" s="3" t="s">
        <v>236</v>
      </c>
      <c r="H4674" s="2" t="s">
        <v>148</v>
      </c>
      <c r="I4674" s="2" t="s">
        <v>12412</v>
      </c>
      <c r="J4674" s="3" t="str">
        <f>HYPERLINK("https://www.boe.es/gazeta/dias/1811/12/19/pdfs/GEI-1811-164.pdf#page=7","Abrir facsímil")</f>
        <v>Abrir facsímil</v>
      </c>
      <c r="K4674" s="3" t="s">
        <v>150</v>
      </c>
    </row>
    <row r="4675" spans="1:11" ht="42" customHeight="1">
      <c r="A4675" s="2" t="s">
        <v>12391</v>
      </c>
      <c r="B4675" s="2" t="s">
        <v>12391</v>
      </c>
      <c r="C4675" s="2" t="s">
        <v>17</v>
      </c>
      <c r="D4675" s="2" t="s">
        <v>105</v>
      </c>
      <c r="E4675" s="4">
        <v>-32146</v>
      </c>
      <c r="F4675" s="3" t="s">
        <v>777</v>
      </c>
      <c r="G4675" s="3" t="s">
        <v>846</v>
      </c>
      <c r="H4675" s="2" t="s">
        <v>148</v>
      </c>
      <c r="I4675" s="2" t="s">
        <v>12413</v>
      </c>
      <c r="J4675" s="3" t="str">
        <f>HYPERLINK("https://www.boe.es/gazeta/dias/1811/12/26/pdfs/GEI-1811-167.pdf#page=8","Abrir facsímil")</f>
        <v>Abrir facsímil</v>
      </c>
      <c r="K4675" s="3" t="s">
        <v>150</v>
      </c>
    </row>
    <row r="4676" spans="1:11" ht="42" customHeight="1">
      <c r="A4676" s="2" t="s">
        <v>12414</v>
      </c>
      <c r="B4676" s="2" t="s">
        <v>12414</v>
      </c>
      <c r="C4676" s="2" t="s">
        <v>37</v>
      </c>
      <c r="D4676" s="2" t="s">
        <v>18</v>
      </c>
      <c r="E4676" s="4">
        <v>-32146</v>
      </c>
      <c r="F4676" s="3" t="s">
        <v>777</v>
      </c>
      <c r="G4676" s="3" t="s">
        <v>9371</v>
      </c>
      <c r="H4676" s="2" t="s">
        <v>148</v>
      </c>
      <c r="I4676" s="2" t="s">
        <v>12415</v>
      </c>
      <c r="J4676" s="3" t="str">
        <f>HYPERLINK("https://www.boe.es/gazeta/dias/1811/12/26/pdfs/GEI-1811-167.pdf#page=6","Abrir facsímil")</f>
        <v>Abrir facsímil</v>
      </c>
      <c r="K4676" s="3" t="s">
        <v>150</v>
      </c>
    </row>
    <row r="4677" spans="1:11" ht="42" customHeight="1">
      <c r="A4677" s="2" t="s">
        <v>12416</v>
      </c>
      <c r="B4677" s="2" t="s">
        <v>12417</v>
      </c>
      <c r="C4677" s="2" t="s">
        <v>26</v>
      </c>
      <c r="D4677" s="2" t="s">
        <v>18</v>
      </c>
      <c r="E4677" s="4">
        <v>-32452</v>
      </c>
      <c r="F4677" s="3" t="s">
        <v>106</v>
      </c>
      <c r="G4677" s="3" t="s">
        <v>20</v>
      </c>
      <c r="H4677" s="2" t="s">
        <v>21</v>
      </c>
      <c r="I4677" s="2" t="s">
        <v>12418</v>
      </c>
      <c r="J4677" s="3" t="str">
        <f>HYPERLINK("https://www.boe.es/gazeta/dias/1811/02/23/pdfs/GEI-1811-24.pdf#page=8","Abrir facsímil")</f>
        <v>Abrir facsímil</v>
      </c>
      <c r="K4677" s="3" t="s">
        <v>23</v>
      </c>
    </row>
    <row r="4678" spans="1:11" ht="42" customHeight="1">
      <c r="A4678" s="2" t="s">
        <v>12419</v>
      </c>
      <c r="B4678" s="2" t="s">
        <v>12420</v>
      </c>
      <c r="C4678" s="2" t="s">
        <v>26</v>
      </c>
      <c r="D4678" s="2" t="s">
        <v>18</v>
      </c>
      <c r="E4678" s="4">
        <v>-32340</v>
      </c>
      <c r="F4678" s="3" t="s">
        <v>565</v>
      </c>
      <c r="G4678" s="3" t="s">
        <v>91</v>
      </c>
      <c r="H4678" s="2" t="s">
        <v>148</v>
      </c>
      <c r="I4678" s="2" t="s">
        <v>12421</v>
      </c>
      <c r="J4678" s="3" t="str">
        <f>HYPERLINK("https://www.boe.es/gazeta/dias/1811/06/15/pdfs/GEI-1811-80.pdf#page=8","Abrir facsímil")</f>
        <v>Abrir facsímil</v>
      </c>
      <c r="K4678" s="3" t="s">
        <v>150</v>
      </c>
    </row>
    <row r="4679" spans="1:11" ht="42" customHeight="1">
      <c r="A4679" s="2" t="s">
        <v>12419</v>
      </c>
      <c r="B4679" s="2" t="s">
        <v>12420</v>
      </c>
      <c r="C4679" s="2" t="s">
        <v>17</v>
      </c>
      <c r="D4679" s="2" t="s">
        <v>156</v>
      </c>
      <c r="E4679" s="4">
        <v>-32228</v>
      </c>
      <c r="F4679" s="3" t="s">
        <v>372</v>
      </c>
      <c r="G4679" s="3" t="s">
        <v>20</v>
      </c>
      <c r="H4679" s="2" t="s">
        <v>148</v>
      </c>
      <c r="I4679" s="2" t="s">
        <v>12422</v>
      </c>
      <c r="J4679" s="3" t="str">
        <f>HYPERLINK("https://www.boe.es/gazeta/dias/1811/10/05/pdfs/GEI-1811-128.pdf#page=8","Abrir facsímil")</f>
        <v>Abrir facsímil</v>
      </c>
      <c r="K4679" s="3" t="s">
        <v>150</v>
      </c>
    </row>
    <row r="4680" spans="1:11" ht="42" customHeight="1">
      <c r="A4680" s="2" t="s">
        <v>12423</v>
      </c>
      <c r="B4680" s="2" t="s">
        <v>12423</v>
      </c>
      <c r="C4680" s="2" t="s">
        <v>17</v>
      </c>
      <c r="D4680" s="2" t="s">
        <v>156</v>
      </c>
      <c r="E4680" s="4">
        <v>-32251</v>
      </c>
      <c r="F4680" s="3" t="s">
        <v>726</v>
      </c>
      <c r="G4680" s="3" t="s">
        <v>727</v>
      </c>
      <c r="H4680" s="2" t="s">
        <v>148</v>
      </c>
      <c r="I4680" s="2" t="s">
        <v>12424</v>
      </c>
      <c r="J4680" s="3" t="str">
        <f>HYPERLINK("https://www.boe.es/gazeta/dias/1811/09/12/pdfs/GEI-1811-118.pdf#page=8","Abrir facsímil")</f>
        <v>Abrir facsímil</v>
      </c>
      <c r="K4680" s="3" t="s">
        <v>150</v>
      </c>
    </row>
    <row r="4681" spans="1:11" ht="42" customHeight="1">
      <c r="A4681" s="2" t="s">
        <v>12425</v>
      </c>
      <c r="B4681" s="2" t="s">
        <v>12425</v>
      </c>
      <c r="C4681" s="2" t="s">
        <v>17</v>
      </c>
      <c r="D4681" s="2" t="s">
        <v>18</v>
      </c>
      <c r="E4681" s="4">
        <v>-32148</v>
      </c>
      <c r="F4681" s="3" t="s">
        <v>1616</v>
      </c>
      <c r="G4681" s="3" t="s">
        <v>1617</v>
      </c>
      <c r="H4681" s="2" t="s">
        <v>148</v>
      </c>
      <c r="I4681" s="2" t="s">
        <v>12426</v>
      </c>
      <c r="J4681" s="3" t="str">
        <f>HYPERLINK("https://www.boe.es/gazeta/dias/1811/12/24/pdfs/GEI-1811-166.pdf#page=8","Abrir facsímil")</f>
        <v>Abrir facsímil</v>
      </c>
      <c r="K4681" s="3" t="s">
        <v>150</v>
      </c>
    </row>
    <row r="4682" spans="1:11" ht="42" customHeight="1">
      <c r="A4682" s="2" t="s">
        <v>12427</v>
      </c>
      <c r="B4682" s="2" t="s">
        <v>12427</v>
      </c>
      <c r="C4682" s="2" t="s">
        <v>17</v>
      </c>
      <c r="D4682" s="2" t="s">
        <v>105</v>
      </c>
      <c r="E4682" s="4">
        <v>-32428</v>
      </c>
      <c r="F4682" s="3" t="s">
        <v>351</v>
      </c>
      <c r="G4682" s="3" t="s">
        <v>57</v>
      </c>
      <c r="H4682" s="2" t="s">
        <v>148</v>
      </c>
      <c r="I4682" s="2" t="s">
        <v>12428</v>
      </c>
      <c r="J4682" s="3" t="str">
        <f>HYPERLINK("https://www.boe.es/gazeta/dias/1811/03/19/pdfs/GMD-1811-78.pdf#page=2","Abrir facsímil")</f>
        <v>Abrir facsímil</v>
      </c>
      <c r="K4682" s="3" t="s">
        <v>150</v>
      </c>
    </row>
    <row r="4683" spans="1:11" ht="42" customHeight="1">
      <c r="A4683" s="2" t="s">
        <v>12427</v>
      </c>
      <c r="B4683" s="2" t="s">
        <v>12427</v>
      </c>
      <c r="C4683" s="2" t="s">
        <v>17</v>
      </c>
      <c r="D4683" s="2" t="s">
        <v>156</v>
      </c>
      <c r="E4683" s="4">
        <v>-32428</v>
      </c>
      <c r="F4683" s="3" t="s">
        <v>351</v>
      </c>
      <c r="G4683" s="3" t="s">
        <v>115</v>
      </c>
      <c r="H4683" s="2" t="s">
        <v>148</v>
      </c>
      <c r="I4683" s="2" t="s">
        <v>12429</v>
      </c>
      <c r="J4683" s="3" t="str">
        <f>HYPERLINK("https://www.boe.es/gazeta/dias/1811/03/19/pdfs/GMD-1811-78.pdf#page=3","Abrir facsímil")</f>
        <v>Abrir facsímil</v>
      </c>
      <c r="K4683" s="3" t="s">
        <v>150</v>
      </c>
    </row>
    <row r="4684" spans="1:11" ht="42" customHeight="1">
      <c r="A4684" s="2" t="s">
        <v>12427</v>
      </c>
      <c r="B4684" s="2" t="s">
        <v>12427</v>
      </c>
      <c r="C4684" s="2" t="s">
        <v>17</v>
      </c>
      <c r="D4684" s="2" t="s">
        <v>156</v>
      </c>
      <c r="E4684" s="4">
        <v>-32428</v>
      </c>
      <c r="F4684" s="3" t="s">
        <v>351</v>
      </c>
      <c r="G4684" s="3" t="s">
        <v>352</v>
      </c>
      <c r="H4684" s="2" t="s">
        <v>148</v>
      </c>
      <c r="I4684" s="2" t="s">
        <v>12430</v>
      </c>
      <c r="J4684" s="3" t="str">
        <f>HYPERLINK("https://www.boe.es/gazeta/dias/1811/03/19/pdfs/GMD-1811-78.pdf#page=4","Abrir facsímil")</f>
        <v>Abrir facsímil</v>
      </c>
      <c r="K4684" s="3" t="s">
        <v>150</v>
      </c>
    </row>
    <row r="4685" spans="1:11" ht="42" customHeight="1">
      <c r="A4685" s="2" t="s">
        <v>12427</v>
      </c>
      <c r="B4685" s="2" t="s">
        <v>12427</v>
      </c>
      <c r="C4685" s="2" t="s">
        <v>104</v>
      </c>
      <c r="D4685" s="2" t="s">
        <v>204</v>
      </c>
      <c r="E4685" s="4">
        <v>-32416</v>
      </c>
      <c r="F4685" s="3" t="s">
        <v>954</v>
      </c>
      <c r="G4685" s="3" t="s">
        <v>47</v>
      </c>
      <c r="H4685" s="2" t="s">
        <v>148</v>
      </c>
      <c r="I4685" s="2" t="s">
        <v>12431</v>
      </c>
      <c r="J4685" s="3" t="str">
        <f>HYPERLINK("https://www.boe.es/gazeta/dias/1811/03/31/pdfs/GMD-1811-90.pdf#page=2","Abrir facsímil")</f>
        <v>Abrir facsímil</v>
      </c>
      <c r="K4685" s="3" t="s">
        <v>150</v>
      </c>
    </row>
    <row r="4686" spans="1:11" ht="42" customHeight="1">
      <c r="A4686" s="2" t="s">
        <v>12427</v>
      </c>
      <c r="B4686" s="2" t="s">
        <v>12427</v>
      </c>
      <c r="C4686" s="2" t="s">
        <v>104</v>
      </c>
      <c r="D4686" s="2" t="s">
        <v>204</v>
      </c>
      <c r="E4686" s="4">
        <v>-32409</v>
      </c>
      <c r="F4686" s="3" t="s">
        <v>4433</v>
      </c>
      <c r="G4686" s="3" t="s">
        <v>91</v>
      </c>
      <c r="H4686" s="2" t="s">
        <v>148</v>
      </c>
      <c r="I4686" s="2" t="s">
        <v>12432</v>
      </c>
      <c r="J4686" s="3" t="str">
        <f>HYPERLINK("https://www.boe.es/gazeta/dias/1811/04/07/pdfs/GMD-1811-97.pdf#page=1","Abrir facsímil")</f>
        <v>Abrir facsímil</v>
      </c>
      <c r="K4686" s="3" t="s">
        <v>150</v>
      </c>
    </row>
    <row r="4687" spans="1:11" ht="42" customHeight="1">
      <c r="A4687" s="2" t="s">
        <v>12427</v>
      </c>
      <c r="B4687" s="2" t="s">
        <v>12427</v>
      </c>
      <c r="C4687" s="2" t="s">
        <v>17</v>
      </c>
      <c r="D4687" s="2" t="s">
        <v>156</v>
      </c>
      <c r="E4687" s="4">
        <v>-32400</v>
      </c>
      <c r="F4687" s="3" t="s">
        <v>3343</v>
      </c>
      <c r="G4687" s="3" t="s">
        <v>846</v>
      </c>
      <c r="H4687" s="2" t="s">
        <v>148</v>
      </c>
      <c r="I4687" s="2" t="s">
        <v>12433</v>
      </c>
      <c r="J4687" s="3" t="str">
        <f>HYPERLINK("https://www.boe.es/gazeta/dias/1811/04/16/pdfs/GMD-1811-106.pdf#page=3","Abrir facsímil")</f>
        <v>Abrir facsímil</v>
      </c>
      <c r="K4687" s="3" t="s">
        <v>150</v>
      </c>
    </row>
    <row r="4688" spans="1:11" ht="42" customHeight="1">
      <c r="A4688" s="2" t="s">
        <v>12427</v>
      </c>
      <c r="B4688" s="2" t="s">
        <v>12427</v>
      </c>
      <c r="C4688" s="2" t="s">
        <v>17</v>
      </c>
      <c r="D4688" s="2" t="s">
        <v>105</v>
      </c>
      <c r="E4688" s="4">
        <v>-32359</v>
      </c>
      <c r="F4688" s="3" t="s">
        <v>7795</v>
      </c>
      <c r="G4688" s="3" t="s">
        <v>515</v>
      </c>
      <c r="H4688" s="2" t="s">
        <v>148</v>
      </c>
      <c r="I4688" s="2" t="s">
        <v>12434</v>
      </c>
      <c r="J4688" s="3" t="str">
        <f>HYPERLINK("https://www.boe.es/gazeta/dias/1811/05/27/pdfs/GMD-1811-147.pdf#page=2","Abrir facsímil")</f>
        <v>Abrir facsímil</v>
      </c>
      <c r="K4688" s="3" t="s">
        <v>150</v>
      </c>
    </row>
    <row r="4689" spans="1:11" ht="42" customHeight="1">
      <c r="A4689" s="2" t="s">
        <v>12427</v>
      </c>
      <c r="B4689" s="2" t="s">
        <v>12427</v>
      </c>
      <c r="C4689" s="2" t="s">
        <v>122</v>
      </c>
      <c r="D4689" s="2" t="s">
        <v>18</v>
      </c>
      <c r="E4689" s="4">
        <v>-32299</v>
      </c>
      <c r="F4689" s="3" t="s">
        <v>2124</v>
      </c>
      <c r="G4689" s="3" t="s">
        <v>20</v>
      </c>
      <c r="H4689" s="2" t="s">
        <v>148</v>
      </c>
      <c r="I4689" s="2" t="s">
        <v>12435</v>
      </c>
      <c r="J4689" s="3" t="str">
        <f>HYPERLINK("https://www.boe.es/gazeta/dias/1811/07/26/pdfs/GMD-1811-207.pdf#page=3","Abrir facsímil")</f>
        <v>Abrir facsímil</v>
      </c>
      <c r="K4689" s="3" t="s">
        <v>150</v>
      </c>
    </row>
    <row r="4690" spans="1:11" ht="42" customHeight="1">
      <c r="A4690" s="2" t="s">
        <v>12427</v>
      </c>
      <c r="B4690" s="2" t="s">
        <v>12427</v>
      </c>
      <c r="C4690" s="2" t="s">
        <v>17</v>
      </c>
      <c r="D4690" s="2" t="s">
        <v>18</v>
      </c>
      <c r="E4690" s="4">
        <v>-32298</v>
      </c>
      <c r="F4690" s="3" t="s">
        <v>2813</v>
      </c>
      <c r="G4690" s="3" t="s">
        <v>162</v>
      </c>
      <c r="H4690" s="2" t="s">
        <v>148</v>
      </c>
      <c r="I4690" s="2" t="s">
        <v>12436</v>
      </c>
      <c r="J4690" s="3" t="str">
        <f>HYPERLINK("https://www.boe.es/gazeta/dias/1811/07/27/pdfs/GMD-1811-208.pdf#page=4","Abrir facsímil")</f>
        <v>Abrir facsímil</v>
      </c>
      <c r="K4690" s="3" t="s">
        <v>150</v>
      </c>
    </row>
    <row r="4691" spans="1:11" ht="42" customHeight="1">
      <c r="A4691" s="2" t="s">
        <v>12427</v>
      </c>
      <c r="B4691" s="2" t="s">
        <v>12427</v>
      </c>
      <c r="C4691" s="2" t="s">
        <v>26</v>
      </c>
      <c r="D4691" s="2" t="s">
        <v>18</v>
      </c>
      <c r="E4691" s="4">
        <v>-32297</v>
      </c>
      <c r="F4691" s="3" t="s">
        <v>2174</v>
      </c>
      <c r="G4691" s="3" t="s">
        <v>115</v>
      </c>
      <c r="H4691" s="2" t="s">
        <v>148</v>
      </c>
      <c r="I4691" s="2" t="s">
        <v>12437</v>
      </c>
      <c r="J4691" s="3" t="str">
        <f>HYPERLINK("https://www.boe.es/gazeta/dias/1811/07/28/pdfs/GMD-1811-209.pdf#page=3","Abrir facsímil")</f>
        <v>Abrir facsímil</v>
      </c>
      <c r="K4691" s="3" t="s">
        <v>150</v>
      </c>
    </row>
    <row r="4692" spans="1:11" ht="42" customHeight="1">
      <c r="A4692" s="2" t="s">
        <v>12427</v>
      </c>
      <c r="B4692" s="2" t="s">
        <v>12427</v>
      </c>
      <c r="C4692" s="2" t="s">
        <v>122</v>
      </c>
      <c r="D4692" s="2" t="s">
        <v>18</v>
      </c>
      <c r="E4692" s="4">
        <v>-32292</v>
      </c>
      <c r="F4692" s="3" t="s">
        <v>408</v>
      </c>
      <c r="G4692" s="3" t="s">
        <v>409</v>
      </c>
      <c r="H4692" s="2" t="s">
        <v>148</v>
      </c>
      <c r="I4692" s="2" t="s">
        <v>12438</v>
      </c>
      <c r="J4692" s="3" t="str">
        <f>HYPERLINK("https://www.boe.es/gazeta/dias/1811/08/02/pdfs/GMD-1811-214.pdf#page=4","Abrir facsímil")</f>
        <v>Abrir facsímil</v>
      </c>
      <c r="K4692" s="3" t="s">
        <v>150</v>
      </c>
    </row>
    <row r="4693" spans="1:11" ht="42" customHeight="1">
      <c r="A4693" s="2" t="s">
        <v>12427</v>
      </c>
      <c r="B4693" s="2" t="s">
        <v>12427</v>
      </c>
      <c r="C4693" s="2" t="s">
        <v>26</v>
      </c>
      <c r="D4693" s="2" t="s">
        <v>18</v>
      </c>
      <c r="E4693" s="4">
        <v>-32283</v>
      </c>
      <c r="F4693" s="3" t="s">
        <v>90</v>
      </c>
      <c r="G4693" s="3" t="s">
        <v>91</v>
      </c>
      <c r="H4693" s="2" t="s">
        <v>148</v>
      </c>
      <c r="I4693" s="2" t="s">
        <v>12439</v>
      </c>
      <c r="J4693" s="3" t="str">
        <f>HYPERLINK("https://www.boe.es/gazeta/dias/1811/08/11/pdfs/GMD-1811-223.pdf#page=4","Abrir facsímil")</f>
        <v>Abrir facsímil</v>
      </c>
      <c r="K4693" s="3" t="s">
        <v>150</v>
      </c>
    </row>
    <row r="4694" spans="1:11" ht="42" customHeight="1">
      <c r="A4694" s="2" t="s">
        <v>12427</v>
      </c>
      <c r="B4694" s="2" t="s">
        <v>12427</v>
      </c>
      <c r="C4694" s="2" t="s">
        <v>26</v>
      </c>
      <c r="D4694" s="2" t="s">
        <v>18</v>
      </c>
      <c r="E4694" s="4">
        <v>-32279</v>
      </c>
      <c r="F4694" s="3" t="s">
        <v>540</v>
      </c>
      <c r="G4694" s="3" t="s">
        <v>91</v>
      </c>
      <c r="H4694" s="2" t="s">
        <v>148</v>
      </c>
      <c r="I4694" s="2" t="s">
        <v>12440</v>
      </c>
      <c r="J4694" s="3" t="str">
        <f>HYPERLINK("https://www.boe.es/gazeta/dias/1811/08/15/pdfs/GMD-1811-227.pdf#page=3","Abrir facsímil")</f>
        <v>Abrir facsímil</v>
      </c>
      <c r="K4694" s="3" t="s">
        <v>150</v>
      </c>
    </row>
    <row r="4695" spans="1:11" ht="42" customHeight="1">
      <c r="A4695" s="2" t="s">
        <v>12427</v>
      </c>
      <c r="B4695" s="2" t="s">
        <v>12427</v>
      </c>
      <c r="C4695" s="2" t="s">
        <v>26</v>
      </c>
      <c r="D4695" s="2" t="s">
        <v>18</v>
      </c>
      <c r="E4695" s="4">
        <v>-32279</v>
      </c>
      <c r="F4695" s="3" t="s">
        <v>540</v>
      </c>
      <c r="G4695" s="3" t="s">
        <v>20</v>
      </c>
      <c r="H4695" s="2" t="s">
        <v>148</v>
      </c>
      <c r="I4695" s="2" t="s">
        <v>12441</v>
      </c>
      <c r="J4695" s="3" t="str">
        <f>HYPERLINK("https://www.boe.es/gazeta/dias/1811/08/15/pdfs/GMD-1811-227.pdf#page=4","Abrir facsímil")</f>
        <v>Abrir facsímil</v>
      </c>
      <c r="K4695" s="3" t="s">
        <v>150</v>
      </c>
    </row>
    <row r="4696" spans="1:11" ht="42" customHeight="1">
      <c r="A4696" s="2" t="s">
        <v>12427</v>
      </c>
      <c r="B4696" s="2" t="s">
        <v>12427</v>
      </c>
      <c r="C4696" s="2" t="s">
        <v>26</v>
      </c>
      <c r="D4696" s="2" t="s">
        <v>141</v>
      </c>
      <c r="E4696" s="4">
        <v>-32272</v>
      </c>
      <c r="F4696" s="3" t="s">
        <v>1150</v>
      </c>
      <c r="G4696" s="3" t="s">
        <v>468</v>
      </c>
      <c r="H4696" s="2" t="s">
        <v>148</v>
      </c>
      <c r="I4696" s="2" t="s">
        <v>12442</v>
      </c>
      <c r="J4696" s="3" t="str">
        <f>HYPERLINK("https://www.boe.es/gazeta/dias/1811/08/22/pdfs/GMD-C-1811-234.pdf#page=2","Abrir facsímil")</f>
        <v>Abrir facsímil</v>
      </c>
      <c r="K4696" s="3" t="s">
        <v>150</v>
      </c>
    </row>
    <row r="4697" spans="1:11" ht="42" customHeight="1">
      <c r="A4697" s="2" t="s">
        <v>12427</v>
      </c>
      <c r="B4697" s="2" t="s">
        <v>12427</v>
      </c>
      <c r="C4697" s="2" t="s">
        <v>26</v>
      </c>
      <c r="D4697" s="2" t="s">
        <v>141</v>
      </c>
      <c r="E4697" s="4">
        <v>-32238</v>
      </c>
      <c r="F4697" s="3" t="s">
        <v>166</v>
      </c>
      <c r="G4697" s="3" t="s">
        <v>657</v>
      </c>
      <c r="H4697" s="2" t="s">
        <v>148</v>
      </c>
      <c r="I4697" s="2" t="s">
        <v>12443</v>
      </c>
      <c r="J4697" s="3" t="str">
        <f>HYPERLINK("https://www.boe.es/gazeta/dias/1811/09/25/pdfs/GMD-C-1811-268.pdf#page=3","Abrir facsímil")</f>
        <v>Abrir facsímil</v>
      </c>
      <c r="K4697" s="3" t="s">
        <v>150</v>
      </c>
    </row>
    <row r="4698" spans="1:11" ht="42" customHeight="1">
      <c r="A4698" s="2" t="s">
        <v>12427</v>
      </c>
      <c r="B4698" s="2" t="s">
        <v>12427</v>
      </c>
      <c r="C4698" s="2" t="s">
        <v>26</v>
      </c>
      <c r="D4698" s="2" t="s">
        <v>18</v>
      </c>
      <c r="E4698" s="4">
        <v>-32226</v>
      </c>
      <c r="F4698" s="3" t="s">
        <v>618</v>
      </c>
      <c r="G4698" s="3" t="s">
        <v>1565</v>
      </c>
      <c r="H4698" s="2" t="s">
        <v>148</v>
      </c>
      <c r="I4698" s="2" t="s">
        <v>12444</v>
      </c>
      <c r="J4698" s="3" t="str">
        <f>HYPERLINK("https://www.boe.es/gazeta/dias/1811/10/07/pdfs/GMD-1811-280.pdf#page=4","Abrir facsímil")</f>
        <v>Abrir facsímil</v>
      </c>
      <c r="K4698" s="3" t="s">
        <v>150</v>
      </c>
    </row>
    <row r="4699" spans="1:11" ht="42" customHeight="1">
      <c r="A4699" s="2" t="s">
        <v>12427</v>
      </c>
      <c r="B4699" s="2" t="s">
        <v>12427</v>
      </c>
      <c r="C4699" s="2" t="s">
        <v>26</v>
      </c>
      <c r="D4699" s="2" t="s">
        <v>18</v>
      </c>
      <c r="E4699" s="4">
        <v>-32218</v>
      </c>
      <c r="F4699" s="3" t="s">
        <v>545</v>
      </c>
      <c r="G4699" s="3" t="s">
        <v>546</v>
      </c>
      <c r="H4699" s="2" t="s">
        <v>148</v>
      </c>
      <c r="I4699" s="2" t="s">
        <v>12445</v>
      </c>
      <c r="J4699" s="3" t="str">
        <f>HYPERLINK("https://www.boe.es/gazeta/dias/1811/10/15/pdfs/GMD-1811-288.pdf#page=4","Abrir facsímil")</f>
        <v>Abrir facsímil</v>
      </c>
      <c r="K4699" s="3" t="s">
        <v>150</v>
      </c>
    </row>
    <row r="4700" spans="1:11" ht="42" customHeight="1">
      <c r="A4700" s="2" t="s">
        <v>12427</v>
      </c>
      <c r="B4700" s="2" t="s">
        <v>12427</v>
      </c>
      <c r="C4700" s="2" t="s">
        <v>26</v>
      </c>
      <c r="D4700" s="2" t="s">
        <v>18</v>
      </c>
      <c r="E4700" s="4">
        <v>-32210</v>
      </c>
      <c r="F4700" s="3" t="s">
        <v>1737</v>
      </c>
      <c r="G4700" s="3" t="s">
        <v>115</v>
      </c>
      <c r="H4700" s="2" t="s">
        <v>148</v>
      </c>
      <c r="I4700" s="2" t="s">
        <v>12446</v>
      </c>
      <c r="J4700" s="3" t="str">
        <f>HYPERLINK("https://www.boe.es/gazeta/dias/1811/10/23/pdfs/GMD-1811-296.pdf#page=3","Abrir facsímil")</f>
        <v>Abrir facsímil</v>
      </c>
      <c r="K4700" s="3" t="s">
        <v>150</v>
      </c>
    </row>
    <row r="4701" spans="1:11" ht="42" customHeight="1">
      <c r="A4701" s="2" t="s">
        <v>12427</v>
      </c>
      <c r="B4701" s="2" t="s">
        <v>12427</v>
      </c>
      <c r="C4701" s="2" t="s">
        <v>17</v>
      </c>
      <c r="D4701" s="2" t="s">
        <v>156</v>
      </c>
      <c r="E4701" s="4">
        <v>-32207</v>
      </c>
      <c r="F4701" s="3" t="s">
        <v>2761</v>
      </c>
      <c r="G4701" s="3" t="s">
        <v>178</v>
      </c>
      <c r="H4701" s="2" t="s">
        <v>148</v>
      </c>
      <c r="I4701" s="2" t="s">
        <v>12447</v>
      </c>
      <c r="J4701" s="3" t="str">
        <f>HYPERLINK("https://www.boe.es/gazeta/dias/1811/10/26/pdfs/GMD-1811-299.pdf#page=1","Abrir facsímil")</f>
        <v>Abrir facsímil</v>
      </c>
      <c r="K4701" s="3" t="s">
        <v>150</v>
      </c>
    </row>
    <row r="4702" spans="1:11" ht="42" customHeight="1">
      <c r="A4702" s="2" t="s">
        <v>12427</v>
      </c>
      <c r="B4702" s="2" t="s">
        <v>12427</v>
      </c>
      <c r="C4702" s="2" t="s">
        <v>104</v>
      </c>
      <c r="D4702" s="2" t="s">
        <v>18</v>
      </c>
      <c r="E4702" s="4">
        <v>-32203</v>
      </c>
      <c r="F4702" s="3" t="s">
        <v>8645</v>
      </c>
      <c r="G4702" s="3" t="s">
        <v>57</v>
      </c>
      <c r="H4702" s="2" t="s">
        <v>148</v>
      </c>
      <c r="I4702" s="2" t="s">
        <v>12448</v>
      </c>
      <c r="J4702" s="3" t="str">
        <f>HYPERLINK("https://www.boe.es/gazeta/dias/1811/10/30/pdfs/GMD-1811-303.pdf#page=2","Abrir facsímil")</f>
        <v>Abrir facsímil</v>
      </c>
      <c r="K4702" s="3" t="s">
        <v>150</v>
      </c>
    </row>
    <row r="4703" spans="1:11" ht="42" customHeight="1">
      <c r="A4703" s="2" t="s">
        <v>12427</v>
      </c>
      <c r="B4703" s="2" t="s">
        <v>12427</v>
      </c>
      <c r="C4703" s="2" t="s">
        <v>26</v>
      </c>
      <c r="D4703" s="2" t="s">
        <v>18</v>
      </c>
      <c r="E4703" s="4">
        <v>-32172</v>
      </c>
      <c r="F4703" s="3" t="s">
        <v>300</v>
      </c>
      <c r="G4703" s="3" t="s">
        <v>301</v>
      </c>
      <c r="H4703" s="2" t="s">
        <v>148</v>
      </c>
      <c r="I4703" s="2" t="s">
        <v>12449</v>
      </c>
      <c r="J4703" s="3" t="str">
        <f>HYPERLINK("https://www.boe.es/gazeta/dias/1811/11/30/pdfs/GMD-1811-334.pdf#page=4","Abrir facsímil")</f>
        <v>Abrir facsímil</v>
      </c>
      <c r="K4703" s="3" t="s">
        <v>150</v>
      </c>
    </row>
    <row r="4704" spans="1:11" ht="42" customHeight="1">
      <c r="A4704" s="2" t="s">
        <v>12427</v>
      </c>
      <c r="B4704" s="2" t="s">
        <v>12427</v>
      </c>
      <c r="C4704" s="2" t="s">
        <v>17</v>
      </c>
      <c r="D4704" s="2" t="s">
        <v>156</v>
      </c>
      <c r="E4704" s="4">
        <v>-32171</v>
      </c>
      <c r="F4704" s="3" t="s">
        <v>157</v>
      </c>
      <c r="G4704" s="3" t="s">
        <v>44</v>
      </c>
      <c r="H4704" s="2" t="s">
        <v>148</v>
      </c>
      <c r="I4704" s="2" t="s">
        <v>12450</v>
      </c>
      <c r="J4704" s="3" t="str">
        <f>HYPERLINK("https://www.boe.es/gazeta/dias/1811/12/01/pdfs/GMD-1811-335.pdf#page=4","Abrir facsímil")</f>
        <v>Abrir facsímil</v>
      </c>
      <c r="K4704" s="3" t="s">
        <v>150</v>
      </c>
    </row>
    <row r="4705" spans="1:11" ht="42" customHeight="1">
      <c r="A4705" s="2" t="s">
        <v>12427</v>
      </c>
      <c r="B4705" s="2" t="s">
        <v>12427</v>
      </c>
      <c r="C4705" s="2" t="s">
        <v>26</v>
      </c>
      <c r="D4705" s="2" t="s">
        <v>18</v>
      </c>
      <c r="E4705" s="4">
        <v>-32165</v>
      </c>
      <c r="F4705" s="3" t="s">
        <v>1462</v>
      </c>
      <c r="G4705" s="3" t="s">
        <v>1463</v>
      </c>
      <c r="H4705" s="2" t="s">
        <v>148</v>
      </c>
      <c r="I4705" s="2" t="s">
        <v>12451</v>
      </c>
      <c r="J4705" s="3" t="str">
        <f>HYPERLINK("https://www.boe.es/gazeta/dias/1811/12/07/pdfs/GMD-1811-341.pdf#page=3","Abrir facsímil")</f>
        <v>Abrir facsímil</v>
      </c>
      <c r="K4705" s="3" t="s">
        <v>150</v>
      </c>
    </row>
    <row r="4706" spans="1:11" ht="42" customHeight="1">
      <c r="A4706" s="2" t="s">
        <v>12427</v>
      </c>
      <c r="B4706" s="2" t="s">
        <v>12427</v>
      </c>
      <c r="C4706" s="2" t="s">
        <v>104</v>
      </c>
      <c r="D4706" s="2" t="s">
        <v>18</v>
      </c>
      <c r="E4706" s="4">
        <v>-32152</v>
      </c>
      <c r="F4706" s="3" t="s">
        <v>1673</v>
      </c>
      <c r="G4706" s="3" t="s">
        <v>183</v>
      </c>
      <c r="H4706" s="2" t="s">
        <v>148</v>
      </c>
      <c r="I4706" s="2" t="s">
        <v>12452</v>
      </c>
      <c r="J4706" s="3" t="str">
        <f>HYPERLINK("https://www.boe.es/gazeta/dias/1811/12/20/pdfs/GMD-1811-354.pdf#page=4","Abrir facsímil")</f>
        <v>Abrir facsímil</v>
      </c>
      <c r="K4706" s="3" t="s">
        <v>150</v>
      </c>
    </row>
    <row r="4707" spans="1:11" ht="42" customHeight="1">
      <c r="A4707" s="2" t="s">
        <v>12427</v>
      </c>
      <c r="B4707" s="2" t="s">
        <v>12427</v>
      </c>
      <c r="C4707" s="2" t="s">
        <v>17</v>
      </c>
      <c r="D4707" s="2" t="s">
        <v>156</v>
      </c>
      <c r="E4707" s="4">
        <v>-32150</v>
      </c>
      <c r="F4707" s="3" t="s">
        <v>1174</v>
      </c>
      <c r="G4707" s="3" t="s">
        <v>20</v>
      </c>
      <c r="H4707" s="2" t="s">
        <v>148</v>
      </c>
      <c r="I4707" s="2" t="s">
        <v>12453</v>
      </c>
      <c r="J4707" s="3" t="str">
        <f>HYPERLINK("https://www.boe.es/gazeta/dias/1811/12/22/pdfs/GMD-1811-356.pdf#page=4","Abrir facsímil")</f>
        <v>Abrir facsímil</v>
      </c>
      <c r="K4707" s="3" t="s">
        <v>150</v>
      </c>
    </row>
    <row r="4708" spans="1:11" ht="42" customHeight="1">
      <c r="A4708" s="2" t="s">
        <v>12427</v>
      </c>
      <c r="B4708" s="2" t="s">
        <v>12427</v>
      </c>
      <c r="C4708" s="2" t="s">
        <v>26</v>
      </c>
      <c r="D4708" s="2" t="s">
        <v>18</v>
      </c>
      <c r="E4708" s="4">
        <v>-32141</v>
      </c>
      <c r="F4708" s="3" t="s">
        <v>327</v>
      </c>
      <c r="G4708" s="3" t="s">
        <v>20</v>
      </c>
      <c r="H4708" s="2" t="s">
        <v>148</v>
      </c>
      <c r="I4708" s="2" t="s">
        <v>12454</v>
      </c>
      <c r="J4708" s="3" t="str">
        <f>HYPERLINK("https://www.boe.es/gazeta/dias/1811/12/31/pdfs/GMD-1811-365.pdf#page=4","Abrir facsímil")</f>
        <v>Abrir facsímil</v>
      </c>
      <c r="K4708" s="3" t="s">
        <v>150</v>
      </c>
    </row>
    <row r="4709" spans="1:11" ht="42" customHeight="1">
      <c r="A4709" s="2" t="s">
        <v>12455</v>
      </c>
      <c r="B4709" s="2" t="s">
        <v>12456</v>
      </c>
      <c r="C4709" s="2" t="s">
        <v>17</v>
      </c>
      <c r="D4709" s="2" t="s">
        <v>105</v>
      </c>
      <c r="E4709" s="4">
        <v>-32428</v>
      </c>
      <c r="F4709" s="3" t="s">
        <v>351</v>
      </c>
      <c r="G4709" s="3" t="s">
        <v>352</v>
      </c>
      <c r="H4709" s="2" t="s">
        <v>148</v>
      </c>
      <c r="I4709" s="2" t="s">
        <v>12457</v>
      </c>
      <c r="J4709" s="3" t="str">
        <f>HYPERLINK("https://www.boe.es/gazeta/dias/1811/03/19/pdfs/GMD-1811-78.pdf#page=4","Abrir facsímil")</f>
        <v>Abrir facsímil</v>
      </c>
      <c r="K4709" s="3" t="s">
        <v>150</v>
      </c>
    </row>
    <row r="4710" spans="1:11" ht="42" customHeight="1">
      <c r="A4710" s="2" t="s">
        <v>12458</v>
      </c>
      <c r="B4710" s="2" t="s">
        <v>12459</v>
      </c>
      <c r="C4710" s="2" t="s">
        <v>26</v>
      </c>
      <c r="D4710" s="2" t="s">
        <v>105</v>
      </c>
      <c r="E4710" s="4">
        <v>-32345</v>
      </c>
      <c r="F4710" s="3" t="s">
        <v>9686</v>
      </c>
      <c r="G4710" s="3" t="s">
        <v>9687</v>
      </c>
      <c r="H4710" s="2" t="s">
        <v>148</v>
      </c>
      <c r="I4710" s="2" t="s">
        <v>12460</v>
      </c>
      <c r="J4710" s="3" t="str">
        <f>HYPERLINK("https://www.boe.es/gazeta/dias/1811/06/10/pdfs/GMD-1811-161.pdf#page=1","Abrir facsímil")</f>
        <v>Abrir facsímil</v>
      </c>
      <c r="K4710" s="3" t="s">
        <v>150</v>
      </c>
    </row>
    <row r="4711" spans="1:11" ht="42" customHeight="1">
      <c r="A4711" s="2" t="s">
        <v>12461</v>
      </c>
      <c r="B4711" s="2" t="s">
        <v>12462</v>
      </c>
      <c r="C4711" s="2" t="s">
        <v>26</v>
      </c>
      <c r="D4711" s="2" t="s">
        <v>18</v>
      </c>
      <c r="E4711" s="4">
        <v>-32428</v>
      </c>
      <c r="F4711" s="3" t="s">
        <v>351</v>
      </c>
      <c r="G4711" s="3" t="s">
        <v>115</v>
      </c>
      <c r="H4711" s="2" t="s">
        <v>148</v>
      </c>
      <c r="I4711" s="2" t="s">
        <v>12463</v>
      </c>
      <c r="J4711" s="3" t="str">
        <f>HYPERLINK("https://www.boe.es/gazeta/dias/1811/03/19/pdfs/GMD-1811-78.pdf#page=3","Abrir facsímil")</f>
        <v>Abrir facsímil</v>
      </c>
      <c r="K4711" s="3" t="s">
        <v>150</v>
      </c>
    </row>
    <row r="4712" spans="1:11" ht="42" customHeight="1">
      <c r="A4712" s="2" t="s">
        <v>12461</v>
      </c>
      <c r="B4712" s="2" t="s">
        <v>12462</v>
      </c>
      <c r="C4712" s="2" t="s">
        <v>17</v>
      </c>
      <c r="D4712" s="2" t="s">
        <v>204</v>
      </c>
      <c r="E4712" s="4">
        <v>-32428</v>
      </c>
      <c r="F4712" s="3" t="s">
        <v>351</v>
      </c>
      <c r="G4712" s="3" t="s">
        <v>352</v>
      </c>
      <c r="H4712" s="2" t="s">
        <v>148</v>
      </c>
      <c r="I4712" s="2" t="s">
        <v>12464</v>
      </c>
      <c r="J4712" s="3" t="str">
        <f>HYPERLINK("https://www.boe.es/gazeta/dias/1811/03/19/pdfs/GMD-1811-78.pdf#page=4","Abrir facsímil")</f>
        <v>Abrir facsímil</v>
      </c>
      <c r="K4712" s="3" t="s">
        <v>150</v>
      </c>
    </row>
    <row r="4713" spans="1:11" ht="42" customHeight="1">
      <c r="A4713" s="2" t="s">
        <v>12461</v>
      </c>
      <c r="B4713" s="2" t="s">
        <v>12462</v>
      </c>
      <c r="C4713" s="2" t="s">
        <v>26</v>
      </c>
      <c r="D4713" s="2" t="s">
        <v>18</v>
      </c>
      <c r="E4713" s="4">
        <v>-32171</v>
      </c>
      <c r="F4713" s="3" t="s">
        <v>157</v>
      </c>
      <c r="G4713" s="3" t="s">
        <v>44</v>
      </c>
      <c r="H4713" s="2" t="s">
        <v>148</v>
      </c>
      <c r="I4713" s="2" t="s">
        <v>12465</v>
      </c>
      <c r="J4713" s="3" t="str">
        <f>HYPERLINK("https://www.boe.es/gazeta/dias/1811/12/01/pdfs/GMD-1811-335.pdf#page=4","Abrir facsímil")</f>
        <v>Abrir facsímil</v>
      </c>
      <c r="K4713" s="3" t="s">
        <v>150</v>
      </c>
    </row>
    <row r="4714" spans="1:11" ht="42" customHeight="1">
      <c r="A4714" s="2" t="s">
        <v>12466</v>
      </c>
      <c r="B4714" s="2" t="s">
        <v>12467</v>
      </c>
      <c r="C4714" s="2" t="s">
        <v>26</v>
      </c>
      <c r="D4714" s="2" t="s">
        <v>18</v>
      </c>
      <c r="E4714" s="4">
        <v>-32297</v>
      </c>
      <c r="F4714" s="3" t="s">
        <v>2174</v>
      </c>
      <c r="G4714" s="3" t="s">
        <v>183</v>
      </c>
      <c r="H4714" s="2" t="s">
        <v>148</v>
      </c>
      <c r="I4714" s="2" t="s">
        <v>12468</v>
      </c>
      <c r="J4714" s="3" t="str">
        <f>HYPERLINK("https://www.boe.es/gazeta/dias/1811/07/28/pdfs/GMD-1811-209.pdf#page=4","Abrir facsímil")</f>
        <v>Abrir facsímil</v>
      </c>
      <c r="K4714" s="3" t="s">
        <v>150</v>
      </c>
    </row>
    <row r="4715" spans="1:11" ht="42" customHeight="1">
      <c r="A4715" s="2" t="s">
        <v>12469</v>
      </c>
      <c r="B4715" s="2" t="s">
        <v>12470</v>
      </c>
      <c r="C4715" s="2" t="s">
        <v>17</v>
      </c>
      <c r="D4715" s="2" t="s">
        <v>156</v>
      </c>
      <c r="E4715" s="4">
        <v>-32428</v>
      </c>
      <c r="F4715" s="3" t="s">
        <v>351</v>
      </c>
      <c r="G4715" s="3" t="s">
        <v>115</v>
      </c>
      <c r="H4715" s="2" t="s">
        <v>148</v>
      </c>
      <c r="I4715" s="2" t="s">
        <v>12471</v>
      </c>
      <c r="J4715" s="3" t="str">
        <f>HYPERLINK("https://www.boe.es/gazeta/dias/1811/03/19/pdfs/GMD-1811-78.pdf#page=3","Abrir facsímil")</f>
        <v>Abrir facsímil</v>
      </c>
      <c r="K4715" s="3" t="s">
        <v>150</v>
      </c>
    </row>
    <row r="4716" spans="1:11" ht="42" customHeight="1">
      <c r="A4716" s="2" t="s">
        <v>12472</v>
      </c>
      <c r="B4716" s="2" t="s">
        <v>12472</v>
      </c>
      <c r="C4716" s="2" t="s">
        <v>26</v>
      </c>
      <c r="D4716" s="2" t="s">
        <v>105</v>
      </c>
      <c r="E4716" s="4">
        <v>-32280</v>
      </c>
      <c r="F4716" s="3" t="s">
        <v>142</v>
      </c>
      <c r="G4716" s="3" t="s">
        <v>47</v>
      </c>
      <c r="H4716" s="2" t="s">
        <v>148</v>
      </c>
      <c r="I4716" s="2" t="s">
        <v>12473</v>
      </c>
      <c r="J4716" s="3" t="str">
        <f>HYPERLINK("https://www.boe.es/gazeta/dias/1811/08/14/pdfs/GMD-C-1811-226.pdf#page=1","Abrir facsímil")</f>
        <v>Abrir facsímil</v>
      </c>
      <c r="K4716" s="3" t="s">
        <v>150</v>
      </c>
    </row>
    <row r="4717" spans="1:11" ht="42" customHeight="1">
      <c r="A4717" s="2" t="s">
        <v>12474</v>
      </c>
      <c r="B4717" s="2" t="s">
        <v>12474</v>
      </c>
      <c r="C4717" s="2" t="s">
        <v>37</v>
      </c>
      <c r="D4717" s="2" t="s">
        <v>18</v>
      </c>
      <c r="E4717" s="4">
        <v>-32145</v>
      </c>
      <c r="F4717" s="3" t="s">
        <v>417</v>
      </c>
      <c r="G4717" s="3" t="s">
        <v>418</v>
      </c>
      <c r="H4717" s="2" t="s">
        <v>148</v>
      </c>
      <c r="I4717" s="2" t="s">
        <v>12475</v>
      </c>
      <c r="J4717" s="3" t="str">
        <f>HYPERLINK("https://www.boe.es/gazeta/dias/1811/12/27/pdfs/GMD-1811-361.pdf#page=4","Abrir facsímil")</f>
        <v>Abrir facsímil</v>
      </c>
      <c r="K4717" s="3" t="s">
        <v>150</v>
      </c>
    </row>
    <row r="4718" spans="1:11" ht="42" customHeight="1">
      <c r="A4718" s="2" t="s">
        <v>12476</v>
      </c>
      <c r="B4718" s="2" t="s">
        <v>12476</v>
      </c>
      <c r="C4718" s="2" t="s">
        <v>26</v>
      </c>
      <c r="D4718" s="2" t="s">
        <v>18</v>
      </c>
      <c r="E4718" s="4">
        <v>-32249</v>
      </c>
      <c r="F4718" s="3" t="s">
        <v>182</v>
      </c>
      <c r="G4718" s="3" t="s">
        <v>183</v>
      </c>
      <c r="H4718" s="2" t="s">
        <v>148</v>
      </c>
      <c r="I4718" s="2" t="s">
        <v>12477</v>
      </c>
      <c r="J4718" s="3" t="str">
        <f>HYPERLINK("https://www.boe.es/gazeta/dias/1811/09/14/pdfs/GMD-1811-257.pdf#page=4","Abrir facsímil")</f>
        <v>Abrir facsímil</v>
      </c>
      <c r="K4718" s="3" t="s">
        <v>150</v>
      </c>
    </row>
    <row r="4719" spans="1:11" ht="42" customHeight="1">
      <c r="A4719" s="2" t="s">
        <v>12478</v>
      </c>
      <c r="B4719" s="2" t="s">
        <v>12479</v>
      </c>
      <c r="C4719" s="2" t="s">
        <v>26</v>
      </c>
      <c r="D4719" s="2" t="s">
        <v>18</v>
      </c>
      <c r="E4719" s="4">
        <v>-32429</v>
      </c>
      <c r="F4719" s="3" t="s">
        <v>770</v>
      </c>
      <c r="G4719" s="3" t="s">
        <v>846</v>
      </c>
      <c r="H4719" s="2" t="s">
        <v>148</v>
      </c>
      <c r="I4719" s="2" t="s">
        <v>12480</v>
      </c>
      <c r="J4719" s="3" t="str">
        <f>HYPERLINK("https://www.boe.es/gazeta/dias/1811/03/18/pdfs/GMD-1811-77.pdf#page=2","Abrir facsímil")</f>
        <v>Abrir facsímil</v>
      </c>
      <c r="K4719" s="3" t="s">
        <v>150</v>
      </c>
    </row>
    <row r="4720" spans="1:11" ht="42" customHeight="1">
      <c r="A4720" s="2" t="s">
        <v>12481</v>
      </c>
      <c r="B4720" s="2" t="s">
        <v>12481</v>
      </c>
      <c r="C4720" s="2" t="s">
        <v>26</v>
      </c>
      <c r="D4720" s="2" t="s">
        <v>18</v>
      </c>
      <c r="E4720" s="4">
        <v>-32154</v>
      </c>
      <c r="F4720" s="3" t="s">
        <v>7211</v>
      </c>
      <c r="G4720" s="3" t="s">
        <v>115</v>
      </c>
      <c r="H4720" s="2" t="s">
        <v>148</v>
      </c>
      <c r="I4720" s="2" t="s">
        <v>12482</v>
      </c>
      <c r="J4720" s="3" t="str">
        <f>HYPERLINK("https://www.boe.es/gazeta/dias/1811/12/18/pdfs/GMD-1811-352.pdf#page=3","Abrir facsímil")</f>
        <v>Abrir facsímil</v>
      </c>
      <c r="K4720" s="3" t="s">
        <v>150</v>
      </c>
    </row>
    <row r="4721" spans="1:11" ht="42" customHeight="1">
      <c r="A4721" s="2" t="s">
        <v>12483</v>
      </c>
      <c r="B4721" s="2" t="s">
        <v>12483</v>
      </c>
      <c r="C4721" s="2" t="s">
        <v>26</v>
      </c>
      <c r="D4721" s="2" t="s">
        <v>141</v>
      </c>
      <c r="E4721" s="4">
        <v>-32249</v>
      </c>
      <c r="F4721" s="3" t="s">
        <v>743</v>
      </c>
      <c r="G4721" s="3" t="s">
        <v>468</v>
      </c>
      <c r="H4721" s="2" t="s">
        <v>148</v>
      </c>
      <c r="I4721" s="2" t="s">
        <v>12484</v>
      </c>
      <c r="J4721" s="3" t="str">
        <f>HYPERLINK("https://www.boe.es/gazeta/dias/1811/09/14/pdfs/GMD-C-1811-257.pdf#page=1","Abrir facsímil")</f>
        <v>Abrir facsímil</v>
      </c>
      <c r="K4721" s="3" t="s">
        <v>150</v>
      </c>
    </row>
    <row r="4722" spans="1:11" ht="42" customHeight="1">
      <c r="A4722" s="2" t="s">
        <v>12485</v>
      </c>
      <c r="B4722" s="2" t="s">
        <v>12485</v>
      </c>
      <c r="C4722" s="2" t="s">
        <v>17</v>
      </c>
      <c r="D4722" s="2" t="s">
        <v>156</v>
      </c>
      <c r="E4722" s="4">
        <v>-32244</v>
      </c>
      <c r="F4722" s="3" t="s">
        <v>4301</v>
      </c>
      <c r="G4722" s="3" t="s">
        <v>755</v>
      </c>
      <c r="H4722" s="2" t="s">
        <v>148</v>
      </c>
      <c r="I4722" s="2" t="s">
        <v>12486</v>
      </c>
      <c r="J4722" s="3" t="str">
        <f>HYPERLINK("https://www.boe.es/gazeta/dias/1811/09/19/pdfs/GEI-1811-121.pdf#page=6","Abrir facsímil")</f>
        <v>Abrir facsímil</v>
      </c>
      <c r="K4722" s="3" t="s">
        <v>150</v>
      </c>
    </row>
    <row r="4723" spans="1:11" ht="42" customHeight="1">
      <c r="A4723" s="2" t="s">
        <v>12487</v>
      </c>
      <c r="B4723" s="2" t="s">
        <v>12487</v>
      </c>
      <c r="C4723" s="2" t="s">
        <v>84</v>
      </c>
      <c r="D4723" s="2" t="s">
        <v>204</v>
      </c>
      <c r="E4723" s="4">
        <v>-32361</v>
      </c>
      <c r="F4723" s="3" t="s">
        <v>5102</v>
      </c>
      <c r="G4723" s="3" t="s">
        <v>91</v>
      </c>
      <c r="H4723" s="2" t="s">
        <v>148</v>
      </c>
      <c r="I4723" s="2" t="s">
        <v>12488</v>
      </c>
      <c r="J4723" s="3" t="str">
        <f>HYPERLINK("https://www.boe.es/gazeta/dias/1811/05/25/pdfs/GMD-1811-145.pdf#page=4","Abrir facsímil")</f>
        <v>Abrir facsímil</v>
      </c>
      <c r="K4723" s="3" t="s">
        <v>150</v>
      </c>
    </row>
    <row r="4724" spans="1:11" ht="42" customHeight="1">
      <c r="A4724" s="2" t="s">
        <v>12489</v>
      </c>
      <c r="B4724" s="2" t="s">
        <v>12489</v>
      </c>
      <c r="C4724" s="2" t="s">
        <v>26</v>
      </c>
      <c r="D4724" s="2" t="s">
        <v>18</v>
      </c>
      <c r="E4724" s="4">
        <v>-32216</v>
      </c>
      <c r="F4724" s="3" t="s">
        <v>2739</v>
      </c>
      <c r="G4724" s="3" t="s">
        <v>12490</v>
      </c>
      <c r="H4724" s="2" t="s">
        <v>148</v>
      </c>
      <c r="I4724" s="2" t="s">
        <v>12491</v>
      </c>
      <c r="J4724" s="3" t="str">
        <f>HYPERLINK("https://www.boe.es/gazeta/dias/1811/10/17/pdfs/GEI-1811-134.pdf#page=4","Abrir facsímil")</f>
        <v>Abrir facsímil</v>
      </c>
      <c r="K4724" s="3" t="s">
        <v>150</v>
      </c>
    </row>
    <row r="4725" spans="1:11" ht="42" customHeight="1">
      <c r="A4725" s="2" t="s">
        <v>12489</v>
      </c>
      <c r="B4725" s="2" t="s">
        <v>12489</v>
      </c>
      <c r="C4725" s="2" t="s">
        <v>17</v>
      </c>
      <c r="D4725" s="2" t="s">
        <v>18</v>
      </c>
      <c r="E4725" s="4">
        <v>-32202</v>
      </c>
      <c r="F4725" s="3" t="s">
        <v>2194</v>
      </c>
      <c r="G4725" s="3" t="s">
        <v>91</v>
      </c>
      <c r="H4725" s="2" t="s">
        <v>148</v>
      </c>
      <c r="I4725" s="2" t="s">
        <v>12492</v>
      </c>
      <c r="J4725" s="3" t="str">
        <f>HYPERLINK("https://www.boe.es/gazeta/dias/1811/10/31/pdfs/GEI-1811-140.pdf#page=5","Abrir facsímil")</f>
        <v>Abrir facsímil</v>
      </c>
      <c r="K4725" s="3" t="s">
        <v>150</v>
      </c>
    </row>
    <row r="4726" spans="1:11" ht="42" customHeight="1">
      <c r="A4726" s="2" t="s">
        <v>12489</v>
      </c>
      <c r="B4726" s="2" t="s">
        <v>12489</v>
      </c>
      <c r="C4726" s="2" t="s">
        <v>26</v>
      </c>
      <c r="D4726" s="2" t="s">
        <v>18</v>
      </c>
      <c r="E4726" s="4">
        <v>-32186</v>
      </c>
      <c r="F4726" s="3" t="s">
        <v>1425</v>
      </c>
      <c r="G4726" s="3" t="s">
        <v>47</v>
      </c>
      <c r="H4726" s="2" t="s">
        <v>148</v>
      </c>
      <c r="I4726" s="2" t="s">
        <v>12493</v>
      </c>
      <c r="J4726" s="3" t="str">
        <f>HYPERLINK("https://www.boe.es/gazeta/dias/1811/11/16/pdfs/GEI-1811-150.pdf#page=1","Abrir facsímil")</f>
        <v>Abrir facsímil</v>
      </c>
      <c r="K4726" s="3" t="s">
        <v>150</v>
      </c>
    </row>
    <row r="4727" spans="1:11" ht="42" customHeight="1">
      <c r="A4727" s="2" t="s">
        <v>12494</v>
      </c>
      <c r="B4727" s="2" t="s">
        <v>12495</v>
      </c>
      <c r="C4727" s="2" t="s">
        <v>26</v>
      </c>
      <c r="D4727" s="2" t="s">
        <v>141</v>
      </c>
      <c r="E4727" s="4">
        <v>-32250</v>
      </c>
      <c r="F4727" s="3" t="s">
        <v>1178</v>
      </c>
      <c r="G4727" s="3" t="s">
        <v>657</v>
      </c>
      <c r="H4727" s="2" t="s">
        <v>148</v>
      </c>
      <c r="I4727" s="2" t="s">
        <v>12496</v>
      </c>
      <c r="J4727" s="3" t="str">
        <f>HYPERLINK("https://www.boe.es/gazeta/dias/1811/09/13/pdfs/GMD-C-1811-256.pdf#page=4","Abrir facsímil")</f>
        <v>Abrir facsímil</v>
      </c>
      <c r="K4727" s="3" t="s">
        <v>150</v>
      </c>
    </row>
    <row r="4728" spans="1:11" ht="42" customHeight="1">
      <c r="A4728" s="2" t="s">
        <v>12497</v>
      </c>
      <c r="B4728" s="2" t="s">
        <v>12498</v>
      </c>
      <c r="C4728" s="2" t="s">
        <v>66</v>
      </c>
      <c r="D4728" s="2" t="s">
        <v>18</v>
      </c>
      <c r="E4728" s="4">
        <v>-32416</v>
      </c>
      <c r="F4728" s="3" t="s">
        <v>954</v>
      </c>
      <c r="G4728" s="3" t="s">
        <v>47</v>
      </c>
      <c r="H4728" s="2" t="s">
        <v>148</v>
      </c>
      <c r="I4728" s="2" t="s">
        <v>12499</v>
      </c>
      <c r="J4728" s="3" t="str">
        <f>HYPERLINK("https://www.boe.es/gazeta/dias/1811/03/31/pdfs/GMD-1811-90.pdf#page=3","Abrir facsímil")</f>
        <v>Abrir facsímil</v>
      </c>
      <c r="K4728" s="3" t="s">
        <v>150</v>
      </c>
    </row>
    <row r="4729" spans="1:11" ht="42" customHeight="1">
      <c r="A4729" s="2" t="s">
        <v>12500</v>
      </c>
      <c r="B4729" s="2" t="s">
        <v>12500</v>
      </c>
      <c r="C4729" s="2" t="s">
        <v>17</v>
      </c>
      <c r="D4729" s="2" t="s">
        <v>18</v>
      </c>
      <c r="E4729" s="4">
        <v>-32468</v>
      </c>
      <c r="F4729" s="3" t="s">
        <v>683</v>
      </c>
      <c r="G4729" s="3" t="s">
        <v>12501</v>
      </c>
      <c r="H4729" s="2" t="s">
        <v>148</v>
      </c>
      <c r="I4729" s="2" t="s">
        <v>12502</v>
      </c>
      <c r="J4729" s="3" t="str">
        <f>HYPERLINK("https://www.boe.es/gazeta/dias/1811/02/07/pdfs/GEI-1811-17.pdf#page=8","Abrir facsímil")</f>
        <v>Abrir facsímil</v>
      </c>
      <c r="K4729" s="3" t="s">
        <v>150</v>
      </c>
    </row>
    <row r="4730" spans="1:11" ht="42" customHeight="1">
      <c r="A4730" s="2" t="s">
        <v>12503</v>
      </c>
      <c r="B4730" s="2" t="s">
        <v>12503</v>
      </c>
      <c r="C4730" s="2" t="s">
        <v>26</v>
      </c>
      <c r="D4730" s="2" t="s">
        <v>18</v>
      </c>
      <c r="E4730" s="4">
        <v>-32384</v>
      </c>
      <c r="F4730" s="3" t="s">
        <v>338</v>
      </c>
      <c r="G4730" s="3" t="s">
        <v>339</v>
      </c>
      <c r="H4730" s="2" t="s">
        <v>148</v>
      </c>
      <c r="I4730" s="2" t="s">
        <v>12504</v>
      </c>
      <c r="J4730" s="3" t="str">
        <f>HYPERLINK("https://www.boe.es/gazeta/dias/1811/05/02/pdfs/GEI-1811-58.pdf#page=8","Abrir facsímil")</f>
        <v>Abrir facsímil</v>
      </c>
      <c r="K4730" s="3" t="s">
        <v>150</v>
      </c>
    </row>
    <row r="4731" spans="1:11" ht="42" customHeight="1">
      <c r="A4731" s="2" t="s">
        <v>12505</v>
      </c>
      <c r="B4731" s="2" t="s">
        <v>12505</v>
      </c>
      <c r="C4731" s="2" t="s">
        <v>26</v>
      </c>
      <c r="D4731" s="2" t="s">
        <v>18</v>
      </c>
      <c r="E4731" s="4">
        <v>-32340</v>
      </c>
      <c r="F4731" s="3" t="s">
        <v>565</v>
      </c>
      <c r="G4731" s="3" t="s">
        <v>91</v>
      </c>
      <c r="H4731" s="2" t="s">
        <v>148</v>
      </c>
      <c r="I4731" s="2" t="s">
        <v>12506</v>
      </c>
      <c r="J4731" s="3" t="str">
        <f>HYPERLINK("https://www.boe.es/gazeta/dias/1811/06/15/pdfs/GEI-1811-80.pdf#page=8","Abrir facsímil")</f>
        <v>Abrir facsímil</v>
      </c>
      <c r="K4731" s="3" t="s">
        <v>150</v>
      </c>
    </row>
    <row r="4732" spans="1:11" ht="42" customHeight="1">
      <c r="A4732" s="2" t="s">
        <v>12507</v>
      </c>
      <c r="B4732" s="2" t="s">
        <v>12507</v>
      </c>
      <c r="C4732" s="2" t="s">
        <v>17</v>
      </c>
      <c r="D4732" s="2" t="s">
        <v>156</v>
      </c>
      <c r="E4732" s="4">
        <v>-32481</v>
      </c>
      <c r="F4732" s="3" t="s">
        <v>1687</v>
      </c>
      <c r="G4732" s="3" t="s">
        <v>178</v>
      </c>
      <c r="H4732" s="2" t="s">
        <v>148</v>
      </c>
      <c r="I4732" s="2" t="s">
        <v>12508</v>
      </c>
      <c r="J4732" s="3" t="str">
        <f>HYPERLINK("https://www.boe.es/gazeta/dias/1811/01/25/pdfs/GMD-1811-25.pdf#page=2","Abrir facsímil")</f>
        <v>Abrir facsímil</v>
      </c>
      <c r="K4732" s="3" t="s">
        <v>150</v>
      </c>
    </row>
    <row r="4733" spans="1:11" ht="42" customHeight="1">
      <c r="A4733" s="2" t="s">
        <v>12509</v>
      </c>
      <c r="B4733" s="2" t="s">
        <v>12509</v>
      </c>
      <c r="C4733" s="2" t="s">
        <v>26</v>
      </c>
      <c r="D4733" s="2" t="s">
        <v>18</v>
      </c>
      <c r="E4733" s="4">
        <v>-32173</v>
      </c>
      <c r="F4733" s="3" t="s">
        <v>2701</v>
      </c>
      <c r="G4733" s="3" t="s">
        <v>47</v>
      </c>
      <c r="H4733" s="2" t="s">
        <v>148</v>
      </c>
      <c r="I4733" s="2" t="s">
        <v>12510</v>
      </c>
      <c r="J4733" s="3" t="str">
        <f>HYPERLINK("https://www.boe.es/gazeta/dias/1811/11/29/pdfs/GMD-1811-333.pdf#page=3","Abrir facsímil")</f>
        <v>Abrir facsímil</v>
      </c>
      <c r="K4733" s="3" t="s">
        <v>150</v>
      </c>
    </row>
    <row r="4734" spans="1:11" ht="42" customHeight="1">
      <c r="A4734" s="2" t="s">
        <v>12511</v>
      </c>
      <c r="B4734" s="2" t="s">
        <v>12511</v>
      </c>
      <c r="C4734" s="2" t="s">
        <v>26</v>
      </c>
      <c r="D4734" s="2" t="s">
        <v>18</v>
      </c>
      <c r="E4734" s="4">
        <v>-32496</v>
      </c>
      <c r="F4734" s="3" t="s">
        <v>5478</v>
      </c>
      <c r="G4734" s="3" t="s">
        <v>183</v>
      </c>
      <c r="H4734" s="2" t="s">
        <v>148</v>
      </c>
      <c r="I4734" s="2" t="s">
        <v>12512</v>
      </c>
      <c r="J4734" s="3" t="str">
        <f>HYPERLINK("https://www.boe.es/gazeta/dias/1811/01/10/pdfs/GMD-1811-10.pdf#page=4","Abrir facsímil")</f>
        <v>Abrir facsímil</v>
      </c>
      <c r="K4734" s="3" t="s">
        <v>150</v>
      </c>
    </row>
    <row r="4735" spans="1:11" ht="42" customHeight="1">
      <c r="A4735" s="2" t="s">
        <v>12511</v>
      </c>
      <c r="B4735" s="2" t="s">
        <v>12511</v>
      </c>
      <c r="C4735" s="2" t="s">
        <v>17</v>
      </c>
      <c r="D4735" s="2" t="s">
        <v>156</v>
      </c>
      <c r="E4735" s="4">
        <v>-32463</v>
      </c>
      <c r="F4735" s="3" t="s">
        <v>734</v>
      </c>
      <c r="G4735" s="3" t="s">
        <v>735</v>
      </c>
      <c r="H4735" s="2" t="s">
        <v>148</v>
      </c>
      <c r="I4735" s="2" t="s">
        <v>12513</v>
      </c>
      <c r="J4735" s="3" t="str">
        <f>HYPERLINK("https://www.boe.es/gazeta/dias/1811/02/12/pdfs/GEI-1811-19.pdf#page=8","Abrir facsímil")</f>
        <v>Abrir facsímil</v>
      </c>
      <c r="K4735" s="3" t="s">
        <v>150</v>
      </c>
    </row>
    <row r="4736" spans="1:11" ht="42" customHeight="1">
      <c r="A4736" s="2" t="s">
        <v>12511</v>
      </c>
      <c r="B4736" s="2" t="s">
        <v>12511</v>
      </c>
      <c r="C4736" s="2" t="s">
        <v>26</v>
      </c>
      <c r="D4736" s="2" t="s">
        <v>18</v>
      </c>
      <c r="E4736" s="4">
        <v>-32430</v>
      </c>
      <c r="F4736" s="3" t="s">
        <v>4714</v>
      </c>
      <c r="G4736" s="3" t="s">
        <v>20</v>
      </c>
      <c r="H4736" s="2" t="s">
        <v>148</v>
      </c>
      <c r="I4736" s="2" t="s">
        <v>12514</v>
      </c>
      <c r="J4736" s="3" t="str">
        <f>HYPERLINK("https://www.boe.es/gazeta/dias/1811/03/17/pdfs/GMD-1811-76.pdf#page=4","Abrir facsímil")</f>
        <v>Abrir facsímil</v>
      </c>
      <c r="K4736" s="3" t="s">
        <v>150</v>
      </c>
    </row>
    <row r="4737" spans="1:11" ht="42" customHeight="1">
      <c r="A4737" s="2" t="s">
        <v>12511</v>
      </c>
      <c r="B4737" s="2" t="s">
        <v>12511</v>
      </c>
      <c r="C4737" s="2" t="s">
        <v>17</v>
      </c>
      <c r="D4737" s="2" t="s">
        <v>156</v>
      </c>
      <c r="E4737" s="4">
        <v>-32428</v>
      </c>
      <c r="F4737" s="3" t="s">
        <v>351</v>
      </c>
      <c r="G4737" s="3" t="s">
        <v>57</v>
      </c>
      <c r="H4737" s="2" t="s">
        <v>148</v>
      </c>
      <c r="I4737" s="2" t="s">
        <v>12515</v>
      </c>
      <c r="J4737" s="3" t="str">
        <f>HYPERLINK("https://www.boe.es/gazeta/dias/1811/03/19/pdfs/GMD-1811-78.pdf#page=2","Abrir facsímil")</f>
        <v>Abrir facsímil</v>
      </c>
      <c r="K4737" s="3" t="s">
        <v>150</v>
      </c>
    </row>
    <row r="4738" spans="1:11" ht="42" customHeight="1">
      <c r="A4738" s="2" t="s">
        <v>12511</v>
      </c>
      <c r="B4738" s="2" t="s">
        <v>12511</v>
      </c>
      <c r="C4738" s="2" t="s">
        <v>26</v>
      </c>
      <c r="D4738" s="2" t="s">
        <v>18</v>
      </c>
      <c r="E4738" s="4">
        <v>-32428</v>
      </c>
      <c r="F4738" s="3" t="s">
        <v>351</v>
      </c>
      <c r="G4738" s="3" t="s">
        <v>115</v>
      </c>
      <c r="H4738" s="2" t="s">
        <v>148</v>
      </c>
      <c r="I4738" s="2" t="s">
        <v>12516</v>
      </c>
      <c r="J4738" s="3" t="str">
        <f>HYPERLINK("https://www.boe.es/gazeta/dias/1811/03/19/pdfs/GMD-1811-78.pdf#page=3","Abrir facsímil")</f>
        <v>Abrir facsímil</v>
      </c>
      <c r="K4738" s="3" t="s">
        <v>150</v>
      </c>
    </row>
    <row r="4739" spans="1:11" ht="42" customHeight="1">
      <c r="A4739" s="2" t="s">
        <v>12511</v>
      </c>
      <c r="B4739" s="2" t="s">
        <v>12511</v>
      </c>
      <c r="C4739" s="2" t="s">
        <v>17</v>
      </c>
      <c r="D4739" s="2" t="s">
        <v>156</v>
      </c>
      <c r="E4739" s="4">
        <v>-32428</v>
      </c>
      <c r="F4739" s="3" t="s">
        <v>351</v>
      </c>
      <c r="G4739" s="3" t="s">
        <v>352</v>
      </c>
      <c r="H4739" s="2" t="s">
        <v>148</v>
      </c>
      <c r="I4739" s="2" t="s">
        <v>12517</v>
      </c>
      <c r="J4739" s="3" t="str">
        <f>HYPERLINK("https://www.boe.es/gazeta/dias/1811/03/19/pdfs/GMD-1811-78.pdf#page=4","Abrir facsímil")</f>
        <v>Abrir facsímil</v>
      </c>
      <c r="K4739" s="3" t="s">
        <v>150</v>
      </c>
    </row>
    <row r="4740" spans="1:11" ht="42" customHeight="1">
      <c r="A4740" s="2" t="s">
        <v>12511</v>
      </c>
      <c r="B4740" s="2" t="s">
        <v>12511</v>
      </c>
      <c r="C4740" s="2" t="s">
        <v>26</v>
      </c>
      <c r="D4740" s="2" t="s">
        <v>18</v>
      </c>
      <c r="E4740" s="4">
        <v>-32421</v>
      </c>
      <c r="F4740" s="3" t="s">
        <v>79</v>
      </c>
      <c r="G4740" s="3" t="s">
        <v>488</v>
      </c>
      <c r="H4740" s="2" t="s">
        <v>148</v>
      </c>
      <c r="I4740" s="2" t="s">
        <v>12518</v>
      </c>
      <c r="J4740" s="3" t="str">
        <f>HYPERLINK("https://www.boe.es/gazeta/dias/1811/03/26/pdfs/GEI-1811-42.pdf#page=8","Abrir facsímil")</f>
        <v>Abrir facsímil</v>
      </c>
      <c r="K4740" s="3" t="s">
        <v>150</v>
      </c>
    </row>
    <row r="4741" spans="1:11" ht="42" customHeight="1">
      <c r="A4741" s="2" t="s">
        <v>12511</v>
      </c>
      <c r="B4741" s="2" t="s">
        <v>12511</v>
      </c>
      <c r="C4741" s="2" t="s">
        <v>17</v>
      </c>
      <c r="D4741" s="2" t="s">
        <v>156</v>
      </c>
      <c r="E4741" s="4">
        <v>-32412</v>
      </c>
      <c r="F4741" s="3" t="s">
        <v>998</v>
      </c>
      <c r="G4741" s="3" t="s">
        <v>44</v>
      </c>
      <c r="H4741" s="2" t="s">
        <v>148</v>
      </c>
      <c r="I4741" s="2" t="s">
        <v>12519</v>
      </c>
      <c r="J4741" s="3" t="str">
        <f>HYPERLINK("https://www.boe.es/gazeta/dias/1811/04/04/pdfs/GEI-1811-46.pdf#page=3","Abrir facsímil")</f>
        <v>Abrir facsímil</v>
      </c>
      <c r="K4741" s="3" t="s">
        <v>150</v>
      </c>
    </row>
    <row r="4742" spans="1:11" ht="42" customHeight="1">
      <c r="A4742" s="2" t="s">
        <v>12511</v>
      </c>
      <c r="B4742" s="2" t="s">
        <v>12511</v>
      </c>
      <c r="C4742" s="2" t="s">
        <v>26</v>
      </c>
      <c r="D4742" s="2" t="s">
        <v>18</v>
      </c>
      <c r="E4742" s="4">
        <v>-32407</v>
      </c>
      <c r="F4742" s="3" t="s">
        <v>6083</v>
      </c>
      <c r="G4742" s="3" t="s">
        <v>498</v>
      </c>
      <c r="H4742" s="2" t="s">
        <v>148</v>
      </c>
      <c r="I4742" s="2" t="s">
        <v>12520</v>
      </c>
      <c r="J4742" s="3" t="str">
        <f>HYPERLINK("https://www.boe.es/gazeta/dias/1811/04/09/pdfs/GMD-1811-99.pdf#page=4","Abrir facsímil")</f>
        <v>Abrir facsímil</v>
      </c>
      <c r="K4742" s="3" t="s">
        <v>150</v>
      </c>
    </row>
    <row r="4743" spans="1:11" ht="42" customHeight="1">
      <c r="A4743" s="2" t="s">
        <v>12511</v>
      </c>
      <c r="B4743" s="2" t="s">
        <v>12511</v>
      </c>
      <c r="C4743" s="2" t="s">
        <v>17</v>
      </c>
      <c r="D4743" s="2" t="s">
        <v>141</v>
      </c>
      <c r="E4743" s="4">
        <v>-32389</v>
      </c>
      <c r="F4743" s="3" t="s">
        <v>524</v>
      </c>
      <c r="G4743" s="3" t="s">
        <v>525</v>
      </c>
      <c r="H4743" s="2" t="s">
        <v>148</v>
      </c>
      <c r="I4743" s="2" t="s">
        <v>12521</v>
      </c>
      <c r="J4743" s="3" t="str">
        <f>HYPERLINK("https://www.boe.es/gazeta/dias/1811/04/27/pdfs/GEI-D-1811-56.pdf#page=4","Abrir facsímil")</f>
        <v>Abrir facsímil</v>
      </c>
      <c r="K4743" s="3" t="s">
        <v>150</v>
      </c>
    </row>
    <row r="4744" spans="1:11" ht="42" customHeight="1">
      <c r="A4744" s="2" t="s">
        <v>12511</v>
      </c>
      <c r="B4744" s="2" t="s">
        <v>12511</v>
      </c>
      <c r="C4744" s="2" t="s">
        <v>17</v>
      </c>
      <c r="D4744" s="2" t="s">
        <v>156</v>
      </c>
      <c r="E4744" s="4">
        <v>-32386</v>
      </c>
      <c r="F4744" s="3" t="s">
        <v>1934</v>
      </c>
      <c r="G4744" s="3" t="s">
        <v>134</v>
      </c>
      <c r="H4744" s="2" t="s">
        <v>148</v>
      </c>
      <c r="I4744" s="2" t="s">
        <v>12522</v>
      </c>
      <c r="J4744" s="3" t="str">
        <f>HYPERLINK("https://www.boe.es/gazeta/dias/1811/04/30/pdfs/GEI-1811-57.pdf#page=8","Abrir facsímil")</f>
        <v>Abrir facsímil</v>
      </c>
      <c r="K4744" s="3" t="s">
        <v>150</v>
      </c>
    </row>
    <row r="4745" spans="1:11" ht="42" customHeight="1">
      <c r="A4745" s="2" t="s">
        <v>12511</v>
      </c>
      <c r="B4745" s="2" t="s">
        <v>12511</v>
      </c>
      <c r="C4745" s="2" t="s">
        <v>26</v>
      </c>
      <c r="D4745" s="2" t="s">
        <v>141</v>
      </c>
      <c r="E4745" s="4">
        <v>-32384</v>
      </c>
      <c r="F4745" s="3" t="s">
        <v>2599</v>
      </c>
      <c r="G4745" s="3" t="s">
        <v>4480</v>
      </c>
      <c r="H4745" s="2" t="s">
        <v>148</v>
      </c>
      <c r="I4745" s="2" t="s">
        <v>12523</v>
      </c>
      <c r="J4745" s="3" t="str">
        <f>HYPERLINK("https://www.boe.es/gazeta/dias/1811/05/02/pdfs/GEI-D-1811-58.pdf#page=3","Abrir facsímil")</f>
        <v>Abrir facsímil</v>
      </c>
      <c r="K4745" s="3" t="s">
        <v>150</v>
      </c>
    </row>
    <row r="4746" spans="1:11" ht="42" customHeight="1">
      <c r="A4746" s="2" t="s">
        <v>12511</v>
      </c>
      <c r="B4746" s="2" t="s">
        <v>12511</v>
      </c>
      <c r="C4746" s="2" t="s">
        <v>26</v>
      </c>
      <c r="D4746" s="2" t="s">
        <v>18</v>
      </c>
      <c r="E4746" s="4">
        <v>-32379</v>
      </c>
      <c r="F4746" s="3" t="s">
        <v>462</v>
      </c>
      <c r="G4746" s="3" t="s">
        <v>463</v>
      </c>
      <c r="H4746" s="2" t="s">
        <v>148</v>
      </c>
      <c r="I4746" s="2" t="s">
        <v>12524</v>
      </c>
      <c r="J4746" s="3" t="str">
        <f>HYPERLINK("https://www.boe.es/gazeta/dias/1811/05/07/pdfs/GEI-1811-60.pdf#page=8","Abrir facsímil")</f>
        <v>Abrir facsímil</v>
      </c>
      <c r="K4746" s="3" t="s">
        <v>150</v>
      </c>
    </row>
    <row r="4747" spans="1:11" ht="42" customHeight="1">
      <c r="A4747" s="2" t="s">
        <v>12511</v>
      </c>
      <c r="B4747" s="2" t="s">
        <v>12511</v>
      </c>
      <c r="C4747" s="2" t="s">
        <v>26</v>
      </c>
      <c r="D4747" s="2" t="s">
        <v>141</v>
      </c>
      <c r="E4747" s="4">
        <v>-32355</v>
      </c>
      <c r="F4747" s="3" t="s">
        <v>537</v>
      </c>
      <c r="G4747" s="3" t="s">
        <v>1143</v>
      </c>
      <c r="H4747" s="2" t="s">
        <v>148</v>
      </c>
      <c r="I4747" s="2" t="s">
        <v>12525</v>
      </c>
      <c r="J4747" s="3" t="str">
        <f>HYPERLINK("https://www.boe.es/gazeta/dias/1811/05/31/pdfs/GMD-C-1811-151.pdf#page=3","Abrir facsímil")</f>
        <v>Abrir facsímil</v>
      </c>
      <c r="K4747" s="3" t="s">
        <v>150</v>
      </c>
    </row>
    <row r="4748" spans="1:11" ht="42" customHeight="1">
      <c r="A4748" s="2" t="s">
        <v>12511</v>
      </c>
      <c r="B4748" s="2" t="s">
        <v>12511</v>
      </c>
      <c r="C4748" s="2" t="s">
        <v>26</v>
      </c>
      <c r="D4748" s="2" t="s">
        <v>141</v>
      </c>
      <c r="E4748" s="4">
        <v>-32355</v>
      </c>
      <c r="F4748" s="3" t="s">
        <v>537</v>
      </c>
      <c r="G4748" s="3" t="s">
        <v>44</v>
      </c>
      <c r="H4748" s="2" t="s">
        <v>148</v>
      </c>
      <c r="I4748" s="2" t="s">
        <v>12526</v>
      </c>
      <c r="J4748" s="3" t="str">
        <f>HYPERLINK("https://www.boe.es/gazeta/dias/1811/05/31/pdfs/GMD-C-1811-151.pdf#page=8","Abrir facsímil")</f>
        <v>Abrir facsímil</v>
      </c>
      <c r="K4748" s="3" t="s">
        <v>150</v>
      </c>
    </row>
    <row r="4749" spans="1:11" ht="42" customHeight="1">
      <c r="A4749" s="2" t="s">
        <v>12511</v>
      </c>
      <c r="B4749" s="2" t="s">
        <v>12511</v>
      </c>
      <c r="C4749" s="2" t="s">
        <v>84</v>
      </c>
      <c r="D4749" s="2" t="s">
        <v>141</v>
      </c>
      <c r="E4749" s="4">
        <v>-32355</v>
      </c>
      <c r="F4749" s="3" t="s">
        <v>537</v>
      </c>
      <c r="G4749" s="3" t="s">
        <v>47</v>
      </c>
      <c r="H4749" s="2" t="s">
        <v>148</v>
      </c>
      <c r="I4749" s="2" t="s">
        <v>12527</v>
      </c>
      <c r="J4749" s="3" t="str">
        <f>HYPERLINK("https://www.boe.es/gazeta/dias/1811/05/31/pdfs/GMD-C-1811-151.pdf#page=11","Abrir facsímil")</f>
        <v>Abrir facsímil</v>
      </c>
      <c r="K4749" s="3" t="s">
        <v>150</v>
      </c>
    </row>
    <row r="4750" spans="1:11" ht="42" customHeight="1">
      <c r="A4750" s="2" t="s">
        <v>12511</v>
      </c>
      <c r="B4750" s="2" t="s">
        <v>12511</v>
      </c>
      <c r="C4750" s="2" t="s">
        <v>841</v>
      </c>
      <c r="D4750" s="2" t="s">
        <v>18</v>
      </c>
      <c r="E4750" s="4">
        <v>-32340</v>
      </c>
      <c r="F4750" s="3" t="s">
        <v>565</v>
      </c>
      <c r="G4750" s="3" t="s">
        <v>91</v>
      </c>
      <c r="H4750" s="2" t="s">
        <v>148</v>
      </c>
      <c r="I4750" s="2" t="s">
        <v>12528</v>
      </c>
      <c r="J4750" s="3" t="str">
        <f>HYPERLINK("https://www.boe.es/gazeta/dias/1811/06/15/pdfs/GEI-1811-80.pdf#page=8","Abrir facsímil")</f>
        <v>Abrir facsímil</v>
      </c>
      <c r="K4750" s="3" t="s">
        <v>150</v>
      </c>
    </row>
    <row r="4751" spans="1:11" ht="42" customHeight="1">
      <c r="A4751" s="2" t="s">
        <v>12511</v>
      </c>
      <c r="B4751" s="2" t="s">
        <v>12511</v>
      </c>
      <c r="C4751" s="2" t="s">
        <v>84</v>
      </c>
      <c r="D4751" s="2" t="s">
        <v>141</v>
      </c>
      <c r="E4751" s="4">
        <v>-32314</v>
      </c>
      <c r="F4751" s="3" t="s">
        <v>2051</v>
      </c>
      <c r="G4751" s="3" t="s">
        <v>468</v>
      </c>
      <c r="H4751" s="2" t="s">
        <v>148</v>
      </c>
      <c r="I4751" s="2" t="s">
        <v>12529</v>
      </c>
      <c r="J4751" s="3" t="str">
        <f>HYPERLINK("https://www.boe.es/gazeta/dias/1811/07/11/pdfs/GMD-C-1811-192.pdf#page=1","Abrir facsímil")</f>
        <v>Abrir facsímil</v>
      </c>
      <c r="K4751" s="3" t="s">
        <v>150</v>
      </c>
    </row>
    <row r="4752" spans="1:11" ht="42" customHeight="1">
      <c r="A4752" s="2" t="s">
        <v>12511</v>
      </c>
      <c r="B4752" s="2" t="s">
        <v>12511</v>
      </c>
      <c r="C4752" s="2" t="s">
        <v>17</v>
      </c>
      <c r="D4752" s="2" t="s">
        <v>18</v>
      </c>
      <c r="E4752" s="4">
        <v>-32307</v>
      </c>
      <c r="F4752" s="3" t="s">
        <v>1112</v>
      </c>
      <c r="G4752" s="3" t="s">
        <v>1113</v>
      </c>
      <c r="H4752" s="2" t="s">
        <v>148</v>
      </c>
      <c r="I4752" s="2" t="s">
        <v>12530</v>
      </c>
      <c r="J4752" s="3" t="str">
        <f>HYPERLINK("https://www.boe.es/gazeta/dias/1811/07/18/pdfs/GEI-1811-94.pdf#page=8","Abrir facsímil")</f>
        <v>Abrir facsímil</v>
      </c>
      <c r="K4752" s="3" t="s">
        <v>150</v>
      </c>
    </row>
    <row r="4753" spans="1:11" ht="42" customHeight="1">
      <c r="A4753" s="2" t="s">
        <v>12511</v>
      </c>
      <c r="B4753" s="2" t="s">
        <v>12511</v>
      </c>
      <c r="C4753" s="2" t="s">
        <v>84</v>
      </c>
      <c r="D4753" s="2" t="s">
        <v>105</v>
      </c>
      <c r="E4753" s="4">
        <v>-32298</v>
      </c>
      <c r="F4753" s="3" t="s">
        <v>133</v>
      </c>
      <c r="G4753" s="3" t="s">
        <v>12531</v>
      </c>
      <c r="H4753" s="2" t="s">
        <v>148</v>
      </c>
      <c r="I4753" s="2" t="s">
        <v>12532</v>
      </c>
      <c r="J4753" s="3" t="str">
        <f>HYPERLINK("https://www.boe.es/gazeta/dias/1811/07/27/pdfs/GEI-1811-98.pdf#page=2","Abrir facsímil")</f>
        <v>Abrir facsímil</v>
      </c>
      <c r="K4753" s="3" t="s">
        <v>150</v>
      </c>
    </row>
    <row r="4754" spans="1:11" ht="42" customHeight="1">
      <c r="A4754" s="2" t="s">
        <v>12511</v>
      </c>
      <c r="B4754" s="2" t="s">
        <v>12511</v>
      </c>
      <c r="C4754" s="2" t="s">
        <v>17</v>
      </c>
      <c r="D4754" s="2" t="s">
        <v>18</v>
      </c>
      <c r="E4754" s="4">
        <v>-32295</v>
      </c>
      <c r="F4754" s="3" t="s">
        <v>279</v>
      </c>
      <c r="G4754" s="3" t="s">
        <v>44</v>
      </c>
      <c r="H4754" s="2" t="s">
        <v>148</v>
      </c>
      <c r="I4754" s="2" t="s">
        <v>12533</v>
      </c>
      <c r="J4754" s="3" t="str">
        <f>HYPERLINK("https://www.boe.es/gazeta/dias/1811/07/30/pdfs/GEI-1811-99.pdf#page=8","Abrir facsímil")</f>
        <v>Abrir facsímil</v>
      </c>
      <c r="K4754" s="3" t="s">
        <v>150</v>
      </c>
    </row>
    <row r="4755" spans="1:11" ht="42" customHeight="1">
      <c r="A4755" s="2" t="s">
        <v>12511</v>
      </c>
      <c r="B4755" s="2" t="s">
        <v>12511</v>
      </c>
      <c r="C4755" s="2" t="s">
        <v>17</v>
      </c>
      <c r="D4755" s="2" t="s">
        <v>18</v>
      </c>
      <c r="E4755" s="4">
        <v>-32284</v>
      </c>
      <c r="F4755" s="3" t="s">
        <v>170</v>
      </c>
      <c r="G4755" s="3" t="s">
        <v>1388</v>
      </c>
      <c r="H4755" s="2" t="s">
        <v>148</v>
      </c>
      <c r="I4755" s="2" t="s">
        <v>12534</v>
      </c>
      <c r="J4755" s="3" t="str">
        <f>HYPERLINK("https://www.boe.es/gazeta/dias/1811/08/10/pdfs/GEI-1811-104.pdf#page=8","Abrir facsímil")</f>
        <v>Abrir facsímil</v>
      </c>
      <c r="K4755" s="3" t="s">
        <v>150</v>
      </c>
    </row>
    <row r="4756" spans="1:11" ht="42" customHeight="1">
      <c r="A4756" s="2" t="s">
        <v>12511</v>
      </c>
      <c r="B4756" s="2" t="s">
        <v>12511</v>
      </c>
      <c r="C4756" s="2" t="s">
        <v>367</v>
      </c>
      <c r="D4756" s="2" t="s">
        <v>18</v>
      </c>
      <c r="E4756" s="4">
        <v>-32281</v>
      </c>
      <c r="F4756" s="3" t="s">
        <v>1041</v>
      </c>
      <c r="G4756" s="3" t="s">
        <v>115</v>
      </c>
      <c r="H4756" s="2" t="s">
        <v>148</v>
      </c>
      <c r="I4756" s="2" t="s">
        <v>12535</v>
      </c>
      <c r="J4756" s="3" t="str">
        <f>HYPERLINK("https://www.boe.es/gazeta/dias/1811/08/13/pdfs/GMD-1811-225.pdf#page=3","Abrir facsímil")</f>
        <v>Abrir facsímil</v>
      </c>
      <c r="K4756" s="3" t="s">
        <v>150</v>
      </c>
    </row>
    <row r="4757" spans="1:11" ht="42" customHeight="1">
      <c r="A4757" s="2" t="s">
        <v>12511</v>
      </c>
      <c r="B4757" s="2" t="s">
        <v>12511</v>
      </c>
      <c r="C4757" s="2" t="s">
        <v>17</v>
      </c>
      <c r="D4757" s="2" t="s">
        <v>156</v>
      </c>
      <c r="E4757" s="4">
        <v>-32279</v>
      </c>
      <c r="F4757" s="3" t="s">
        <v>540</v>
      </c>
      <c r="G4757" s="3" t="s">
        <v>91</v>
      </c>
      <c r="H4757" s="2" t="s">
        <v>148</v>
      </c>
      <c r="I4757" s="2" t="s">
        <v>12536</v>
      </c>
      <c r="J4757" s="3" t="str">
        <f>HYPERLINK("https://www.boe.es/gazeta/dias/1811/08/15/pdfs/GMD-1811-227.pdf#page=3","Abrir facsímil")</f>
        <v>Abrir facsímil</v>
      </c>
      <c r="K4757" s="3" t="s">
        <v>150</v>
      </c>
    </row>
    <row r="4758" spans="1:11" ht="42" customHeight="1">
      <c r="A4758" s="2" t="s">
        <v>12511</v>
      </c>
      <c r="B4758" s="2" t="s">
        <v>12511</v>
      </c>
      <c r="C4758" s="2" t="s">
        <v>17</v>
      </c>
      <c r="D4758" s="2" t="s">
        <v>156</v>
      </c>
      <c r="E4758" s="4">
        <v>-32279</v>
      </c>
      <c r="F4758" s="3" t="s">
        <v>540</v>
      </c>
      <c r="G4758" s="3" t="s">
        <v>20</v>
      </c>
      <c r="H4758" s="2" t="s">
        <v>148</v>
      </c>
      <c r="I4758" s="2" t="s">
        <v>12537</v>
      </c>
      <c r="J4758" s="3" t="str">
        <f>HYPERLINK("https://www.boe.es/gazeta/dias/1811/08/15/pdfs/GMD-1811-227.pdf#page=4","Abrir facsímil")</f>
        <v>Abrir facsímil</v>
      </c>
      <c r="K4758" s="3" t="s">
        <v>150</v>
      </c>
    </row>
    <row r="4759" spans="1:11" ht="42" customHeight="1">
      <c r="A4759" s="2" t="s">
        <v>12511</v>
      </c>
      <c r="B4759" s="2" t="s">
        <v>12511</v>
      </c>
      <c r="C4759" s="2" t="s">
        <v>17</v>
      </c>
      <c r="D4759" s="2" t="s">
        <v>156</v>
      </c>
      <c r="E4759" s="4">
        <v>-32277</v>
      </c>
      <c r="F4759" s="3" t="s">
        <v>1765</v>
      </c>
      <c r="G4759" s="3" t="s">
        <v>515</v>
      </c>
      <c r="H4759" s="2" t="s">
        <v>148</v>
      </c>
      <c r="I4759" s="2" t="s">
        <v>12538</v>
      </c>
      <c r="J4759" s="3" t="str">
        <f>HYPERLINK("https://www.boe.es/gazeta/dias/1811/08/17/pdfs/GEI-1811-107.pdf#page=4","Abrir facsímil")</f>
        <v>Abrir facsímil</v>
      </c>
      <c r="K4759" s="3" t="s">
        <v>150</v>
      </c>
    </row>
    <row r="4760" spans="1:11" ht="42" customHeight="1">
      <c r="A4760" s="2" t="s">
        <v>12511</v>
      </c>
      <c r="B4760" s="2" t="s">
        <v>12511</v>
      </c>
      <c r="C4760" s="2" t="s">
        <v>122</v>
      </c>
      <c r="D4760" s="2" t="s">
        <v>141</v>
      </c>
      <c r="E4760" s="4">
        <v>-32272</v>
      </c>
      <c r="F4760" s="3" t="s">
        <v>1150</v>
      </c>
      <c r="G4760" s="3" t="s">
        <v>248</v>
      </c>
      <c r="H4760" s="2" t="s">
        <v>148</v>
      </c>
      <c r="I4760" s="2" t="s">
        <v>12539</v>
      </c>
      <c r="J4760" s="3" t="str">
        <f>HYPERLINK("https://www.boe.es/gazeta/dias/1811/08/22/pdfs/GMD-C-1811-234.pdf#page=1","Abrir facsímil")</f>
        <v>Abrir facsímil</v>
      </c>
      <c r="K4760" s="3" t="s">
        <v>150</v>
      </c>
    </row>
    <row r="4761" spans="1:11" ht="42" customHeight="1">
      <c r="A4761" s="2" t="s">
        <v>12511</v>
      </c>
      <c r="B4761" s="2" t="s">
        <v>12511</v>
      </c>
      <c r="C4761" s="2" t="s">
        <v>26</v>
      </c>
      <c r="D4761" s="2" t="s">
        <v>18</v>
      </c>
      <c r="E4761" s="4">
        <v>-32272</v>
      </c>
      <c r="F4761" s="3" t="s">
        <v>1121</v>
      </c>
      <c r="G4761" s="3" t="s">
        <v>12540</v>
      </c>
      <c r="H4761" s="2" t="s">
        <v>148</v>
      </c>
      <c r="I4761" s="2" t="s">
        <v>12541</v>
      </c>
      <c r="J4761" s="3" t="str">
        <f>HYPERLINK("https://www.boe.es/gazeta/dias/1811/08/22/pdfs/GEI-1811-109.pdf#page=6","Abrir facsímil")</f>
        <v>Abrir facsímil</v>
      </c>
      <c r="K4761" s="3" t="s">
        <v>150</v>
      </c>
    </row>
    <row r="4762" spans="1:11" ht="42" customHeight="1">
      <c r="A4762" s="2" t="s">
        <v>12511</v>
      </c>
      <c r="B4762" s="2" t="s">
        <v>12511</v>
      </c>
      <c r="C4762" s="2" t="s">
        <v>26</v>
      </c>
      <c r="D4762" s="2" t="s">
        <v>18</v>
      </c>
      <c r="E4762" s="4">
        <v>-32268</v>
      </c>
      <c r="F4762" s="3" t="s">
        <v>3683</v>
      </c>
      <c r="G4762" s="3" t="s">
        <v>2146</v>
      </c>
      <c r="H4762" s="2" t="s">
        <v>148</v>
      </c>
      <c r="I4762" s="2" t="s">
        <v>12542</v>
      </c>
      <c r="J4762" s="3" t="str">
        <f>HYPERLINK("https://www.boe.es/gazeta/dias/1811/08/26/pdfs/GMD-1811-238.pdf#page=4","Abrir facsímil")</f>
        <v>Abrir facsímil</v>
      </c>
      <c r="K4762" s="3" t="s">
        <v>150</v>
      </c>
    </row>
    <row r="4763" spans="1:11" ht="42" customHeight="1">
      <c r="A4763" s="2" t="s">
        <v>12511</v>
      </c>
      <c r="B4763" s="2" t="s">
        <v>12511</v>
      </c>
      <c r="C4763" s="2" t="s">
        <v>26</v>
      </c>
      <c r="D4763" s="2" t="s">
        <v>18</v>
      </c>
      <c r="E4763" s="4">
        <v>-32265</v>
      </c>
      <c r="F4763" s="3" t="s">
        <v>2375</v>
      </c>
      <c r="G4763" s="3" t="s">
        <v>2376</v>
      </c>
      <c r="H4763" s="2" t="s">
        <v>148</v>
      </c>
      <c r="I4763" s="2" t="s">
        <v>12543</v>
      </c>
      <c r="J4763" s="3" t="str">
        <f>HYPERLINK("https://www.boe.es/gazeta/dias/1811/08/29/pdfs/GEI-1811-112.pdf#page=5","Abrir facsímil")</f>
        <v>Abrir facsímil</v>
      </c>
      <c r="K4763" s="3" t="s">
        <v>150</v>
      </c>
    </row>
    <row r="4764" spans="1:11" ht="42" customHeight="1">
      <c r="A4764" s="2" t="s">
        <v>12511</v>
      </c>
      <c r="B4764" s="2" t="s">
        <v>12511</v>
      </c>
      <c r="C4764" s="2" t="s">
        <v>104</v>
      </c>
      <c r="D4764" s="2" t="s">
        <v>18</v>
      </c>
      <c r="E4764" s="4">
        <v>-32257</v>
      </c>
      <c r="F4764" s="3" t="s">
        <v>1093</v>
      </c>
      <c r="G4764" s="3" t="s">
        <v>183</v>
      </c>
      <c r="H4764" s="2" t="s">
        <v>148</v>
      </c>
      <c r="I4764" s="2" t="s">
        <v>12544</v>
      </c>
      <c r="J4764" s="3" t="str">
        <f>HYPERLINK("https://www.boe.es/gazeta/dias/1811/09/06/pdfs/GMD-1811-249.pdf#page=4","Abrir facsímil")</f>
        <v>Abrir facsímil</v>
      </c>
      <c r="K4764" s="3" t="s">
        <v>150</v>
      </c>
    </row>
    <row r="4765" spans="1:11" ht="42" customHeight="1">
      <c r="A4765" s="2" t="s">
        <v>12511</v>
      </c>
      <c r="B4765" s="2" t="s">
        <v>12511</v>
      </c>
      <c r="C4765" s="2" t="s">
        <v>17</v>
      </c>
      <c r="D4765" s="2" t="s">
        <v>156</v>
      </c>
      <c r="E4765" s="4">
        <v>-32256</v>
      </c>
      <c r="F4765" s="3" t="s">
        <v>161</v>
      </c>
      <c r="G4765" s="3" t="s">
        <v>1984</v>
      </c>
      <c r="H4765" s="2" t="s">
        <v>148</v>
      </c>
      <c r="I4765" s="2" t="s">
        <v>12545</v>
      </c>
      <c r="J4765" s="3" t="str">
        <f>HYPERLINK("https://www.boe.es/gazeta/dias/1811/09/07/pdfs/GEI-1811-116.pdf#page=5","Abrir facsímil")</f>
        <v>Abrir facsímil</v>
      </c>
      <c r="K4765" s="3" t="s">
        <v>150</v>
      </c>
    </row>
    <row r="4766" spans="1:11" ht="42" customHeight="1">
      <c r="A4766" s="2" t="s">
        <v>12511</v>
      </c>
      <c r="B4766" s="2" t="s">
        <v>12511</v>
      </c>
      <c r="C4766" s="2" t="s">
        <v>17</v>
      </c>
      <c r="D4766" s="2" t="s">
        <v>18</v>
      </c>
      <c r="E4766" s="4">
        <v>-32251</v>
      </c>
      <c r="F4766" s="3" t="s">
        <v>726</v>
      </c>
      <c r="G4766" s="3" t="s">
        <v>727</v>
      </c>
      <c r="H4766" s="2" t="s">
        <v>148</v>
      </c>
      <c r="I4766" s="2" t="s">
        <v>12546</v>
      </c>
      <c r="J4766" s="3" t="str">
        <f>HYPERLINK("https://www.boe.es/gazeta/dias/1811/09/12/pdfs/GEI-1811-118.pdf#page=8","Abrir facsímil")</f>
        <v>Abrir facsímil</v>
      </c>
      <c r="K4766" s="3" t="s">
        <v>150</v>
      </c>
    </row>
    <row r="4767" spans="1:11" ht="42" customHeight="1">
      <c r="A4767" s="2" t="s">
        <v>12511</v>
      </c>
      <c r="B4767" s="2" t="s">
        <v>12511</v>
      </c>
      <c r="C4767" s="2" t="s">
        <v>17</v>
      </c>
      <c r="D4767" s="2" t="s">
        <v>141</v>
      </c>
      <c r="E4767" s="4">
        <v>-32249</v>
      </c>
      <c r="F4767" s="3" t="s">
        <v>5222</v>
      </c>
      <c r="G4767" s="3" t="s">
        <v>8569</v>
      </c>
      <c r="H4767" s="2" t="s">
        <v>148</v>
      </c>
      <c r="I4767" s="2" t="s">
        <v>12547</v>
      </c>
      <c r="J4767" s="3" t="str">
        <f>HYPERLINK("https://www.boe.es/gazeta/dias/1811/09/14/pdfs/GEI-D-1811-119.pdf#page=2","Abrir facsímil")</f>
        <v>Abrir facsímil</v>
      </c>
      <c r="K4767" s="3" t="s">
        <v>150</v>
      </c>
    </row>
    <row r="4768" spans="1:11" ht="42" customHeight="1">
      <c r="A4768" s="2" t="s">
        <v>12511</v>
      </c>
      <c r="B4768" s="2" t="s">
        <v>12511</v>
      </c>
      <c r="C4768" s="2" t="s">
        <v>17</v>
      </c>
      <c r="D4768" s="2" t="s">
        <v>156</v>
      </c>
      <c r="E4768" s="4">
        <v>-32246</v>
      </c>
      <c r="F4768" s="3" t="s">
        <v>19</v>
      </c>
      <c r="G4768" s="3" t="s">
        <v>4541</v>
      </c>
      <c r="H4768" s="2" t="s">
        <v>148</v>
      </c>
      <c r="I4768" s="2" t="s">
        <v>12548</v>
      </c>
      <c r="J4768" s="3" t="str">
        <f>HYPERLINK("https://www.boe.es/gazeta/dias/1811/09/17/pdfs/GEI-1811-120.pdf#page=15","Abrir facsímil")</f>
        <v>Abrir facsímil</v>
      </c>
      <c r="K4768" s="3" t="s">
        <v>150</v>
      </c>
    </row>
    <row r="4769" spans="1:11" ht="42" customHeight="1">
      <c r="A4769" s="2" t="s">
        <v>12511</v>
      </c>
      <c r="B4769" s="2" t="s">
        <v>12511</v>
      </c>
      <c r="C4769" s="2" t="s">
        <v>367</v>
      </c>
      <c r="D4769" s="2" t="s">
        <v>18</v>
      </c>
      <c r="E4769" s="4">
        <v>-32237</v>
      </c>
      <c r="F4769" s="3" t="s">
        <v>136</v>
      </c>
      <c r="G4769" s="3" t="s">
        <v>137</v>
      </c>
      <c r="H4769" s="2" t="s">
        <v>148</v>
      </c>
      <c r="I4769" s="2" t="s">
        <v>12549</v>
      </c>
      <c r="J4769" s="3" t="str">
        <f>HYPERLINK("https://www.boe.es/gazeta/dias/1811/09/26/pdfs/GMD-1811-269.pdf#page=3","Abrir facsímil")</f>
        <v>Abrir facsímil</v>
      </c>
      <c r="K4769" s="3" t="s">
        <v>150</v>
      </c>
    </row>
    <row r="4770" spans="1:11" ht="42" customHeight="1">
      <c r="A4770" s="2" t="s">
        <v>12511</v>
      </c>
      <c r="B4770" s="2" t="s">
        <v>12511</v>
      </c>
      <c r="C4770" s="2" t="s">
        <v>26</v>
      </c>
      <c r="D4770" s="2" t="s">
        <v>18</v>
      </c>
      <c r="E4770" s="4">
        <v>-32237</v>
      </c>
      <c r="F4770" s="3" t="s">
        <v>136</v>
      </c>
      <c r="G4770" s="3" t="s">
        <v>162</v>
      </c>
      <c r="H4770" s="2" t="s">
        <v>148</v>
      </c>
      <c r="I4770" s="2" t="s">
        <v>12550</v>
      </c>
      <c r="J4770" s="3" t="str">
        <f>HYPERLINK("https://www.boe.es/gazeta/dias/1811/09/26/pdfs/GMD-1811-269.pdf#page=4","Abrir facsímil")</f>
        <v>Abrir facsímil</v>
      </c>
      <c r="K4770" s="3" t="s">
        <v>150</v>
      </c>
    </row>
    <row r="4771" spans="1:11" ht="42" customHeight="1">
      <c r="A4771" s="2" t="s">
        <v>12511</v>
      </c>
      <c r="B4771" s="2" t="s">
        <v>12511</v>
      </c>
      <c r="C4771" s="2" t="s">
        <v>17</v>
      </c>
      <c r="D4771" s="2" t="s">
        <v>156</v>
      </c>
      <c r="E4771" s="4">
        <v>-32235</v>
      </c>
      <c r="F4771" s="3" t="s">
        <v>190</v>
      </c>
      <c r="G4771" s="3" t="s">
        <v>188</v>
      </c>
      <c r="H4771" s="2" t="s">
        <v>148</v>
      </c>
      <c r="I4771" s="2" t="s">
        <v>12551</v>
      </c>
      <c r="J4771" s="3" t="str">
        <f>HYPERLINK("https://www.boe.es/gazeta/dias/1811/09/28/pdfs/GEI-1811-125.pdf#page=8","Abrir facsímil")</f>
        <v>Abrir facsímil</v>
      </c>
      <c r="K4771" s="3" t="s">
        <v>150</v>
      </c>
    </row>
    <row r="4772" spans="1:11" ht="42" customHeight="1">
      <c r="A4772" s="2" t="s">
        <v>12511</v>
      </c>
      <c r="B4772" s="2" t="s">
        <v>12511</v>
      </c>
      <c r="C4772" s="2" t="s">
        <v>26</v>
      </c>
      <c r="D4772" s="2" t="s">
        <v>18</v>
      </c>
      <c r="E4772" s="4">
        <v>-32234</v>
      </c>
      <c r="F4772" s="3" t="s">
        <v>12552</v>
      </c>
      <c r="G4772" s="3" t="s">
        <v>115</v>
      </c>
      <c r="H4772" s="2" t="s">
        <v>148</v>
      </c>
      <c r="I4772" s="2" t="s">
        <v>12553</v>
      </c>
      <c r="J4772" s="3" t="str">
        <f>HYPERLINK("https://www.boe.es/gazeta/dias/1811/09/29/pdfs/GMD-1811-272.pdf#page=3","Abrir facsímil")</f>
        <v>Abrir facsímil</v>
      </c>
      <c r="K4772" s="3" t="s">
        <v>150</v>
      </c>
    </row>
    <row r="4773" spans="1:11" ht="42" customHeight="1">
      <c r="A4773" s="2" t="s">
        <v>12511</v>
      </c>
      <c r="B4773" s="2" t="s">
        <v>12511</v>
      </c>
      <c r="C4773" s="2" t="s">
        <v>26</v>
      </c>
      <c r="D4773" s="2" t="s">
        <v>18</v>
      </c>
      <c r="E4773" s="4">
        <v>-32234</v>
      </c>
      <c r="F4773" s="3" t="s">
        <v>12552</v>
      </c>
      <c r="G4773" s="3" t="s">
        <v>4362</v>
      </c>
      <c r="H4773" s="2" t="s">
        <v>148</v>
      </c>
      <c r="I4773" s="2" t="s">
        <v>12554</v>
      </c>
      <c r="J4773" s="3" t="str">
        <f>HYPERLINK("https://www.boe.es/gazeta/dias/1811/09/29/pdfs/GMD-1811-272.pdf#page=4","Abrir facsímil")</f>
        <v>Abrir facsímil</v>
      </c>
      <c r="K4773" s="3" t="s">
        <v>150</v>
      </c>
    </row>
    <row r="4774" spans="1:11" ht="42" customHeight="1">
      <c r="A4774" s="2" t="s">
        <v>12511</v>
      </c>
      <c r="B4774" s="2" t="s">
        <v>12511</v>
      </c>
      <c r="C4774" s="2" t="s">
        <v>26</v>
      </c>
      <c r="D4774" s="2" t="s">
        <v>18</v>
      </c>
      <c r="E4774" s="4">
        <v>-32200</v>
      </c>
      <c r="F4774" s="3" t="s">
        <v>109</v>
      </c>
      <c r="G4774" s="3" t="s">
        <v>268</v>
      </c>
      <c r="H4774" s="2" t="s">
        <v>148</v>
      </c>
      <c r="I4774" s="2" t="s">
        <v>12555</v>
      </c>
      <c r="J4774" s="3" t="str">
        <f>HYPERLINK("https://www.boe.es/gazeta/dias/1811/11/02/pdfs/GEI-1811-141.pdf#page=7","Abrir facsímil")</f>
        <v>Abrir facsímil</v>
      </c>
      <c r="K4774" s="3" t="s">
        <v>150</v>
      </c>
    </row>
    <row r="4775" spans="1:11" ht="42" customHeight="1">
      <c r="A4775" s="2" t="s">
        <v>12511</v>
      </c>
      <c r="B4775" s="2" t="s">
        <v>12511</v>
      </c>
      <c r="C4775" s="2" t="s">
        <v>37</v>
      </c>
      <c r="D4775" s="2" t="s">
        <v>18</v>
      </c>
      <c r="E4775" s="4">
        <v>-32192</v>
      </c>
      <c r="F4775" s="3" t="s">
        <v>673</v>
      </c>
      <c r="G4775" s="3" t="s">
        <v>305</v>
      </c>
      <c r="H4775" s="2" t="s">
        <v>148</v>
      </c>
      <c r="I4775" s="2" t="s">
        <v>12556</v>
      </c>
      <c r="J4775" s="3" t="str">
        <f>HYPERLINK("https://www.boe.es/gazeta/dias/1811/11/10/pdfs/GMD-1811-314.pdf#page=4","Abrir facsímil")</f>
        <v>Abrir facsímil</v>
      </c>
      <c r="K4775" s="3" t="s">
        <v>150</v>
      </c>
    </row>
    <row r="4776" spans="1:11" ht="42" customHeight="1">
      <c r="A4776" s="2" t="s">
        <v>12511</v>
      </c>
      <c r="B4776" s="2" t="s">
        <v>12511</v>
      </c>
      <c r="C4776" s="2" t="s">
        <v>17</v>
      </c>
      <c r="D4776" s="2" t="s">
        <v>528</v>
      </c>
      <c r="E4776" s="4">
        <v>-32191</v>
      </c>
      <c r="F4776" s="3" t="s">
        <v>2538</v>
      </c>
      <c r="G4776" s="3" t="s">
        <v>5643</v>
      </c>
      <c r="H4776" s="2" t="s">
        <v>148</v>
      </c>
      <c r="I4776" s="2" t="s">
        <v>12557</v>
      </c>
      <c r="J4776" s="3" t="str">
        <f>HYPERLINK("https://www.boe.es/gazeta/dias/1811/11/11/pdfs/GEI-1811-147E.pdf#page=4","Abrir facsímil")</f>
        <v>Abrir facsímil</v>
      </c>
      <c r="K4776" s="3" t="s">
        <v>150</v>
      </c>
    </row>
    <row r="4777" spans="1:11" ht="42" customHeight="1">
      <c r="A4777" s="2" t="s">
        <v>12511</v>
      </c>
      <c r="B4777" s="2" t="s">
        <v>12511</v>
      </c>
      <c r="C4777" s="2" t="s">
        <v>26</v>
      </c>
      <c r="D4777" s="2" t="s">
        <v>18</v>
      </c>
      <c r="E4777" s="4">
        <v>-32188</v>
      </c>
      <c r="F4777" s="3" t="s">
        <v>356</v>
      </c>
      <c r="G4777" s="3" t="s">
        <v>468</v>
      </c>
      <c r="H4777" s="2" t="s">
        <v>148</v>
      </c>
      <c r="I4777" s="2" t="s">
        <v>12558</v>
      </c>
      <c r="J4777" s="3" t="str">
        <f>HYPERLINK("https://www.boe.es/gazeta/dias/1811/11/14/pdfs/GMD-1811-318.pdf#page=6","Abrir facsímil")</f>
        <v>Abrir facsímil</v>
      </c>
      <c r="K4777" s="3" t="s">
        <v>150</v>
      </c>
    </row>
    <row r="4778" spans="1:11" ht="42" customHeight="1">
      <c r="A4778" s="2" t="s">
        <v>12511</v>
      </c>
      <c r="B4778" s="2" t="s">
        <v>12511</v>
      </c>
      <c r="C4778" s="2" t="s">
        <v>26</v>
      </c>
      <c r="D4778" s="2" t="s">
        <v>18</v>
      </c>
      <c r="E4778" s="4">
        <v>-32179</v>
      </c>
      <c r="F4778" s="3" t="s">
        <v>614</v>
      </c>
      <c r="G4778" s="3" t="s">
        <v>47</v>
      </c>
      <c r="H4778" s="2" t="s">
        <v>148</v>
      </c>
      <c r="I4778" s="2" t="s">
        <v>12559</v>
      </c>
      <c r="J4778" s="3" t="str">
        <f>HYPERLINK("https://www.boe.es/gazeta/dias/1811/11/23/pdfs/GEI-1811-153.pdf#page=8","Abrir facsímil")</f>
        <v>Abrir facsímil</v>
      </c>
      <c r="K4778" s="3" t="s">
        <v>150</v>
      </c>
    </row>
    <row r="4779" spans="1:11" ht="42" customHeight="1">
      <c r="A4779" s="2" t="s">
        <v>12511</v>
      </c>
      <c r="B4779" s="2" t="s">
        <v>12511</v>
      </c>
      <c r="C4779" s="2" t="s">
        <v>17</v>
      </c>
      <c r="D4779" s="2" t="s">
        <v>156</v>
      </c>
      <c r="E4779" s="4">
        <v>-32171</v>
      </c>
      <c r="F4779" s="3" t="s">
        <v>157</v>
      </c>
      <c r="G4779" s="3" t="s">
        <v>44</v>
      </c>
      <c r="H4779" s="2" t="s">
        <v>148</v>
      </c>
      <c r="I4779" s="2" t="s">
        <v>12560</v>
      </c>
      <c r="J4779" s="3" t="str">
        <f>HYPERLINK("https://www.boe.es/gazeta/dias/1811/12/01/pdfs/GMD-1811-335.pdf#page=4","Abrir facsímil")</f>
        <v>Abrir facsímil</v>
      </c>
      <c r="K4779" s="3" t="s">
        <v>150</v>
      </c>
    </row>
    <row r="4780" spans="1:11" ht="42" customHeight="1">
      <c r="A4780" s="2" t="s">
        <v>12511</v>
      </c>
      <c r="B4780" s="2" t="s">
        <v>12511</v>
      </c>
      <c r="C4780" s="2" t="s">
        <v>84</v>
      </c>
      <c r="D4780" s="2" t="s">
        <v>18</v>
      </c>
      <c r="E4780" s="4">
        <v>-32155</v>
      </c>
      <c r="F4780" s="3" t="s">
        <v>99</v>
      </c>
      <c r="G4780" s="3" t="s">
        <v>100</v>
      </c>
      <c r="H4780" s="2" t="s">
        <v>148</v>
      </c>
      <c r="I4780" s="2" t="s">
        <v>12561</v>
      </c>
      <c r="J4780" s="3" t="str">
        <f>HYPERLINK("https://www.boe.es/gazeta/dias/1811/12/17/pdfs/GMD-1811-351.pdf#page=4","Abrir facsímil")</f>
        <v>Abrir facsímil</v>
      </c>
      <c r="K4780" s="3" t="s">
        <v>150</v>
      </c>
    </row>
    <row r="4781" spans="1:11" ht="42" customHeight="1">
      <c r="A4781" s="2" t="s">
        <v>12511</v>
      </c>
      <c r="B4781" s="2" t="s">
        <v>12511</v>
      </c>
      <c r="C4781" s="2" t="s">
        <v>367</v>
      </c>
      <c r="D4781" s="2" t="s">
        <v>18</v>
      </c>
      <c r="E4781" s="4">
        <v>-32153</v>
      </c>
      <c r="F4781" s="3" t="s">
        <v>123</v>
      </c>
      <c r="G4781" s="3" t="s">
        <v>288</v>
      </c>
      <c r="H4781" s="2" t="s">
        <v>148</v>
      </c>
      <c r="I4781" s="2" t="s">
        <v>12562</v>
      </c>
      <c r="J4781" s="3" t="str">
        <f>HYPERLINK("https://www.boe.es/gazeta/dias/1811/12/19/pdfs/GMD-1811-353.pdf#page=4","Abrir facsímil")</f>
        <v>Abrir facsímil</v>
      </c>
      <c r="K4781" s="3" t="s">
        <v>150</v>
      </c>
    </row>
    <row r="4782" spans="1:11" ht="42" customHeight="1">
      <c r="A4782" s="2" t="s">
        <v>12511</v>
      </c>
      <c r="B4782" s="2" t="s">
        <v>12511</v>
      </c>
      <c r="C4782" s="2" t="s">
        <v>26</v>
      </c>
      <c r="D4782" s="2" t="s">
        <v>18</v>
      </c>
      <c r="E4782" s="4">
        <v>-32150</v>
      </c>
      <c r="F4782" s="3" t="s">
        <v>1174</v>
      </c>
      <c r="G4782" s="3" t="s">
        <v>20</v>
      </c>
      <c r="H4782" s="2" t="s">
        <v>148</v>
      </c>
      <c r="I4782" s="2" t="s">
        <v>12563</v>
      </c>
      <c r="J4782" s="3" t="str">
        <f>HYPERLINK("https://www.boe.es/gazeta/dias/1811/12/22/pdfs/GMD-1811-356.pdf#page=4","Abrir facsímil")</f>
        <v>Abrir facsímil</v>
      </c>
      <c r="K4782" s="3" t="s">
        <v>150</v>
      </c>
    </row>
    <row r="4783" spans="1:11" ht="42" customHeight="1">
      <c r="A4783" s="2" t="s">
        <v>12511</v>
      </c>
      <c r="B4783" s="2" t="s">
        <v>12511</v>
      </c>
      <c r="C4783" s="2" t="s">
        <v>26</v>
      </c>
      <c r="D4783" s="2" t="s">
        <v>18</v>
      </c>
      <c r="E4783" s="4">
        <v>-32141</v>
      </c>
      <c r="F4783" s="3" t="s">
        <v>327</v>
      </c>
      <c r="G4783" s="3" t="s">
        <v>20</v>
      </c>
      <c r="H4783" s="2" t="s">
        <v>148</v>
      </c>
      <c r="I4783" s="2" t="s">
        <v>12564</v>
      </c>
      <c r="J4783" s="3" t="str">
        <f>HYPERLINK("https://www.boe.es/gazeta/dias/1811/12/31/pdfs/GMD-1811-365.pdf#page=4","Abrir facsímil")</f>
        <v>Abrir facsímil</v>
      </c>
      <c r="K4783" s="3" t="s">
        <v>150</v>
      </c>
    </row>
    <row r="4784" spans="1:11" ht="42" customHeight="1">
      <c r="A4784" s="2" t="s">
        <v>12565</v>
      </c>
      <c r="B4784" s="2" t="s">
        <v>12565</v>
      </c>
      <c r="C4784" s="2" t="s">
        <v>26</v>
      </c>
      <c r="D4784" s="2" t="s">
        <v>18</v>
      </c>
      <c r="E4784" s="4">
        <v>-32155</v>
      </c>
      <c r="F4784" s="3" t="s">
        <v>263</v>
      </c>
      <c r="G4784" s="3" t="s">
        <v>1800</v>
      </c>
      <c r="H4784" s="2" t="s">
        <v>148</v>
      </c>
      <c r="I4784" s="2" t="s">
        <v>12566</v>
      </c>
      <c r="J4784" s="3" t="str">
        <f>HYPERLINK("https://www.boe.es/gazeta/dias/1811/12/17/pdfs/GEI-1811-163.pdf#page=7","Abrir facsímil")</f>
        <v>Abrir facsímil</v>
      </c>
      <c r="K4784" s="3" t="s">
        <v>150</v>
      </c>
    </row>
    <row r="4785" spans="1:11" ht="42" customHeight="1">
      <c r="A4785" s="2" t="s">
        <v>12567</v>
      </c>
      <c r="B4785" s="2" t="s">
        <v>12568</v>
      </c>
      <c r="C4785" s="2" t="s">
        <v>17</v>
      </c>
      <c r="D4785" s="2" t="s">
        <v>156</v>
      </c>
      <c r="E4785" s="4">
        <v>-32193</v>
      </c>
      <c r="F4785" s="3" t="s">
        <v>1037</v>
      </c>
      <c r="G4785" s="3" t="s">
        <v>4628</v>
      </c>
      <c r="H4785" s="2" t="s">
        <v>148</v>
      </c>
      <c r="I4785" s="2" t="s">
        <v>12569</v>
      </c>
      <c r="J4785" s="3" t="str">
        <f>HYPERLINK("https://www.boe.es/gazeta/dias/1811/11/09/pdfs/GEI-1811-145.pdf#page=7","Abrir facsímil")</f>
        <v>Abrir facsímil</v>
      </c>
      <c r="K4785" s="3" t="s">
        <v>150</v>
      </c>
    </row>
    <row r="4786" spans="1:11" ht="42" customHeight="1">
      <c r="A4786" s="2" t="s">
        <v>12570</v>
      </c>
      <c r="B4786" s="2" t="s">
        <v>12571</v>
      </c>
      <c r="C4786" s="2" t="s">
        <v>26</v>
      </c>
      <c r="D4786" s="2" t="s">
        <v>18</v>
      </c>
      <c r="E4786" s="4">
        <v>-32242</v>
      </c>
      <c r="F4786" s="3" t="s">
        <v>1295</v>
      </c>
      <c r="G4786" s="3" t="s">
        <v>1296</v>
      </c>
      <c r="H4786" s="2" t="s">
        <v>148</v>
      </c>
      <c r="I4786" s="2" t="s">
        <v>12572</v>
      </c>
      <c r="J4786" s="3" t="str">
        <f>HYPERLINK("https://www.boe.es/gazeta/dias/1811/09/21/pdfs/GEI-1811-122.pdf#page=8","Abrir facsímil")</f>
        <v>Abrir facsímil</v>
      </c>
      <c r="K4786" s="3" t="s">
        <v>150</v>
      </c>
    </row>
    <row r="4787" spans="1:11" ht="42" customHeight="1">
      <c r="A4787" s="2" t="s">
        <v>12573</v>
      </c>
      <c r="B4787" s="2" t="s">
        <v>12573</v>
      </c>
      <c r="C4787" s="2" t="s">
        <v>26</v>
      </c>
      <c r="D4787" s="2" t="s">
        <v>18</v>
      </c>
      <c r="E4787" s="4">
        <v>-32235</v>
      </c>
      <c r="F4787" s="3" t="s">
        <v>190</v>
      </c>
      <c r="G4787" s="3" t="s">
        <v>188</v>
      </c>
      <c r="H4787" s="2" t="s">
        <v>148</v>
      </c>
      <c r="I4787" s="2" t="s">
        <v>12574</v>
      </c>
      <c r="J4787" s="3" t="str">
        <f>HYPERLINK("https://www.boe.es/gazeta/dias/1811/09/28/pdfs/GEI-1811-125.pdf#page=8","Abrir facsímil")</f>
        <v>Abrir facsímil</v>
      </c>
      <c r="K4787" s="3" t="s">
        <v>150</v>
      </c>
    </row>
    <row r="4788" spans="1:11" ht="42" customHeight="1">
      <c r="A4788" s="2" t="s">
        <v>12575</v>
      </c>
      <c r="B4788" s="2" t="s">
        <v>12575</v>
      </c>
      <c r="C4788" s="2" t="s">
        <v>26</v>
      </c>
      <c r="D4788" s="2" t="s">
        <v>18</v>
      </c>
      <c r="E4788" s="4">
        <v>-32179</v>
      </c>
      <c r="F4788" s="3" t="s">
        <v>614</v>
      </c>
      <c r="G4788" s="3" t="s">
        <v>47</v>
      </c>
      <c r="H4788" s="2" t="s">
        <v>148</v>
      </c>
      <c r="I4788" s="2" t="s">
        <v>12576</v>
      </c>
      <c r="J4788" s="3" t="str">
        <f>HYPERLINK("https://www.boe.es/gazeta/dias/1811/11/23/pdfs/GEI-1811-153.pdf#page=8","Abrir facsímil")</f>
        <v>Abrir facsímil</v>
      </c>
      <c r="K4788" s="3" t="s">
        <v>150</v>
      </c>
    </row>
    <row r="4789" spans="1:11" ht="42" customHeight="1">
      <c r="A4789" s="2" t="s">
        <v>12577</v>
      </c>
      <c r="B4789" s="2" t="s">
        <v>12577</v>
      </c>
      <c r="C4789" s="2" t="s">
        <v>17</v>
      </c>
      <c r="D4789" s="2" t="s">
        <v>156</v>
      </c>
      <c r="E4789" s="4">
        <v>-32428</v>
      </c>
      <c r="F4789" s="3" t="s">
        <v>351</v>
      </c>
      <c r="G4789" s="3" t="s">
        <v>115</v>
      </c>
      <c r="H4789" s="2" t="s">
        <v>148</v>
      </c>
      <c r="I4789" s="2" t="s">
        <v>12578</v>
      </c>
      <c r="J4789" s="3" t="str">
        <f>HYPERLINK("https://www.boe.es/gazeta/dias/1811/03/19/pdfs/GMD-1811-78.pdf#page=3","Abrir facsímil")</f>
        <v>Abrir facsímil</v>
      </c>
      <c r="K4789" s="3" t="s">
        <v>150</v>
      </c>
    </row>
    <row r="4790" spans="1:11" ht="42" customHeight="1">
      <c r="A4790" s="2" t="s">
        <v>12579</v>
      </c>
      <c r="B4790" s="2" t="s">
        <v>12580</v>
      </c>
      <c r="C4790" s="2" t="s">
        <v>26</v>
      </c>
      <c r="D4790" s="2" t="s">
        <v>18</v>
      </c>
      <c r="E4790" s="4">
        <v>-32496</v>
      </c>
      <c r="F4790" s="3" t="s">
        <v>5478</v>
      </c>
      <c r="G4790" s="3" t="s">
        <v>183</v>
      </c>
      <c r="H4790" s="2" t="s">
        <v>148</v>
      </c>
      <c r="I4790" s="2" t="s">
        <v>12581</v>
      </c>
      <c r="J4790" s="3" t="str">
        <f>HYPERLINK("https://www.boe.es/gazeta/dias/1811/01/10/pdfs/GMD-1811-10.pdf#page=4","Abrir facsímil")</f>
        <v>Abrir facsímil</v>
      </c>
      <c r="K4790" s="3" t="s">
        <v>150</v>
      </c>
    </row>
    <row r="4791" spans="1:11" ht="42" customHeight="1">
      <c r="A4791" s="2" t="s">
        <v>12582</v>
      </c>
      <c r="B4791" s="2" t="s">
        <v>12583</v>
      </c>
      <c r="C4791" s="2" t="s">
        <v>104</v>
      </c>
      <c r="D4791" s="2" t="s">
        <v>18</v>
      </c>
      <c r="E4791" s="4">
        <v>-32257</v>
      </c>
      <c r="F4791" s="3" t="s">
        <v>1093</v>
      </c>
      <c r="G4791" s="3" t="s">
        <v>183</v>
      </c>
      <c r="H4791" s="2" t="s">
        <v>148</v>
      </c>
      <c r="I4791" s="2" t="s">
        <v>12584</v>
      </c>
      <c r="J4791" s="3" t="str">
        <f>HYPERLINK("https://www.boe.es/gazeta/dias/1811/09/06/pdfs/GMD-1811-249.pdf#page=4","Abrir facsímil")</f>
        <v>Abrir facsímil</v>
      </c>
      <c r="K4791" s="3" t="s">
        <v>150</v>
      </c>
    </row>
    <row r="4792" spans="1:11" ht="42" customHeight="1">
      <c r="A4792" s="2" t="s">
        <v>12585</v>
      </c>
      <c r="B4792" s="2" t="s">
        <v>12586</v>
      </c>
      <c r="C4792" s="2" t="s">
        <v>26</v>
      </c>
      <c r="D4792" s="2" t="s">
        <v>18</v>
      </c>
      <c r="E4792" s="4">
        <v>-32438</v>
      </c>
      <c r="F4792" s="3" t="s">
        <v>114</v>
      </c>
      <c r="G4792" s="3" t="s">
        <v>115</v>
      </c>
      <c r="H4792" s="2" t="s">
        <v>148</v>
      </c>
      <c r="I4792" s="2" t="s">
        <v>12587</v>
      </c>
      <c r="J4792" s="3" t="str">
        <f>HYPERLINK("https://www.boe.es/gazeta/dias/1811/03/09/pdfs/GEI-1811-33.pdf#page=3","Abrir facsímil")</f>
        <v>Abrir facsímil</v>
      </c>
      <c r="K4792" s="3" t="s">
        <v>150</v>
      </c>
    </row>
    <row r="4793" spans="1:11" ht="42" customHeight="1">
      <c r="A4793" s="2" t="s">
        <v>12585</v>
      </c>
      <c r="B4793" s="2" t="s">
        <v>12586</v>
      </c>
      <c r="C4793" s="2" t="s">
        <v>26</v>
      </c>
      <c r="D4793" s="2" t="s">
        <v>141</v>
      </c>
      <c r="E4793" s="4">
        <v>-32280</v>
      </c>
      <c r="F4793" s="3" t="s">
        <v>142</v>
      </c>
      <c r="G4793" s="3" t="s">
        <v>47</v>
      </c>
      <c r="H4793" s="2" t="s">
        <v>148</v>
      </c>
      <c r="I4793" s="2" t="s">
        <v>12588</v>
      </c>
      <c r="J4793" s="3" t="str">
        <f>HYPERLINK("https://www.boe.es/gazeta/dias/1811/08/14/pdfs/GMD-C-1811-226.pdf#page=1","Abrir facsímil")</f>
        <v>Abrir facsímil</v>
      </c>
      <c r="K4793" s="3" t="s">
        <v>150</v>
      </c>
    </row>
    <row r="4794" spans="1:11" ht="42" customHeight="1">
      <c r="A4794" s="2" t="s">
        <v>12589</v>
      </c>
      <c r="B4794" s="2" t="s">
        <v>12589</v>
      </c>
      <c r="C4794" s="2" t="s">
        <v>26</v>
      </c>
      <c r="D4794" s="2" t="s">
        <v>18</v>
      </c>
      <c r="E4794" s="4">
        <v>-32247</v>
      </c>
      <c r="F4794" s="3" t="s">
        <v>12590</v>
      </c>
      <c r="G4794" s="3" t="s">
        <v>91</v>
      </c>
      <c r="H4794" s="2" t="s">
        <v>148</v>
      </c>
      <c r="I4794" s="2" t="s">
        <v>12591</v>
      </c>
      <c r="J4794" s="3" t="str">
        <f>HYPERLINK("https://www.boe.es/gazeta/dias/1811/09/16/pdfs/GMD-1811-259.pdf#page=1","Abrir facsímil")</f>
        <v>Abrir facsímil</v>
      </c>
      <c r="K4794" s="3" t="s">
        <v>150</v>
      </c>
    </row>
    <row r="4795" spans="1:11" ht="42" customHeight="1">
      <c r="A4795" s="2" t="s">
        <v>12592</v>
      </c>
      <c r="B4795" s="2" t="s">
        <v>12592</v>
      </c>
      <c r="C4795" s="2" t="s">
        <v>26</v>
      </c>
      <c r="D4795" s="2" t="s">
        <v>141</v>
      </c>
      <c r="E4795" s="4">
        <v>-32280</v>
      </c>
      <c r="F4795" s="3" t="s">
        <v>142</v>
      </c>
      <c r="G4795" s="3" t="s">
        <v>47</v>
      </c>
      <c r="H4795" s="2" t="s">
        <v>148</v>
      </c>
      <c r="I4795" s="2" t="s">
        <v>12593</v>
      </c>
      <c r="J4795" s="3" t="str">
        <f>HYPERLINK("https://www.boe.es/gazeta/dias/1811/08/14/pdfs/GMD-C-1811-226.pdf#page=1","Abrir facsímil")</f>
        <v>Abrir facsímil</v>
      </c>
      <c r="K4795" s="3" t="s">
        <v>150</v>
      </c>
    </row>
    <row r="4796" spans="1:11" ht="42" customHeight="1">
      <c r="A4796" s="2" t="s">
        <v>12594</v>
      </c>
      <c r="B4796" s="2" t="s">
        <v>12594</v>
      </c>
      <c r="C4796" s="2" t="s">
        <v>26</v>
      </c>
      <c r="D4796" s="2" t="s">
        <v>18</v>
      </c>
      <c r="E4796" s="4">
        <v>-32438</v>
      </c>
      <c r="F4796" s="3" t="s">
        <v>4284</v>
      </c>
      <c r="G4796" s="3" t="s">
        <v>2379</v>
      </c>
      <c r="H4796" s="2" t="s">
        <v>148</v>
      </c>
      <c r="I4796" s="2" t="s">
        <v>12595</v>
      </c>
      <c r="J4796" s="3" t="str">
        <f>HYPERLINK("https://www.boe.es/gazeta/dias/1811/03/09/pdfs/GMD-1811-68.pdf#page=2","Abrir facsímil")</f>
        <v>Abrir facsímil</v>
      </c>
      <c r="K4796" s="3" t="s">
        <v>150</v>
      </c>
    </row>
    <row r="4797" spans="1:11" ht="42" customHeight="1">
      <c r="A4797" s="2" t="s">
        <v>12594</v>
      </c>
      <c r="B4797" s="2" t="s">
        <v>12594</v>
      </c>
      <c r="C4797" s="2" t="s">
        <v>17</v>
      </c>
      <c r="D4797" s="2" t="s">
        <v>156</v>
      </c>
      <c r="E4797" s="4">
        <v>-32428</v>
      </c>
      <c r="F4797" s="3" t="s">
        <v>351</v>
      </c>
      <c r="G4797" s="3" t="s">
        <v>115</v>
      </c>
      <c r="H4797" s="2" t="s">
        <v>148</v>
      </c>
      <c r="I4797" s="2" t="s">
        <v>12596</v>
      </c>
      <c r="J4797" s="3" t="str">
        <f>HYPERLINK("https://www.boe.es/gazeta/dias/1811/03/19/pdfs/GMD-1811-78.pdf#page=3","Abrir facsímil")</f>
        <v>Abrir facsímil</v>
      </c>
      <c r="K4797" s="3" t="s">
        <v>150</v>
      </c>
    </row>
    <row r="4798" spans="1:11" ht="42" customHeight="1">
      <c r="A4798" s="2" t="s">
        <v>12594</v>
      </c>
      <c r="B4798" s="2" t="s">
        <v>12594</v>
      </c>
      <c r="C4798" s="2" t="s">
        <v>26</v>
      </c>
      <c r="D4798" s="2" t="s">
        <v>18</v>
      </c>
      <c r="E4798" s="4">
        <v>-32356</v>
      </c>
      <c r="F4798" s="3" t="s">
        <v>1992</v>
      </c>
      <c r="G4798" s="3" t="s">
        <v>5236</v>
      </c>
      <c r="H4798" s="2" t="s">
        <v>148</v>
      </c>
      <c r="I4798" s="2" t="s">
        <v>12597</v>
      </c>
      <c r="J4798" s="3" t="str">
        <f>HYPERLINK("https://www.boe.es/gazeta/dias/1811/05/30/pdfs/GEI-1811-73.pdf#page=4","Abrir facsímil")</f>
        <v>Abrir facsímil</v>
      </c>
      <c r="K4798" s="3" t="s">
        <v>150</v>
      </c>
    </row>
    <row r="4799" spans="1:11" ht="42" customHeight="1">
      <c r="A4799" s="2" t="s">
        <v>12594</v>
      </c>
      <c r="B4799" s="2" t="s">
        <v>12594</v>
      </c>
      <c r="C4799" s="2" t="s">
        <v>26</v>
      </c>
      <c r="D4799" s="2" t="s">
        <v>141</v>
      </c>
      <c r="E4799" s="4">
        <v>-32280</v>
      </c>
      <c r="F4799" s="3" t="s">
        <v>142</v>
      </c>
      <c r="G4799" s="3" t="s">
        <v>47</v>
      </c>
      <c r="H4799" s="2" t="s">
        <v>148</v>
      </c>
      <c r="I4799" s="2" t="s">
        <v>12598</v>
      </c>
      <c r="J4799" s="3" t="str">
        <f>HYPERLINK("https://www.boe.es/gazeta/dias/1811/08/14/pdfs/GMD-C-1811-226.pdf#page=1","Abrir facsímil")</f>
        <v>Abrir facsímil</v>
      </c>
      <c r="K4799" s="3" t="s">
        <v>150</v>
      </c>
    </row>
    <row r="4800" spans="1:11" ht="42" customHeight="1">
      <c r="A4800" s="2" t="s">
        <v>12594</v>
      </c>
      <c r="B4800" s="2" t="s">
        <v>12594</v>
      </c>
      <c r="C4800" s="2" t="s">
        <v>26</v>
      </c>
      <c r="D4800" s="2" t="s">
        <v>18</v>
      </c>
      <c r="E4800" s="4">
        <v>-32270</v>
      </c>
      <c r="F4800" s="3" t="s">
        <v>431</v>
      </c>
      <c r="G4800" s="3" t="s">
        <v>57</v>
      </c>
      <c r="H4800" s="2" t="s">
        <v>148</v>
      </c>
      <c r="I4800" s="2" t="s">
        <v>12599</v>
      </c>
      <c r="J4800" s="3" t="str">
        <f>HYPERLINK("https://www.boe.es/gazeta/dias/1811/08/24/pdfs/GEI-1811-110.pdf#page=2","Abrir facsímil")</f>
        <v>Abrir facsímil</v>
      </c>
      <c r="K4800" s="3" t="s">
        <v>150</v>
      </c>
    </row>
    <row r="4801" spans="1:11" ht="42" customHeight="1">
      <c r="A4801" s="2" t="s">
        <v>12600</v>
      </c>
      <c r="B4801" s="2" t="s">
        <v>12601</v>
      </c>
      <c r="C4801" s="2" t="s">
        <v>26</v>
      </c>
      <c r="D4801" s="2" t="s">
        <v>141</v>
      </c>
      <c r="E4801" s="4">
        <v>-32188</v>
      </c>
      <c r="F4801" s="3" t="s">
        <v>505</v>
      </c>
      <c r="G4801" s="3" t="s">
        <v>47</v>
      </c>
      <c r="H4801" s="2" t="s">
        <v>148</v>
      </c>
      <c r="I4801" s="2" t="s">
        <v>12602</v>
      </c>
      <c r="J4801" s="3" t="str">
        <f>HYPERLINK("https://www.boe.es/gazeta/dias/1811/11/14/pdfs/GEI-D-1811-149.pdf#page=3","Abrir facsímil")</f>
        <v>Abrir facsímil</v>
      </c>
      <c r="K4801" s="3" t="s">
        <v>150</v>
      </c>
    </row>
    <row r="4802" spans="1:11" ht="42" customHeight="1">
      <c r="A4802" s="2" t="s">
        <v>12603</v>
      </c>
      <c r="B4802" s="2" t="s">
        <v>12603</v>
      </c>
      <c r="C4802" s="2" t="s">
        <v>17</v>
      </c>
      <c r="D4802" s="2" t="s">
        <v>156</v>
      </c>
      <c r="E4802" s="4">
        <v>-32347</v>
      </c>
      <c r="F4802" s="3" t="s">
        <v>1911</v>
      </c>
      <c r="G4802" s="3" t="s">
        <v>12604</v>
      </c>
      <c r="H4802" s="2" t="s">
        <v>148</v>
      </c>
      <c r="I4802" s="2" t="s">
        <v>12605</v>
      </c>
      <c r="J4802" s="3" t="str">
        <f>HYPERLINK("https://www.boe.es/gazeta/dias/1811/06/08/pdfs/GEI-1811-77.pdf#page=8","Abrir facsímil")</f>
        <v>Abrir facsímil</v>
      </c>
      <c r="K4802" s="3" t="s">
        <v>150</v>
      </c>
    </row>
    <row r="4803" spans="1:11" ht="42" customHeight="1">
      <c r="A4803" s="2" t="s">
        <v>12606</v>
      </c>
      <c r="B4803" s="2" t="s">
        <v>12606</v>
      </c>
      <c r="C4803" s="2" t="s">
        <v>122</v>
      </c>
      <c r="D4803" s="2" t="s">
        <v>18</v>
      </c>
      <c r="E4803" s="4">
        <v>-32158</v>
      </c>
      <c r="F4803" s="3" t="s">
        <v>2014</v>
      </c>
      <c r="G4803" s="3" t="s">
        <v>12607</v>
      </c>
      <c r="H4803" s="2" t="s">
        <v>148</v>
      </c>
      <c r="I4803" s="2" t="s">
        <v>12608</v>
      </c>
      <c r="J4803" s="3" t="str">
        <f>HYPERLINK("https://www.boe.es/gazeta/dias/1811/12/14/pdfs/GMD-1811-348.pdf#page=2","Abrir facsímil")</f>
        <v>Abrir facsímil</v>
      </c>
      <c r="K4803" s="3" t="s">
        <v>150</v>
      </c>
    </row>
    <row r="4804" spans="1:11" ht="42" customHeight="1">
      <c r="A4804" s="2" t="s">
        <v>12609</v>
      </c>
      <c r="B4804" s="2" t="s">
        <v>12609</v>
      </c>
      <c r="C4804" s="2" t="s">
        <v>17</v>
      </c>
      <c r="D4804" s="2" t="s">
        <v>18</v>
      </c>
      <c r="E4804" s="4">
        <v>-32460</v>
      </c>
      <c r="F4804" s="3" t="s">
        <v>4783</v>
      </c>
      <c r="G4804" s="3" t="s">
        <v>468</v>
      </c>
      <c r="H4804" s="2" t="s">
        <v>148</v>
      </c>
      <c r="I4804" s="2" t="s">
        <v>12610</v>
      </c>
      <c r="J4804" s="3" t="str">
        <f>HYPERLINK("https://www.boe.es/gazeta/dias/1811/02/15/pdfs/GMD-1811-46.pdf#page=2","Abrir facsímil")</f>
        <v>Abrir facsímil</v>
      </c>
      <c r="K4804" s="3" t="s">
        <v>150</v>
      </c>
    </row>
    <row r="4805" spans="1:11" ht="42" customHeight="1">
      <c r="A4805" s="2" t="s">
        <v>12611</v>
      </c>
      <c r="B4805" s="2" t="s">
        <v>12612</v>
      </c>
      <c r="C4805" s="2" t="s">
        <v>26</v>
      </c>
      <c r="D4805" s="2" t="s">
        <v>105</v>
      </c>
      <c r="E4805" s="4">
        <v>-32416</v>
      </c>
      <c r="F4805" s="3" t="s">
        <v>954</v>
      </c>
      <c r="G4805" s="3" t="s">
        <v>47</v>
      </c>
      <c r="H4805" s="2" t="s">
        <v>148</v>
      </c>
      <c r="I4805" s="2" t="s">
        <v>12613</v>
      </c>
      <c r="J4805" s="3" t="str">
        <f>HYPERLINK("https://www.boe.es/gazeta/dias/1811/03/31/pdfs/GMD-1811-90.pdf#page=3","Abrir facsímil")</f>
        <v>Abrir facsímil</v>
      </c>
      <c r="K4805" s="3" t="s">
        <v>150</v>
      </c>
    </row>
    <row r="4806" spans="1:11" ht="42" customHeight="1">
      <c r="A4806" s="2" t="s">
        <v>12614</v>
      </c>
      <c r="B4806" s="2" t="s">
        <v>12615</v>
      </c>
      <c r="C4806" s="2" t="s">
        <v>26</v>
      </c>
      <c r="D4806" s="2" t="s">
        <v>204</v>
      </c>
      <c r="E4806" s="4">
        <v>-32155</v>
      </c>
      <c r="F4806" s="3" t="s">
        <v>99</v>
      </c>
      <c r="G4806" s="3" t="s">
        <v>100</v>
      </c>
      <c r="H4806" s="2" t="s">
        <v>148</v>
      </c>
      <c r="I4806" s="2" t="s">
        <v>12616</v>
      </c>
      <c r="J4806" s="3" t="str">
        <f>HYPERLINK("https://www.boe.es/gazeta/dias/1811/12/17/pdfs/GMD-1811-351.pdf#page=4","Abrir facsímil")</f>
        <v>Abrir facsímil</v>
      </c>
      <c r="K4806" s="3" t="s">
        <v>150</v>
      </c>
    </row>
    <row r="4807" spans="1:11" ht="42" customHeight="1">
      <c r="A4807" s="2" t="s">
        <v>12617</v>
      </c>
      <c r="B4807" s="2" t="s">
        <v>12617</v>
      </c>
      <c r="C4807" s="2" t="s">
        <v>17</v>
      </c>
      <c r="D4807" s="2" t="s">
        <v>156</v>
      </c>
      <c r="E4807" s="4">
        <v>-32279</v>
      </c>
      <c r="F4807" s="3" t="s">
        <v>540</v>
      </c>
      <c r="G4807" s="3" t="s">
        <v>91</v>
      </c>
      <c r="H4807" s="2" t="s">
        <v>148</v>
      </c>
      <c r="I4807" s="2" t="s">
        <v>12618</v>
      </c>
      <c r="J4807" s="3" t="str">
        <f>HYPERLINK("https://www.boe.es/gazeta/dias/1811/08/15/pdfs/GMD-1811-227.pdf#page=3","Abrir facsímil")</f>
        <v>Abrir facsímil</v>
      </c>
      <c r="K4807" s="3" t="s">
        <v>150</v>
      </c>
    </row>
    <row r="4808" spans="1:11" ht="42" customHeight="1">
      <c r="A4808" s="2" t="s">
        <v>12619</v>
      </c>
      <c r="B4808" s="2" t="s">
        <v>12619</v>
      </c>
      <c r="C4808" s="2" t="s">
        <v>37</v>
      </c>
      <c r="D4808" s="2" t="s">
        <v>156</v>
      </c>
      <c r="E4808" s="4">
        <v>-32230</v>
      </c>
      <c r="F4808" s="3" t="s">
        <v>625</v>
      </c>
      <c r="G4808" s="3" t="s">
        <v>162</v>
      </c>
      <c r="H4808" s="2" t="s">
        <v>148</v>
      </c>
      <c r="I4808" s="2" t="s">
        <v>12620</v>
      </c>
      <c r="J4808" s="3" t="str">
        <f>HYPERLINK("https://www.boe.es/gazeta/dias/1811/10/03/pdfs/GEI-1811-127.pdf#page=7","Abrir facsímil")</f>
        <v>Abrir facsímil</v>
      </c>
      <c r="K4808" s="3" t="s">
        <v>150</v>
      </c>
    </row>
    <row r="4809" spans="1:11" ht="42" customHeight="1">
      <c r="A4809" s="2" t="s">
        <v>12621</v>
      </c>
      <c r="B4809" s="2" t="s">
        <v>12621</v>
      </c>
      <c r="C4809" s="2" t="s">
        <v>17</v>
      </c>
      <c r="D4809" s="2" t="s">
        <v>156</v>
      </c>
      <c r="E4809" s="4">
        <v>-32307</v>
      </c>
      <c r="F4809" s="3" t="s">
        <v>1112</v>
      </c>
      <c r="G4809" s="3" t="s">
        <v>248</v>
      </c>
      <c r="H4809" s="2" t="s">
        <v>148</v>
      </c>
      <c r="I4809" s="2" t="s">
        <v>12622</v>
      </c>
      <c r="J4809" s="3" t="str">
        <f>HYPERLINK("https://www.boe.es/gazeta/dias/1811/07/18/pdfs/GEI-1811-94.pdf#page=6","Abrir facsímil")</f>
        <v>Abrir facsímil</v>
      </c>
      <c r="K4809" s="3" t="s">
        <v>150</v>
      </c>
    </row>
    <row r="4810" spans="1:11" ht="42" customHeight="1">
      <c r="A4810" s="2" t="s">
        <v>12623</v>
      </c>
      <c r="B4810" s="2" t="s">
        <v>12623</v>
      </c>
      <c r="C4810" s="2" t="s">
        <v>26</v>
      </c>
      <c r="D4810" s="2" t="s">
        <v>18</v>
      </c>
      <c r="E4810" s="4">
        <v>-32339</v>
      </c>
      <c r="F4810" s="3" t="s">
        <v>1853</v>
      </c>
      <c r="G4810" s="3" t="s">
        <v>8857</v>
      </c>
      <c r="H4810" s="2" t="s">
        <v>148</v>
      </c>
      <c r="I4810" s="2" t="s">
        <v>12624</v>
      </c>
      <c r="J4810" s="3" t="str">
        <f>HYPERLINK("https://www.boe.es/gazeta/dias/1811/06/16/pdfs/GMD-1811-167.pdf#page=3","Abrir facsímil")</f>
        <v>Abrir facsímil</v>
      </c>
      <c r="K4810" s="3" t="s">
        <v>150</v>
      </c>
    </row>
    <row r="4811" spans="1:11" ht="42" customHeight="1">
      <c r="A4811" s="2" t="s">
        <v>12625</v>
      </c>
      <c r="B4811" s="2" t="s">
        <v>12626</v>
      </c>
      <c r="C4811" s="2" t="s">
        <v>26</v>
      </c>
      <c r="D4811" s="2" t="s">
        <v>18</v>
      </c>
      <c r="E4811" s="4">
        <v>-32410</v>
      </c>
      <c r="F4811" s="3" t="s">
        <v>6080</v>
      </c>
      <c r="G4811" s="3" t="s">
        <v>39</v>
      </c>
      <c r="H4811" s="2" t="s">
        <v>148</v>
      </c>
      <c r="I4811" s="2" t="s">
        <v>12627</v>
      </c>
      <c r="J4811" s="3" t="str">
        <f>HYPERLINK("https://www.boe.es/gazeta/dias/1811/04/06/pdfs/GMD-1811-96.pdf#page=1","Abrir facsímil")</f>
        <v>Abrir facsímil</v>
      </c>
      <c r="K4811" s="3" t="s">
        <v>150</v>
      </c>
    </row>
    <row r="4812" spans="1:11" ht="42" customHeight="1">
      <c r="A4812" s="2" t="s">
        <v>12628</v>
      </c>
      <c r="B4812" s="2" t="s">
        <v>12629</v>
      </c>
      <c r="C4812" s="2" t="s">
        <v>26</v>
      </c>
      <c r="D4812" s="2" t="s">
        <v>18</v>
      </c>
      <c r="E4812" s="4">
        <v>-32259</v>
      </c>
      <c r="F4812" s="3" t="s">
        <v>3276</v>
      </c>
      <c r="G4812" s="3" t="s">
        <v>47</v>
      </c>
      <c r="H4812" s="2" t="s">
        <v>21</v>
      </c>
      <c r="I4812" s="2" t="s">
        <v>12630</v>
      </c>
      <c r="J4812" s="3" t="str">
        <f>HYPERLINK("https://www.boe.es/gazeta/dias/1811/09/04/pdfs/GMD-1811-247.pdf#page=4","Abrir facsímil")</f>
        <v>Abrir facsímil</v>
      </c>
      <c r="K4812" s="3" t="s">
        <v>23</v>
      </c>
    </row>
    <row r="4813" spans="1:11" ht="42" customHeight="1">
      <c r="A4813" s="2" t="s">
        <v>12631</v>
      </c>
      <c r="B4813" s="2" t="s">
        <v>12631</v>
      </c>
      <c r="C4813" s="2" t="s">
        <v>17</v>
      </c>
      <c r="D4813" s="2" t="s">
        <v>18</v>
      </c>
      <c r="E4813" s="4">
        <v>-32152</v>
      </c>
      <c r="F4813" s="3" t="s">
        <v>1673</v>
      </c>
      <c r="G4813" s="3" t="s">
        <v>57</v>
      </c>
      <c r="H4813" s="2" t="s">
        <v>148</v>
      </c>
      <c r="I4813" s="2" t="s">
        <v>12632</v>
      </c>
      <c r="J4813" s="3" t="str">
        <f>HYPERLINK("https://www.boe.es/gazeta/dias/1811/12/20/pdfs/GMD-1811-354.pdf#page=2","Abrir facsímil")</f>
        <v>Abrir facsímil</v>
      </c>
      <c r="K4813" s="3" t="s">
        <v>150</v>
      </c>
    </row>
    <row r="4814" spans="1:11" ht="42" customHeight="1">
      <c r="A4814" s="2" t="s">
        <v>12633</v>
      </c>
      <c r="B4814" s="2" t="s">
        <v>12633</v>
      </c>
      <c r="C4814" s="2" t="s">
        <v>26</v>
      </c>
      <c r="D4814" s="2" t="s">
        <v>204</v>
      </c>
      <c r="E4814" s="4">
        <v>-32444</v>
      </c>
      <c r="F4814" s="3" t="s">
        <v>4512</v>
      </c>
      <c r="G4814" s="3" t="s">
        <v>44</v>
      </c>
      <c r="H4814" s="2" t="s">
        <v>148</v>
      </c>
      <c r="I4814" s="2" t="s">
        <v>12634</v>
      </c>
      <c r="J4814" s="3" t="str">
        <f>HYPERLINK("https://www.boe.es/gazeta/dias/1811/03/03/pdfs/GMD-1811-62.pdf#page=2","Abrir facsímil")</f>
        <v>Abrir facsímil</v>
      </c>
      <c r="K4814" s="3" t="s">
        <v>150</v>
      </c>
    </row>
    <row r="4815" spans="1:11" ht="42" customHeight="1">
      <c r="A4815" s="2" t="s">
        <v>12635</v>
      </c>
      <c r="B4815" s="2" t="s">
        <v>12635</v>
      </c>
      <c r="C4815" s="2" t="s">
        <v>37</v>
      </c>
      <c r="D4815" s="2" t="s">
        <v>156</v>
      </c>
      <c r="E4815" s="4">
        <v>-32342</v>
      </c>
      <c r="F4815" s="3" t="s">
        <v>1474</v>
      </c>
      <c r="G4815" s="3" t="s">
        <v>3380</v>
      </c>
      <c r="H4815" s="2" t="s">
        <v>148</v>
      </c>
      <c r="I4815" s="2" t="s">
        <v>12636</v>
      </c>
      <c r="J4815" s="3" t="str">
        <f>HYPERLINK("https://www.boe.es/gazeta/dias/1811/06/13/pdfs/GEI-1811-79.pdf#page=2","Abrir facsímil")</f>
        <v>Abrir facsímil</v>
      </c>
      <c r="K4815" s="3" t="s">
        <v>150</v>
      </c>
    </row>
    <row r="4816" spans="1:11" ht="42" customHeight="1">
      <c r="A4816" s="2" t="s">
        <v>12637</v>
      </c>
      <c r="B4816" s="2" t="s">
        <v>12637</v>
      </c>
      <c r="C4816" s="2" t="s">
        <v>17</v>
      </c>
      <c r="D4816" s="2" t="s">
        <v>156</v>
      </c>
      <c r="E4816" s="4">
        <v>-32496</v>
      </c>
      <c r="F4816" s="3" t="s">
        <v>5478</v>
      </c>
      <c r="G4816" s="3" t="s">
        <v>1184</v>
      </c>
      <c r="H4816" s="2" t="s">
        <v>148</v>
      </c>
      <c r="I4816" s="2" t="s">
        <v>12638</v>
      </c>
      <c r="J4816" s="3" t="str">
        <f>HYPERLINK("https://www.boe.es/gazeta/dias/1811/01/10/pdfs/GMD-1811-10.pdf#page=1","Abrir facsímil")</f>
        <v>Abrir facsímil</v>
      </c>
      <c r="K4816" s="3" t="s">
        <v>150</v>
      </c>
    </row>
    <row r="4817" spans="1:11" ht="42" customHeight="1">
      <c r="A4817" s="2" t="s">
        <v>12637</v>
      </c>
      <c r="B4817" s="2" t="s">
        <v>12637</v>
      </c>
      <c r="C4817" s="2" t="s">
        <v>17</v>
      </c>
      <c r="D4817" s="2" t="s">
        <v>18</v>
      </c>
      <c r="E4817" s="4">
        <v>-32486</v>
      </c>
      <c r="F4817" s="3" t="s">
        <v>556</v>
      </c>
      <c r="G4817" s="3" t="s">
        <v>1384</v>
      </c>
      <c r="H4817" s="2" t="s">
        <v>148</v>
      </c>
      <c r="I4817" s="2" t="s">
        <v>12639</v>
      </c>
      <c r="J4817" s="3" t="str">
        <f>HYPERLINK("https://www.boe.es/gazeta/dias/1811/01/20/pdfs/GMD-1811-20.pdf#page=1","Abrir facsímil")</f>
        <v>Abrir facsímil</v>
      </c>
      <c r="K4817" s="3" t="s">
        <v>150</v>
      </c>
    </row>
    <row r="4818" spans="1:11" ht="42" customHeight="1">
      <c r="A4818" s="2" t="s">
        <v>12637</v>
      </c>
      <c r="B4818" s="2" t="s">
        <v>12637</v>
      </c>
      <c r="C4818" s="2" t="s">
        <v>17</v>
      </c>
      <c r="D4818" s="2" t="s">
        <v>18</v>
      </c>
      <c r="E4818" s="4">
        <v>-32470</v>
      </c>
      <c r="F4818" s="3" t="s">
        <v>10438</v>
      </c>
      <c r="G4818" s="3" t="s">
        <v>3643</v>
      </c>
      <c r="H4818" s="2" t="s">
        <v>148</v>
      </c>
      <c r="I4818" s="2" t="s">
        <v>12640</v>
      </c>
      <c r="J4818" s="3" t="str">
        <f>HYPERLINK("https://www.boe.es/gazeta/dias/1811/02/05/pdfs/GMD-1811-36.pdf#page=1","Abrir facsímil")</f>
        <v>Abrir facsímil</v>
      </c>
      <c r="K4818" s="3" t="s">
        <v>150</v>
      </c>
    </row>
    <row r="4819" spans="1:11" ht="42" customHeight="1">
      <c r="A4819" s="2" t="s">
        <v>12637</v>
      </c>
      <c r="B4819" s="2" t="s">
        <v>12637</v>
      </c>
      <c r="C4819" s="2" t="s">
        <v>17</v>
      </c>
      <c r="D4819" s="2" t="s">
        <v>18</v>
      </c>
      <c r="E4819" s="4">
        <v>-32465</v>
      </c>
      <c r="F4819" s="3" t="s">
        <v>4414</v>
      </c>
      <c r="G4819" s="3" t="s">
        <v>515</v>
      </c>
      <c r="H4819" s="2" t="s">
        <v>148</v>
      </c>
      <c r="I4819" s="2" t="s">
        <v>12641</v>
      </c>
      <c r="J4819" s="3" t="str">
        <f>HYPERLINK("https://www.boe.es/gazeta/dias/1811/02/10/pdfs/GMD-1811-41.pdf#page=1","Abrir facsímil")</f>
        <v>Abrir facsímil</v>
      </c>
      <c r="K4819" s="3" t="s">
        <v>150</v>
      </c>
    </row>
    <row r="4820" spans="1:11" ht="42" customHeight="1">
      <c r="A4820" s="2" t="s">
        <v>12637</v>
      </c>
      <c r="B4820" s="2" t="s">
        <v>12637</v>
      </c>
      <c r="C4820" s="2" t="s">
        <v>17</v>
      </c>
      <c r="D4820" s="2" t="s">
        <v>156</v>
      </c>
      <c r="E4820" s="4">
        <v>-32463</v>
      </c>
      <c r="F4820" s="3" t="s">
        <v>4781</v>
      </c>
      <c r="G4820" s="3" t="s">
        <v>2668</v>
      </c>
      <c r="H4820" s="2" t="s">
        <v>148</v>
      </c>
      <c r="I4820" s="2" t="s">
        <v>12642</v>
      </c>
      <c r="J4820" s="3" t="str">
        <f>HYPERLINK("https://www.boe.es/gazeta/dias/1811/02/12/pdfs/GMD-1811-43.pdf#page=1","Abrir facsímil")</f>
        <v>Abrir facsímil</v>
      </c>
      <c r="K4820" s="3" t="s">
        <v>150</v>
      </c>
    </row>
    <row r="4821" spans="1:11" ht="42" customHeight="1">
      <c r="A4821" s="2" t="s">
        <v>12637</v>
      </c>
      <c r="B4821" s="2" t="s">
        <v>12637</v>
      </c>
      <c r="C4821" s="2" t="s">
        <v>17</v>
      </c>
      <c r="D4821" s="2" t="s">
        <v>156</v>
      </c>
      <c r="E4821" s="4">
        <v>-32449</v>
      </c>
      <c r="F4821" s="3" t="s">
        <v>8369</v>
      </c>
      <c r="G4821" s="3" t="s">
        <v>129</v>
      </c>
      <c r="H4821" s="2" t="s">
        <v>148</v>
      </c>
      <c r="I4821" s="2" t="s">
        <v>12643</v>
      </c>
      <c r="J4821" s="3" t="str">
        <f>HYPERLINK("https://www.boe.es/gazeta/dias/1811/02/26/pdfs/GMD-1811-57.pdf#page=1","Abrir facsímil")</f>
        <v>Abrir facsímil</v>
      </c>
      <c r="K4821" s="3" t="s">
        <v>150</v>
      </c>
    </row>
    <row r="4822" spans="1:11" ht="42" customHeight="1">
      <c r="A4822" s="2" t="s">
        <v>12637</v>
      </c>
      <c r="B4822" s="2" t="s">
        <v>12637</v>
      </c>
      <c r="C4822" s="2" t="s">
        <v>17</v>
      </c>
      <c r="D4822" s="2" t="s">
        <v>156</v>
      </c>
      <c r="E4822" s="4">
        <v>-32390</v>
      </c>
      <c r="F4822" s="3" t="s">
        <v>6268</v>
      </c>
      <c r="G4822" s="3" t="s">
        <v>12644</v>
      </c>
      <c r="H4822" s="2" t="s">
        <v>148</v>
      </c>
      <c r="I4822" s="2" t="s">
        <v>12645</v>
      </c>
      <c r="J4822" s="3" t="str">
        <f>HYPERLINK("https://www.boe.es/gazeta/dias/1811/04/26/pdfs/GMD-1811-116.pdf#page=1","Abrir facsímil")</f>
        <v>Abrir facsímil</v>
      </c>
      <c r="K4822" s="3" t="s">
        <v>150</v>
      </c>
    </row>
    <row r="4823" spans="1:11" ht="42" customHeight="1">
      <c r="A4823" s="2" t="s">
        <v>12637</v>
      </c>
      <c r="B4823" s="2" t="s">
        <v>12637</v>
      </c>
      <c r="C4823" s="2" t="s">
        <v>17</v>
      </c>
      <c r="D4823" s="2" t="s">
        <v>18</v>
      </c>
      <c r="E4823" s="4">
        <v>-32389</v>
      </c>
      <c r="F4823" s="3" t="s">
        <v>5683</v>
      </c>
      <c r="G4823" s="3" t="s">
        <v>12646</v>
      </c>
      <c r="H4823" s="2" t="s">
        <v>148</v>
      </c>
      <c r="I4823" s="2" t="s">
        <v>12647</v>
      </c>
      <c r="J4823" s="3" t="str">
        <f>HYPERLINK("https://www.boe.es/gazeta/dias/1811/04/27/pdfs/GMD-1811-117.pdf#page=1","Abrir facsímil")</f>
        <v>Abrir facsímil</v>
      </c>
      <c r="K4823" s="3" t="s">
        <v>150</v>
      </c>
    </row>
    <row r="4824" spans="1:11" ht="42" customHeight="1">
      <c r="A4824" s="2" t="s">
        <v>12648</v>
      </c>
      <c r="B4824" s="2" t="s">
        <v>12648</v>
      </c>
      <c r="C4824" s="2" t="s">
        <v>17</v>
      </c>
      <c r="D4824" s="2" t="s">
        <v>18</v>
      </c>
      <c r="E4824" s="4">
        <v>-32381</v>
      </c>
      <c r="F4824" s="3" t="s">
        <v>1698</v>
      </c>
      <c r="G4824" s="3" t="s">
        <v>12649</v>
      </c>
      <c r="H4824" s="2" t="s">
        <v>148</v>
      </c>
      <c r="I4824" s="2" t="s">
        <v>12650</v>
      </c>
      <c r="J4824" s="3" t="str">
        <f>HYPERLINK("https://www.boe.es/gazeta/dias/1811/05/05/pdfs/GMD-1811-125.pdf#page=1","Abrir facsímil")</f>
        <v>Abrir facsímil</v>
      </c>
      <c r="K4824" s="3" t="s">
        <v>150</v>
      </c>
    </row>
    <row r="4825" spans="1:11" ht="42" customHeight="1">
      <c r="A4825" s="2" t="s">
        <v>12637</v>
      </c>
      <c r="B4825" s="2" t="s">
        <v>12637</v>
      </c>
      <c r="C4825" s="2" t="s">
        <v>26</v>
      </c>
      <c r="D4825" s="2" t="s">
        <v>18</v>
      </c>
      <c r="E4825" s="4">
        <v>-32376</v>
      </c>
      <c r="F4825" s="3" t="s">
        <v>5460</v>
      </c>
      <c r="G4825" s="3" t="s">
        <v>57</v>
      </c>
      <c r="H4825" s="2" t="s">
        <v>148</v>
      </c>
      <c r="I4825" s="2" t="s">
        <v>12651</v>
      </c>
      <c r="J4825" s="3" t="str">
        <f>HYPERLINK("https://www.boe.es/gazeta/dias/1811/05/10/pdfs/GMD-1811-130.pdf#page=2","Abrir facsímil")</f>
        <v>Abrir facsímil</v>
      </c>
      <c r="K4825" s="3" t="s">
        <v>150</v>
      </c>
    </row>
    <row r="4826" spans="1:11" ht="42" customHeight="1">
      <c r="A4826" s="2" t="s">
        <v>12637</v>
      </c>
      <c r="B4826" s="2" t="s">
        <v>12637</v>
      </c>
      <c r="C4826" s="2" t="s">
        <v>17</v>
      </c>
      <c r="D4826" s="2" t="s">
        <v>156</v>
      </c>
      <c r="E4826" s="4">
        <v>-32360</v>
      </c>
      <c r="F4826" s="3" t="s">
        <v>5470</v>
      </c>
      <c r="G4826" s="3" t="s">
        <v>468</v>
      </c>
      <c r="H4826" s="2" t="s">
        <v>148</v>
      </c>
      <c r="I4826" s="2" t="s">
        <v>12652</v>
      </c>
      <c r="J4826" s="3" t="str">
        <f>HYPERLINK("https://www.boe.es/gazeta/dias/1811/05/26/pdfs/GMD-1811-146.pdf#page=1","Abrir facsímil")</f>
        <v>Abrir facsímil</v>
      </c>
      <c r="K4826" s="3" t="s">
        <v>150</v>
      </c>
    </row>
    <row r="4827" spans="1:11" ht="42" customHeight="1">
      <c r="A4827" s="2" t="s">
        <v>12637</v>
      </c>
      <c r="B4827" s="2" t="s">
        <v>12637</v>
      </c>
      <c r="C4827" s="2" t="s">
        <v>17</v>
      </c>
      <c r="D4827" s="2" t="s">
        <v>156</v>
      </c>
      <c r="E4827" s="4">
        <v>-32351</v>
      </c>
      <c r="F4827" s="3" t="s">
        <v>2332</v>
      </c>
      <c r="G4827" s="3" t="s">
        <v>582</v>
      </c>
      <c r="H4827" s="2" t="s">
        <v>148</v>
      </c>
      <c r="I4827" s="2" t="s">
        <v>12653</v>
      </c>
      <c r="J4827" s="3" t="str">
        <f>HYPERLINK("https://www.boe.es/gazeta/dias/1811/06/04/pdfs/GMD-1811-155.pdf#page=2","Abrir facsímil")</f>
        <v>Abrir facsímil</v>
      </c>
      <c r="K4827" s="3" t="s">
        <v>150</v>
      </c>
    </row>
    <row r="4828" spans="1:11" ht="42" customHeight="1">
      <c r="A4828" s="2" t="s">
        <v>12637</v>
      </c>
      <c r="B4828" s="2" t="s">
        <v>12637</v>
      </c>
      <c r="C4828" s="2" t="s">
        <v>37</v>
      </c>
      <c r="D4828" s="2" t="s">
        <v>18</v>
      </c>
      <c r="E4828" s="4">
        <v>-32321</v>
      </c>
      <c r="F4828" s="3" t="s">
        <v>2344</v>
      </c>
      <c r="G4828" s="3" t="s">
        <v>468</v>
      </c>
      <c r="H4828" s="2" t="s">
        <v>148</v>
      </c>
      <c r="I4828" s="2" t="s">
        <v>12654</v>
      </c>
      <c r="J4828" s="3" t="str">
        <f>HYPERLINK("https://www.boe.es/gazeta/dias/1811/07/04/pdfs/GMD-1811-185.pdf#page=2","Abrir facsímil")</f>
        <v>Abrir facsímil</v>
      </c>
      <c r="K4828" s="3" t="s">
        <v>150</v>
      </c>
    </row>
    <row r="4829" spans="1:11" ht="42" customHeight="1">
      <c r="A4829" s="2" t="s">
        <v>12637</v>
      </c>
      <c r="B4829" s="2" t="s">
        <v>12637</v>
      </c>
      <c r="C4829" s="2" t="s">
        <v>17</v>
      </c>
      <c r="D4829" s="2" t="s">
        <v>156</v>
      </c>
      <c r="E4829" s="4">
        <v>-32315</v>
      </c>
      <c r="F4829" s="3" t="s">
        <v>3189</v>
      </c>
      <c r="G4829" s="3" t="s">
        <v>248</v>
      </c>
      <c r="H4829" s="2" t="s">
        <v>148</v>
      </c>
      <c r="I4829" s="2" t="s">
        <v>12655</v>
      </c>
      <c r="J4829" s="3" t="str">
        <f>HYPERLINK("https://www.boe.es/gazeta/dias/1811/07/10/pdfs/GMD-1811-191.pdf#page=1","Abrir facsímil")</f>
        <v>Abrir facsímil</v>
      </c>
      <c r="K4829" s="3" t="s">
        <v>150</v>
      </c>
    </row>
    <row r="4830" spans="1:11" ht="42" customHeight="1">
      <c r="A4830" s="2" t="s">
        <v>12637</v>
      </c>
      <c r="B4830" s="2" t="s">
        <v>12637</v>
      </c>
      <c r="C4830" s="2" t="s">
        <v>17</v>
      </c>
      <c r="D4830" s="2" t="s">
        <v>18</v>
      </c>
      <c r="E4830" s="4">
        <v>-32305</v>
      </c>
      <c r="F4830" s="3" t="s">
        <v>12656</v>
      </c>
      <c r="G4830" s="3" t="s">
        <v>12657</v>
      </c>
      <c r="H4830" s="2" t="s">
        <v>148</v>
      </c>
      <c r="I4830" s="2" t="s">
        <v>12658</v>
      </c>
      <c r="J4830" s="3" t="str">
        <f>HYPERLINK("https://www.boe.es/gazeta/dias/1811/07/20/pdfs/GMD-1811-201.pdf#page=2","Abrir facsímil")</f>
        <v>Abrir facsímil</v>
      </c>
      <c r="K4830" s="3" t="s">
        <v>150</v>
      </c>
    </row>
    <row r="4831" spans="1:11" ht="42" customHeight="1">
      <c r="A4831" s="2" t="s">
        <v>12637</v>
      </c>
      <c r="B4831" s="2" t="s">
        <v>12637</v>
      </c>
      <c r="C4831" s="2" t="s">
        <v>17</v>
      </c>
      <c r="D4831" s="2" t="s">
        <v>18</v>
      </c>
      <c r="E4831" s="4">
        <v>-32249</v>
      </c>
      <c r="F4831" s="3" t="s">
        <v>182</v>
      </c>
      <c r="G4831" s="3" t="s">
        <v>162</v>
      </c>
      <c r="H4831" s="2" t="s">
        <v>148</v>
      </c>
      <c r="I4831" s="2" t="s">
        <v>12659</v>
      </c>
      <c r="J4831" s="3" t="str">
        <f>HYPERLINK("https://www.boe.es/gazeta/dias/1811/09/14/pdfs/GMD-1811-257.pdf#page=1","Abrir facsímil")</f>
        <v>Abrir facsímil</v>
      </c>
      <c r="K4831" s="3" t="s">
        <v>150</v>
      </c>
    </row>
    <row r="4832" spans="1:11" ht="42" customHeight="1">
      <c r="A4832" s="2" t="s">
        <v>12660</v>
      </c>
      <c r="B4832" s="2" t="s">
        <v>12660</v>
      </c>
      <c r="C4832" s="2" t="s">
        <v>26</v>
      </c>
      <c r="D4832" s="2" t="s">
        <v>18</v>
      </c>
      <c r="E4832" s="4">
        <v>-32472</v>
      </c>
      <c r="F4832" s="3" t="s">
        <v>398</v>
      </c>
      <c r="G4832" s="3" t="s">
        <v>553</v>
      </c>
      <c r="H4832" s="2" t="s">
        <v>148</v>
      </c>
      <c r="I4832" s="2" t="s">
        <v>12661</v>
      </c>
      <c r="J4832" s="3" t="str">
        <f>HYPERLINK("https://www.boe.es/gazeta/dias/1811/02/03/pdfs/GMD-1811-34.pdf#page=1","Abrir facsímil")</f>
        <v>Abrir facsímil</v>
      </c>
      <c r="K4832" s="3" t="s">
        <v>150</v>
      </c>
    </row>
    <row r="4833" spans="1:11" ht="42" customHeight="1">
      <c r="A4833" s="2" t="s">
        <v>12662</v>
      </c>
      <c r="B4833" s="2" t="s">
        <v>12662</v>
      </c>
      <c r="C4833" s="2" t="s">
        <v>17</v>
      </c>
      <c r="D4833" s="2" t="s">
        <v>156</v>
      </c>
      <c r="E4833" s="4">
        <v>-32286</v>
      </c>
      <c r="F4833" s="3" t="s">
        <v>754</v>
      </c>
      <c r="G4833" s="3" t="s">
        <v>1957</v>
      </c>
      <c r="H4833" s="2" t="s">
        <v>148</v>
      </c>
      <c r="I4833" s="2" t="s">
        <v>12663</v>
      </c>
      <c r="J4833" s="3" t="str">
        <f>HYPERLINK("https://www.boe.es/gazeta/dias/1811/08/08/pdfs/GEI-1811-103.pdf#page=1","Abrir facsímil")</f>
        <v>Abrir facsímil</v>
      </c>
      <c r="K4833" s="3" t="s">
        <v>150</v>
      </c>
    </row>
    <row r="4834" spans="1:11" ht="42" customHeight="1">
      <c r="A4834" s="2" t="s">
        <v>12664</v>
      </c>
      <c r="B4834" s="2" t="s">
        <v>12664</v>
      </c>
      <c r="C4834" s="2" t="s">
        <v>17</v>
      </c>
      <c r="D4834" s="2" t="s">
        <v>18</v>
      </c>
      <c r="E4834" s="4">
        <v>-32505</v>
      </c>
      <c r="F4834" s="3" t="s">
        <v>661</v>
      </c>
      <c r="G4834" s="3" t="s">
        <v>91</v>
      </c>
      <c r="H4834" s="2" t="s">
        <v>148</v>
      </c>
      <c r="I4834" s="2" t="s">
        <v>12665</v>
      </c>
      <c r="J4834" s="3" t="str">
        <f>HYPERLINK("https://www.boe.es/gazeta/dias/1811/01/01/pdfs/GMD-1811-1.pdf#page=2","Abrir facsímil")</f>
        <v>Abrir facsímil</v>
      </c>
      <c r="K4834" s="3" t="s">
        <v>150</v>
      </c>
    </row>
    <row r="4835" spans="1:11" ht="42" customHeight="1">
      <c r="A4835" s="2" t="s">
        <v>12664</v>
      </c>
      <c r="B4835" s="2" t="s">
        <v>12664</v>
      </c>
      <c r="C4835" s="2" t="s">
        <v>17</v>
      </c>
      <c r="D4835" s="2" t="s">
        <v>156</v>
      </c>
      <c r="E4835" s="4">
        <v>-32349</v>
      </c>
      <c r="F4835" s="3" t="s">
        <v>3983</v>
      </c>
      <c r="G4835" s="3" t="s">
        <v>44</v>
      </c>
      <c r="H4835" s="2" t="s">
        <v>148</v>
      </c>
      <c r="I4835" s="2" t="s">
        <v>12666</v>
      </c>
      <c r="J4835" s="3" t="str">
        <f>HYPERLINK("https://www.boe.es/gazeta/dias/1811/06/06/pdfs/GMD-1811-157.pdf#page=2","Abrir facsímil")</f>
        <v>Abrir facsímil</v>
      </c>
      <c r="K4835" s="3" t="s">
        <v>150</v>
      </c>
    </row>
    <row r="4836" spans="1:11" ht="42" customHeight="1">
      <c r="A4836" s="2" t="s">
        <v>12667</v>
      </c>
      <c r="B4836" s="2" t="s">
        <v>12667</v>
      </c>
      <c r="C4836" s="2" t="s">
        <v>17</v>
      </c>
      <c r="D4836" s="2" t="s">
        <v>18</v>
      </c>
      <c r="E4836" s="4">
        <v>-32306</v>
      </c>
      <c r="F4836" s="3" t="s">
        <v>3878</v>
      </c>
      <c r="G4836" s="3" t="s">
        <v>468</v>
      </c>
      <c r="H4836" s="2" t="s">
        <v>148</v>
      </c>
      <c r="I4836" s="2" t="s">
        <v>12668</v>
      </c>
      <c r="J4836" s="3" t="str">
        <f>HYPERLINK("https://www.boe.es/gazeta/dias/1811/07/19/pdfs/GMD-1811-200.pdf#page=1","Abrir facsímil")</f>
        <v>Abrir facsímil</v>
      </c>
      <c r="K4836" s="3" t="s">
        <v>150</v>
      </c>
    </row>
    <row r="4837" spans="1:11" ht="42" customHeight="1">
      <c r="A4837" s="2" t="s">
        <v>12669</v>
      </c>
      <c r="B4837" s="2" t="s">
        <v>12669</v>
      </c>
      <c r="C4837" s="2" t="s">
        <v>17</v>
      </c>
      <c r="D4837" s="2" t="s">
        <v>18</v>
      </c>
      <c r="E4837" s="4">
        <v>-32412</v>
      </c>
      <c r="F4837" s="3" t="s">
        <v>5296</v>
      </c>
      <c r="G4837" s="3" t="s">
        <v>4945</v>
      </c>
      <c r="H4837" s="2" t="s">
        <v>148</v>
      </c>
      <c r="I4837" s="2" t="s">
        <v>12670</v>
      </c>
      <c r="J4837" s="3" t="str">
        <f>HYPERLINK("https://www.boe.es/gazeta/dias/1811/04/04/pdfs/GMD-1811-94.pdf#page=1","Abrir facsímil")</f>
        <v>Abrir facsímil</v>
      </c>
      <c r="K4837" s="3" t="s">
        <v>150</v>
      </c>
    </row>
    <row r="4838" spans="1:11" ht="42" customHeight="1">
      <c r="A4838" s="2" t="s">
        <v>12671</v>
      </c>
      <c r="B4838" s="2" t="s">
        <v>12671</v>
      </c>
      <c r="C4838" s="2" t="s">
        <v>17</v>
      </c>
      <c r="D4838" s="2" t="s">
        <v>204</v>
      </c>
      <c r="E4838" s="4">
        <v>-32472</v>
      </c>
      <c r="F4838" s="3" t="s">
        <v>398</v>
      </c>
      <c r="G4838" s="3" t="s">
        <v>553</v>
      </c>
      <c r="H4838" s="2" t="s">
        <v>148</v>
      </c>
      <c r="I4838" s="2" t="s">
        <v>12672</v>
      </c>
      <c r="J4838" s="3" t="str">
        <f>HYPERLINK("https://www.boe.es/gazeta/dias/1811/02/03/pdfs/GMD-1811-34.pdf#page=1","Abrir facsímil")</f>
        <v>Abrir facsímil</v>
      </c>
      <c r="K4838" s="3" t="s">
        <v>150</v>
      </c>
    </row>
    <row r="4839" spans="1:11" ht="42" customHeight="1">
      <c r="A4839" s="2" t="s">
        <v>12673</v>
      </c>
      <c r="B4839" s="2" t="s">
        <v>12673</v>
      </c>
      <c r="C4839" s="2" t="s">
        <v>17</v>
      </c>
      <c r="D4839" s="2" t="s">
        <v>18</v>
      </c>
      <c r="E4839" s="4">
        <v>-32240</v>
      </c>
      <c r="F4839" s="3" t="s">
        <v>2753</v>
      </c>
      <c r="G4839" s="3" t="s">
        <v>669</v>
      </c>
      <c r="H4839" s="2" t="s">
        <v>148</v>
      </c>
      <c r="I4839" s="2" t="s">
        <v>12674</v>
      </c>
      <c r="J4839" s="3" t="str">
        <f>HYPERLINK("https://www.boe.es/gazeta/dias/1811/09/23/pdfs/GMD-1811-266.pdf#page=1","Abrir facsímil")</f>
        <v>Abrir facsímil</v>
      </c>
      <c r="K4839" s="3" t="s">
        <v>150</v>
      </c>
    </row>
    <row r="4840" spans="1:11" ht="42" customHeight="1">
      <c r="A4840" s="2" t="s">
        <v>12675</v>
      </c>
      <c r="B4840" s="2" t="s">
        <v>12675</v>
      </c>
      <c r="C4840" s="2" t="s">
        <v>17</v>
      </c>
      <c r="D4840" s="2" t="s">
        <v>156</v>
      </c>
      <c r="E4840" s="4">
        <v>-32390</v>
      </c>
      <c r="F4840" s="3" t="s">
        <v>6268</v>
      </c>
      <c r="G4840" s="3" t="s">
        <v>12644</v>
      </c>
      <c r="H4840" s="2" t="s">
        <v>148</v>
      </c>
      <c r="I4840" s="2" t="s">
        <v>12676</v>
      </c>
      <c r="J4840" s="3" t="str">
        <f>HYPERLINK("https://www.boe.es/gazeta/dias/1811/04/26/pdfs/GMD-1811-116.pdf#page=1","Abrir facsímil")</f>
        <v>Abrir facsímil</v>
      </c>
      <c r="K4840" s="3" t="s">
        <v>150</v>
      </c>
    </row>
    <row r="4841" spans="1:11" ht="42" customHeight="1">
      <c r="A4841" s="2" t="s">
        <v>12677</v>
      </c>
      <c r="B4841" s="2" t="s">
        <v>12677</v>
      </c>
      <c r="C4841" s="2" t="s">
        <v>17</v>
      </c>
      <c r="D4841" s="2" t="s">
        <v>204</v>
      </c>
      <c r="E4841" s="4">
        <v>-32350</v>
      </c>
      <c r="F4841" s="3" t="s">
        <v>4957</v>
      </c>
      <c r="G4841" s="3" t="s">
        <v>44</v>
      </c>
      <c r="H4841" s="2" t="s">
        <v>148</v>
      </c>
      <c r="I4841" s="2" t="s">
        <v>12678</v>
      </c>
      <c r="J4841" s="3" t="str">
        <f>HYPERLINK("https://www.boe.es/gazeta/dias/1811/06/05/pdfs/GMD-1811-156.pdf#page=1","Abrir facsímil")</f>
        <v>Abrir facsímil</v>
      </c>
      <c r="K4841" s="3" t="s">
        <v>150</v>
      </c>
    </row>
    <row r="4842" spans="1:11" ht="42" customHeight="1">
      <c r="A4842" s="2" t="s">
        <v>12679</v>
      </c>
      <c r="B4842" s="2" t="s">
        <v>12680</v>
      </c>
      <c r="C4842" s="2" t="s">
        <v>26</v>
      </c>
      <c r="D4842" s="2" t="s">
        <v>18</v>
      </c>
      <c r="E4842" s="4">
        <v>-32179</v>
      </c>
      <c r="F4842" s="3" t="s">
        <v>614</v>
      </c>
      <c r="G4842" s="3" t="s">
        <v>47</v>
      </c>
      <c r="H4842" s="2" t="s">
        <v>148</v>
      </c>
      <c r="I4842" s="2" t="s">
        <v>12681</v>
      </c>
      <c r="J4842" s="3" t="str">
        <f>HYPERLINK("https://www.boe.es/gazeta/dias/1811/11/23/pdfs/GEI-1811-153.pdf#page=8","Abrir facsímil")</f>
        <v>Abrir facsímil</v>
      </c>
      <c r="K4842" s="3" t="s">
        <v>150</v>
      </c>
    </row>
    <row r="4843" spans="1:11" ht="42" customHeight="1">
      <c r="A4843" s="2" t="s">
        <v>12682</v>
      </c>
      <c r="B4843" s="2" t="s">
        <v>12682</v>
      </c>
      <c r="C4843" s="2" t="s">
        <v>104</v>
      </c>
      <c r="D4843" s="2" t="s">
        <v>18</v>
      </c>
      <c r="E4843" s="4">
        <v>-32349</v>
      </c>
      <c r="F4843" s="3" t="s">
        <v>3983</v>
      </c>
      <c r="G4843" s="3" t="s">
        <v>44</v>
      </c>
      <c r="H4843" s="2" t="s">
        <v>148</v>
      </c>
      <c r="I4843" s="2" t="s">
        <v>12683</v>
      </c>
      <c r="J4843" s="3" t="str">
        <f>HYPERLINK("https://www.boe.es/gazeta/dias/1811/06/06/pdfs/GMD-1811-157.pdf#page=2","Abrir facsímil")</f>
        <v>Abrir facsímil</v>
      </c>
      <c r="K4843" s="3" t="s">
        <v>150</v>
      </c>
    </row>
    <row r="4844" spans="1:11" ht="42" customHeight="1">
      <c r="A4844" s="2" t="s">
        <v>12684</v>
      </c>
      <c r="B4844" s="2" t="s">
        <v>12684</v>
      </c>
      <c r="C4844" s="2" t="s">
        <v>17</v>
      </c>
      <c r="D4844" s="2" t="s">
        <v>156</v>
      </c>
      <c r="E4844" s="4">
        <v>-32391</v>
      </c>
      <c r="F4844" s="3" t="s">
        <v>252</v>
      </c>
      <c r="G4844" s="3" t="s">
        <v>657</v>
      </c>
      <c r="H4844" s="2" t="s">
        <v>148</v>
      </c>
      <c r="I4844" s="2" t="s">
        <v>12685</v>
      </c>
      <c r="J4844" s="3" t="str">
        <f>HYPERLINK("https://www.boe.es/gazeta/dias/1811/04/25/pdfs/GEI-1811-55.pdf#page=2","Abrir facsímil")</f>
        <v>Abrir facsímil</v>
      </c>
      <c r="K4844" s="3" t="s">
        <v>150</v>
      </c>
    </row>
    <row r="4845" spans="1:11" ht="42" customHeight="1">
      <c r="A4845" s="2" t="s">
        <v>12686</v>
      </c>
      <c r="B4845" s="2" t="s">
        <v>12686</v>
      </c>
      <c r="C4845" s="2" t="s">
        <v>17</v>
      </c>
      <c r="D4845" s="2" t="s">
        <v>156</v>
      </c>
      <c r="E4845" s="4">
        <v>-32356</v>
      </c>
      <c r="F4845" s="3" t="s">
        <v>1992</v>
      </c>
      <c r="G4845" s="3" t="s">
        <v>2396</v>
      </c>
      <c r="H4845" s="2" t="s">
        <v>148</v>
      </c>
      <c r="I4845" s="2" t="s">
        <v>12687</v>
      </c>
      <c r="J4845" s="3" t="str">
        <f>HYPERLINK("https://www.boe.es/gazeta/dias/1811/05/30/pdfs/GEI-1811-73.pdf#page=6","Abrir facsímil")</f>
        <v>Abrir facsímil</v>
      </c>
      <c r="K4845" s="3" t="s">
        <v>150</v>
      </c>
    </row>
    <row r="4846" spans="1:11" ht="42" customHeight="1">
      <c r="A4846" s="2" t="s">
        <v>12688</v>
      </c>
      <c r="B4846" s="2" t="s">
        <v>12688</v>
      </c>
      <c r="C4846" s="2" t="s">
        <v>17</v>
      </c>
      <c r="D4846" s="2" t="s">
        <v>156</v>
      </c>
      <c r="E4846" s="4">
        <v>-32323</v>
      </c>
      <c r="F4846" s="3" t="s">
        <v>2289</v>
      </c>
      <c r="G4846" s="3" t="s">
        <v>47</v>
      </c>
      <c r="H4846" s="2" t="s">
        <v>148</v>
      </c>
      <c r="I4846" s="2" t="s">
        <v>12689</v>
      </c>
      <c r="J4846" s="3" t="str">
        <f>HYPERLINK("https://www.boe.es/gazeta/dias/1811/07/02/pdfs/GMD-1811-183.pdf#page=3","Abrir facsímil")</f>
        <v>Abrir facsímil</v>
      </c>
      <c r="K4846" s="3" t="s">
        <v>150</v>
      </c>
    </row>
    <row r="4847" spans="1:11" ht="42" customHeight="1">
      <c r="A4847" s="2" t="s">
        <v>12690</v>
      </c>
      <c r="B4847" s="2" t="s">
        <v>12691</v>
      </c>
      <c r="C4847" s="2" t="s">
        <v>26</v>
      </c>
      <c r="D4847" s="2" t="s">
        <v>105</v>
      </c>
      <c r="E4847" s="4">
        <v>-32145</v>
      </c>
      <c r="F4847" s="3" t="s">
        <v>417</v>
      </c>
      <c r="G4847" s="3" t="s">
        <v>418</v>
      </c>
      <c r="H4847" s="2" t="s">
        <v>148</v>
      </c>
      <c r="I4847" s="2" t="s">
        <v>12692</v>
      </c>
      <c r="J4847" s="3" t="str">
        <f>HYPERLINK("https://www.boe.es/gazeta/dias/1811/12/27/pdfs/GMD-1811-361.pdf#page=4","Abrir facsímil")</f>
        <v>Abrir facsímil</v>
      </c>
      <c r="K4847" s="3" t="s">
        <v>150</v>
      </c>
    </row>
    <row r="4848" spans="1:11" ht="42" customHeight="1">
      <c r="A4848" s="2" t="s">
        <v>12693</v>
      </c>
      <c r="B4848" s="2" t="s">
        <v>12693</v>
      </c>
      <c r="C4848" s="2" t="s">
        <v>26</v>
      </c>
      <c r="D4848" s="2" t="s">
        <v>18</v>
      </c>
      <c r="E4848" s="4">
        <v>-32450</v>
      </c>
      <c r="F4848" s="3" t="s">
        <v>794</v>
      </c>
      <c r="G4848" s="3" t="s">
        <v>57</v>
      </c>
      <c r="H4848" s="2" t="s">
        <v>148</v>
      </c>
      <c r="I4848" s="2" t="s">
        <v>12694</v>
      </c>
      <c r="J4848" s="3" t="str">
        <f>HYPERLINK("https://www.boe.es/gazeta/dias/1811/02/25/pdfs/GMD-1811-56.pdf#page=2","Abrir facsímil")</f>
        <v>Abrir facsímil</v>
      </c>
      <c r="K4848" s="3" t="s">
        <v>150</v>
      </c>
    </row>
    <row r="4849" spans="1:11" ht="42" customHeight="1">
      <c r="A4849" s="2" t="s">
        <v>12695</v>
      </c>
      <c r="B4849" s="2" t="s">
        <v>12696</v>
      </c>
      <c r="C4849" s="2" t="s">
        <v>26</v>
      </c>
      <c r="D4849" s="2" t="s">
        <v>18</v>
      </c>
      <c r="E4849" s="4">
        <v>-32179</v>
      </c>
      <c r="F4849" s="3" t="s">
        <v>614</v>
      </c>
      <c r="G4849" s="3" t="s">
        <v>47</v>
      </c>
      <c r="H4849" s="2" t="s">
        <v>148</v>
      </c>
      <c r="I4849" s="2" t="s">
        <v>12697</v>
      </c>
      <c r="J4849" s="3" t="str">
        <f>HYPERLINK("https://www.boe.es/gazeta/dias/1811/11/23/pdfs/GEI-1811-153.pdf#page=8","Abrir facsímil")</f>
        <v>Abrir facsímil</v>
      </c>
      <c r="K4849" s="3" t="s">
        <v>150</v>
      </c>
    </row>
    <row r="4850" spans="1:11" ht="42" customHeight="1">
      <c r="A4850" s="2" t="s">
        <v>12698</v>
      </c>
      <c r="B4850" s="2" t="s">
        <v>12698</v>
      </c>
      <c r="C4850" s="2" t="s">
        <v>17</v>
      </c>
      <c r="D4850" s="2" t="s">
        <v>18</v>
      </c>
      <c r="E4850" s="4">
        <v>-32145</v>
      </c>
      <c r="F4850" s="3" t="s">
        <v>417</v>
      </c>
      <c r="G4850" s="3" t="s">
        <v>515</v>
      </c>
      <c r="H4850" s="2" t="s">
        <v>148</v>
      </c>
      <c r="I4850" s="2" t="s">
        <v>12699</v>
      </c>
      <c r="J4850" s="3" t="str">
        <f>HYPERLINK("https://www.boe.es/gazeta/dias/1811/12/27/pdfs/GMD-1811-361.pdf#page=3","Abrir facsímil")</f>
        <v>Abrir facsímil</v>
      </c>
      <c r="K4850" s="3" t="s">
        <v>150</v>
      </c>
    </row>
    <row r="4851" spans="1:11" ht="42" customHeight="1">
      <c r="A4851" s="2" t="s">
        <v>12700</v>
      </c>
      <c r="B4851" s="2" t="s">
        <v>12700</v>
      </c>
      <c r="C4851" s="2" t="s">
        <v>104</v>
      </c>
      <c r="D4851" s="2" t="s">
        <v>18</v>
      </c>
      <c r="E4851" s="4">
        <v>-32315</v>
      </c>
      <c r="F4851" s="3" t="s">
        <v>3189</v>
      </c>
      <c r="G4851" s="3" t="s">
        <v>248</v>
      </c>
      <c r="H4851" s="2" t="s">
        <v>148</v>
      </c>
      <c r="I4851" s="2" t="s">
        <v>12701</v>
      </c>
      <c r="J4851" s="3" t="str">
        <f>HYPERLINK("https://www.boe.es/gazeta/dias/1811/07/10/pdfs/GMD-1811-191.pdf#page=1","Abrir facsímil")</f>
        <v>Abrir facsímil</v>
      </c>
      <c r="K4851" s="3" t="s">
        <v>150</v>
      </c>
    </row>
    <row r="4852" spans="1:11" ht="42" customHeight="1">
      <c r="A4852" s="2" t="s">
        <v>12702</v>
      </c>
      <c r="B4852" s="2" t="s">
        <v>12702</v>
      </c>
      <c r="C4852" s="2" t="s">
        <v>17</v>
      </c>
      <c r="D4852" s="2" t="s">
        <v>105</v>
      </c>
      <c r="E4852" s="4">
        <v>-32337</v>
      </c>
      <c r="F4852" s="3" t="s">
        <v>786</v>
      </c>
      <c r="G4852" s="3" t="s">
        <v>248</v>
      </c>
      <c r="H4852" s="2" t="s">
        <v>148</v>
      </c>
      <c r="I4852" s="2" t="s">
        <v>12703</v>
      </c>
      <c r="J4852" s="3" t="str">
        <f>HYPERLINK("https://www.boe.es/gazeta/dias/1811/06/18/pdfs/GMD-1811-169.pdf#page=3","Abrir facsímil")</f>
        <v>Abrir facsímil</v>
      </c>
      <c r="K4852" s="3" t="s">
        <v>150</v>
      </c>
    </row>
    <row r="4853" spans="1:11" ht="42" customHeight="1">
      <c r="A4853" s="2" t="s">
        <v>12704</v>
      </c>
      <c r="B4853" s="2" t="s">
        <v>12704</v>
      </c>
      <c r="C4853" s="2" t="s">
        <v>17</v>
      </c>
      <c r="D4853" s="2" t="s">
        <v>18</v>
      </c>
      <c r="E4853" s="4">
        <v>-32495</v>
      </c>
      <c r="F4853" s="3" t="s">
        <v>1681</v>
      </c>
      <c r="G4853" s="3" t="s">
        <v>129</v>
      </c>
      <c r="H4853" s="2" t="s">
        <v>148</v>
      </c>
      <c r="I4853" s="2" t="s">
        <v>12705</v>
      </c>
      <c r="J4853" s="3" t="str">
        <f>HYPERLINK("https://www.boe.es/gazeta/dias/1811/01/11/pdfs/GMD-1811-11.pdf#page=4","Abrir facsímil")</f>
        <v>Abrir facsímil</v>
      </c>
      <c r="K4853" s="3" t="s">
        <v>150</v>
      </c>
    </row>
    <row r="4854" spans="1:11" ht="42" customHeight="1">
      <c r="A4854" s="2" t="s">
        <v>12704</v>
      </c>
      <c r="B4854" s="2" t="s">
        <v>12704</v>
      </c>
      <c r="C4854" s="2" t="s">
        <v>17</v>
      </c>
      <c r="D4854" s="2" t="s">
        <v>156</v>
      </c>
      <c r="E4854" s="4">
        <v>-32476</v>
      </c>
      <c r="F4854" s="3" t="s">
        <v>1896</v>
      </c>
      <c r="G4854" s="3" t="s">
        <v>1897</v>
      </c>
      <c r="H4854" s="2" t="s">
        <v>148</v>
      </c>
      <c r="I4854" s="2" t="s">
        <v>12706</v>
      </c>
      <c r="J4854" s="3" t="str">
        <f>HYPERLINK("https://www.boe.es/gazeta/dias/1811/01/30/pdfs/GMD-1811-30.pdf#page=2","Abrir facsímil")</f>
        <v>Abrir facsímil</v>
      </c>
      <c r="K4854" s="3" t="s">
        <v>150</v>
      </c>
    </row>
    <row r="4855" spans="1:11" ht="42" customHeight="1">
      <c r="A4855" s="2" t="s">
        <v>12707</v>
      </c>
      <c r="B4855" s="2" t="s">
        <v>12707</v>
      </c>
      <c r="C4855" s="2" t="s">
        <v>841</v>
      </c>
      <c r="D4855" s="2" t="s">
        <v>18</v>
      </c>
      <c r="E4855" s="4">
        <v>-32300</v>
      </c>
      <c r="F4855" s="3" t="s">
        <v>492</v>
      </c>
      <c r="G4855" s="3" t="s">
        <v>2710</v>
      </c>
      <c r="H4855" s="2" t="s">
        <v>148</v>
      </c>
      <c r="I4855" s="2" t="s">
        <v>12708</v>
      </c>
      <c r="J4855" s="3" t="str">
        <f>HYPERLINK("https://www.boe.es/gazeta/dias/1811/07/25/pdfs/GMD-1811-206.pdf#page=1","Abrir facsímil")</f>
        <v>Abrir facsímil</v>
      </c>
      <c r="K4855" s="3" t="s">
        <v>150</v>
      </c>
    </row>
    <row r="4856" spans="1:11" ht="42" customHeight="1">
      <c r="A4856" s="2" t="s">
        <v>12709</v>
      </c>
      <c r="B4856" s="2" t="s">
        <v>12709</v>
      </c>
      <c r="C4856" s="2" t="s">
        <v>17</v>
      </c>
      <c r="D4856" s="2" t="s">
        <v>18</v>
      </c>
      <c r="E4856" s="4">
        <v>-32272</v>
      </c>
      <c r="F4856" s="3" t="s">
        <v>12710</v>
      </c>
      <c r="G4856" s="3" t="s">
        <v>39</v>
      </c>
      <c r="H4856" s="2" t="s">
        <v>148</v>
      </c>
      <c r="I4856" s="2" t="s">
        <v>12711</v>
      </c>
      <c r="J4856" s="3" t="str">
        <f>HYPERLINK("https://www.boe.es/gazeta/dias/1811/08/22/pdfs/GMD-1811-234.pdf#page=1","Abrir facsímil")</f>
        <v>Abrir facsímil</v>
      </c>
      <c r="K4856" s="3" t="s">
        <v>150</v>
      </c>
    </row>
    <row r="4857" spans="1:11" ht="42" customHeight="1">
      <c r="A4857" s="2" t="s">
        <v>12712</v>
      </c>
      <c r="B4857" s="2" t="s">
        <v>12712</v>
      </c>
      <c r="C4857" s="2" t="s">
        <v>17</v>
      </c>
      <c r="D4857" s="2" t="s">
        <v>156</v>
      </c>
      <c r="E4857" s="4">
        <v>-32232</v>
      </c>
      <c r="F4857" s="3" t="s">
        <v>1879</v>
      </c>
      <c r="G4857" s="3" t="s">
        <v>120</v>
      </c>
      <c r="H4857" s="2" t="s">
        <v>148</v>
      </c>
      <c r="I4857" s="2" t="s">
        <v>12713</v>
      </c>
      <c r="J4857" s="3" t="str">
        <f>HYPERLINK("https://www.boe.es/gazeta/dias/1811/10/01/pdfs/GMD-1811-274.pdf#page=1","Abrir facsímil")</f>
        <v>Abrir facsímil</v>
      </c>
      <c r="K4857" s="3" t="s">
        <v>150</v>
      </c>
    </row>
    <row r="4858" spans="1:11" ht="42" customHeight="1">
      <c r="A4858" s="2" t="s">
        <v>12714</v>
      </c>
      <c r="B4858" s="2" t="s">
        <v>12714</v>
      </c>
      <c r="C4858" s="2" t="s">
        <v>17</v>
      </c>
      <c r="D4858" s="2" t="s">
        <v>18</v>
      </c>
      <c r="E4858" s="4">
        <v>-32174</v>
      </c>
      <c r="F4858" s="3" t="s">
        <v>3847</v>
      </c>
      <c r="G4858" s="3" t="s">
        <v>2056</v>
      </c>
      <c r="H4858" s="2" t="s">
        <v>148</v>
      </c>
      <c r="I4858" s="2" t="s">
        <v>12715</v>
      </c>
      <c r="J4858" s="3" t="str">
        <f>HYPERLINK("https://www.boe.es/gazeta/dias/1811/11/28/pdfs/GMD-1811-332.pdf#page=2","Abrir facsímil")</f>
        <v>Abrir facsímil</v>
      </c>
      <c r="K4858" s="3" t="s">
        <v>150</v>
      </c>
    </row>
    <row r="4859" spans="1:11" ht="42" customHeight="1">
      <c r="A4859" s="2" t="s">
        <v>12716</v>
      </c>
      <c r="B4859" s="2" t="s">
        <v>12716</v>
      </c>
      <c r="C4859" s="2" t="s">
        <v>17</v>
      </c>
      <c r="D4859" s="2" t="s">
        <v>204</v>
      </c>
      <c r="E4859" s="4">
        <v>-32173</v>
      </c>
      <c r="F4859" s="3" t="s">
        <v>2701</v>
      </c>
      <c r="G4859" s="3" t="s">
        <v>3092</v>
      </c>
      <c r="H4859" s="2" t="s">
        <v>148</v>
      </c>
      <c r="I4859" s="2" t="s">
        <v>12717</v>
      </c>
      <c r="J4859" s="3" t="str">
        <f>HYPERLINK("https://www.boe.es/gazeta/dias/1811/11/29/pdfs/GMD-1811-333.pdf#page=1","Abrir facsímil")</f>
        <v>Abrir facsímil</v>
      </c>
      <c r="K4859" s="3" t="s">
        <v>150</v>
      </c>
    </row>
    <row r="4860" spans="1:11" ht="42" customHeight="1">
      <c r="A4860" s="2" t="s">
        <v>12718</v>
      </c>
      <c r="B4860" s="2" t="s">
        <v>12719</v>
      </c>
      <c r="C4860" s="2" t="s">
        <v>26</v>
      </c>
      <c r="D4860" s="2" t="s">
        <v>204</v>
      </c>
      <c r="E4860" s="4">
        <v>-32299</v>
      </c>
      <c r="F4860" s="3" t="s">
        <v>2124</v>
      </c>
      <c r="G4860" s="3" t="s">
        <v>2442</v>
      </c>
      <c r="H4860" s="2" t="s">
        <v>148</v>
      </c>
      <c r="I4860" s="2" t="s">
        <v>12720</v>
      </c>
      <c r="J4860" s="3" t="str">
        <f>HYPERLINK("https://www.boe.es/gazeta/dias/1811/07/26/pdfs/GMD-1811-207.pdf#page=1","Abrir facsímil")</f>
        <v>Abrir facsímil</v>
      </c>
      <c r="K4860" s="3" t="s">
        <v>150</v>
      </c>
    </row>
    <row r="4861" spans="1:11" ht="42" customHeight="1">
      <c r="A4861" s="2" t="s">
        <v>12721</v>
      </c>
      <c r="B4861" s="2" t="s">
        <v>12721</v>
      </c>
      <c r="C4861" s="2" t="s">
        <v>17</v>
      </c>
      <c r="D4861" s="2" t="s">
        <v>18</v>
      </c>
      <c r="E4861" s="4">
        <v>-32232</v>
      </c>
      <c r="F4861" s="3" t="s">
        <v>1879</v>
      </c>
      <c r="G4861" s="3" t="s">
        <v>120</v>
      </c>
      <c r="H4861" s="2" t="s">
        <v>148</v>
      </c>
      <c r="I4861" s="2" t="s">
        <v>12722</v>
      </c>
      <c r="J4861" s="3" t="str">
        <f>HYPERLINK("https://www.boe.es/gazeta/dias/1811/10/01/pdfs/GMD-1811-274.pdf#page=1","Abrir facsímil")</f>
        <v>Abrir facsímil</v>
      </c>
      <c r="K4861" s="3" t="s">
        <v>150</v>
      </c>
    </row>
    <row r="4862" spans="1:11" ht="42" customHeight="1">
      <c r="A4862" s="2" t="s">
        <v>12723</v>
      </c>
      <c r="B4862" s="2" t="s">
        <v>12723</v>
      </c>
      <c r="C4862" s="2" t="s">
        <v>17</v>
      </c>
      <c r="D4862" s="2" t="s">
        <v>18</v>
      </c>
      <c r="E4862" s="4">
        <v>-32495</v>
      </c>
      <c r="F4862" s="3" t="s">
        <v>1681</v>
      </c>
      <c r="G4862" s="3" t="s">
        <v>129</v>
      </c>
      <c r="H4862" s="2" t="s">
        <v>148</v>
      </c>
      <c r="I4862" s="2" t="s">
        <v>12724</v>
      </c>
      <c r="J4862" s="3" t="str">
        <f>HYPERLINK("https://www.boe.es/gazeta/dias/1811/01/11/pdfs/GMD-1811-11.pdf#page=4","Abrir facsímil")</f>
        <v>Abrir facsímil</v>
      </c>
      <c r="K4862" s="3" t="s">
        <v>150</v>
      </c>
    </row>
    <row r="4863" spans="1:11" ht="42" customHeight="1">
      <c r="A4863" s="2" t="s">
        <v>12725</v>
      </c>
      <c r="B4863" s="2" t="s">
        <v>12725</v>
      </c>
      <c r="C4863" s="2" t="s">
        <v>17</v>
      </c>
      <c r="D4863" s="2" t="s">
        <v>18</v>
      </c>
      <c r="E4863" s="4">
        <v>-32331</v>
      </c>
      <c r="F4863" s="3" t="s">
        <v>781</v>
      </c>
      <c r="G4863" s="3" t="s">
        <v>91</v>
      </c>
      <c r="H4863" s="2" t="s">
        <v>148</v>
      </c>
      <c r="I4863" s="2" t="s">
        <v>12726</v>
      </c>
      <c r="J4863" s="3" t="str">
        <f>HYPERLINK("https://www.boe.es/gazeta/dias/1811/06/24/pdfs/GMD-1811-175.pdf#page=2","Abrir facsímil")</f>
        <v>Abrir facsímil</v>
      </c>
      <c r="K4863" s="3" t="s">
        <v>150</v>
      </c>
    </row>
    <row r="4864" spans="1:11" ht="42" customHeight="1">
      <c r="A4864" s="2" t="s">
        <v>12727</v>
      </c>
      <c r="B4864" s="2" t="s">
        <v>12727</v>
      </c>
      <c r="C4864" s="2" t="s">
        <v>17</v>
      </c>
      <c r="D4864" s="2" t="s">
        <v>18</v>
      </c>
      <c r="E4864" s="4">
        <v>-32265</v>
      </c>
      <c r="F4864" s="3" t="s">
        <v>12728</v>
      </c>
      <c r="G4864" s="3" t="s">
        <v>162</v>
      </c>
      <c r="H4864" s="2" t="s">
        <v>148</v>
      </c>
      <c r="I4864" s="2" t="s">
        <v>12729</v>
      </c>
      <c r="J4864" s="3" t="str">
        <f>HYPERLINK("https://www.boe.es/gazeta/dias/1811/08/29/pdfs/GMD-1811-241.pdf#page=1","Abrir facsímil")</f>
        <v>Abrir facsímil</v>
      </c>
      <c r="K4864" s="3" t="s">
        <v>150</v>
      </c>
    </row>
    <row r="4865" spans="1:11" ht="42" customHeight="1">
      <c r="A4865" s="2" t="s">
        <v>12730</v>
      </c>
      <c r="B4865" s="2" t="s">
        <v>12730</v>
      </c>
      <c r="C4865" s="2" t="s">
        <v>104</v>
      </c>
      <c r="D4865" s="2" t="s">
        <v>204</v>
      </c>
      <c r="E4865" s="4">
        <v>-32326</v>
      </c>
      <c r="F4865" s="3" t="s">
        <v>2321</v>
      </c>
      <c r="G4865" s="3" t="s">
        <v>183</v>
      </c>
      <c r="H4865" s="2" t="s">
        <v>148</v>
      </c>
      <c r="I4865" s="2" t="s">
        <v>12731</v>
      </c>
      <c r="J4865" s="3" t="str">
        <f>HYPERLINK("https://www.boe.es/gazeta/dias/1811/06/29/pdfs/GMD-1811-180.pdf#page=4","Abrir facsímil")</f>
        <v>Abrir facsímil</v>
      </c>
      <c r="K4865" s="3" t="s">
        <v>150</v>
      </c>
    </row>
    <row r="4866" spans="1:11" ht="42" customHeight="1">
      <c r="A4866" s="2" t="s">
        <v>12732</v>
      </c>
      <c r="B4866" s="2" t="s">
        <v>12732</v>
      </c>
      <c r="C4866" s="2" t="s">
        <v>104</v>
      </c>
      <c r="D4866" s="2" t="s">
        <v>18</v>
      </c>
      <c r="E4866" s="4">
        <v>-32200</v>
      </c>
      <c r="F4866" s="3" t="s">
        <v>8807</v>
      </c>
      <c r="G4866" s="3" t="s">
        <v>178</v>
      </c>
      <c r="H4866" s="2" t="s">
        <v>148</v>
      </c>
      <c r="I4866" s="2" t="s">
        <v>12733</v>
      </c>
      <c r="J4866" s="3" t="str">
        <f>HYPERLINK("https://www.boe.es/gazeta/dias/1811/11/02/pdfs/GMD-1811-306.pdf#page=2","Abrir facsímil")</f>
        <v>Abrir facsímil</v>
      </c>
      <c r="K4866" s="3" t="s">
        <v>150</v>
      </c>
    </row>
    <row r="4867" spans="1:11" ht="42" customHeight="1">
      <c r="A4867" s="2" t="s">
        <v>12734</v>
      </c>
      <c r="B4867" s="2" t="s">
        <v>12734</v>
      </c>
      <c r="C4867" s="2" t="s">
        <v>17</v>
      </c>
      <c r="D4867" s="2" t="s">
        <v>18</v>
      </c>
      <c r="E4867" s="4">
        <v>-32355</v>
      </c>
      <c r="F4867" s="3" t="s">
        <v>2342</v>
      </c>
      <c r="G4867" s="3" t="s">
        <v>20</v>
      </c>
      <c r="H4867" s="2" t="s">
        <v>148</v>
      </c>
      <c r="I4867" s="2" t="s">
        <v>12735</v>
      </c>
      <c r="J4867" s="3" t="str">
        <f>HYPERLINK("https://www.boe.es/gazeta/dias/1811/05/31/pdfs/GMD-1811-151.pdf#page=4","Abrir facsímil")</f>
        <v>Abrir facsímil</v>
      </c>
      <c r="K4867" s="3" t="s">
        <v>150</v>
      </c>
    </row>
    <row r="4868" spans="1:11" ht="42" customHeight="1">
      <c r="A4868" s="2" t="s">
        <v>12736</v>
      </c>
      <c r="B4868" s="2" t="s">
        <v>12736</v>
      </c>
      <c r="C4868" s="2" t="s">
        <v>17</v>
      </c>
      <c r="D4868" s="2" t="s">
        <v>156</v>
      </c>
      <c r="E4868" s="4">
        <v>-32431</v>
      </c>
      <c r="F4868" s="3" t="s">
        <v>668</v>
      </c>
      <c r="G4868" s="3" t="s">
        <v>20</v>
      </c>
      <c r="H4868" s="2" t="s">
        <v>148</v>
      </c>
      <c r="I4868" s="2" t="s">
        <v>12737</v>
      </c>
      <c r="J4868" s="3" t="str">
        <f>HYPERLINK("https://www.boe.es/gazeta/dias/1811/03/16/pdfs/GMD-1811-75.pdf#page=3","Abrir facsímil")</f>
        <v>Abrir facsímil</v>
      </c>
      <c r="K4868" s="3" t="s">
        <v>150</v>
      </c>
    </row>
    <row r="4869" spans="1:11" ht="42" customHeight="1">
      <c r="A4869" s="2" t="s">
        <v>12738</v>
      </c>
      <c r="B4869" s="2" t="s">
        <v>12738</v>
      </c>
      <c r="C4869" s="2" t="s">
        <v>367</v>
      </c>
      <c r="D4869" s="2" t="s">
        <v>18</v>
      </c>
      <c r="E4869" s="4">
        <v>-32297</v>
      </c>
      <c r="F4869" s="3" t="s">
        <v>2174</v>
      </c>
      <c r="G4869" s="3" t="s">
        <v>183</v>
      </c>
      <c r="H4869" s="2" t="s">
        <v>148</v>
      </c>
      <c r="I4869" s="2" t="s">
        <v>12739</v>
      </c>
      <c r="J4869" s="3" t="str">
        <f>HYPERLINK("https://www.boe.es/gazeta/dias/1811/07/28/pdfs/GMD-1811-209.pdf#page=4","Abrir facsímil")</f>
        <v>Abrir facsímil</v>
      </c>
      <c r="K4869" s="3" t="s">
        <v>150</v>
      </c>
    </row>
    <row r="4870" spans="1:11" ht="42" customHeight="1">
      <c r="A4870" s="2" t="s">
        <v>12740</v>
      </c>
      <c r="B4870" s="2" t="s">
        <v>12740</v>
      </c>
      <c r="C4870" s="2" t="s">
        <v>17</v>
      </c>
      <c r="D4870" s="2" t="s">
        <v>204</v>
      </c>
      <c r="E4870" s="4">
        <v>-32378</v>
      </c>
      <c r="F4870" s="3" t="s">
        <v>2655</v>
      </c>
      <c r="G4870" s="3" t="s">
        <v>1433</v>
      </c>
      <c r="H4870" s="2" t="s">
        <v>148</v>
      </c>
      <c r="I4870" s="2" t="s">
        <v>12741</v>
      </c>
      <c r="J4870" s="3" t="str">
        <f>HYPERLINK("https://www.boe.es/gazeta/dias/1811/05/08/pdfs/GMD-1811-128.pdf#page=1","Abrir facsímil")</f>
        <v>Abrir facsímil</v>
      </c>
      <c r="K4870" s="3" t="s">
        <v>150</v>
      </c>
    </row>
    <row r="4871" spans="1:11" ht="42" customHeight="1">
      <c r="A4871" s="2" t="s">
        <v>12740</v>
      </c>
      <c r="B4871" s="2" t="s">
        <v>12740</v>
      </c>
      <c r="C4871" s="2" t="s">
        <v>17</v>
      </c>
      <c r="D4871" s="2" t="s">
        <v>204</v>
      </c>
      <c r="E4871" s="4">
        <v>-32173</v>
      </c>
      <c r="F4871" s="3" t="s">
        <v>2701</v>
      </c>
      <c r="G4871" s="3" t="s">
        <v>3092</v>
      </c>
      <c r="H4871" s="2" t="s">
        <v>148</v>
      </c>
      <c r="I4871" s="2" t="s">
        <v>12742</v>
      </c>
      <c r="J4871" s="3" t="str">
        <f>HYPERLINK("https://www.boe.es/gazeta/dias/1811/11/29/pdfs/GMD-1811-333.pdf#page=1","Abrir facsímil")</f>
        <v>Abrir facsímil</v>
      </c>
      <c r="K4871" s="3" t="s">
        <v>150</v>
      </c>
    </row>
    <row r="4872" spans="1:11" ht="42" customHeight="1">
      <c r="A4872" s="2" t="s">
        <v>12743</v>
      </c>
      <c r="B4872" s="2" t="s">
        <v>12744</v>
      </c>
      <c r="C4872" s="2" t="s">
        <v>26</v>
      </c>
      <c r="D4872" s="2" t="s">
        <v>18</v>
      </c>
      <c r="E4872" s="4">
        <v>-32347</v>
      </c>
      <c r="F4872" s="3" t="s">
        <v>5230</v>
      </c>
      <c r="G4872" s="3" t="s">
        <v>248</v>
      </c>
      <c r="H4872" s="2" t="s">
        <v>148</v>
      </c>
      <c r="I4872" s="2" t="s">
        <v>12745</v>
      </c>
      <c r="J4872" s="3" t="str">
        <f>HYPERLINK("https://www.boe.es/gazeta/dias/1811/06/08/pdfs/GMD-1811-159.pdf#page=4","Abrir facsímil")</f>
        <v>Abrir facsímil</v>
      </c>
      <c r="K4872" s="3" t="s">
        <v>150</v>
      </c>
    </row>
    <row r="4873" spans="1:11" ht="42" customHeight="1">
      <c r="A4873" s="2" t="s">
        <v>12746</v>
      </c>
      <c r="B4873" s="2" t="s">
        <v>12747</v>
      </c>
      <c r="C4873" s="2" t="s">
        <v>104</v>
      </c>
      <c r="D4873" s="2" t="s">
        <v>18</v>
      </c>
      <c r="E4873" s="4">
        <v>-32403</v>
      </c>
      <c r="F4873" s="3" t="s">
        <v>1915</v>
      </c>
      <c r="G4873" s="3" t="s">
        <v>7607</v>
      </c>
      <c r="H4873" s="2" t="s">
        <v>148</v>
      </c>
      <c r="I4873" s="2" t="s">
        <v>12748</v>
      </c>
      <c r="J4873" s="3" t="str">
        <f>HYPERLINK("https://www.boe.es/gazeta/dias/1811/04/13/pdfs/GEI-1811-50.pdf#page=1","Abrir facsímil")</f>
        <v>Abrir facsímil</v>
      </c>
      <c r="K4873" s="3" t="s">
        <v>150</v>
      </c>
    </row>
    <row r="4874" spans="1:11" ht="42" customHeight="1">
      <c r="A4874" s="2" t="s">
        <v>12749</v>
      </c>
      <c r="B4874" s="2" t="s">
        <v>12749</v>
      </c>
      <c r="C4874" s="2" t="s">
        <v>17</v>
      </c>
      <c r="D4874" s="2" t="s">
        <v>156</v>
      </c>
      <c r="E4874" s="4">
        <v>-32305</v>
      </c>
      <c r="F4874" s="3" t="s">
        <v>12656</v>
      </c>
      <c r="G4874" s="3" t="s">
        <v>12657</v>
      </c>
      <c r="H4874" s="2" t="s">
        <v>148</v>
      </c>
      <c r="I4874" s="2" t="s">
        <v>12750</v>
      </c>
      <c r="J4874" s="3" t="str">
        <f>HYPERLINK("https://www.boe.es/gazeta/dias/1811/07/20/pdfs/GMD-1811-201.pdf#page=2","Abrir facsímil")</f>
        <v>Abrir facsímil</v>
      </c>
      <c r="K4874" s="3" t="s">
        <v>150</v>
      </c>
    </row>
    <row r="4875" spans="1:11" ht="42" customHeight="1">
      <c r="A4875" s="2" t="s">
        <v>12751</v>
      </c>
      <c r="B4875" s="2" t="s">
        <v>12751</v>
      </c>
      <c r="C4875" s="2" t="s">
        <v>17</v>
      </c>
      <c r="D4875" s="2" t="s">
        <v>156</v>
      </c>
      <c r="E4875" s="4">
        <v>-32331</v>
      </c>
      <c r="F4875" s="3" t="s">
        <v>781</v>
      </c>
      <c r="G4875" s="3" t="s">
        <v>91</v>
      </c>
      <c r="H4875" s="2" t="s">
        <v>148</v>
      </c>
      <c r="I4875" s="2" t="s">
        <v>12752</v>
      </c>
      <c r="J4875" s="3" t="str">
        <f>HYPERLINK("https://www.boe.es/gazeta/dias/1811/06/24/pdfs/GMD-1811-175.pdf#page=2","Abrir facsímil")</f>
        <v>Abrir facsímil</v>
      </c>
      <c r="K4875" s="3" t="s">
        <v>150</v>
      </c>
    </row>
    <row r="4876" spans="1:11" ht="42" customHeight="1">
      <c r="A4876" s="2" t="s">
        <v>12753</v>
      </c>
      <c r="B4876" s="2" t="s">
        <v>12753</v>
      </c>
      <c r="C4876" s="2" t="s">
        <v>17</v>
      </c>
      <c r="D4876" s="2" t="s">
        <v>105</v>
      </c>
      <c r="E4876" s="4">
        <v>-32385</v>
      </c>
      <c r="F4876" s="3" t="s">
        <v>2952</v>
      </c>
      <c r="G4876" s="3" t="s">
        <v>10024</v>
      </c>
      <c r="H4876" s="2" t="s">
        <v>148</v>
      </c>
      <c r="I4876" s="2" t="s">
        <v>12754</v>
      </c>
      <c r="J4876" s="3" t="str">
        <f>HYPERLINK("https://www.boe.es/gazeta/dias/1811/05/01/pdfs/GMD-1811-121.pdf#page=1","Abrir facsímil")</f>
        <v>Abrir facsímil</v>
      </c>
      <c r="K4876" s="3" t="s">
        <v>150</v>
      </c>
    </row>
    <row r="4877" spans="1:11" ht="42" customHeight="1">
      <c r="A4877" s="2" t="s">
        <v>12755</v>
      </c>
      <c r="B4877" s="2" t="s">
        <v>12755</v>
      </c>
      <c r="C4877" s="2" t="s">
        <v>17</v>
      </c>
      <c r="D4877" s="2" t="s">
        <v>156</v>
      </c>
      <c r="E4877" s="4">
        <v>-32264</v>
      </c>
      <c r="F4877" s="3" t="s">
        <v>3038</v>
      </c>
      <c r="G4877" s="3" t="s">
        <v>778</v>
      </c>
      <c r="H4877" s="2" t="s">
        <v>148</v>
      </c>
      <c r="I4877" s="2" t="s">
        <v>12756</v>
      </c>
      <c r="J4877" s="3" t="str">
        <f>HYPERLINK("https://www.boe.es/gazeta/dias/1811/08/30/pdfs/GMD-1811-242.pdf#page=1","Abrir facsímil")</f>
        <v>Abrir facsímil</v>
      </c>
      <c r="K4877" s="3" t="s">
        <v>150</v>
      </c>
    </row>
    <row r="4878" spans="1:11" ht="42" customHeight="1">
      <c r="A4878" s="2" t="s">
        <v>12755</v>
      </c>
      <c r="B4878" s="2" t="s">
        <v>12755</v>
      </c>
      <c r="C4878" s="2" t="s">
        <v>17</v>
      </c>
      <c r="D4878" s="2" t="s">
        <v>18</v>
      </c>
      <c r="E4878" s="4">
        <v>-32259</v>
      </c>
      <c r="F4878" s="3" t="s">
        <v>3276</v>
      </c>
      <c r="G4878" s="3" t="s">
        <v>468</v>
      </c>
      <c r="H4878" s="2" t="s">
        <v>148</v>
      </c>
      <c r="I4878" s="2" t="s">
        <v>12757</v>
      </c>
      <c r="J4878" s="3" t="str">
        <f>HYPERLINK("https://www.boe.es/gazeta/dias/1811/09/04/pdfs/GMD-1811-247.pdf#page=2","Abrir facsímil")</f>
        <v>Abrir facsímil</v>
      </c>
      <c r="K4878" s="3" t="s">
        <v>150</v>
      </c>
    </row>
    <row r="4879" spans="1:11" ht="42" customHeight="1">
      <c r="A4879" s="2" t="s">
        <v>12755</v>
      </c>
      <c r="B4879" s="2" t="s">
        <v>12755</v>
      </c>
      <c r="C4879" s="2" t="s">
        <v>17</v>
      </c>
      <c r="D4879" s="2" t="s">
        <v>18</v>
      </c>
      <c r="E4879" s="4">
        <v>-32144</v>
      </c>
      <c r="F4879" s="3" t="s">
        <v>10241</v>
      </c>
      <c r="G4879" s="3" t="s">
        <v>12758</v>
      </c>
      <c r="H4879" s="2" t="s">
        <v>148</v>
      </c>
      <c r="I4879" s="2" t="s">
        <v>12759</v>
      </c>
      <c r="J4879" s="3" t="str">
        <f>HYPERLINK("https://www.boe.es/gazeta/dias/1811/12/28/pdfs/GMD-1811-362.pdf#page=2","Abrir facsímil")</f>
        <v>Abrir facsímil</v>
      </c>
      <c r="K4879" s="3" t="s">
        <v>150</v>
      </c>
    </row>
    <row r="4880" spans="1:11" ht="42" customHeight="1">
      <c r="A4880" s="2" t="s">
        <v>12760</v>
      </c>
      <c r="B4880" s="2" t="s">
        <v>12760</v>
      </c>
      <c r="C4880" s="2" t="s">
        <v>17</v>
      </c>
      <c r="D4880" s="2" t="s">
        <v>18</v>
      </c>
      <c r="E4880" s="4">
        <v>-32359</v>
      </c>
      <c r="F4880" s="3" t="s">
        <v>7795</v>
      </c>
      <c r="G4880" s="3" t="s">
        <v>468</v>
      </c>
      <c r="H4880" s="2" t="s">
        <v>148</v>
      </c>
      <c r="I4880" s="2" t="s">
        <v>12761</v>
      </c>
      <c r="J4880" s="3" t="str">
        <f>HYPERLINK("https://www.boe.es/gazeta/dias/1811/05/27/pdfs/GMD-1811-147.pdf#page=1","Abrir facsímil")</f>
        <v>Abrir facsímil</v>
      </c>
      <c r="K4880" s="3" t="s">
        <v>150</v>
      </c>
    </row>
    <row r="4881" spans="1:11" ht="42" customHeight="1">
      <c r="A4881" s="2" t="s">
        <v>12762</v>
      </c>
      <c r="B4881" s="2" t="s">
        <v>12762</v>
      </c>
      <c r="C4881" s="2" t="s">
        <v>17</v>
      </c>
      <c r="D4881" s="2" t="s">
        <v>156</v>
      </c>
      <c r="E4881" s="4">
        <v>-32225</v>
      </c>
      <c r="F4881" s="3" t="s">
        <v>2347</v>
      </c>
      <c r="G4881" s="3" t="s">
        <v>178</v>
      </c>
      <c r="H4881" s="2" t="s">
        <v>148</v>
      </c>
      <c r="I4881" s="2" t="s">
        <v>12763</v>
      </c>
      <c r="J4881" s="3" t="str">
        <f>HYPERLINK("https://www.boe.es/gazeta/dias/1811/10/08/pdfs/GMD-1811-281.pdf#page=2","Abrir facsímil")</f>
        <v>Abrir facsímil</v>
      </c>
      <c r="K4881" s="3" t="s">
        <v>150</v>
      </c>
    </row>
    <row r="4882" spans="1:11" ht="42" customHeight="1">
      <c r="A4882" s="2" t="s">
        <v>12762</v>
      </c>
      <c r="B4882" s="2" t="s">
        <v>12762</v>
      </c>
      <c r="C4882" s="2" t="s">
        <v>17</v>
      </c>
      <c r="D4882" s="2" t="s">
        <v>18</v>
      </c>
      <c r="E4882" s="4">
        <v>-32151</v>
      </c>
      <c r="F4882" s="3" t="s">
        <v>313</v>
      </c>
      <c r="G4882" s="3" t="s">
        <v>57</v>
      </c>
      <c r="H4882" s="2" t="s">
        <v>148</v>
      </c>
      <c r="I4882" s="2" t="s">
        <v>12764</v>
      </c>
      <c r="J4882" s="3" t="str">
        <f>HYPERLINK("https://www.boe.es/gazeta/dias/1811/12/21/pdfs/GEI-1811-165.pdf#page=2","Abrir facsímil")</f>
        <v>Abrir facsímil</v>
      </c>
      <c r="K4882" s="3" t="s">
        <v>150</v>
      </c>
    </row>
    <row r="4883" spans="1:11" ht="42" customHeight="1">
      <c r="A4883" s="2" t="s">
        <v>12765</v>
      </c>
      <c r="B4883" s="2" t="s">
        <v>12765</v>
      </c>
      <c r="C4883" s="2" t="s">
        <v>17</v>
      </c>
      <c r="D4883" s="2" t="s">
        <v>204</v>
      </c>
      <c r="E4883" s="4">
        <v>-32280</v>
      </c>
      <c r="F4883" s="3" t="s">
        <v>7865</v>
      </c>
      <c r="G4883" s="3" t="s">
        <v>162</v>
      </c>
      <c r="H4883" s="2" t="s">
        <v>148</v>
      </c>
      <c r="I4883" s="2" t="s">
        <v>12766</v>
      </c>
      <c r="J4883" s="3" t="str">
        <f>HYPERLINK("https://www.boe.es/gazeta/dias/1811/08/14/pdfs/GMD-1811-226.pdf#page=1","Abrir facsímil")</f>
        <v>Abrir facsímil</v>
      </c>
      <c r="K4883" s="3" t="s">
        <v>150</v>
      </c>
    </row>
    <row r="4884" spans="1:11" ht="42" customHeight="1">
      <c r="A4884" s="2" t="s">
        <v>12767</v>
      </c>
      <c r="B4884" s="2" t="s">
        <v>12767</v>
      </c>
      <c r="C4884" s="2" t="s">
        <v>17</v>
      </c>
      <c r="D4884" s="2" t="s">
        <v>18</v>
      </c>
      <c r="E4884" s="4">
        <v>-32153</v>
      </c>
      <c r="F4884" s="3" t="s">
        <v>123</v>
      </c>
      <c r="G4884" s="3" t="s">
        <v>12768</v>
      </c>
      <c r="H4884" s="2" t="s">
        <v>148</v>
      </c>
      <c r="I4884" s="2" t="s">
        <v>12769</v>
      </c>
      <c r="J4884" s="3" t="str">
        <f>HYPERLINK("https://www.boe.es/gazeta/dias/1811/12/19/pdfs/GMD-1811-353.pdf#page=1","Abrir facsímil")</f>
        <v>Abrir facsímil</v>
      </c>
      <c r="K4884" s="3" t="s">
        <v>150</v>
      </c>
    </row>
    <row r="4885" spans="1:11" ht="42" customHeight="1">
      <c r="A4885" s="2" t="s">
        <v>12770</v>
      </c>
      <c r="B4885" s="2" t="s">
        <v>12770</v>
      </c>
      <c r="C4885" s="2" t="s">
        <v>17</v>
      </c>
      <c r="D4885" s="2" t="s">
        <v>18</v>
      </c>
      <c r="E4885" s="4">
        <v>-32360</v>
      </c>
      <c r="F4885" s="3" t="s">
        <v>5470</v>
      </c>
      <c r="G4885" s="3" t="s">
        <v>468</v>
      </c>
      <c r="H4885" s="2" t="s">
        <v>148</v>
      </c>
      <c r="I4885" s="2" t="s">
        <v>12771</v>
      </c>
      <c r="J4885" s="3" t="str">
        <f>HYPERLINK("https://www.boe.es/gazeta/dias/1811/05/26/pdfs/GMD-1811-146.pdf#page=1","Abrir facsímil")</f>
        <v>Abrir facsímil</v>
      </c>
      <c r="K4885" s="3" t="s">
        <v>150</v>
      </c>
    </row>
    <row r="4886" spans="1:11" ht="42" customHeight="1">
      <c r="A4886" s="2" t="s">
        <v>12770</v>
      </c>
      <c r="B4886" s="2" t="s">
        <v>12770</v>
      </c>
      <c r="C4886" s="2" t="s">
        <v>17</v>
      </c>
      <c r="D4886" s="2" t="s">
        <v>18</v>
      </c>
      <c r="E4886" s="4">
        <v>-32305</v>
      </c>
      <c r="F4886" s="3" t="s">
        <v>12656</v>
      </c>
      <c r="G4886" s="3" t="s">
        <v>12772</v>
      </c>
      <c r="H4886" s="2" t="s">
        <v>148</v>
      </c>
      <c r="I4886" s="2" t="s">
        <v>12773</v>
      </c>
      <c r="J4886" s="3" t="str">
        <f>HYPERLINK("https://www.boe.es/gazeta/dias/1811/07/20/pdfs/GMD-1811-201.pdf#page=1","Abrir facsímil")</f>
        <v>Abrir facsímil</v>
      </c>
      <c r="K4886" s="3" t="s">
        <v>150</v>
      </c>
    </row>
    <row r="4887" spans="1:11" ht="42" customHeight="1">
      <c r="A4887" s="2" t="s">
        <v>12770</v>
      </c>
      <c r="B4887" s="2" t="s">
        <v>12770</v>
      </c>
      <c r="C4887" s="2" t="s">
        <v>17</v>
      </c>
      <c r="D4887" s="2" t="s">
        <v>18</v>
      </c>
      <c r="E4887" s="4">
        <v>-32305</v>
      </c>
      <c r="F4887" s="3" t="s">
        <v>12656</v>
      </c>
      <c r="G4887" s="3" t="s">
        <v>12657</v>
      </c>
      <c r="H4887" s="2" t="s">
        <v>148</v>
      </c>
      <c r="I4887" s="2" t="s">
        <v>12774</v>
      </c>
      <c r="J4887" s="3" t="str">
        <f>HYPERLINK("https://www.boe.es/gazeta/dias/1811/07/20/pdfs/GMD-1811-201.pdf#page=2","Abrir facsímil")</f>
        <v>Abrir facsímil</v>
      </c>
      <c r="K4887" s="3" t="s">
        <v>150</v>
      </c>
    </row>
    <row r="4888" spans="1:11" ht="42" customHeight="1">
      <c r="A4888" s="2" t="s">
        <v>12770</v>
      </c>
      <c r="B4888" s="2" t="s">
        <v>12770</v>
      </c>
      <c r="C4888" s="2" t="s">
        <v>17</v>
      </c>
      <c r="D4888" s="2" t="s">
        <v>156</v>
      </c>
      <c r="E4888" s="4">
        <v>-32280</v>
      </c>
      <c r="F4888" s="3" t="s">
        <v>7865</v>
      </c>
      <c r="G4888" s="3" t="s">
        <v>57</v>
      </c>
      <c r="H4888" s="2" t="s">
        <v>148</v>
      </c>
      <c r="I4888" s="2" t="s">
        <v>12775</v>
      </c>
      <c r="J4888" s="3" t="str">
        <f>HYPERLINK("https://www.boe.es/gazeta/dias/1811/08/14/pdfs/GMD-1811-226.pdf#page=2","Abrir facsímil")</f>
        <v>Abrir facsímil</v>
      </c>
      <c r="K4888" s="3" t="s">
        <v>150</v>
      </c>
    </row>
    <row r="4889" spans="1:11" ht="42" customHeight="1">
      <c r="A4889" s="2" t="s">
        <v>12770</v>
      </c>
      <c r="B4889" s="2" t="s">
        <v>12770</v>
      </c>
      <c r="C4889" s="2" t="s">
        <v>17</v>
      </c>
      <c r="D4889" s="2" t="s">
        <v>156</v>
      </c>
      <c r="E4889" s="4">
        <v>-32249</v>
      </c>
      <c r="F4889" s="3" t="s">
        <v>182</v>
      </c>
      <c r="G4889" s="3" t="s">
        <v>162</v>
      </c>
      <c r="H4889" s="2" t="s">
        <v>148</v>
      </c>
      <c r="I4889" s="2" t="s">
        <v>12776</v>
      </c>
      <c r="J4889" s="3" t="str">
        <f>HYPERLINK("https://www.boe.es/gazeta/dias/1811/09/14/pdfs/GMD-1811-257.pdf#page=1","Abrir facsímil")</f>
        <v>Abrir facsímil</v>
      </c>
      <c r="K4889" s="3" t="s">
        <v>150</v>
      </c>
    </row>
    <row r="4890" spans="1:11" ht="42" customHeight="1">
      <c r="A4890" s="2" t="s">
        <v>12770</v>
      </c>
      <c r="B4890" s="2" t="s">
        <v>12770</v>
      </c>
      <c r="C4890" s="2" t="s">
        <v>17</v>
      </c>
      <c r="D4890" s="2" t="s">
        <v>156</v>
      </c>
      <c r="E4890" s="4">
        <v>-32243</v>
      </c>
      <c r="F4890" s="3" t="s">
        <v>51</v>
      </c>
      <c r="G4890" s="3" t="s">
        <v>12777</v>
      </c>
      <c r="H4890" s="2" t="s">
        <v>148</v>
      </c>
      <c r="I4890" s="2" t="s">
        <v>12778</v>
      </c>
      <c r="J4890" s="3" t="str">
        <f>HYPERLINK("https://www.boe.es/gazeta/dias/1811/09/20/pdfs/GMD-1811-263.pdf#page=1","Abrir facsímil")</f>
        <v>Abrir facsímil</v>
      </c>
      <c r="K4890" s="3" t="s">
        <v>150</v>
      </c>
    </row>
    <row r="4891" spans="1:11" ht="42" customHeight="1">
      <c r="A4891" s="2" t="s">
        <v>12770</v>
      </c>
      <c r="B4891" s="2" t="s">
        <v>12770</v>
      </c>
      <c r="C4891" s="2" t="s">
        <v>17</v>
      </c>
      <c r="D4891" s="2" t="s">
        <v>18</v>
      </c>
      <c r="E4891" s="4">
        <v>-32242</v>
      </c>
      <c r="F4891" s="3" t="s">
        <v>3015</v>
      </c>
      <c r="G4891" s="3" t="s">
        <v>3016</v>
      </c>
      <c r="H4891" s="2" t="s">
        <v>148</v>
      </c>
      <c r="I4891" s="2" t="s">
        <v>12779</v>
      </c>
      <c r="J4891" s="3" t="str">
        <f>HYPERLINK("https://www.boe.es/gazeta/dias/1811/09/21/pdfs/GMD-1811-264.pdf#page=2","Abrir facsímil")</f>
        <v>Abrir facsímil</v>
      </c>
      <c r="K4891" s="3" t="s">
        <v>150</v>
      </c>
    </row>
    <row r="4892" spans="1:11" ht="42" customHeight="1">
      <c r="A4892" s="2" t="s">
        <v>12770</v>
      </c>
      <c r="B4892" s="2" t="s">
        <v>12770</v>
      </c>
      <c r="C4892" s="2" t="s">
        <v>17</v>
      </c>
      <c r="D4892" s="2" t="s">
        <v>18</v>
      </c>
      <c r="E4892" s="4">
        <v>-32234</v>
      </c>
      <c r="F4892" s="3" t="s">
        <v>12552</v>
      </c>
      <c r="G4892" s="3" t="s">
        <v>39</v>
      </c>
      <c r="H4892" s="2" t="s">
        <v>148</v>
      </c>
      <c r="I4892" s="2" t="s">
        <v>12780</v>
      </c>
      <c r="J4892" s="3" t="str">
        <f>HYPERLINK("https://www.boe.es/gazeta/dias/1811/09/29/pdfs/GMD-1811-272.pdf#page=1","Abrir facsímil")</f>
        <v>Abrir facsímil</v>
      </c>
      <c r="K4892" s="3" t="s">
        <v>150</v>
      </c>
    </row>
    <row r="4893" spans="1:11" ht="42" customHeight="1">
      <c r="A4893" s="2" t="s">
        <v>12770</v>
      </c>
      <c r="B4893" s="2" t="s">
        <v>12770</v>
      </c>
      <c r="C4893" s="2" t="s">
        <v>17</v>
      </c>
      <c r="D4893" s="2" t="s">
        <v>156</v>
      </c>
      <c r="E4893" s="4">
        <v>-32230</v>
      </c>
      <c r="F4893" s="3" t="s">
        <v>625</v>
      </c>
      <c r="G4893" s="3" t="s">
        <v>626</v>
      </c>
      <c r="H4893" s="2" t="s">
        <v>148</v>
      </c>
      <c r="I4893" s="2" t="s">
        <v>12781</v>
      </c>
      <c r="J4893" s="3" t="str">
        <f>HYPERLINK("https://www.boe.es/gazeta/dias/1811/10/03/pdfs/GEI-1811-127.pdf#page=1","Abrir facsímil")</f>
        <v>Abrir facsímil</v>
      </c>
      <c r="K4893" s="3" t="s">
        <v>150</v>
      </c>
    </row>
    <row r="4894" spans="1:11" ht="42" customHeight="1">
      <c r="A4894" s="2" t="s">
        <v>12770</v>
      </c>
      <c r="B4894" s="2" t="s">
        <v>12770</v>
      </c>
      <c r="C4894" s="2" t="s">
        <v>17</v>
      </c>
      <c r="D4894" s="2" t="s">
        <v>156</v>
      </c>
      <c r="E4894" s="4">
        <v>-32220</v>
      </c>
      <c r="F4894" s="3" t="s">
        <v>2852</v>
      </c>
      <c r="G4894" s="3" t="s">
        <v>91</v>
      </c>
      <c r="H4894" s="2" t="s">
        <v>148</v>
      </c>
      <c r="I4894" s="2" t="s">
        <v>12782</v>
      </c>
      <c r="J4894" s="3" t="str">
        <f>HYPERLINK("https://www.boe.es/gazeta/dias/1811/10/13/pdfs/GMD-1811-286.pdf#page=2","Abrir facsímil")</f>
        <v>Abrir facsímil</v>
      </c>
      <c r="K4894" s="3" t="s">
        <v>150</v>
      </c>
    </row>
    <row r="4895" spans="1:11" ht="42" customHeight="1">
      <c r="A4895" s="2" t="s">
        <v>12770</v>
      </c>
      <c r="B4895" s="2" t="s">
        <v>12770</v>
      </c>
      <c r="C4895" s="2" t="s">
        <v>17</v>
      </c>
      <c r="D4895" s="2" t="s">
        <v>156</v>
      </c>
      <c r="E4895" s="4">
        <v>-32219</v>
      </c>
      <c r="F4895" s="3" t="s">
        <v>2681</v>
      </c>
      <c r="G4895" s="3" t="s">
        <v>12783</v>
      </c>
      <c r="H4895" s="2" t="s">
        <v>148</v>
      </c>
      <c r="I4895" s="2" t="s">
        <v>12784</v>
      </c>
      <c r="J4895" s="3" t="str">
        <f>HYPERLINK("https://www.boe.es/gazeta/dias/1811/10/14/pdfs/GMD-1811-287.pdf#page=1","Abrir facsímil")</f>
        <v>Abrir facsímil</v>
      </c>
      <c r="K4895" s="3" t="s">
        <v>150</v>
      </c>
    </row>
    <row r="4896" spans="1:11" ht="42" customHeight="1">
      <c r="A4896" s="2" t="s">
        <v>12770</v>
      </c>
      <c r="B4896" s="2" t="s">
        <v>12770</v>
      </c>
      <c r="C4896" s="2" t="s">
        <v>17</v>
      </c>
      <c r="D4896" s="2" t="s">
        <v>18</v>
      </c>
      <c r="E4896" s="4">
        <v>-32206</v>
      </c>
      <c r="F4896" s="3" t="s">
        <v>9976</v>
      </c>
      <c r="G4896" s="3" t="s">
        <v>553</v>
      </c>
      <c r="H4896" s="2" t="s">
        <v>148</v>
      </c>
      <c r="I4896" s="2" t="s">
        <v>12785</v>
      </c>
      <c r="J4896" s="3" t="str">
        <f>HYPERLINK("https://www.boe.es/gazeta/dias/1811/10/27/pdfs/GMD-1811-300.pdf#page=2","Abrir facsímil")</f>
        <v>Abrir facsímil</v>
      </c>
      <c r="K4896" s="3" t="s">
        <v>150</v>
      </c>
    </row>
    <row r="4897" spans="1:11" ht="42" customHeight="1">
      <c r="A4897" s="2" t="s">
        <v>12770</v>
      </c>
      <c r="B4897" s="2" t="s">
        <v>12770</v>
      </c>
      <c r="C4897" s="2" t="s">
        <v>17</v>
      </c>
      <c r="D4897" s="2" t="s">
        <v>18</v>
      </c>
      <c r="E4897" s="4">
        <v>-32196</v>
      </c>
      <c r="F4897" s="3" t="s">
        <v>8418</v>
      </c>
      <c r="G4897" s="3" t="s">
        <v>178</v>
      </c>
      <c r="H4897" s="2" t="s">
        <v>148</v>
      </c>
      <c r="I4897" s="2" t="s">
        <v>12786</v>
      </c>
      <c r="J4897" s="3" t="str">
        <f>HYPERLINK("https://www.boe.es/gazeta/dias/1811/11/06/pdfs/GMD-1811-310.pdf#page=2","Abrir facsímil")</f>
        <v>Abrir facsímil</v>
      </c>
      <c r="K4897" s="3" t="s">
        <v>150</v>
      </c>
    </row>
    <row r="4898" spans="1:11" ht="42" customHeight="1">
      <c r="A4898" s="2" t="s">
        <v>12770</v>
      </c>
      <c r="B4898" s="2" t="s">
        <v>12770</v>
      </c>
      <c r="C4898" s="2" t="s">
        <v>17</v>
      </c>
      <c r="D4898" s="2" t="s">
        <v>156</v>
      </c>
      <c r="E4898" s="4">
        <v>-32183</v>
      </c>
      <c r="F4898" s="3" t="s">
        <v>5972</v>
      </c>
      <c r="G4898" s="3" t="s">
        <v>47</v>
      </c>
      <c r="H4898" s="2" t="s">
        <v>148</v>
      </c>
      <c r="I4898" s="2" t="s">
        <v>12787</v>
      </c>
      <c r="J4898" s="3" t="str">
        <f>HYPERLINK("https://www.boe.es/gazeta/dias/1811/11/19/pdfs/GMD-1811-323.pdf#page=1","Abrir facsímil")</f>
        <v>Abrir facsímil</v>
      </c>
      <c r="K4898" s="3" t="s">
        <v>150</v>
      </c>
    </row>
    <row r="4899" spans="1:11" ht="42" customHeight="1">
      <c r="A4899" s="2" t="s">
        <v>12788</v>
      </c>
      <c r="B4899" s="2" t="s">
        <v>12788</v>
      </c>
      <c r="C4899" s="2" t="s">
        <v>17</v>
      </c>
      <c r="D4899" s="2" t="s">
        <v>18</v>
      </c>
      <c r="E4899" s="4">
        <v>-32273</v>
      </c>
      <c r="F4899" s="3" t="s">
        <v>2820</v>
      </c>
      <c r="G4899" s="3" t="s">
        <v>4053</v>
      </c>
      <c r="H4899" s="2" t="s">
        <v>148</v>
      </c>
      <c r="I4899" s="2" t="s">
        <v>12789</v>
      </c>
      <c r="J4899" s="3" t="str">
        <f>HYPERLINK("https://www.boe.es/gazeta/dias/1811/08/21/pdfs/GMD-1811-233.pdf#page=1","Abrir facsímil")</f>
        <v>Abrir facsímil</v>
      </c>
      <c r="K4899" s="3" t="s">
        <v>150</v>
      </c>
    </row>
    <row r="4900" spans="1:11" ht="42" customHeight="1">
      <c r="A4900" s="2" t="s">
        <v>12790</v>
      </c>
      <c r="B4900" s="2" t="s">
        <v>12790</v>
      </c>
      <c r="C4900" s="2" t="s">
        <v>17</v>
      </c>
      <c r="D4900" s="2" t="s">
        <v>156</v>
      </c>
      <c r="E4900" s="4">
        <v>-32190</v>
      </c>
      <c r="F4900" s="3" t="s">
        <v>85</v>
      </c>
      <c r="G4900" s="3" t="s">
        <v>248</v>
      </c>
      <c r="H4900" s="2" t="s">
        <v>148</v>
      </c>
      <c r="I4900" s="2" t="s">
        <v>12791</v>
      </c>
      <c r="J4900" s="3" t="str">
        <f>HYPERLINK("https://www.boe.es/gazeta/dias/1811/11/12/pdfs/GEI-1811-148.pdf#page=5","Abrir facsímil")</f>
        <v>Abrir facsímil</v>
      </c>
      <c r="K4900" s="3" t="s">
        <v>150</v>
      </c>
    </row>
    <row r="4901" spans="1:11" ht="42" customHeight="1">
      <c r="A4901" s="2" t="s">
        <v>12792</v>
      </c>
      <c r="B4901" s="2" t="s">
        <v>12793</v>
      </c>
      <c r="C4901" s="2" t="s">
        <v>37</v>
      </c>
      <c r="D4901" s="2" t="s">
        <v>18</v>
      </c>
      <c r="E4901" s="4">
        <v>-32158</v>
      </c>
      <c r="F4901" s="3" t="s">
        <v>46</v>
      </c>
      <c r="G4901" s="3" t="s">
        <v>47</v>
      </c>
      <c r="H4901" s="2" t="s">
        <v>148</v>
      </c>
      <c r="I4901" s="2" t="s">
        <v>12794</v>
      </c>
      <c r="J4901" s="3" t="str">
        <f>HYPERLINK("https://www.boe.es/gazeta/dias/1811/12/14/pdfs/GEI-1811-162.pdf#page=7","Abrir facsímil")</f>
        <v>Abrir facsímil</v>
      </c>
      <c r="K4901" s="3" t="s">
        <v>150</v>
      </c>
    </row>
    <row r="4902" spans="1:11" ht="42" customHeight="1">
      <c r="A4902" s="2" t="s">
        <v>12795</v>
      </c>
      <c r="B4902" s="2" t="s">
        <v>12796</v>
      </c>
      <c r="C4902" s="2" t="s">
        <v>26</v>
      </c>
      <c r="D4902" s="2" t="s">
        <v>18</v>
      </c>
      <c r="E4902" s="4">
        <v>-32489</v>
      </c>
      <c r="F4902" s="3" t="s">
        <v>2073</v>
      </c>
      <c r="G4902" s="3" t="s">
        <v>44</v>
      </c>
      <c r="H4902" s="2" t="s">
        <v>148</v>
      </c>
      <c r="I4902" s="2" t="s">
        <v>12797</v>
      </c>
      <c r="J4902" s="3" t="str">
        <f>HYPERLINK("https://www.boe.es/gazeta/dias/1811/01/17/pdfs/GEI-1811-8.pdf#page=8","Abrir facsímil")</f>
        <v>Abrir facsímil</v>
      </c>
      <c r="K4902" s="3" t="s">
        <v>150</v>
      </c>
    </row>
    <row r="4903" spans="1:11" ht="42" customHeight="1">
      <c r="A4903" s="2" t="s">
        <v>12798</v>
      </c>
      <c r="B4903" s="2" t="s">
        <v>12799</v>
      </c>
      <c r="C4903" s="2" t="s">
        <v>26</v>
      </c>
      <c r="D4903" s="2" t="s">
        <v>18</v>
      </c>
      <c r="E4903" s="4">
        <v>-32225</v>
      </c>
      <c r="F4903" s="3" t="s">
        <v>390</v>
      </c>
      <c r="G4903" s="3" t="s">
        <v>248</v>
      </c>
      <c r="H4903" s="2" t="s">
        <v>21</v>
      </c>
      <c r="I4903" s="2" t="s">
        <v>12800</v>
      </c>
      <c r="J4903" s="3" t="str">
        <f>HYPERLINK("https://www.boe.es/gazeta/dias/1811/10/08/pdfs/GEI-1811-129.pdf#page=3","Abrir facsímil")</f>
        <v>Abrir facsímil</v>
      </c>
      <c r="K4903" s="3" t="s">
        <v>23</v>
      </c>
    </row>
    <row r="4904" spans="1:11" ht="42" customHeight="1">
      <c r="A4904" s="2" t="s">
        <v>12801</v>
      </c>
      <c r="B4904" s="2" t="s">
        <v>12802</v>
      </c>
      <c r="C4904" s="2" t="s">
        <v>17</v>
      </c>
      <c r="D4904" s="2" t="s">
        <v>18</v>
      </c>
      <c r="E4904" s="4">
        <v>-32300</v>
      </c>
      <c r="F4904" s="3" t="s">
        <v>61</v>
      </c>
      <c r="G4904" s="3" t="s">
        <v>62</v>
      </c>
      <c r="H4904" s="2" t="s">
        <v>21</v>
      </c>
      <c r="I4904" s="2" t="s">
        <v>12803</v>
      </c>
      <c r="J4904" s="3" t="str">
        <f>HYPERLINK("https://www.boe.es/gazeta/dias/1811/07/25/pdfs/GEI-1811-97.pdf#page=5","Abrir facsímil")</f>
        <v>Abrir facsímil</v>
      </c>
      <c r="K4904" s="3" t="s">
        <v>23</v>
      </c>
    </row>
    <row r="4905" spans="1:11" ht="42" customHeight="1">
      <c r="A4905" s="2" t="s">
        <v>12804</v>
      </c>
      <c r="B4905" s="2" t="s">
        <v>12805</v>
      </c>
      <c r="C4905" s="2" t="s">
        <v>26</v>
      </c>
      <c r="D4905" s="2" t="s">
        <v>18</v>
      </c>
      <c r="E4905" s="4">
        <v>-32452</v>
      </c>
      <c r="F4905" s="3" t="s">
        <v>106</v>
      </c>
      <c r="G4905" s="3" t="s">
        <v>20</v>
      </c>
      <c r="H4905" s="2" t="s">
        <v>21</v>
      </c>
      <c r="I4905" s="2" t="s">
        <v>12806</v>
      </c>
      <c r="J4905" s="3" t="str">
        <f>HYPERLINK("https://www.boe.es/gazeta/dias/1811/02/23/pdfs/GEI-1811-24.pdf#page=8","Abrir facsímil")</f>
        <v>Abrir facsímil</v>
      </c>
      <c r="K4905" s="3" t="s">
        <v>23</v>
      </c>
    </row>
    <row r="4906" spans="1:11" ht="42" customHeight="1">
      <c r="A4906" s="2" t="s">
        <v>12804</v>
      </c>
      <c r="B4906" s="2" t="s">
        <v>12805</v>
      </c>
      <c r="C4906" s="2" t="s">
        <v>17</v>
      </c>
      <c r="D4906" s="2" t="s">
        <v>18</v>
      </c>
      <c r="E4906" s="4">
        <v>-32438</v>
      </c>
      <c r="F4906" s="3" t="s">
        <v>114</v>
      </c>
      <c r="G4906" s="3" t="s">
        <v>2805</v>
      </c>
      <c r="H4906" s="2" t="s">
        <v>21</v>
      </c>
      <c r="I4906" s="2" t="s">
        <v>12807</v>
      </c>
      <c r="J4906" s="3" t="str">
        <f>HYPERLINK("https://www.boe.es/gazeta/dias/1811/03/09/pdfs/GEI-1811-33.pdf#page=6","Abrir facsímil")</f>
        <v>Abrir facsímil</v>
      </c>
      <c r="K4906" s="3" t="s">
        <v>23</v>
      </c>
    </row>
    <row r="4907" spans="1:11" ht="42" customHeight="1">
      <c r="A4907" s="2" t="s">
        <v>12804</v>
      </c>
      <c r="B4907" s="2" t="s">
        <v>12805</v>
      </c>
      <c r="C4907" s="2" t="s">
        <v>26</v>
      </c>
      <c r="D4907" s="2" t="s">
        <v>105</v>
      </c>
      <c r="E4907" s="4">
        <v>-32195</v>
      </c>
      <c r="F4907" s="3" t="s">
        <v>439</v>
      </c>
      <c r="G4907" s="3" t="s">
        <v>440</v>
      </c>
      <c r="H4907" s="2" t="s">
        <v>21</v>
      </c>
      <c r="I4907" s="2" t="s">
        <v>12808</v>
      </c>
      <c r="J4907" s="3" t="str">
        <f>HYPERLINK("https://www.boe.es/gazeta/dias/1811/11/07/pdfs/GEI-1811-144.pdf#page=8","Abrir facsímil")</f>
        <v>Abrir facsímil</v>
      </c>
      <c r="K4907" s="3" t="s">
        <v>23</v>
      </c>
    </row>
    <row r="4908" spans="1:11" ht="42" customHeight="1">
      <c r="A4908" s="2" t="s">
        <v>12809</v>
      </c>
      <c r="B4908" s="2" t="s">
        <v>12810</v>
      </c>
      <c r="C4908" s="2" t="s">
        <v>17</v>
      </c>
      <c r="D4908" s="2" t="s">
        <v>18</v>
      </c>
      <c r="E4908" s="4">
        <v>-32379</v>
      </c>
      <c r="F4908" s="3" t="s">
        <v>462</v>
      </c>
      <c r="G4908" s="3" t="s">
        <v>228</v>
      </c>
      <c r="H4908" s="2" t="s">
        <v>21</v>
      </c>
      <c r="I4908" s="2" t="s">
        <v>12811</v>
      </c>
      <c r="J4908" s="3" t="str">
        <f>HYPERLINK("https://www.boe.es/gazeta/dias/1811/05/07/pdfs/GEI-1811-60.pdf#page=3","Abrir facsímil")</f>
        <v>Abrir facsímil</v>
      </c>
      <c r="K4908" s="3" t="s">
        <v>23</v>
      </c>
    </row>
    <row r="4909" spans="1:11" ht="42" customHeight="1">
      <c r="A4909" s="2" t="s">
        <v>12812</v>
      </c>
      <c r="B4909" s="2" t="s">
        <v>12813</v>
      </c>
      <c r="C4909" s="2" t="s">
        <v>17</v>
      </c>
      <c r="D4909" s="2" t="s">
        <v>18</v>
      </c>
      <c r="E4909" s="4">
        <v>-32300</v>
      </c>
      <c r="F4909" s="3" t="s">
        <v>61</v>
      </c>
      <c r="G4909" s="3" t="s">
        <v>62</v>
      </c>
      <c r="H4909" s="2" t="s">
        <v>21</v>
      </c>
      <c r="I4909" s="2" t="s">
        <v>12814</v>
      </c>
      <c r="J4909" s="3" t="str">
        <f>HYPERLINK("https://www.boe.es/gazeta/dias/1811/07/25/pdfs/GEI-1811-97.pdf#page=5","Abrir facsímil")</f>
        <v>Abrir facsímil</v>
      </c>
      <c r="K4909" s="3" t="s">
        <v>23</v>
      </c>
    </row>
    <row r="4910" spans="1:11" ht="42" customHeight="1">
      <c r="A4910" s="2" t="s">
        <v>12815</v>
      </c>
      <c r="B4910" s="2" t="s">
        <v>12816</v>
      </c>
      <c r="C4910" s="2" t="s">
        <v>17</v>
      </c>
      <c r="D4910" s="2" t="s">
        <v>18</v>
      </c>
      <c r="E4910" s="4">
        <v>-32155</v>
      </c>
      <c r="F4910" s="3" t="s">
        <v>263</v>
      </c>
      <c r="G4910" s="3" t="s">
        <v>264</v>
      </c>
      <c r="H4910" s="2" t="s">
        <v>21</v>
      </c>
      <c r="I4910" s="2" t="s">
        <v>12817</v>
      </c>
      <c r="J4910" s="3" t="str">
        <f>HYPERLINK("https://www.boe.es/gazeta/dias/1811/12/17/pdfs/GEI-1811-163.pdf#page=8","Abrir facsímil")</f>
        <v>Abrir facsímil</v>
      </c>
      <c r="K4910" s="3" t="s">
        <v>23</v>
      </c>
    </row>
    <row r="4911" spans="1:11" ht="42" customHeight="1">
      <c r="A4911" s="2" t="s">
        <v>12818</v>
      </c>
      <c r="B4911" s="2" t="s">
        <v>12819</v>
      </c>
      <c r="C4911" s="2" t="s">
        <v>17</v>
      </c>
      <c r="D4911" s="2" t="s">
        <v>156</v>
      </c>
      <c r="E4911" s="4">
        <v>-32461</v>
      </c>
      <c r="F4911" s="3" t="s">
        <v>2429</v>
      </c>
      <c r="G4911" s="3" t="s">
        <v>553</v>
      </c>
      <c r="H4911" s="2" t="s">
        <v>148</v>
      </c>
      <c r="I4911" s="2" t="s">
        <v>12820</v>
      </c>
      <c r="J4911" s="3" t="str">
        <f>HYPERLINK("https://www.boe.es/gazeta/dias/1811/02/14/pdfs/GEI-1811-20.pdf#page=1","Abrir facsímil")</f>
        <v>Abrir facsímil</v>
      </c>
      <c r="K4911" s="3" t="s">
        <v>150</v>
      </c>
    </row>
    <row r="4912" spans="1:11" ht="42" customHeight="1">
      <c r="A4912" s="2" t="s">
        <v>12821</v>
      </c>
      <c r="B4912" s="2" t="s">
        <v>12822</v>
      </c>
      <c r="C4912" s="2" t="s">
        <v>26</v>
      </c>
      <c r="D4912" s="2" t="s">
        <v>105</v>
      </c>
      <c r="E4912" s="4">
        <v>-32297</v>
      </c>
      <c r="F4912" s="3" t="s">
        <v>2174</v>
      </c>
      <c r="G4912" s="3" t="s">
        <v>183</v>
      </c>
      <c r="H4912" s="2" t="s">
        <v>148</v>
      </c>
      <c r="I4912" s="2" t="s">
        <v>12823</v>
      </c>
      <c r="J4912" s="3" t="str">
        <f>HYPERLINK("https://www.boe.es/gazeta/dias/1811/07/28/pdfs/GMD-1811-209.pdf#page=4","Abrir facsímil")</f>
        <v>Abrir facsímil</v>
      </c>
      <c r="K4912" s="3" t="s">
        <v>150</v>
      </c>
    </row>
    <row r="4913" spans="1:11" ht="42" customHeight="1">
      <c r="A4913" s="2" t="s">
        <v>12824</v>
      </c>
      <c r="B4913" s="2" t="s">
        <v>12825</v>
      </c>
      <c r="C4913" s="2" t="s">
        <v>17</v>
      </c>
      <c r="D4913" s="2" t="s">
        <v>18</v>
      </c>
      <c r="E4913" s="4">
        <v>-32463</v>
      </c>
      <c r="F4913" s="3" t="s">
        <v>734</v>
      </c>
      <c r="G4913" s="3" t="s">
        <v>515</v>
      </c>
      <c r="H4913" s="2" t="s">
        <v>148</v>
      </c>
      <c r="I4913" s="2" t="s">
        <v>12826</v>
      </c>
      <c r="J4913" s="3" t="str">
        <f>HYPERLINK("https://www.boe.es/gazeta/dias/1811/02/12/pdfs/GEI-1811-19.pdf#page=7","Abrir facsímil")</f>
        <v>Abrir facsímil</v>
      </c>
      <c r="K4913" s="3" t="s">
        <v>150</v>
      </c>
    </row>
    <row r="4914" spans="1:11" ht="42" customHeight="1">
      <c r="A4914" s="2" t="s">
        <v>12827</v>
      </c>
      <c r="B4914" s="2" t="s">
        <v>12828</v>
      </c>
      <c r="C4914" s="2" t="s">
        <v>17</v>
      </c>
      <c r="D4914" s="2" t="s">
        <v>18</v>
      </c>
      <c r="E4914" s="4">
        <v>-32200</v>
      </c>
      <c r="F4914" s="3" t="s">
        <v>109</v>
      </c>
      <c r="G4914" s="3" t="s">
        <v>586</v>
      </c>
      <c r="H4914" s="2" t="s">
        <v>148</v>
      </c>
      <c r="I4914" s="2" t="s">
        <v>12829</v>
      </c>
      <c r="J4914" s="3" t="str">
        <f>HYPERLINK("https://www.boe.es/gazeta/dias/1811/11/02/pdfs/GEI-1811-141.pdf#page=8","Abrir facsímil")</f>
        <v>Abrir facsímil</v>
      </c>
      <c r="K4914" s="3" t="s">
        <v>150</v>
      </c>
    </row>
    <row r="4915" spans="1:11" ht="42" customHeight="1">
      <c r="A4915" s="2" t="s">
        <v>12830</v>
      </c>
      <c r="B4915" s="2" t="s">
        <v>12831</v>
      </c>
      <c r="C4915" s="2" t="s">
        <v>26</v>
      </c>
      <c r="D4915" s="2" t="s">
        <v>18</v>
      </c>
      <c r="E4915" s="4">
        <v>-32300</v>
      </c>
      <c r="F4915" s="3" t="s">
        <v>492</v>
      </c>
      <c r="G4915" s="3" t="s">
        <v>493</v>
      </c>
      <c r="H4915" s="2" t="s">
        <v>148</v>
      </c>
      <c r="I4915" s="2" t="s">
        <v>12832</v>
      </c>
      <c r="J4915" s="3" t="str">
        <f>HYPERLINK("https://www.boe.es/gazeta/dias/1811/07/25/pdfs/GMD-1811-206.pdf#page=4","Abrir facsímil")</f>
        <v>Abrir facsímil</v>
      </c>
      <c r="K4915" s="3" t="s">
        <v>150</v>
      </c>
    </row>
    <row r="4916" spans="1:11" ht="42" customHeight="1">
      <c r="A4916" s="2" t="s">
        <v>12833</v>
      </c>
      <c r="B4916" s="2" t="s">
        <v>12834</v>
      </c>
      <c r="C4916" s="2" t="s">
        <v>17</v>
      </c>
      <c r="D4916" s="2" t="s">
        <v>141</v>
      </c>
      <c r="E4916" s="4">
        <v>-32396</v>
      </c>
      <c r="F4916" s="3" t="s">
        <v>804</v>
      </c>
      <c r="G4916" s="3" t="s">
        <v>7898</v>
      </c>
      <c r="H4916" s="2" t="s">
        <v>148</v>
      </c>
      <c r="I4916" s="2" t="s">
        <v>12835</v>
      </c>
      <c r="J4916" s="3" t="str">
        <f>HYPERLINK("https://www.boe.es/gazeta/dias/1811/04/20/pdfs/GEI-D-1811-53.pdf#page=2","Abrir facsímil")</f>
        <v>Abrir facsímil</v>
      </c>
      <c r="K4916" s="3" t="s">
        <v>150</v>
      </c>
    </row>
    <row r="4917" spans="1:11" ht="42" customHeight="1">
      <c r="A4917" s="2" t="s">
        <v>12833</v>
      </c>
      <c r="B4917" s="2" t="s">
        <v>12834</v>
      </c>
      <c r="C4917" s="2" t="s">
        <v>17</v>
      </c>
      <c r="D4917" s="2" t="s">
        <v>156</v>
      </c>
      <c r="E4917" s="4">
        <v>-32384</v>
      </c>
      <c r="F4917" s="3" t="s">
        <v>2599</v>
      </c>
      <c r="G4917" s="3" t="s">
        <v>4480</v>
      </c>
      <c r="H4917" s="2" t="s">
        <v>148</v>
      </c>
      <c r="I4917" s="2" t="s">
        <v>12836</v>
      </c>
      <c r="J4917" s="3" t="str">
        <f>HYPERLINK("https://www.boe.es/gazeta/dias/1811/05/02/pdfs/GEI-D-1811-58.pdf#page=3","Abrir facsímil")</f>
        <v>Abrir facsímil</v>
      </c>
      <c r="K4917" s="3" t="s">
        <v>150</v>
      </c>
    </row>
    <row r="4918" spans="1:11" ht="42" customHeight="1">
      <c r="A4918" s="2" t="s">
        <v>12837</v>
      </c>
      <c r="B4918" s="2" t="s">
        <v>12838</v>
      </c>
      <c r="C4918" s="2" t="s">
        <v>17</v>
      </c>
      <c r="D4918" s="2" t="s">
        <v>18</v>
      </c>
      <c r="E4918" s="4">
        <v>-32200</v>
      </c>
      <c r="F4918" s="3" t="s">
        <v>109</v>
      </c>
      <c r="G4918" s="3" t="s">
        <v>110</v>
      </c>
      <c r="H4918" s="2" t="s">
        <v>148</v>
      </c>
      <c r="I4918" s="2" t="s">
        <v>12839</v>
      </c>
      <c r="J4918" s="3" t="str">
        <f>HYPERLINK("https://www.boe.es/gazeta/dias/1811/11/02/pdfs/GEI-1811-141.pdf#page=6","Abrir facsímil")</f>
        <v>Abrir facsímil</v>
      </c>
      <c r="K4918" s="3" t="s">
        <v>150</v>
      </c>
    </row>
    <row r="4919" spans="1:11" ht="42" customHeight="1">
      <c r="A4919" s="2" t="s">
        <v>12840</v>
      </c>
      <c r="B4919" s="2" t="s">
        <v>12841</v>
      </c>
      <c r="C4919" s="2" t="s">
        <v>26</v>
      </c>
      <c r="D4919" s="2" t="s">
        <v>18</v>
      </c>
      <c r="E4919" s="4">
        <v>-32209</v>
      </c>
      <c r="F4919" s="3" t="s">
        <v>1324</v>
      </c>
      <c r="G4919" s="3" t="s">
        <v>2539</v>
      </c>
      <c r="H4919" s="2" t="s">
        <v>148</v>
      </c>
      <c r="I4919" s="2" t="s">
        <v>12842</v>
      </c>
      <c r="J4919" s="3" t="str">
        <f>HYPERLINK("https://www.boe.es/gazeta/dias/1811/10/24/pdfs/GMD-1811-297.pdf#page=3","Abrir facsímil")</f>
        <v>Abrir facsímil</v>
      </c>
      <c r="K4919" s="3" t="s">
        <v>150</v>
      </c>
    </row>
    <row r="4920" spans="1:11" ht="42" customHeight="1">
      <c r="A4920" s="2" t="s">
        <v>12843</v>
      </c>
      <c r="B4920" s="2" t="s">
        <v>12844</v>
      </c>
      <c r="C4920" s="2" t="s">
        <v>26</v>
      </c>
      <c r="D4920" s="2" t="s">
        <v>18</v>
      </c>
      <c r="E4920" s="4">
        <v>-32288</v>
      </c>
      <c r="F4920" s="3" t="s">
        <v>95</v>
      </c>
      <c r="G4920" s="3" t="s">
        <v>1071</v>
      </c>
      <c r="H4920" s="2" t="s">
        <v>148</v>
      </c>
      <c r="I4920" s="2" t="s">
        <v>12845</v>
      </c>
      <c r="J4920" s="3" t="str">
        <f>HYPERLINK("https://www.boe.es/gazeta/dias/1811/08/06/pdfs/GEI-1811-102.pdf#page=6","Abrir facsímil")</f>
        <v>Abrir facsímil</v>
      </c>
      <c r="K4920" s="3" t="s">
        <v>150</v>
      </c>
    </row>
    <row r="4921" spans="1:11" ht="42" customHeight="1">
      <c r="A4921" s="2" t="s">
        <v>12846</v>
      </c>
      <c r="B4921" s="2" t="s">
        <v>12847</v>
      </c>
      <c r="C4921" s="2" t="s">
        <v>84</v>
      </c>
      <c r="D4921" s="2" t="s">
        <v>18</v>
      </c>
      <c r="E4921" s="4">
        <v>-32300</v>
      </c>
      <c r="F4921" s="3" t="s">
        <v>492</v>
      </c>
      <c r="G4921" s="3" t="s">
        <v>493</v>
      </c>
      <c r="H4921" s="2" t="s">
        <v>148</v>
      </c>
      <c r="I4921" s="2" t="s">
        <v>12848</v>
      </c>
      <c r="J4921" s="3" t="str">
        <f>HYPERLINK("https://www.boe.es/gazeta/dias/1811/07/25/pdfs/GMD-1811-206.pdf#page=4","Abrir facsímil")</f>
        <v>Abrir facsímil</v>
      </c>
      <c r="K4921" s="3" t="s">
        <v>150</v>
      </c>
    </row>
    <row r="4922" spans="1:11" ht="42" customHeight="1">
      <c r="A4922" s="2" t="s">
        <v>12849</v>
      </c>
      <c r="B4922" s="2" t="s">
        <v>12850</v>
      </c>
      <c r="C4922" s="2" t="s">
        <v>104</v>
      </c>
      <c r="D4922" s="2" t="s">
        <v>18</v>
      </c>
      <c r="E4922" s="4">
        <v>-32141</v>
      </c>
      <c r="F4922" s="3" t="s">
        <v>327</v>
      </c>
      <c r="G4922" s="3" t="s">
        <v>20</v>
      </c>
      <c r="H4922" s="2" t="s">
        <v>148</v>
      </c>
      <c r="I4922" s="2" t="s">
        <v>12851</v>
      </c>
      <c r="J4922" s="3" t="str">
        <f>HYPERLINK("https://www.boe.es/gazeta/dias/1811/12/31/pdfs/GMD-1811-365.pdf#page=4","Abrir facsímil")</f>
        <v>Abrir facsímil</v>
      </c>
      <c r="K4922" s="3" t="s">
        <v>150</v>
      </c>
    </row>
    <row r="4923" spans="1:11" ht="42" customHeight="1">
      <c r="A4923" s="2" t="s">
        <v>12852</v>
      </c>
      <c r="B4923" s="2" t="s">
        <v>12853</v>
      </c>
      <c r="C4923" s="2" t="s">
        <v>17</v>
      </c>
      <c r="D4923" s="2" t="s">
        <v>18</v>
      </c>
      <c r="E4923" s="4">
        <v>-32230</v>
      </c>
      <c r="F4923" s="3" t="s">
        <v>625</v>
      </c>
      <c r="G4923" s="3" t="s">
        <v>12854</v>
      </c>
      <c r="H4923" s="2" t="s">
        <v>148</v>
      </c>
      <c r="I4923" s="2" t="s">
        <v>12855</v>
      </c>
      <c r="J4923" s="3" t="str">
        <f>HYPERLINK("https://www.boe.es/gazeta/dias/1811/10/03/pdfs/GEI-1811-127.pdf#page=5","Abrir facsímil")</f>
        <v>Abrir facsímil</v>
      </c>
      <c r="K4923" s="3" t="s">
        <v>150</v>
      </c>
    </row>
    <row r="4924" spans="1:11" ht="42" customHeight="1">
      <c r="A4924" s="2" t="s">
        <v>12856</v>
      </c>
      <c r="B4924" s="2" t="s">
        <v>12857</v>
      </c>
      <c r="C4924" s="2" t="s">
        <v>26</v>
      </c>
      <c r="D4924" s="2" t="s">
        <v>18</v>
      </c>
      <c r="E4924" s="4">
        <v>-32188</v>
      </c>
      <c r="F4924" s="3" t="s">
        <v>356</v>
      </c>
      <c r="G4924" s="3" t="s">
        <v>248</v>
      </c>
      <c r="H4924" s="2" t="s">
        <v>148</v>
      </c>
      <c r="I4924" s="2" t="s">
        <v>12858</v>
      </c>
      <c r="J4924" s="3" t="str">
        <f>HYPERLINK("https://www.boe.es/gazeta/dias/1811/11/14/pdfs/GMD-1811-318.pdf#page=5","Abrir facsímil")</f>
        <v>Abrir facsímil</v>
      </c>
      <c r="K4924" s="3" t="s">
        <v>150</v>
      </c>
    </row>
    <row r="4925" spans="1:11" ht="42" customHeight="1">
      <c r="A4925" s="2" t="s">
        <v>12859</v>
      </c>
      <c r="B4925" s="2" t="s">
        <v>12860</v>
      </c>
      <c r="C4925" s="2" t="s">
        <v>17</v>
      </c>
      <c r="D4925" s="2" t="s">
        <v>156</v>
      </c>
      <c r="E4925" s="4">
        <v>-32491</v>
      </c>
      <c r="F4925" s="3" t="s">
        <v>533</v>
      </c>
      <c r="G4925" s="3" t="s">
        <v>20</v>
      </c>
      <c r="H4925" s="2" t="s">
        <v>148</v>
      </c>
      <c r="I4925" s="2" t="s">
        <v>12861</v>
      </c>
      <c r="J4925" s="3" t="str">
        <f>HYPERLINK("https://www.boe.es/gazeta/dias/1811/01/15/pdfs/GEI-1811-7.pdf#page=1","Abrir facsímil")</f>
        <v>Abrir facsímil</v>
      </c>
      <c r="K4925" s="3" t="s">
        <v>150</v>
      </c>
    </row>
    <row r="4926" spans="1:11" ht="42" customHeight="1">
      <c r="A4926" s="2" t="s">
        <v>12862</v>
      </c>
      <c r="B4926" s="2" t="s">
        <v>12863</v>
      </c>
      <c r="C4926" s="2" t="s">
        <v>26</v>
      </c>
      <c r="D4926" s="2" t="s">
        <v>18</v>
      </c>
      <c r="E4926" s="4">
        <v>-32153</v>
      </c>
      <c r="F4926" s="3" t="s">
        <v>235</v>
      </c>
      <c r="G4926" s="3" t="s">
        <v>2181</v>
      </c>
      <c r="H4926" s="2" t="s">
        <v>148</v>
      </c>
      <c r="I4926" s="2" t="s">
        <v>12864</v>
      </c>
      <c r="J4926" s="3" t="str">
        <f>HYPERLINK("https://www.boe.es/gazeta/dias/1811/12/19/pdfs/GEI-1811-164.pdf#page=8","Abrir facsímil")</f>
        <v>Abrir facsímil</v>
      </c>
      <c r="K4926" s="3" t="s">
        <v>150</v>
      </c>
    </row>
    <row r="4927" spans="1:11" ht="42" customHeight="1">
      <c r="A4927" s="2" t="s">
        <v>12865</v>
      </c>
      <c r="B4927" s="2" t="s">
        <v>12866</v>
      </c>
      <c r="C4927" s="2" t="s">
        <v>26</v>
      </c>
      <c r="D4927" s="2" t="s">
        <v>141</v>
      </c>
      <c r="E4927" s="4">
        <v>-32280</v>
      </c>
      <c r="F4927" s="3" t="s">
        <v>142</v>
      </c>
      <c r="G4927" s="3" t="s">
        <v>47</v>
      </c>
      <c r="H4927" s="2" t="s">
        <v>148</v>
      </c>
      <c r="I4927" s="2" t="s">
        <v>12867</v>
      </c>
      <c r="J4927" s="3" t="str">
        <f>HYPERLINK("https://www.boe.es/gazeta/dias/1811/08/14/pdfs/GMD-C-1811-226.pdf#page=1","Abrir facsímil")</f>
        <v>Abrir facsímil</v>
      </c>
      <c r="K4927" s="3" t="s">
        <v>150</v>
      </c>
    </row>
    <row r="4928" spans="1:11" ht="42" customHeight="1">
      <c r="A4928" s="2" t="s">
        <v>12868</v>
      </c>
      <c r="B4928" s="2" t="s">
        <v>12869</v>
      </c>
      <c r="C4928" s="2" t="s">
        <v>17</v>
      </c>
      <c r="D4928" s="2" t="s">
        <v>156</v>
      </c>
      <c r="E4928" s="4">
        <v>-32230</v>
      </c>
      <c r="F4928" s="3" t="s">
        <v>625</v>
      </c>
      <c r="G4928" s="3" t="s">
        <v>1258</v>
      </c>
      <c r="H4928" s="2" t="s">
        <v>148</v>
      </c>
      <c r="I4928" s="2" t="s">
        <v>12870</v>
      </c>
      <c r="J4928" s="3" t="str">
        <f>HYPERLINK("https://www.boe.es/gazeta/dias/1811/10/03/pdfs/GEI-1811-127.pdf#page=8","Abrir facsímil")</f>
        <v>Abrir facsímil</v>
      </c>
      <c r="K4928" s="3" t="s">
        <v>150</v>
      </c>
    </row>
    <row r="4929" spans="1:11" ht="42" customHeight="1">
      <c r="A4929" s="2" t="s">
        <v>12871</v>
      </c>
      <c r="B4929" s="2" t="s">
        <v>12872</v>
      </c>
      <c r="C4929" s="2" t="s">
        <v>17</v>
      </c>
      <c r="D4929" s="2" t="s">
        <v>156</v>
      </c>
      <c r="E4929" s="4">
        <v>-32449</v>
      </c>
      <c r="F4929" s="3" t="s">
        <v>381</v>
      </c>
      <c r="G4929" s="3" t="s">
        <v>1930</v>
      </c>
      <c r="H4929" s="2" t="s">
        <v>148</v>
      </c>
      <c r="I4929" s="2" t="s">
        <v>12873</v>
      </c>
      <c r="J4929" s="3" t="str">
        <f>HYPERLINK("https://www.boe.es/gazeta/dias/1811/02/26/pdfs/GEI-1811-25.pdf#page=3","Abrir facsímil")</f>
        <v>Abrir facsímil</v>
      </c>
      <c r="K4929" s="3" t="s">
        <v>150</v>
      </c>
    </row>
    <row r="4930" spans="1:11" ht="42" customHeight="1">
      <c r="A4930" s="2" t="s">
        <v>12874</v>
      </c>
      <c r="B4930" s="2" t="s">
        <v>12875</v>
      </c>
      <c r="C4930" s="2" t="s">
        <v>26</v>
      </c>
      <c r="D4930" s="2" t="s">
        <v>18</v>
      </c>
      <c r="E4930" s="4">
        <v>-32451</v>
      </c>
      <c r="F4930" s="3" t="s">
        <v>2651</v>
      </c>
      <c r="G4930" s="3" t="s">
        <v>2652</v>
      </c>
      <c r="H4930" s="2" t="s">
        <v>148</v>
      </c>
      <c r="I4930" s="2" t="s">
        <v>12876</v>
      </c>
      <c r="J4930" s="3" t="str">
        <f>HYPERLINK("https://www.boe.es/gazeta/dias/1811/02/24/pdfs/GMD-1811-55.pdf#page=4","Abrir facsímil")</f>
        <v>Abrir facsímil</v>
      </c>
      <c r="K4930" s="3" t="s">
        <v>150</v>
      </c>
    </row>
    <row r="4931" spans="1:11" ht="42" customHeight="1">
      <c r="A4931" s="2" t="s">
        <v>12877</v>
      </c>
      <c r="B4931" s="2" t="s">
        <v>12878</v>
      </c>
      <c r="C4931" s="2" t="s">
        <v>17</v>
      </c>
      <c r="D4931" s="2" t="s">
        <v>156</v>
      </c>
      <c r="E4931" s="4">
        <v>-32300</v>
      </c>
      <c r="F4931" s="3" t="s">
        <v>492</v>
      </c>
      <c r="G4931" s="3" t="s">
        <v>493</v>
      </c>
      <c r="H4931" s="2" t="s">
        <v>148</v>
      </c>
      <c r="I4931" s="2" t="s">
        <v>12879</v>
      </c>
      <c r="J4931" s="3" t="str">
        <f>HYPERLINK("https://www.boe.es/gazeta/dias/1811/07/25/pdfs/GMD-1811-206.pdf#page=4","Abrir facsímil")</f>
        <v>Abrir facsímil</v>
      </c>
      <c r="K4931" s="3" t="s">
        <v>150</v>
      </c>
    </row>
    <row r="4932" spans="1:11" ht="42" customHeight="1">
      <c r="A4932" s="2" t="s">
        <v>12880</v>
      </c>
      <c r="B4932" s="2" t="s">
        <v>12881</v>
      </c>
      <c r="C4932" s="2" t="s">
        <v>122</v>
      </c>
      <c r="D4932" s="2" t="s">
        <v>18</v>
      </c>
      <c r="E4932" s="4">
        <v>-32262</v>
      </c>
      <c r="F4932" s="3" t="s">
        <v>7530</v>
      </c>
      <c r="G4932" s="3" t="s">
        <v>20</v>
      </c>
      <c r="H4932" s="2" t="s">
        <v>148</v>
      </c>
      <c r="I4932" s="2" t="s">
        <v>12882</v>
      </c>
      <c r="J4932" s="3" t="str">
        <f>HYPERLINK("https://www.boe.es/gazeta/dias/1811/09/01/pdfs/GMD-1811-244.pdf#page=4","Abrir facsímil")</f>
        <v>Abrir facsímil</v>
      </c>
      <c r="K4932" s="3" t="s">
        <v>150</v>
      </c>
    </row>
    <row r="4933" spans="1:11" ht="42" customHeight="1">
      <c r="A4933" s="2" t="s">
        <v>12883</v>
      </c>
      <c r="B4933" s="2" t="s">
        <v>12884</v>
      </c>
      <c r="C4933" s="2" t="s">
        <v>26</v>
      </c>
      <c r="D4933" s="2" t="s">
        <v>18</v>
      </c>
      <c r="E4933" s="4">
        <v>-32263</v>
      </c>
      <c r="F4933" s="3" t="s">
        <v>3780</v>
      </c>
      <c r="G4933" s="3" t="s">
        <v>3781</v>
      </c>
      <c r="H4933" s="2" t="s">
        <v>148</v>
      </c>
      <c r="I4933" s="2" t="s">
        <v>12885</v>
      </c>
      <c r="J4933" s="3" t="str">
        <f>HYPERLINK("https://www.boe.es/gazeta/dias/1811/08/31/pdfs/GMD-1811-243.pdf#page=4","Abrir facsímil")</f>
        <v>Abrir facsímil</v>
      </c>
      <c r="K4933" s="3" t="s">
        <v>150</v>
      </c>
    </row>
    <row r="4934" spans="1:11" ht="42" customHeight="1">
      <c r="A4934" s="2" t="s">
        <v>12883</v>
      </c>
      <c r="B4934" s="2" t="s">
        <v>12884</v>
      </c>
      <c r="C4934" s="2" t="s">
        <v>84</v>
      </c>
      <c r="D4934" s="2" t="s">
        <v>18</v>
      </c>
      <c r="E4934" s="4">
        <v>-32235</v>
      </c>
      <c r="F4934" s="3" t="s">
        <v>376</v>
      </c>
      <c r="G4934" s="3" t="s">
        <v>183</v>
      </c>
      <c r="H4934" s="2" t="s">
        <v>148</v>
      </c>
      <c r="I4934" s="2" t="s">
        <v>12886</v>
      </c>
      <c r="J4934" s="3" t="str">
        <f>HYPERLINK("https://www.boe.es/gazeta/dias/1811/09/28/pdfs/GMD-1811-271.pdf#page=4","Abrir facsímil")</f>
        <v>Abrir facsímil</v>
      </c>
      <c r="K4934" s="3" t="s">
        <v>150</v>
      </c>
    </row>
    <row r="4935" spans="1:11" ht="42" customHeight="1">
      <c r="A4935" s="2" t="s">
        <v>12883</v>
      </c>
      <c r="B4935" s="2" t="s">
        <v>12884</v>
      </c>
      <c r="C4935" s="2" t="s">
        <v>26</v>
      </c>
      <c r="D4935" s="2" t="s">
        <v>18</v>
      </c>
      <c r="E4935" s="4">
        <v>-32226</v>
      </c>
      <c r="F4935" s="3" t="s">
        <v>618</v>
      </c>
      <c r="G4935" s="3" t="s">
        <v>1565</v>
      </c>
      <c r="H4935" s="2" t="s">
        <v>148</v>
      </c>
      <c r="I4935" s="2" t="s">
        <v>12887</v>
      </c>
      <c r="J4935" s="3" t="str">
        <f>HYPERLINK("https://www.boe.es/gazeta/dias/1811/10/07/pdfs/GMD-1811-280.pdf#page=4","Abrir facsímil")</f>
        <v>Abrir facsímil</v>
      </c>
      <c r="K4935" s="3" t="s">
        <v>150</v>
      </c>
    </row>
    <row r="4936" spans="1:11" ht="42" customHeight="1">
      <c r="A4936" s="2" t="s">
        <v>12883</v>
      </c>
      <c r="B4936" s="2" t="s">
        <v>12884</v>
      </c>
      <c r="C4936" s="2" t="s">
        <v>84</v>
      </c>
      <c r="D4936" s="2" t="s">
        <v>18</v>
      </c>
      <c r="E4936" s="4">
        <v>-32225</v>
      </c>
      <c r="F4936" s="3" t="s">
        <v>2347</v>
      </c>
      <c r="G4936" s="3" t="s">
        <v>1087</v>
      </c>
      <c r="H4936" s="2" t="s">
        <v>148</v>
      </c>
      <c r="I4936" s="2" t="s">
        <v>12888</v>
      </c>
      <c r="J4936" s="3" t="str">
        <f>HYPERLINK("https://www.boe.es/gazeta/dias/1811/10/08/pdfs/GMD-1811-281.pdf#page=4","Abrir facsímil")</f>
        <v>Abrir facsímil</v>
      </c>
      <c r="K4936" s="3" t="s">
        <v>150</v>
      </c>
    </row>
    <row r="4937" spans="1:11" ht="42" customHeight="1">
      <c r="A4937" s="2" t="s">
        <v>12883</v>
      </c>
      <c r="B4937" s="2" t="s">
        <v>12884</v>
      </c>
      <c r="C4937" s="2" t="s">
        <v>84</v>
      </c>
      <c r="D4937" s="2" t="s">
        <v>18</v>
      </c>
      <c r="E4937" s="4">
        <v>-32224</v>
      </c>
      <c r="F4937" s="3" t="s">
        <v>12889</v>
      </c>
      <c r="G4937" s="3" t="s">
        <v>12890</v>
      </c>
      <c r="H4937" s="2" t="s">
        <v>148</v>
      </c>
      <c r="I4937" s="2" t="s">
        <v>12891</v>
      </c>
      <c r="J4937" s="3" t="str">
        <f>HYPERLINK("https://www.boe.es/gazeta/dias/1811/10/09/pdfs/GMD-1811-282.pdf#page=4","Abrir facsímil")</f>
        <v>Abrir facsímil</v>
      </c>
      <c r="K4937" s="3" t="s">
        <v>150</v>
      </c>
    </row>
    <row r="4938" spans="1:11" ht="42" customHeight="1">
      <c r="A4938" s="2" t="s">
        <v>12883</v>
      </c>
      <c r="B4938" s="2" t="s">
        <v>12884</v>
      </c>
      <c r="C4938" s="2" t="s">
        <v>84</v>
      </c>
      <c r="D4938" s="2" t="s">
        <v>18</v>
      </c>
      <c r="E4938" s="4">
        <v>-32223</v>
      </c>
      <c r="F4938" s="3" t="s">
        <v>5139</v>
      </c>
      <c r="G4938" s="3" t="s">
        <v>178</v>
      </c>
      <c r="H4938" s="2" t="s">
        <v>148</v>
      </c>
      <c r="I4938" s="2" t="s">
        <v>12892</v>
      </c>
      <c r="J4938" s="3" t="str">
        <f>HYPERLINK("https://www.boe.es/gazeta/dias/1811/10/10/pdfs/GMD-1811-283.pdf#page=4","Abrir facsímil")</f>
        <v>Abrir facsímil</v>
      </c>
      <c r="K4938" s="3" t="s">
        <v>150</v>
      </c>
    </row>
    <row r="4939" spans="1:11" ht="42" customHeight="1">
      <c r="A4939" s="2" t="s">
        <v>12883</v>
      </c>
      <c r="B4939" s="2" t="s">
        <v>12884</v>
      </c>
      <c r="C4939" s="2" t="s">
        <v>17</v>
      </c>
      <c r="D4939" s="2" t="s">
        <v>156</v>
      </c>
      <c r="E4939" s="4">
        <v>-32220</v>
      </c>
      <c r="F4939" s="3" t="s">
        <v>2852</v>
      </c>
      <c r="G4939" s="3" t="s">
        <v>12893</v>
      </c>
      <c r="H4939" s="2" t="s">
        <v>148</v>
      </c>
      <c r="I4939" s="2" t="s">
        <v>12894</v>
      </c>
      <c r="J4939" s="3" t="str">
        <f>HYPERLINK("https://www.boe.es/gazeta/dias/1811/10/13/pdfs/GMD-1811-286.pdf#page=4","Abrir facsímil")</f>
        <v>Abrir facsímil</v>
      </c>
      <c r="K4939" s="3" t="s">
        <v>150</v>
      </c>
    </row>
    <row r="4940" spans="1:11" ht="42" customHeight="1">
      <c r="A4940" s="2" t="s">
        <v>12883</v>
      </c>
      <c r="B4940" s="2" t="s">
        <v>12884</v>
      </c>
      <c r="C4940" s="2" t="s">
        <v>84</v>
      </c>
      <c r="D4940" s="2" t="s">
        <v>18</v>
      </c>
      <c r="E4940" s="4">
        <v>-32219</v>
      </c>
      <c r="F4940" s="3" t="s">
        <v>2681</v>
      </c>
      <c r="G4940" s="3" t="s">
        <v>8502</v>
      </c>
      <c r="H4940" s="2" t="s">
        <v>148</v>
      </c>
      <c r="I4940" s="2" t="s">
        <v>12895</v>
      </c>
      <c r="J4940" s="3" t="str">
        <f>HYPERLINK("https://www.boe.es/gazeta/dias/1811/10/14/pdfs/GMD-1811-287.pdf#page=4","Abrir facsímil")</f>
        <v>Abrir facsímil</v>
      </c>
      <c r="K4940" s="3" t="s">
        <v>150</v>
      </c>
    </row>
    <row r="4941" spans="1:11" ht="42" customHeight="1">
      <c r="A4941" s="2" t="s">
        <v>12883</v>
      </c>
      <c r="B4941" s="2" t="s">
        <v>12884</v>
      </c>
      <c r="C4941" s="2" t="s">
        <v>84</v>
      </c>
      <c r="D4941" s="2" t="s">
        <v>18</v>
      </c>
      <c r="E4941" s="4">
        <v>-32218</v>
      </c>
      <c r="F4941" s="3" t="s">
        <v>545</v>
      </c>
      <c r="G4941" s="3" t="s">
        <v>546</v>
      </c>
      <c r="H4941" s="2" t="s">
        <v>148</v>
      </c>
      <c r="I4941" s="2" t="s">
        <v>12896</v>
      </c>
      <c r="J4941" s="3" t="str">
        <f>HYPERLINK("https://www.boe.es/gazeta/dias/1811/10/15/pdfs/GMD-1811-288.pdf#page=4","Abrir facsímil")</f>
        <v>Abrir facsímil</v>
      </c>
      <c r="K4941" s="3" t="s">
        <v>150</v>
      </c>
    </row>
    <row r="4942" spans="1:11" ht="42" customHeight="1">
      <c r="A4942" s="2" t="s">
        <v>12883</v>
      </c>
      <c r="B4942" s="2" t="s">
        <v>12884</v>
      </c>
      <c r="C4942" s="2" t="s">
        <v>84</v>
      </c>
      <c r="D4942" s="2" t="s">
        <v>18</v>
      </c>
      <c r="E4942" s="4">
        <v>-32217</v>
      </c>
      <c r="F4942" s="3" t="s">
        <v>1351</v>
      </c>
      <c r="G4942" s="3" t="s">
        <v>91</v>
      </c>
      <c r="H4942" s="2" t="s">
        <v>148</v>
      </c>
      <c r="I4942" s="2" t="s">
        <v>12897</v>
      </c>
      <c r="J4942" s="3" t="str">
        <f>HYPERLINK("https://www.boe.es/gazeta/dias/1811/10/16/pdfs/GMD-1811-289.pdf#page=4","Abrir facsímil")</f>
        <v>Abrir facsímil</v>
      </c>
      <c r="K4942" s="3" t="s">
        <v>150</v>
      </c>
    </row>
    <row r="4943" spans="1:11" ht="42" customHeight="1">
      <c r="A4943" s="2" t="s">
        <v>12883</v>
      </c>
      <c r="B4943" s="2" t="s">
        <v>12884</v>
      </c>
      <c r="C4943" s="2" t="s">
        <v>26</v>
      </c>
      <c r="D4943" s="2" t="s">
        <v>18</v>
      </c>
      <c r="E4943" s="4">
        <v>-32154</v>
      </c>
      <c r="F4943" s="3" t="s">
        <v>7211</v>
      </c>
      <c r="G4943" s="3" t="s">
        <v>976</v>
      </c>
      <c r="H4943" s="2" t="s">
        <v>148</v>
      </c>
      <c r="I4943" s="2" t="s">
        <v>12898</v>
      </c>
      <c r="J4943" s="3" t="str">
        <f>HYPERLINK("https://www.boe.es/gazeta/dias/1811/12/18/pdfs/GMD-1811-352.pdf#page=4","Abrir facsímil")</f>
        <v>Abrir facsímil</v>
      </c>
      <c r="K4943" s="3" t="s">
        <v>150</v>
      </c>
    </row>
    <row r="4944" spans="1:11" ht="42" customHeight="1">
      <c r="A4944" s="2" t="s">
        <v>12883</v>
      </c>
      <c r="B4944" s="2" t="s">
        <v>12884</v>
      </c>
      <c r="C4944" s="2" t="s">
        <v>26</v>
      </c>
      <c r="D4944" s="2" t="s">
        <v>18</v>
      </c>
      <c r="E4944" s="4">
        <v>-32153</v>
      </c>
      <c r="F4944" s="3" t="s">
        <v>123</v>
      </c>
      <c r="G4944" s="3" t="s">
        <v>124</v>
      </c>
      <c r="H4944" s="2" t="s">
        <v>148</v>
      </c>
      <c r="I4944" s="2" t="s">
        <v>12899</v>
      </c>
      <c r="J4944" s="3" t="str">
        <f>HYPERLINK("https://www.boe.es/gazeta/dias/1811/12/19/pdfs/GMD-1811-353.pdf#page=6","Abrir facsímil")</f>
        <v>Abrir facsímil</v>
      </c>
      <c r="K4944" s="3" t="s">
        <v>150</v>
      </c>
    </row>
    <row r="4945" spans="1:11" ht="42" customHeight="1">
      <c r="A4945" s="2" t="s">
        <v>12900</v>
      </c>
      <c r="B4945" s="2" t="s">
        <v>12901</v>
      </c>
      <c r="C4945" s="2" t="s">
        <v>84</v>
      </c>
      <c r="D4945" s="2" t="s">
        <v>18</v>
      </c>
      <c r="E4945" s="4">
        <v>-32234</v>
      </c>
      <c r="F4945" s="3" t="s">
        <v>12552</v>
      </c>
      <c r="G4945" s="3" t="s">
        <v>4362</v>
      </c>
      <c r="H4945" s="2" t="s">
        <v>148</v>
      </c>
      <c r="I4945" s="2" t="s">
        <v>12902</v>
      </c>
      <c r="J4945" s="3" t="str">
        <f>HYPERLINK("https://www.boe.es/gazeta/dias/1811/09/29/pdfs/GMD-1811-272.pdf#page=4","Abrir facsímil")</f>
        <v>Abrir facsímil</v>
      </c>
      <c r="K4945" s="3" t="s">
        <v>150</v>
      </c>
    </row>
    <row r="4946" spans="1:11" ht="42" customHeight="1">
      <c r="A4946" s="2" t="s">
        <v>12903</v>
      </c>
      <c r="B4946" s="2" t="s">
        <v>12904</v>
      </c>
      <c r="C4946" s="2" t="s">
        <v>84</v>
      </c>
      <c r="D4946" s="2" t="s">
        <v>18</v>
      </c>
      <c r="E4946" s="4">
        <v>-32222</v>
      </c>
      <c r="F4946" s="3" t="s">
        <v>4460</v>
      </c>
      <c r="G4946" s="3" t="s">
        <v>178</v>
      </c>
      <c r="H4946" s="2" t="s">
        <v>148</v>
      </c>
      <c r="I4946" s="2" t="s">
        <v>12905</v>
      </c>
      <c r="J4946" s="3" t="str">
        <f>HYPERLINK("https://www.boe.es/gazeta/dias/1811/10/11/pdfs/GMD-1811-284.pdf#page=4","Abrir facsímil")</f>
        <v>Abrir facsímil</v>
      </c>
      <c r="K4946" s="3" t="s">
        <v>150</v>
      </c>
    </row>
    <row r="4947" spans="1:11" ht="42" customHeight="1">
      <c r="A4947" s="2" t="s">
        <v>12906</v>
      </c>
      <c r="B4947" s="2" t="s">
        <v>12907</v>
      </c>
      <c r="C4947" s="2" t="s">
        <v>841</v>
      </c>
      <c r="D4947" s="2" t="s">
        <v>18</v>
      </c>
      <c r="E4947" s="4">
        <v>-32228</v>
      </c>
      <c r="F4947" s="3" t="s">
        <v>372</v>
      </c>
      <c r="G4947" s="3" t="s">
        <v>20</v>
      </c>
      <c r="H4947" s="2" t="s">
        <v>148</v>
      </c>
      <c r="I4947" s="2" t="s">
        <v>12908</v>
      </c>
      <c r="J4947" s="3" t="str">
        <f>HYPERLINK("https://www.boe.es/gazeta/dias/1811/10/05/pdfs/GEI-1811-128.pdf#page=8","Abrir facsímil")</f>
        <v>Abrir facsímil</v>
      </c>
      <c r="K4947" s="3" t="s">
        <v>150</v>
      </c>
    </row>
    <row r="4948" spans="1:11" ht="42" customHeight="1">
      <c r="A4948" s="2" t="s">
        <v>12909</v>
      </c>
      <c r="B4948" s="2" t="s">
        <v>12910</v>
      </c>
      <c r="C4948" s="2" t="s">
        <v>17</v>
      </c>
      <c r="D4948" s="2" t="s">
        <v>18</v>
      </c>
      <c r="E4948" s="4">
        <v>-32246</v>
      </c>
      <c r="F4948" s="3" t="s">
        <v>19</v>
      </c>
      <c r="G4948" s="3" t="s">
        <v>1004</v>
      </c>
      <c r="H4948" s="2" t="s">
        <v>148</v>
      </c>
      <c r="I4948" s="2" t="s">
        <v>12911</v>
      </c>
      <c r="J4948" s="3" t="str">
        <f>HYPERLINK("https://www.boe.es/gazeta/dias/1811/09/17/pdfs/GEI-1811-120.pdf#page=20","Abrir facsímil")</f>
        <v>Abrir facsímil</v>
      </c>
      <c r="K4948" s="3" t="s">
        <v>150</v>
      </c>
    </row>
    <row r="4949" spans="1:11" ht="42" customHeight="1">
      <c r="A4949" s="2" t="s">
        <v>12909</v>
      </c>
      <c r="B4949" s="2" t="s">
        <v>12910</v>
      </c>
      <c r="C4949" s="2" t="s">
        <v>26</v>
      </c>
      <c r="D4949" s="2" t="s">
        <v>18</v>
      </c>
      <c r="E4949" s="4">
        <v>-32246</v>
      </c>
      <c r="F4949" s="3" t="s">
        <v>19</v>
      </c>
      <c r="G4949" s="3" t="s">
        <v>91</v>
      </c>
      <c r="H4949" s="2" t="s">
        <v>148</v>
      </c>
      <c r="I4949" s="2" t="s">
        <v>12912</v>
      </c>
      <c r="J4949" s="3" t="str">
        <f>HYPERLINK("https://www.boe.es/gazeta/dias/1811/09/17/pdfs/GEI-1811-120.pdf#page=21","Abrir facsímil")</f>
        <v>Abrir facsímil</v>
      </c>
      <c r="K4949" s="3" t="s">
        <v>150</v>
      </c>
    </row>
    <row r="4950" spans="1:11" ht="42" customHeight="1">
      <c r="A4950" s="2" t="s">
        <v>12909</v>
      </c>
      <c r="B4950" s="2" t="s">
        <v>12910</v>
      </c>
      <c r="C4950" s="2" t="s">
        <v>26</v>
      </c>
      <c r="D4950" s="2" t="s">
        <v>18</v>
      </c>
      <c r="E4950" s="4">
        <v>-32246</v>
      </c>
      <c r="F4950" s="3" t="s">
        <v>19</v>
      </c>
      <c r="G4950" s="3" t="s">
        <v>1957</v>
      </c>
      <c r="H4950" s="2" t="s">
        <v>148</v>
      </c>
      <c r="I4950" s="2" t="s">
        <v>12913</v>
      </c>
      <c r="J4950" s="3" t="str">
        <f>HYPERLINK("https://www.boe.es/gazeta/dias/1811/09/17/pdfs/GEI-1811-120.pdf#page=22","Abrir facsímil")</f>
        <v>Abrir facsímil</v>
      </c>
      <c r="K4950" s="3" t="s">
        <v>150</v>
      </c>
    </row>
    <row r="4951" spans="1:11" ht="42" customHeight="1">
      <c r="A4951" s="2" t="s">
        <v>12914</v>
      </c>
      <c r="B4951" s="2" t="s">
        <v>12915</v>
      </c>
      <c r="C4951" s="2" t="s">
        <v>122</v>
      </c>
      <c r="D4951" s="2" t="s">
        <v>18</v>
      </c>
      <c r="E4951" s="4">
        <v>-32379</v>
      </c>
      <c r="F4951" s="3" t="s">
        <v>462</v>
      </c>
      <c r="G4951" s="3" t="s">
        <v>2737</v>
      </c>
      <c r="H4951" s="2" t="s">
        <v>148</v>
      </c>
      <c r="I4951" s="2" t="s">
        <v>12916</v>
      </c>
      <c r="J4951" s="3" t="str">
        <f>HYPERLINK("https://www.boe.es/gazeta/dias/1811/05/07/pdfs/GEI-1811-60.pdf#page=7","Abrir facsímil")</f>
        <v>Abrir facsímil</v>
      </c>
      <c r="K4951" s="3" t="s">
        <v>150</v>
      </c>
    </row>
    <row r="4952" spans="1:11" ht="42" customHeight="1">
      <c r="A4952" s="2" t="s">
        <v>12917</v>
      </c>
      <c r="B4952" s="2" t="s">
        <v>12918</v>
      </c>
      <c r="C4952" s="2" t="s">
        <v>17</v>
      </c>
      <c r="D4952" s="2" t="s">
        <v>156</v>
      </c>
      <c r="E4952" s="4">
        <v>-32447</v>
      </c>
      <c r="F4952" s="3" t="s">
        <v>3655</v>
      </c>
      <c r="G4952" s="3" t="s">
        <v>476</v>
      </c>
      <c r="H4952" s="2" t="s">
        <v>148</v>
      </c>
      <c r="I4952" s="2" t="s">
        <v>12919</v>
      </c>
      <c r="J4952" s="3" t="str">
        <f>HYPERLINK("https://www.boe.es/gazeta/dias/1811/02/28/pdfs/GEI-1811-26.pdf#page=7","Abrir facsímil")</f>
        <v>Abrir facsímil</v>
      </c>
      <c r="K4952" s="3" t="s">
        <v>150</v>
      </c>
    </row>
    <row r="4953" spans="1:11" ht="42" customHeight="1">
      <c r="A4953" s="2" t="s">
        <v>12920</v>
      </c>
      <c r="B4953" s="2" t="s">
        <v>12921</v>
      </c>
      <c r="C4953" s="2" t="s">
        <v>26</v>
      </c>
      <c r="D4953" s="2" t="s">
        <v>18</v>
      </c>
      <c r="E4953" s="4">
        <v>-32165</v>
      </c>
      <c r="F4953" s="3" t="s">
        <v>4621</v>
      </c>
      <c r="G4953" s="3" t="s">
        <v>12922</v>
      </c>
      <c r="H4953" s="2" t="s">
        <v>148</v>
      </c>
      <c r="I4953" s="2" t="s">
        <v>12923</v>
      </c>
      <c r="J4953" s="3" t="str">
        <f>HYPERLINK("https://www.boe.es/gazeta/dias/1811/12/07/pdfs/GEI-1811-159.pdf#page=8","Abrir facsímil")</f>
        <v>Abrir facsímil</v>
      </c>
      <c r="K4953" s="3" t="s">
        <v>150</v>
      </c>
    </row>
    <row r="4954" spans="1:11" ht="42" customHeight="1">
      <c r="A4954" s="2" t="s">
        <v>12924</v>
      </c>
      <c r="B4954" s="2" t="s">
        <v>12925</v>
      </c>
      <c r="C4954" s="2" t="s">
        <v>26</v>
      </c>
      <c r="D4954" s="2" t="s">
        <v>141</v>
      </c>
      <c r="E4954" s="4">
        <v>-32238</v>
      </c>
      <c r="F4954" s="3" t="s">
        <v>166</v>
      </c>
      <c r="G4954" s="3" t="s">
        <v>657</v>
      </c>
      <c r="H4954" s="2" t="s">
        <v>148</v>
      </c>
      <c r="I4954" s="2" t="s">
        <v>12926</v>
      </c>
      <c r="J4954" s="3" t="str">
        <f>HYPERLINK("https://www.boe.es/gazeta/dias/1811/09/25/pdfs/GMD-C-1811-268.pdf#page=3","Abrir facsímil")</f>
        <v>Abrir facsímil</v>
      </c>
      <c r="K4954" s="3" t="s">
        <v>150</v>
      </c>
    </row>
    <row r="4955" spans="1:11" ht="42" customHeight="1">
      <c r="A4955" s="2" t="s">
        <v>12927</v>
      </c>
      <c r="B4955" s="2" t="s">
        <v>12928</v>
      </c>
      <c r="C4955" s="2" t="s">
        <v>17</v>
      </c>
      <c r="D4955" s="2" t="s">
        <v>156</v>
      </c>
      <c r="E4955" s="4">
        <v>-32442</v>
      </c>
      <c r="F4955" s="3" t="s">
        <v>634</v>
      </c>
      <c r="G4955" s="3" t="s">
        <v>3430</v>
      </c>
      <c r="H4955" s="2" t="s">
        <v>148</v>
      </c>
      <c r="I4955" s="2" t="s">
        <v>12929</v>
      </c>
      <c r="J4955" s="3" t="str">
        <f>HYPERLINK("https://www.boe.es/gazeta/dias/1811/03/05/pdfs/GEI-1811-29.pdf#page=3","Abrir facsímil")</f>
        <v>Abrir facsímil</v>
      </c>
      <c r="K4955" s="3" t="s">
        <v>150</v>
      </c>
    </row>
    <row r="4956" spans="1:11" ht="42" customHeight="1">
      <c r="A4956" s="2" t="s">
        <v>12930</v>
      </c>
      <c r="B4956" s="2" t="s">
        <v>12931</v>
      </c>
      <c r="C4956" s="2" t="s">
        <v>104</v>
      </c>
      <c r="D4956" s="2" t="s">
        <v>18</v>
      </c>
      <c r="E4956" s="4">
        <v>-32200</v>
      </c>
      <c r="F4956" s="3" t="s">
        <v>109</v>
      </c>
      <c r="G4956" s="3" t="s">
        <v>110</v>
      </c>
      <c r="H4956" s="2" t="s">
        <v>148</v>
      </c>
      <c r="I4956" s="2" t="s">
        <v>12932</v>
      </c>
      <c r="J4956" s="3" t="str">
        <f>HYPERLINK("https://www.boe.es/gazeta/dias/1811/11/02/pdfs/GEI-1811-141.pdf#page=6","Abrir facsímil")</f>
        <v>Abrir facsímil</v>
      </c>
      <c r="K4956" s="3" t="s">
        <v>150</v>
      </c>
    </row>
    <row r="4957" spans="1:11" ht="42" customHeight="1">
      <c r="A4957" s="2" t="s">
        <v>12933</v>
      </c>
      <c r="B4957" s="2" t="s">
        <v>12934</v>
      </c>
      <c r="C4957" s="2" t="s">
        <v>26</v>
      </c>
      <c r="D4957" s="2" t="s">
        <v>18</v>
      </c>
      <c r="E4957" s="4">
        <v>-32213</v>
      </c>
      <c r="F4957" s="3" t="s">
        <v>4653</v>
      </c>
      <c r="G4957" s="3" t="s">
        <v>1930</v>
      </c>
      <c r="H4957" s="2" t="s">
        <v>148</v>
      </c>
      <c r="I4957" s="2" t="s">
        <v>12935</v>
      </c>
      <c r="J4957" s="3" t="str">
        <f>HYPERLINK("https://www.boe.es/gazeta/dias/1811/10/20/pdfs/GMD-1811-293.pdf#page=4","Abrir facsímil")</f>
        <v>Abrir facsímil</v>
      </c>
      <c r="K4957" s="3" t="s">
        <v>150</v>
      </c>
    </row>
    <row r="4958" spans="1:11" ht="42" customHeight="1">
      <c r="A4958" s="2" t="s">
        <v>12936</v>
      </c>
      <c r="B4958" s="2" t="s">
        <v>12937</v>
      </c>
      <c r="C4958" s="2" t="s">
        <v>26</v>
      </c>
      <c r="D4958" s="2" t="s">
        <v>18</v>
      </c>
      <c r="E4958" s="4">
        <v>-32295</v>
      </c>
      <c r="F4958" s="3" t="s">
        <v>279</v>
      </c>
      <c r="G4958" s="3" t="s">
        <v>44</v>
      </c>
      <c r="H4958" s="2" t="s">
        <v>148</v>
      </c>
      <c r="I4958" s="2" t="s">
        <v>12938</v>
      </c>
      <c r="J4958" s="3" t="str">
        <f>HYPERLINK("https://www.boe.es/gazeta/dias/1811/07/30/pdfs/GEI-1811-99.pdf#page=8","Abrir facsímil")</f>
        <v>Abrir facsímil</v>
      </c>
      <c r="K4958" s="3" t="s">
        <v>150</v>
      </c>
    </row>
    <row r="4959" spans="1:11" ht="42" customHeight="1">
      <c r="A4959" s="2" t="s">
        <v>12939</v>
      </c>
      <c r="B4959" s="2" t="s">
        <v>12940</v>
      </c>
      <c r="C4959" s="2" t="s">
        <v>26</v>
      </c>
      <c r="D4959" s="2" t="s">
        <v>18</v>
      </c>
      <c r="E4959" s="4">
        <v>-32250</v>
      </c>
      <c r="F4959" s="3" t="s">
        <v>2823</v>
      </c>
      <c r="G4959" s="3" t="s">
        <v>3947</v>
      </c>
      <c r="H4959" s="2" t="s">
        <v>148</v>
      </c>
      <c r="I4959" s="2" t="s">
        <v>12941</v>
      </c>
      <c r="J4959" s="3" t="str">
        <f>HYPERLINK("https://www.boe.es/gazeta/dias/1811/09/13/pdfs/GMD-1811-256.pdf#page=4","Abrir facsímil")</f>
        <v>Abrir facsímil</v>
      </c>
      <c r="K4959" s="3" t="s">
        <v>150</v>
      </c>
    </row>
    <row r="4960" spans="1:11" ht="42" customHeight="1">
      <c r="A4960" s="2" t="s">
        <v>12942</v>
      </c>
      <c r="B4960" s="2" t="s">
        <v>12943</v>
      </c>
      <c r="C4960" s="2" t="s">
        <v>26</v>
      </c>
      <c r="D4960" s="2" t="s">
        <v>141</v>
      </c>
      <c r="E4960" s="4">
        <v>-32280</v>
      </c>
      <c r="F4960" s="3" t="s">
        <v>142</v>
      </c>
      <c r="G4960" s="3" t="s">
        <v>47</v>
      </c>
      <c r="H4960" s="2" t="s">
        <v>148</v>
      </c>
      <c r="I4960" s="2" t="s">
        <v>12944</v>
      </c>
      <c r="J4960" s="3" t="str">
        <f>HYPERLINK("https://www.boe.es/gazeta/dias/1811/08/14/pdfs/GMD-C-1811-226.pdf#page=1","Abrir facsímil")</f>
        <v>Abrir facsímil</v>
      </c>
      <c r="K4960" s="3" t="s">
        <v>150</v>
      </c>
    </row>
    <row r="4961" spans="1:11" ht="42" customHeight="1">
      <c r="A4961" s="2" t="s">
        <v>12945</v>
      </c>
      <c r="B4961" s="2" t="s">
        <v>12946</v>
      </c>
      <c r="C4961" s="2" t="s">
        <v>26</v>
      </c>
      <c r="D4961" s="2" t="s">
        <v>141</v>
      </c>
      <c r="E4961" s="4">
        <v>-32238</v>
      </c>
      <c r="F4961" s="3" t="s">
        <v>166</v>
      </c>
      <c r="G4961" s="3" t="s">
        <v>657</v>
      </c>
      <c r="H4961" s="2" t="s">
        <v>148</v>
      </c>
      <c r="I4961" s="2" t="s">
        <v>12947</v>
      </c>
      <c r="J4961" s="3" t="str">
        <f>HYPERLINK("https://www.boe.es/gazeta/dias/1811/09/25/pdfs/GMD-C-1811-268.pdf#page=3","Abrir facsímil")</f>
        <v>Abrir facsímil</v>
      </c>
      <c r="K4961" s="3" t="s">
        <v>150</v>
      </c>
    </row>
    <row r="4962" spans="1:11" ht="42" customHeight="1">
      <c r="A4962" s="2" t="s">
        <v>12948</v>
      </c>
      <c r="B4962" s="2" t="s">
        <v>12949</v>
      </c>
      <c r="C4962" s="2" t="s">
        <v>122</v>
      </c>
      <c r="D4962" s="2" t="s">
        <v>18</v>
      </c>
      <c r="E4962" s="4">
        <v>-32297</v>
      </c>
      <c r="F4962" s="3" t="s">
        <v>2174</v>
      </c>
      <c r="G4962" s="3" t="s">
        <v>115</v>
      </c>
      <c r="H4962" s="2" t="s">
        <v>148</v>
      </c>
      <c r="I4962" s="2" t="s">
        <v>12950</v>
      </c>
      <c r="J4962" s="3" t="str">
        <f>HYPERLINK("https://www.boe.es/gazeta/dias/1811/07/28/pdfs/GMD-1811-209.pdf#page=3","Abrir facsímil")</f>
        <v>Abrir facsímil</v>
      </c>
      <c r="K4962" s="3" t="s">
        <v>150</v>
      </c>
    </row>
    <row r="4963" spans="1:11" ht="42" customHeight="1">
      <c r="A4963" s="2" t="s">
        <v>12951</v>
      </c>
      <c r="B4963" s="2" t="s">
        <v>12952</v>
      </c>
      <c r="C4963" s="2" t="s">
        <v>26</v>
      </c>
      <c r="D4963" s="2" t="s">
        <v>18</v>
      </c>
      <c r="E4963" s="4">
        <v>-32248</v>
      </c>
      <c r="F4963" s="3" t="s">
        <v>622</v>
      </c>
      <c r="G4963" s="3" t="s">
        <v>115</v>
      </c>
      <c r="H4963" s="2" t="s">
        <v>148</v>
      </c>
      <c r="I4963" s="2" t="s">
        <v>12953</v>
      </c>
      <c r="J4963" s="3" t="str">
        <f>HYPERLINK("https://www.boe.es/gazeta/dias/1811/09/15/pdfs/GMD-1811-258.pdf#page=3","Abrir facsímil")</f>
        <v>Abrir facsímil</v>
      </c>
      <c r="K4963" s="3" t="s">
        <v>150</v>
      </c>
    </row>
    <row r="4964" spans="1:11" ht="42" customHeight="1">
      <c r="A4964" s="2" t="s">
        <v>12954</v>
      </c>
      <c r="B4964" s="2" t="s">
        <v>12955</v>
      </c>
      <c r="C4964" s="2" t="s">
        <v>17</v>
      </c>
      <c r="D4964" s="2" t="s">
        <v>156</v>
      </c>
      <c r="E4964" s="4">
        <v>-32225</v>
      </c>
      <c r="F4964" s="3" t="s">
        <v>390</v>
      </c>
      <c r="G4964" s="3" t="s">
        <v>3957</v>
      </c>
      <c r="H4964" s="2" t="s">
        <v>148</v>
      </c>
      <c r="I4964" s="2" t="s">
        <v>12956</v>
      </c>
      <c r="J4964" s="3" t="str">
        <f>HYPERLINK("https://www.boe.es/gazeta/dias/1811/10/08/pdfs/GEI-1811-129.pdf#page=4","Abrir facsímil")</f>
        <v>Abrir facsímil</v>
      </c>
      <c r="K4964" s="3" t="s">
        <v>150</v>
      </c>
    </row>
    <row r="4965" spans="1:11" ht="42" customHeight="1">
      <c r="A4965" s="2" t="s">
        <v>12957</v>
      </c>
      <c r="B4965" s="2" t="s">
        <v>12958</v>
      </c>
      <c r="C4965" s="2" t="s">
        <v>26</v>
      </c>
      <c r="D4965" s="2" t="s">
        <v>18</v>
      </c>
      <c r="E4965" s="4">
        <v>-32155</v>
      </c>
      <c r="F4965" s="3" t="s">
        <v>263</v>
      </c>
      <c r="G4965" s="3" t="s">
        <v>284</v>
      </c>
      <c r="H4965" s="2" t="s">
        <v>148</v>
      </c>
      <c r="I4965" s="2" t="s">
        <v>12959</v>
      </c>
      <c r="J4965" s="3" t="str">
        <f>HYPERLINK("https://www.boe.es/gazeta/dias/1811/12/17/pdfs/GEI-1811-163.pdf#page=2","Abrir facsímil")</f>
        <v>Abrir facsímil</v>
      </c>
      <c r="K4965" s="3" t="s">
        <v>150</v>
      </c>
    </row>
    <row r="4966" spans="1:11" ht="42" customHeight="1">
      <c r="A4966" s="2" t="s">
        <v>12960</v>
      </c>
      <c r="B4966" s="2" t="s">
        <v>12961</v>
      </c>
      <c r="C4966" s="2" t="s">
        <v>122</v>
      </c>
      <c r="D4966" s="2" t="s">
        <v>105</v>
      </c>
      <c r="E4966" s="4">
        <v>-32404</v>
      </c>
      <c r="F4966" s="3" t="s">
        <v>911</v>
      </c>
      <c r="G4966" s="3" t="s">
        <v>468</v>
      </c>
      <c r="H4966" s="2" t="s">
        <v>148</v>
      </c>
      <c r="I4966" s="2" t="s">
        <v>12962</v>
      </c>
      <c r="J4966" s="3" t="str">
        <f>HYPERLINK("https://www.boe.es/gazeta/dias/1811/04/12/pdfs/GMD-1811-102.pdf#page=3","Abrir facsímil")</f>
        <v>Abrir facsímil</v>
      </c>
      <c r="K4966" s="3" t="s">
        <v>150</v>
      </c>
    </row>
    <row r="4967" spans="1:11" ht="42" customHeight="1">
      <c r="A4967" s="2" t="s">
        <v>12963</v>
      </c>
      <c r="B4967" s="2" t="s">
        <v>12964</v>
      </c>
      <c r="C4967" s="2" t="s">
        <v>26</v>
      </c>
      <c r="D4967" s="2" t="s">
        <v>18</v>
      </c>
      <c r="E4967" s="4">
        <v>-32503</v>
      </c>
      <c r="F4967" s="3" t="s">
        <v>487</v>
      </c>
      <c r="G4967" s="3" t="s">
        <v>1930</v>
      </c>
      <c r="H4967" s="2" t="s">
        <v>148</v>
      </c>
      <c r="I4967" s="2" t="s">
        <v>12965</v>
      </c>
      <c r="J4967" s="3" t="str">
        <f>HYPERLINK("https://www.boe.es/gazeta/dias/1811/01/03/pdfs/GEI-1811-2.pdf#page=8","Abrir facsímil")</f>
        <v>Abrir facsímil</v>
      </c>
      <c r="K4967" s="3" t="s">
        <v>150</v>
      </c>
    </row>
    <row r="4968" spans="1:11" ht="42" customHeight="1">
      <c r="A4968" s="2" t="s">
        <v>12966</v>
      </c>
      <c r="B4968" s="2" t="s">
        <v>12967</v>
      </c>
      <c r="C4968" s="2" t="s">
        <v>17</v>
      </c>
      <c r="D4968" s="2" t="s">
        <v>18</v>
      </c>
      <c r="E4968" s="4">
        <v>-32459</v>
      </c>
      <c r="F4968" s="3" t="s">
        <v>1034</v>
      </c>
      <c r="G4968" s="3" t="s">
        <v>2668</v>
      </c>
      <c r="H4968" s="2" t="s">
        <v>148</v>
      </c>
      <c r="I4968" s="2" t="s">
        <v>12968</v>
      </c>
      <c r="J4968" s="3" t="str">
        <f>HYPERLINK("https://www.boe.es/gazeta/dias/1811/02/16/pdfs/GEI-1811-21.pdf#page=5","Abrir facsímil")</f>
        <v>Abrir facsímil</v>
      </c>
      <c r="K4968" s="3" t="s">
        <v>150</v>
      </c>
    </row>
    <row r="4969" spans="1:11" ht="42" customHeight="1">
      <c r="A4969" s="2" t="s">
        <v>12969</v>
      </c>
      <c r="B4969" s="2" t="s">
        <v>12970</v>
      </c>
      <c r="C4969" s="2" t="s">
        <v>37</v>
      </c>
      <c r="D4969" s="2" t="s">
        <v>156</v>
      </c>
      <c r="E4969" s="4">
        <v>-32232</v>
      </c>
      <c r="F4969" s="3" t="s">
        <v>1816</v>
      </c>
      <c r="G4969" s="3" t="s">
        <v>1817</v>
      </c>
      <c r="H4969" s="2" t="s">
        <v>148</v>
      </c>
      <c r="I4969" s="2" t="s">
        <v>12971</v>
      </c>
      <c r="J4969" s="3" t="str">
        <f>HYPERLINK("https://www.boe.es/gazeta/dias/1811/10/01/pdfs/GEI-1811-126.pdf#page=8","Abrir facsímil")</f>
        <v>Abrir facsímil</v>
      </c>
      <c r="K4969" s="3" t="s">
        <v>150</v>
      </c>
    </row>
    <row r="4970" spans="1:11" ht="42" customHeight="1">
      <c r="A4970" s="2" t="s">
        <v>12972</v>
      </c>
      <c r="B4970" s="2" t="s">
        <v>12973</v>
      </c>
      <c r="C4970" s="2" t="s">
        <v>37</v>
      </c>
      <c r="D4970" s="2" t="s">
        <v>18</v>
      </c>
      <c r="E4970" s="4">
        <v>-32172</v>
      </c>
      <c r="F4970" s="3" t="s">
        <v>300</v>
      </c>
      <c r="G4970" s="3" t="s">
        <v>301</v>
      </c>
      <c r="H4970" s="2" t="s">
        <v>148</v>
      </c>
      <c r="I4970" s="2" t="s">
        <v>12974</v>
      </c>
      <c r="J4970" s="3" t="str">
        <f>HYPERLINK("https://www.boe.es/gazeta/dias/1811/11/30/pdfs/GMD-1811-334.pdf#page=4","Abrir facsímil")</f>
        <v>Abrir facsímil</v>
      </c>
      <c r="K4970" s="3" t="s">
        <v>150</v>
      </c>
    </row>
    <row r="4971" spans="1:11" ht="42" customHeight="1">
      <c r="A4971" s="2" t="s">
        <v>12975</v>
      </c>
      <c r="B4971" s="2" t="s">
        <v>12976</v>
      </c>
      <c r="C4971" s="2" t="s">
        <v>26</v>
      </c>
      <c r="D4971" s="2" t="s">
        <v>18</v>
      </c>
      <c r="E4971" s="4">
        <v>-32489</v>
      </c>
      <c r="F4971" s="3" t="s">
        <v>2073</v>
      </c>
      <c r="G4971" s="3" t="s">
        <v>44</v>
      </c>
      <c r="H4971" s="2" t="s">
        <v>21</v>
      </c>
      <c r="I4971" s="2" t="s">
        <v>12977</v>
      </c>
      <c r="J4971" s="3" t="str">
        <f>HYPERLINK("https://www.boe.es/gazeta/dias/1811/01/17/pdfs/GEI-1811-8.pdf#page=8","Abrir facsímil")</f>
        <v>Abrir facsímil</v>
      </c>
      <c r="K4971" s="3" t="s">
        <v>23</v>
      </c>
    </row>
    <row r="4972" spans="1:11" ht="42" customHeight="1">
      <c r="A4972" s="2" t="s">
        <v>12978</v>
      </c>
      <c r="B4972" s="2" t="s">
        <v>12979</v>
      </c>
      <c r="C4972" s="2" t="s">
        <v>26</v>
      </c>
      <c r="D4972" s="2" t="s">
        <v>18</v>
      </c>
      <c r="E4972" s="4">
        <v>-32153</v>
      </c>
      <c r="F4972" s="3" t="s">
        <v>123</v>
      </c>
      <c r="G4972" s="3" t="s">
        <v>288</v>
      </c>
      <c r="H4972" s="2" t="s">
        <v>148</v>
      </c>
      <c r="I4972" s="2" t="s">
        <v>12980</v>
      </c>
      <c r="J4972" s="3" t="str">
        <f>HYPERLINK("https://www.boe.es/gazeta/dias/1811/12/19/pdfs/GMD-1811-353.pdf#page=4","Abrir facsímil")</f>
        <v>Abrir facsímil</v>
      </c>
      <c r="K4972" s="3" t="s">
        <v>150</v>
      </c>
    </row>
    <row r="4973" spans="1:11" ht="42" customHeight="1">
      <c r="A4973" s="2" t="s">
        <v>12981</v>
      </c>
      <c r="B4973" s="2" t="s">
        <v>12982</v>
      </c>
      <c r="C4973" s="2" t="s">
        <v>17</v>
      </c>
      <c r="D4973" s="2" t="s">
        <v>156</v>
      </c>
      <c r="E4973" s="4">
        <v>-32494</v>
      </c>
      <c r="F4973" s="3" t="s">
        <v>3050</v>
      </c>
      <c r="G4973" s="3" t="s">
        <v>3619</v>
      </c>
      <c r="H4973" s="2" t="s">
        <v>148</v>
      </c>
      <c r="I4973" s="2" t="s">
        <v>12983</v>
      </c>
      <c r="J4973" s="3" t="str">
        <f>HYPERLINK("https://www.boe.es/gazeta/dias/1811/01/12/pdfs/GEI-1811-6.pdf#page=8","Abrir facsímil")</f>
        <v>Abrir facsímil</v>
      </c>
      <c r="K4973" s="3" t="s">
        <v>150</v>
      </c>
    </row>
    <row r="4974" spans="1:11" ht="42" customHeight="1">
      <c r="A4974" s="2" t="s">
        <v>12984</v>
      </c>
      <c r="B4974" s="2" t="s">
        <v>12985</v>
      </c>
      <c r="C4974" s="2" t="s">
        <v>17</v>
      </c>
      <c r="D4974" s="2" t="s">
        <v>156</v>
      </c>
      <c r="E4974" s="4">
        <v>-32494</v>
      </c>
      <c r="F4974" s="3" t="s">
        <v>3050</v>
      </c>
      <c r="G4974" s="3" t="s">
        <v>3619</v>
      </c>
      <c r="H4974" s="2" t="s">
        <v>148</v>
      </c>
      <c r="I4974" s="2" t="s">
        <v>12986</v>
      </c>
      <c r="J4974" s="3" t="str">
        <f>HYPERLINK("https://www.boe.es/gazeta/dias/1811/01/12/pdfs/GEI-1811-6.pdf#page=8","Abrir facsímil")</f>
        <v>Abrir facsímil</v>
      </c>
      <c r="K4974" s="3" t="s">
        <v>150</v>
      </c>
    </row>
    <row r="4975" spans="1:11" ht="42" customHeight="1">
      <c r="A4975" s="2" t="s">
        <v>12987</v>
      </c>
      <c r="B4975" s="2" t="s">
        <v>12988</v>
      </c>
      <c r="C4975" s="2" t="s">
        <v>26</v>
      </c>
      <c r="D4975" s="2" t="s">
        <v>18</v>
      </c>
      <c r="E4975" s="4">
        <v>-32501</v>
      </c>
      <c r="F4975" s="3" t="s">
        <v>509</v>
      </c>
      <c r="G4975" s="3" t="s">
        <v>510</v>
      </c>
      <c r="H4975" s="2" t="s">
        <v>148</v>
      </c>
      <c r="I4975" s="2" t="s">
        <v>12989</v>
      </c>
      <c r="J4975" s="3" t="str">
        <f>HYPERLINK("https://www.boe.es/gazeta/dias/1811/01/05/pdfs/GEI-1811-3.pdf#page=8","Abrir facsímil")</f>
        <v>Abrir facsímil</v>
      </c>
      <c r="K4975" s="3" t="s">
        <v>150</v>
      </c>
    </row>
    <row r="4976" spans="1:11" ht="42" customHeight="1">
      <c r="A4976" s="2" t="s">
        <v>12990</v>
      </c>
      <c r="B4976" s="2" t="s">
        <v>12991</v>
      </c>
      <c r="C4976" s="2" t="s">
        <v>26</v>
      </c>
      <c r="D4976" s="2" t="s">
        <v>18</v>
      </c>
      <c r="E4976" s="4">
        <v>-32501</v>
      </c>
      <c r="F4976" s="3" t="s">
        <v>509</v>
      </c>
      <c r="G4976" s="3" t="s">
        <v>510</v>
      </c>
      <c r="H4976" s="2" t="s">
        <v>148</v>
      </c>
      <c r="I4976" s="2" t="s">
        <v>12992</v>
      </c>
      <c r="J4976" s="3" t="str">
        <f>HYPERLINK("https://www.boe.es/gazeta/dias/1811/01/05/pdfs/GEI-1811-3.pdf#page=8","Abrir facsímil")</f>
        <v>Abrir facsímil</v>
      </c>
      <c r="K4976" s="3" t="s">
        <v>150</v>
      </c>
    </row>
    <row r="4977" spans="1:11" ht="42" customHeight="1">
      <c r="A4977" s="2" t="s">
        <v>12993</v>
      </c>
      <c r="B4977" s="2" t="s">
        <v>12994</v>
      </c>
      <c r="C4977" s="2" t="s">
        <v>26</v>
      </c>
      <c r="D4977" s="2" t="s">
        <v>18</v>
      </c>
      <c r="E4977" s="4">
        <v>-32503</v>
      </c>
      <c r="F4977" s="3" t="s">
        <v>487</v>
      </c>
      <c r="G4977" s="3" t="s">
        <v>1930</v>
      </c>
      <c r="H4977" s="2" t="s">
        <v>148</v>
      </c>
      <c r="I4977" s="2" t="s">
        <v>12995</v>
      </c>
      <c r="J4977" s="3" t="str">
        <f>HYPERLINK("https://www.boe.es/gazeta/dias/1811/01/03/pdfs/GEI-1811-2.pdf#page=8","Abrir facsímil")</f>
        <v>Abrir facsímil</v>
      </c>
      <c r="K4977" s="3" t="s">
        <v>150</v>
      </c>
    </row>
    <row r="4978" spans="1:11" ht="42" customHeight="1">
      <c r="A4978" s="2" t="s">
        <v>12996</v>
      </c>
      <c r="B4978" s="2" t="s">
        <v>12997</v>
      </c>
      <c r="C4978" s="2" t="s">
        <v>17</v>
      </c>
      <c r="D4978" s="2" t="s">
        <v>156</v>
      </c>
      <c r="E4978" s="4">
        <v>-32489</v>
      </c>
      <c r="F4978" s="3" t="s">
        <v>2073</v>
      </c>
      <c r="G4978" s="3" t="s">
        <v>44</v>
      </c>
      <c r="H4978" s="2" t="s">
        <v>148</v>
      </c>
      <c r="I4978" s="2" t="s">
        <v>12998</v>
      </c>
      <c r="J4978" s="3" t="str">
        <f>HYPERLINK("https://www.boe.es/gazeta/dias/1811/01/17/pdfs/GEI-1811-8.pdf#page=8","Abrir facsímil")</f>
        <v>Abrir facsímil</v>
      </c>
      <c r="K4978" s="3" t="s">
        <v>150</v>
      </c>
    </row>
    <row r="4979" spans="1:11" ht="42" customHeight="1">
      <c r="A4979" s="2" t="s">
        <v>12999</v>
      </c>
      <c r="B4979" s="2" t="s">
        <v>13000</v>
      </c>
      <c r="C4979" s="2" t="s">
        <v>84</v>
      </c>
      <c r="D4979" s="2" t="s">
        <v>105</v>
      </c>
      <c r="E4979" s="4">
        <v>-32459</v>
      </c>
      <c r="F4979" s="3" t="s">
        <v>1034</v>
      </c>
      <c r="G4979" s="3" t="s">
        <v>510</v>
      </c>
      <c r="H4979" s="2" t="s">
        <v>148</v>
      </c>
      <c r="I4979" s="2" t="s">
        <v>13001</v>
      </c>
      <c r="J4979" s="3" t="str">
        <f>HYPERLINK("https://www.boe.es/gazeta/dias/1811/02/16/pdfs/GEI-1811-21.pdf#page=8","Abrir facsímil")</f>
        <v>Abrir facsímil</v>
      </c>
      <c r="K4979" s="3" t="s">
        <v>150</v>
      </c>
    </row>
    <row r="4980" spans="1:11" ht="42" customHeight="1">
      <c r="A4980" s="2" t="s">
        <v>13002</v>
      </c>
      <c r="B4980" s="2" t="s">
        <v>13003</v>
      </c>
      <c r="C4980" s="2" t="s">
        <v>26</v>
      </c>
      <c r="D4980" s="2" t="s">
        <v>141</v>
      </c>
      <c r="E4980" s="4">
        <v>-32188</v>
      </c>
      <c r="F4980" s="3" t="s">
        <v>505</v>
      </c>
      <c r="G4980" s="3" t="s">
        <v>162</v>
      </c>
      <c r="H4980" s="2" t="s">
        <v>148</v>
      </c>
      <c r="I4980" s="2" t="s">
        <v>13004</v>
      </c>
      <c r="J4980" s="3" t="str">
        <f>HYPERLINK("https://www.boe.es/gazeta/dias/1811/11/14/pdfs/GEI-D-1811-149.pdf#page=4","Abrir facsímil")</f>
        <v>Abrir facsímil</v>
      </c>
      <c r="K4980" s="3" t="s">
        <v>150</v>
      </c>
    </row>
    <row r="4981" spans="1:11" ht="42" customHeight="1">
      <c r="A4981" s="2" t="s">
        <v>13005</v>
      </c>
      <c r="B4981" s="2" t="s">
        <v>13006</v>
      </c>
      <c r="C4981" s="2" t="s">
        <v>26</v>
      </c>
      <c r="D4981" s="2" t="s">
        <v>18</v>
      </c>
      <c r="E4981" s="4">
        <v>-32172</v>
      </c>
      <c r="F4981" s="3" t="s">
        <v>300</v>
      </c>
      <c r="G4981" s="3" t="s">
        <v>301</v>
      </c>
      <c r="H4981" s="2" t="s">
        <v>148</v>
      </c>
      <c r="I4981" s="2" t="s">
        <v>13007</v>
      </c>
      <c r="J4981" s="3" t="str">
        <f>HYPERLINK("https://www.boe.es/gazeta/dias/1811/11/30/pdfs/GMD-1811-334.pdf#page=4","Abrir facsímil")</f>
        <v>Abrir facsímil</v>
      </c>
      <c r="K4981" s="3" t="s">
        <v>150</v>
      </c>
    </row>
    <row r="4982" spans="1:11" ht="42" customHeight="1">
      <c r="A4982" s="2" t="s">
        <v>13008</v>
      </c>
      <c r="B4982" s="2" t="s">
        <v>13009</v>
      </c>
      <c r="C4982" s="2" t="s">
        <v>26</v>
      </c>
      <c r="D4982" s="2" t="s">
        <v>18</v>
      </c>
      <c r="E4982" s="4">
        <v>-32153</v>
      </c>
      <c r="F4982" s="3" t="s">
        <v>123</v>
      </c>
      <c r="G4982" s="3" t="s">
        <v>1067</v>
      </c>
      <c r="H4982" s="2" t="s">
        <v>148</v>
      </c>
      <c r="I4982" s="2" t="s">
        <v>13010</v>
      </c>
      <c r="J4982" s="3" t="str">
        <f>HYPERLINK("https://www.boe.es/gazeta/dias/1811/12/19/pdfs/GMD-1811-353.pdf#page=5","Abrir facsímil")</f>
        <v>Abrir facsímil</v>
      </c>
      <c r="K4982" s="3" t="s">
        <v>150</v>
      </c>
    </row>
    <row r="4983" spans="1:11" ht="42" customHeight="1">
      <c r="A4983" s="2" t="s">
        <v>13011</v>
      </c>
      <c r="B4983" s="2" t="s">
        <v>13012</v>
      </c>
      <c r="C4983" s="2" t="s">
        <v>104</v>
      </c>
      <c r="D4983" s="2" t="s">
        <v>18</v>
      </c>
      <c r="E4983" s="4">
        <v>-32477</v>
      </c>
      <c r="F4983" s="3" t="s">
        <v>6777</v>
      </c>
      <c r="G4983" s="3" t="s">
        <v>510</v>
      </c>
      <c r="H4983" s="2" t="s">
        <v>148</v>
      </c>
      <c r="I4983" s="2" t="s">
        <v>13013</v>
      </c>
      <c r="J4983" s="3" t="str">
        <f>HYPERLINK("https://www.boe.es/gazeta/dias/1811/01/29/pdfs/GEI-1811-13.pdf#page=8","Abrir facsímil")</f>
        <v>Abrir facsímil</v>
      </c>
      <c r="K4983" s="3" t="s">
        <v>150</v>
      </c>
    </row>
    <row r="4984" spans="1:11" ht="42" customHeight="1">
      <c r="A4984" s="2" t="s">
        <v>13014</v>
      </c>
      <c r="B4984" s="2" t="s">
        <v>13015</v>
      </c>
      <c r="C4984" s="2" t="s">
        <v>26</v>
      </c>
      <c r="D4984" s="2" t="s">
        <v>18</v>
      </c>
      <c r="E4984" s="4">
        <v>-32213</v>
      </c>
      <c r="F4984" s="3" t="s">
        <v>4653</v>
      </c>
      <c r="G4984" s="3" t="s">
        <v>1930</v>
      </c>
      <c r="H4984" s="2" t="s">
        <v>148</v>
      </c>
      <c r="I4984" s="2" t="s">
        <v>13016</v>
      </c>
      <c r="J4984" s="3" t="str">
        <f>HYPERLINK("https://www.boe.es/gazeta/dias/1811/10/20/pdfs/GMD-1811-293.pdf#page=4","Abrir facsímil")</f>
        <v>Abrir facsímil</v>
      </c>
      <c r="K4984" s="3" t="s">
        <v>150</v>
      </c>
    </row>
    <row r="4985" spans="1:11" ht="42" customHeight="1">
      <c r="A4985" s="2" t="s">
        <v>13017</v>
      </c>
      <c r="B4985" s="2" t="s">
        <v>13018</v>
      </c>
      <c r="C4985" s="2" t="s">
        <v>26</v>
      </c>
      <c r="D4985" s="2" t="s">
        <v>18</v>
      </c>
      <c r="E4985" s="4">
        <v>-32153</v>
      </c>
      <c r="F4985" s="3" t="s">
        <v>123</v>
      </c>
      <c r="G4985" s="3" t="s">
        <v>124</v>
      </c>
      <c r="H4985" s="2" t="s">
        <v>148</v>
      </c>
      <c r="I4985" s="2" t="s">
        <v>13019</v>
      </c>
      <c r="J4985" s="3" t="str">
        <f>HYPERLINK("https://www.boe.es/gazeta/dias/1811/12/19/pdfs/GMD-1811-353.pdf#page=6","Abrir facsímil")</f>
        <v>Abrir facsímil</v>
      </c>
      <c r="K4985" s="3" t="s">
        <v>150</v>
      </c>
    </row>
    <row r="4986" spans="1:11" ht="42" customHeight="1">
      <c r="A4986" s="2" t="s">
        <v>13020</v>
      </c>
      <c r="B4986" s="2" t="s">
        <v>13021</v>
      </c>
      <c r="C4986" s="2" t="s">
        <v>26</v>
      </c>
      <c r="D4986" s="2" t="s">
        <v>18</v>
      </c>
      <c r="E4986" s="4">
        <v>-32323</v>
      </c>
      <c r="F4986" s="3" t="s">
        <v>322</v>
      </c>
      <c r="G4986" s="3" t="s">
        <v>323</v>
      </c>
      <c r="H4986" s="2" t="s">
        <v>148</v>
      </c>
      <c r="I4986" s="2" t="s">
        <v>13022</v>
      </c>
      <c r="J4986" s="3" t="str">
        <f>HYPERLINK("https://www.boe.es/gazeta/dias/1811/07/02/pdfs/GEI-1811-87.pdf#page=8","Abrir facsímil")</f>
        <v>Abrir facsímil</v>
      </c>
      <c r="K4986" s="3" t="s">
        <v>150</v>
      </c>
    </row>
    <row r="4987" spans="1:11" ht="42" customHeight="1">
      <c r="A4987" s="2" t="s">
        <v>13020</v>
      </c>
      <c r="B4987" s="2" t="s">
        <v>13021</v>
      </c>
      <c r="C4987" s="2" t="s">
        <v>26</v>
      </c>
      <c r="D4987" s="2" t="s">
        <v>18</v>
      </c>
      <c r="E4987" s="4">
        <v>-32284</v>
      </c>
      <c r="F4987" s="3" t="s">
        <v>170</v>
      </c>
      <c r="G4987" s="3" t="s">
        <v>1388</v>
      </c>
      <c r="H4987" s="2" t="s">
        <v>148</v>
      </c>
      <c r="I4987" s="2" t="s">
        <v>13023</v>
      </c>
      <c r="J4987" s="3" t="str">
        <f>HYPERLINK("https://www.boe.es/gazeta/dias/1811/08/10/pdfs/GEI-1811-104.pdf#page=8","Abrir facsímil")</f>
        <v>Abrir facsímil</v>
      </c>
      <c r="K4987" s="3" t="s">
        <v>150</v>
      </c>
    </row>
    <row r="4988" spans="1:11" ht="42" customHeight="1">
      <c r="A4988" s="2" t="s">
        <v>13020</v>
      </c>
      <c r="B4988" s="2" t="s">
        <v>13021</v>
      </c>
      <c r="C4988" s="2" t="s">
        <v>17</v>
      </c>
      <c r="D4988" s="2" t="s">
        <v>18</v>
      </c>
      <c r="E4988" s="4">
        <v>-32230</v>
      </c>
      <c r="F4988" s="3" t="s">
        <v>625</v>
      </c>
      <c r="G4988" s="3" t="s">
        <v>1258</v>
      </c>
      <c r="H4988" s="2" t="s">
        <v>148</v>
      </c>
      <c r="I4988" s="2" t="s">
        <v>13024</v>
      </c>
      <c r="J4988" s="3" t="str">
        <f>HYPERLINK("https://www.boe.es/gazeta/dias/1811/10/03/pdfs/GEI-1811-127.pdf#page=8","Abrir facsímil")</f>
        <v>Abrir facsímil</v>
      </c>
      <c r="K4988" s="3" t="s">
        <v>150</v>
      </c>
    </row>
    <row r="4989" spans="1:11" ht="42" customHeight="1">
      <c r="A4989" s="2" t="s">
        <v>13025</v>
      </c>
      <c r="B4989" s="2" t="s">
        <v>13026</v>
      </c>
      <c r="C4989" s="2" t="s">
        <v>17</v>
      </c>
      <c r="D4989" s="2" t="s">
        <v>18</v>
      </c>
      <c r="E4989" s="4">
        <v>-32158</v>
      </c>
      <c r="F4989" s="3" t="s">
        <v>46</v>
      </c>
      <c r="G4989" s="3" t="s">
        <v>47</v>
      </c>
      <c r="H4989" s="2" t="s">
        <v>21</v>
      </c>
      <c r="I4989" s="2" t="s">
        <v>13027</v>
      </c>
      <c r="J4989" s="3" t="str">
        <f>HYPERLINK("https://www.boe.es/gazeta/dias/1811/12/14/pdfs/GEI-1811-162.pdf#page=7","Abrir facsímil")</f>
        <v>Abrir facsímil</v>
      </c>
      <c r="K4989" s="3" t="s">
        <v>23</v>
      </c>
    </row>
    <row r="4990" spans="1:11" ht="42" customHeight="1">
      <c r="A4990" s="2" t="s">
        <v>13028</v>
      </c>
      <c r="B4990" s="2" t="s">
        <v>13029</v>
      </c>
      <c r="C4990" s="2" t="s">
        <v>26</v>
      </c>
      <c r="D4990" s="2" t="s">
        <v>18</v>
      </c>
      <c r="E4990" s="4">
        <v>-32468</v>
      </c>
      <c r="F4990" s="3" t="s">
        <v>683</v>
      </c>
      <c r="G4990" s="3" t="s">
        <v>334</v>
      </c>
      <c r="H4990" s="2" t="s">
        <v>148</v>
      </c>
      <c r="I4990" s="2" t="s">
        <v>13030</v>
      </c>
      <c r="J4990" s="3" t="str">
        <f>HYPERLINK("https://www.boe.es/gazeta/dias/1811/02/07/pdfs/GEI-1811-17.pdf#page=4","Abrir facsímil")</f>
        <v>Abrir facsímil</v>
      </c>
      <c r="K4990" s="3" t="s">
        <v>150</v>
      </c>
    </row>
    <row r="4991" spans="1:11" ht="42" customHeight="1">
      <c r="A4991" s="2" t="s">
        <v>13031</v>
      </c>
      <c r="B4991" s="2" t="s">
        <v>13032</v>
      </c>
      <c r="C4991" s="2" t="s">
        <v>26</v>
      </c>
      <c r="D4991" s="2" t="s">
        <v>141</v>
      </c>
      <c r="E4991" s="4">
        <v>-32249</v>
      </c>
      <c r="F4991" s="3" t="s">
        <v>743</v>
      </c>
      <c r="G4991" s="3" t="s">
        <v>1021</v>
      </c>
      <c r="H4991" s="2" t="s">
        <v>148</v>
      </c>
      <c r="I4991" s="2" t="s">
        <v>13033</v>
      </c>
      <c r="J4991" s="3" t="str">
        <f>HYPERLINK("https://www.boe.es/gazeta/dias/1811/09/14/pdfs/GMD-C-1811-257.pdf#page=2","Abrir facsímil")</f>
        <v>Abrir facsímil</v>
      </c>
      <c r="K4991" s="3" t="s">
        <v>150</v>
      </c>
    </row>
    <row r="4992" spans="1:11" ht="42" customHeight="1">
      <c r="A4992" s="2" t="s">
        <v>13034</v>
      </c>
      <c r="B4992" s="2" t="s">
        <v>13035</v>
      </c>
      <c r="C4992" s="2" t="s">
        <v>84</v>
      </c>
      <c r="D4992" s="2" t="s">
        <v>18</v>
      </c>
      <c r="E4992" s="4">
        <v>-32251</v>
      </c>
      <c r="F4992" s="3" t="s">
        <v>726</v>
      </c>
      <c r="G4992" s="3" t="s">
        <v>44</v>
      </c>
      <c r="H4992" s="2" t="s">
        <v>148</v>
      </c>
      <c r="I4992" s="2" t="s">
        <v>13036</v>
      </c>
      <c r="J4992" s="3" t="str">
        <f>HYPERLINK("https://www.boe.es/gazeta/dias/1811/09/12/pdfs/GEI-1811-118.pdf#page=7","Abrir facsímil")</f>
        <v>Abrir facsímil</v>
      </c>
      <c r="K4992" s="3" t="s">
        <v>150</v>
      </c>
    </row>
    <row r="4993" spans="1:11" ht="42" customHeight="1">
      <c r="A4993" s="2" t="s">
        <v>13037</v>
      </c>
      <c r="B4993" s="2" t="s">
        <v>13038</v>
      </c>
      <c r="C4993" s="2" t="s">
        <v>26</v>
      </c>
      <c r="D4993" s="2" t="s">
        <v>141</v>
      </c>
      <c r="E4993" s="4">
        <v>-32238</v>
      </c>
      <c r="F4993" s="3" t="s">
        <v>166</v>
      </c>
      <c r="G4993" s="3" t="s">
        <v>39</v>
      </c>
      <c r="H4993" s="2" t="s">
        <v>148</v>
      </c>
      <c r="I4993" s="2" t="s">
        <v>13039</v>
      </c>
      <c r="J4993" s="3" t="str">
        <f>HYPERLINK("https://www.boe.es/gazeta/dias/1811/09/25/pdfs/GMD-C-1811-268.pdf#page=2","Abrir facsímil")</f>
        <v>Abrir facsímil</v>
      </c>
      <c r="K4993" s="3" t="s">
        <v>150</v>
      </c>
    </row>
    <row r="4994" spans="1:11" ht="42" customHeight="1">
      <c r="A4994" s="2" t="s">
        <v>13040</v>
      </c>
      <c r="B4994" s="2" t="s">
        <v>13041</v>
      </c>
      <c r="C4994" s="2" t="s">
        <v>104</v>
      </c>
      <c r="D4994" s="2" t="s">
        <v>18</v>
      </c>
      <c r="E4994" s="4">
        <v>-32407</v>
      </c>
      <c r="F4994" s="3" t="s">
        <v>38</v>
      </c>
      <c r="G4994" s="3" t="s">
        <v>39</v>
      </c>
      <c r="H4994" s="2" t="s">
        <v>148</v>
      </c>
      <c r="I4994" s="2" t="s">
        <v>13042</v>
      </c>
      <c r="J4994" s="3" t="str">
        <f>HYPERLINK("https://www.boe.es/gazeta/dias/1811/04/09/pdfs/GEI-1811-48.pdf#page=3","Abrir facsímil")</f>
        <v>Abrir facsímil</v>
      </c>
      <c r="K4994" s="3" t="s">
        <v>150</v>
      </c>
    </row>
    <row r="4995" spans="1:11" ht="42" customHeight="1">
      <c r="A4995" s="2" t="s">
        <v>13043</v>
      </c>
      <c r="B4995" s="2" t="s">
        <v>13044</v>
      </c>
      <c r="C4995" s="2" t="s">
        <v>17</v>
      </c>
      <c r="D4995" s="2" t="s">
        <v>18</v>
      </c>
      <c r="E4995" s="4">
        <v>-32239</v>
      </c>
      <c r="F4995" s="3" t="s">
        <v>1225</v>
      </c>
      <c r="G4995" s="3" t="s">
        <v>1601</v>
      </c>
      <c r="H4995" s="2" t="s">
        <v>148</v>
      </c>
      <c r="I4995" s="2" t="s">
        <v>13045</v>
      </c>
      <c r="J4995" s="3" t="str">
        <f>HYPERLINK("https://www.boe.es/gazeta/dias/1811/09/24/pdfs/GEI-1811-123.pdf#page=8","Abrir facsímil")</f>
        <v>Abrir facsímil</v>
      </c>
      <c r="K4995" s="3" t="s">
        <v>150</v>
      </c>
    </row>
    <row r="4996" spans="1:11" ht="42" customHeight="1">
      <c r="A4996" s="2" t="s">
        <v>13046</v>
      </c>
      <c r="B4996" s="2" t="s">
        <v>13047</v>
      </c>
      <c r="C4996" s="2" t="s">
        <v>17</v>
      </c>
      <c r="D4996" s="2" t="s">
        <v>18</v>
      </c>
      <c r="E4996" s="4">
        <v>-32416</v>
      </c>
      <c r="F4996" s="3" t="s">
        <v>954</v>
      </c>
      <c r="G4996" s="3" t="s">
        <v>183</v>
      </c>
      <c r="H4996" s="2" t="s">
        <v>148</v>
      </c>
      <c r="I4996" s="2" t="s">
        <v>13048</v>
      </c>
      <c r="J4996" s="3" t="str">
        <f>HYPERLINK("https://www.boe.es/gazeta/dias/1811/03/31/pdfs/GMD-1811-90.pdf#page=4","Abrir facsímil")</f>
        <v>Abrir facsímil</v>
      </c>
      <c r="K4996" s="3" t="s">
        <v>150</v>
      </c>
    </row>
    <row r="4997" spans="1:11" ht="42" customHeight="1">
      <c r="A4997" s="2" t="s">
        <v>13049</v>
      </c>
      <c r="B4997" s="2" t="s">
        <v>13050</v>
      </c>
      <c r="C4997" s="2" t="s">
        <v>37</v>
      </c>
      <c r="D4997" s="2" t="s">
        <v>18</v>
      </c>
      <c r="E4997" s="4">
        <v>-32202</v>
      </c>
      <c r="F4997" s="3" t="s">
        <v>2194</v>
      </c>
      <c r="G4997" s="3" t="s">
        <v>91</v>
      </c>
      <c r="H4997" s="2" t="s">
        <v>148</v>
      </c>
      <c r="I4997" s="2" t="s">
        <v>13051</v>
      </c>
      <c r="J4997" s="3" t="str">
        <f>HYPERLINK("https://www.boe.es/gazeta/dias/1811/10/31/pdfs/GEI-1811-140.pdf#page=5","Abrir facsímil")</f>
        <v>Abrir facsímil</v>
      </c>
      <c r="K4997" s="3" t="s">
        <v>150</v>
      </c>
    </row>
    <row r="4998" spans="1:11" ht="42" customHeight="1">
      <c r="A4998" s="2" t="s">
        <v>13052</v>
      </c>
      <c r="B4998" s="2" t="s">
        <v>13053</v>
      </c>
      <c r="C4998" s="2" t="s">
        <v>26</v>
      </c>
      <c r="D4998" s="2" t="s">
        <v>18</v>
      </c>
      <c r="E4998" s="4">
        <v>-32284</v>
      </c>
      <c r="F4998" s="3" t="s">
        <v>170</v>
      </c>
      <c r="G4998" s="3" t="s">
        <v>1388</v>
      </c>
      <c r="H4998" s="2" t="s">
        <v>148</v>
      </c>
      <c r="I4998" s="2" t="s">
        <v>13054</v>
      </c>
      <c r="J4998" s="3" t="str">
        <f>HYPERLINK("https://www.boe.es/gazeta/dias/1811/08/10/pdfs/GEI-1811-104.pdf#page=8","Abrir facsímil")</f>
        <v>Abrir facsímil</v>
      </c>
      <c r="K4998" s="3" t="s">
        <v>150</v>
      </c>
    </row>
    <row r="4999" spans="1:11" ht="42" customHeight="1">
      <c r="A4999" s="2" t="s">
        <v>13055</v>
      </c>
      <c r="B4999" s="2" t="s">
        <v>13056</v>
      </c>
      <c r="C4999" s="2" t="s">
        <v>104</v>
      </c>
      <c r="D4999" s="2" t="s">
        <v>18</v>
      </c>
      <c r="E4999" s="4">
        <v>-32389</v>
      </c>
      <c r="F4999" s="3" t="s">
        <v>5334</v>
      </c>
      <c r="G4999" s="3" t="s">
        <v>2384</v>
      </c>
      <c r="H4999" s="2" t="s">
        <v>148</v>
      </c>
      <c r="I4999" s="2" t="s">
        <v>13057</v>
      </c>
      <c r="J4999" s="3" t="str">
        <f>HYPERLINK("https://www.boe.es/gazeta/dias/1811/04/27/pdfs/GEI-1811-56.pdf#page=8","Abrir facsímil")</f>
        <v>Abrir facsímil</v>
      </c>
      <c r="K4999" s="3" t="s">
        <v>150</v>
      </c>
    </row>
    <row r="5000" spans="1:11" ht="42" customHeight="1">
      <c r="A5000" s="2" t="s">
        <v>13055</v>
      </c>
      <c r="B5000" s="2" t="s">
        <v>13056</v>
      </c>
      <c r="C5000" s="2" t="s">
        <v>26</v>
      </c>
      <c r="D5000" s="2" t="s">
        <v>18</v>
      </c>
      <c r="E5000" s="4">
        <v>-32286</v>
      </c>
      <c r="F5000" s="3" t="s">
        <v>754</v>
      </c>
      <c r="G5000" s="3" t="s">
        <v>1728</v>
      </c>
      <c r="H5000" s="2" t="s">
        <v>148</v>
      </c>
      <c r="I5000" s="2" t="s">
        <v>13058</v>
      </c>
      <c r="J5000" s="3" t="str">
        <f>HYPERLINK("https://www.boe.es/gazeta/dias/1811/08/08/pdfs/GEI-1811-103.pdf#page=8","Abrir facsímil")</f>
        <v>Abrir facsímil</v>
      </c>
      <c r="K5000" s="3" t="s">
        <v>150</v>
      </c>
    </row>
    <row r="5001" spans="1:11" ht="42" customHeight="1">
      <c r="A5001" s="2" t="s">
        <v>13059</v>
      </c>
      <c r="B5001" s="2" t="s">
        <v>13060</v>
      </c>
      <c r="C5001" s="2" t="s">
        <v>26</v>
      </c>
      <c r="D5001" s="2" t="s">
        <v>141</v>
      </c>
      <c r="E5001" s="4">
        <v>-32238</v>
      </c>
      <c r="F5001" s="3" t="s">
        <v>166</v>
      </c>
      <c r="G5001" s="3" t="s">
        <v>178</v>
      </c>
      <c r="H5001" s="2" t="s">
        <v>148</v>
      </c>
      <c r="I5001" s="2" t="s">
        <v>13061</v>
      </c>
      <c r="J5001" s="3" t="str">
        <f>HYPERLINK("https://www.boe.es/gazeta/dias/1811/09/25/pdfs/GMD-C-1811-268.pdf#page=4","Abrir facsímil")</f>
        <v>Abrir facsímil</v>
      </c>
      <c r="K5001" s="3" t="s">
        <v>150</v>
      </c>
    </row>
    <row r="5002" spans="1:11" ht="42" customHeight="1">
      <c r="A5002" s="2" t="s">
        <v>13062</v>
      </c>
      <c r="B5002" s="2" t="s">
        <v>13063</v>
      </c>
      <c r="C5002" s="2" t="s">
        <v>26</v>
      </c>
      <c r="D5002" s="2" t="s">
        <v>141</v>
      </c>
      <c r="E5002" s="4">
        <v>-32238</v>
      </c>
      <c r="F5002" s="3" t="s">
        <v>166</v>
      </c>
      <c r="G5002" s="3" t="s">
        <v>178</v>
      </c>
      <c r="H5002" s="2" t="s">
        <v>148</v>
      </c>
      <c r="I5002" s="2" t="s">
        <v>13064</v>
      </c>
      <c r="J5002" s="3" t="str">
        <f>HYPERLINK("https://www.boe.es/gazeta/dias/1811/09/25/pdfs/GMD-C-1811-268.pdf#page=4","Abrir facsímil")</f>
        <v>Abrir facsímil</v>
      </c>
      <c r="K5002" s="3" t="s">
        <v>150</v>
      </c>
    </row>
    <row r="5003" spans="1:11" ht="42" customHeight="1">
      <c r="A5003" s="2" t="s">
        <v>13065</v>
      </c>
      <c r="B5003" s="2" t="s">
        <v>13066</v>
      </c>
      <c r="C5003" s="2" t="s">
        <v>17</v>
      </c>
      <c r="D5003" s="2" t="s">
        <v>18</v>
      </c>
      <c r="E5003" s="4">
        <v>-32177</v>
      </c>
      <c r="F5003" s="3" t="s">
        <v>402</v>
      </c>
      <c r="G5003" s="3" t="s">
        <v>47</v>
      </c>
      <c r="H5003" s="2" t="s">
        <v>148</v>
      </c>
      <c r="I5003" s="2" t="s">
        <v>13067</v>
      </c>
      <c r="J5003" s="3" t="str">
        <f>HYPERLINK("https://www.boe.es/gazeta/dias/1811/11/25/pdfs/GMD-1811-329.pdf#page=2","Abrir facsímil")</f>
        <v>Abrir facsímil</v>
      </c>
      <c r="K5003" s="3" t="s">
        <v>150</v>
      </c>
    </row>
    <row r="5004" spans="1:11" ht="42" customHeight="1">
      <c r="A5004" s="2" t="s">
        <v>13068</v>
      </c>
      <c r="B5004" s="2" t="s">
        <v>13069</v>
      </c>
      <c r="C5004" s="2" t="s">
        <v>37</v>
      </c>
      <c r="D5004" s="2" t="s">
        <v>105</v>
      </c>
      <c r="E5004" s="4">
        <v>-32235</v>
      </c>
      <c r="F5004" s="3" t="s">
        <v>376</v>
      </c>
      <c r="G5004" s="3" t="s">
        <v>1280</v>
      </c>
      <c r="H5004" s="2" t="s">
        <v>148</v>
      </c>
      <c r="I5004" s="2" t="s">
        <v>13070</v>
      </c>
      <c r="J5004" s="3" t="str">
        <f>HYPERLINK("https://www.boe.es/gazeta/dias/1811/09/28/pdfs/GMD-1811-271.pdf#page=2","Abrir facsímil")</f>
        <v>Abrir facsímil</v>
      </c>
      <c r="K5004" s="3" t="s">
        <v>150</v>
      </c>
    </row>
    <row r="5005" spans="1:11" ht="42" customHeight="1">
      <c r="A5005" s="2" t="s">
        <v>13071</v>
      </c>
      <c r="B5005" s="2" t="s">
        <v>13072</v>
      </c>
      <c r="C5005" s="2" t="s">
        <v>17</v>
      </c>
      <c r="D5005" s="2" t="s">
        <v>18</v>
      </c>
      <c r="E5005" s="4">
        <v>-32193</v>
      </c>
      <c r="F5005" s="3" t="s">
        <v>1037</v>
      </c>
      <c r="G5005" s="3" t="s">
        <v>1038</v>
      </c>
      <c r="H5005" s="2" t="s">
        <v>148</v>
      </c>
      <c r="I5005" s="2" t="s">
        <v>13073</v>
      </c>
      <c r="J5005" s="3" t="str">
        <f>HYPERLINK("https://www.boe.es/gazeta/dias/1811/11/09/pdfs/GEI-1811-145.pdf#page=3","Abrir facsímil")</f>
        <v>Abrir facsímil</v>
      </c>
      <c r="K5005" s="3" t="s">
        <v>150</v>
      </c>
    </row>
    <row r="5006" spans="1:11" ht="42" customHeight="1">
      <c r="A5006" s="2" t="s">
        <v>13074</v>
      </c>
      <c r="B5006" s="2" t="s">
        <v>13075</v>
      </c>
      <c r="C5006" s="2" t="s">
        <v>26</v>
      </c>
      <c r="D5006" s="2" t="s">
        <v>105</v>
      </c>
      <c r="E5006" s="4">
        <v>-32242</v>
      </c>
      <c r="F5006" s="3" t="s">
        <v>1295</v>
      </c>
      <c r="G5006" s="3" t="s">
        <v>214</v>
      </c>
      <c r="H5006" s="2" t="s">
        <v>148</v>
      </c>
      <c r="I5006" s="2" t="s">
        <v>13076</v>
      </c>
      <c r="J5006" s="3" t="str">
        <f>HYPERLINK("https://www.boe.es/gazeta/dias/1811/09/21/pdfs/GEI-1811-122.pdf#page=6","Abrir facsímil")</f>
        <v>Abrir facsímil</v>
      </c>
      <c r="K5006" s="3" t="s">
        <v>150</v>
      </c>
    </row>
    <row r="5007" spans="1:11" ht="42" customHeight="1">
      <c r="A5007" s="2" t="s">
        <v>13077</v>
      </c>
      <c r="B5007" s="2" t="s">
        <v>13078</v>
      </c>
      <c r="C5007" s="2" t="s">
        <v>17</v>
      </c>
      <c r="D5007" s="2" t="s">
        <v>18</v>
      </c>
      <c r="E5007" s="4">
        <v>-32265</v>
      </c>
      <c r="F5007" s="3" t="s">
        <v>2375</v>
      </c>
      <c r="G5007" s="3" t="s">
        <v>2376</v>
      </c>
      <c r="H5007" s="2" t="s">
        <v>21</v>
      </c>
      <c r="I5007" s="2" t="s">
        <v>13079</v>
      </c>
      <c r="J5007" s="3" t="str">
        <f>HYPERLINK("https://www.boe.es/gazeta/dias/1811/08/29/pdfs/GEI-1811-112.pdf#page=5","Abrir facsímil")</f>
        <v>Abrir facsímil</v>
      </c>
      <c r="K5007" s="3" t="s">
        <v>23</v>
      </c>
    </row>
    <row r="5008" spans="1:11" ht="42" customHeight="1">
      <c r="A5008" s="2" t="s">
        <v>13080</v>
      </c>
      <c r="B5008" s="2" t="s">
        <v>13081</v>
      </c>
      <c r="C5008" s="2" t="s">
        <v>122</v>
      </c>
      <c r="D5008" s="2" t="s">
        <v>105</v>
      </c>
      <c r="E5008" s="4">
        <v>-32354</v>
      </c>
      <c r="F5008" s="3" t="s">
        <v>2914</v>
      </c>
      <c r="G5008" s="3" t="s">
        <v>468</v>
      </c>
      <c r="H5008" s="2" t="s">
        <v>148</v>
      </c>
      <c r="I5008" s="2" t="s">
        <v>13082</v>
      </c>
      <c r="J5008" s="3" t="str">
        <f>HYPERLINK("https://www.boe.es/gazeta/dias/1811/06/01/pdfs/GEI-1811-74.pdf#page=8","Abrir facsímil")</f>
        <v>Abrir facsímil</v>
      </c>
      <c r="K5008" s="3" t="s">
        <v>150</v>
      </c>
    </row>
    <row r="5009" spans="1:11" ht="42" customHeight="1">
      <c r="A5009" s="2" t="s">
        <v>13083</v>
      </c>
      <c r="B5009" s="2" t="s">
        <v>13084</v>
      </c>
      <c r="C5009" s="2" t="s">
        <v>26</v>
      </c>
      <c r="D5009" s="2" t="s">
        <v>18</v>
      </c>
      <c r="E5009" s="4">
        <v>-32452</v>
      </c>
      <c r="F5009" s="3" t="s">
        <v>106</v>
      </c>
      <c r="G5009" s="3" t="s">
        <v>20</v>
      </c>
      <c r="H5009" s="2" t="s">
        <v>148</v>
      </c>
      <c r="I5009" s="2" t="s">
        <v>13085</v>
      </c>
      <c r="J5009" s="3" t="str">
        <f>HYPERLINK("https://www.boe.es/gazeta/dias/1811/02/23/pdfs/GEI-1811-24.pdf#page=8","Abrir facsímil")</f>
        <v>Abrir facsímil</v>
      </c>
      <c r="K5009" s="3" t="s">
        <v>150</v>
      </c>
    </row>
    <row r="5010" spans="1:11" ht="42" customHeight="1">
      <c r="A5010" s="2" t="s">
        <v>13086</v>
      </c>
      <c r="B5010" s="2" t="s">
        <v>13087</v>
      </c>
      <c r="C5010" s="2" t="s">
        <v>26</v>
      </c>
      <c r="D5010" s="2" t="s">
        <v>18</v>
      </c>
      <c r="E5010" s="4">
        <v>-32452</v>
      </c>
      <c r="F5010" s="3" t="s">
        <v>106</v>
      </c>
      <c r="G5010" s="3" t="s">
        <v>20</v>
      </c>
      <c r="H5010" s="2" t="s">
        <v>148</v>
      </c>
      <c r="I5010" s="2" t="s">
        <v>13088</v>
      </c>
      <c r="J5010" s="3" t="str">
        <f>HYPERLINK("https://www.boe.es/gazeta/dias/1811/02/23/pdfs/GEI-1811-24.pdf#page=8","Abrir facsímil")</f>
        <v>Abrir facsímil</v>
      </c>
      <c r="K5010" s="3" t="s">
        <v>150</v>
      </c>
    </row>
    <row r="5011" spans="1:11" ht="42" customHeight="1">
      <c r="A5011" s="2" t="s">
        <v>13089</v>
      </c>
      <c r="B5011" s="2" t="s">
        <v>13090</v>
      </c>
      <c r="C5011" s="2" t="s">
        <v>17</v>
      </c>
      <c r="D5011" s="2" t="s">
        <v>156</v>
      </c>
      <c r="E5011" s="4">
        <v>-32235</v>
      </c>
      <c r="F5011" s="3" t="s">
        <v>190</v>
      </c>
      <c r="G5011" s="3" t="s">
        <v>188</v>
      </c>
      <c r="H5011" s="2" t="s">
        <v>148</v>
      </c>
      <c r="I5011" s="2" t="s">
        <v>13091</v>
      </c>
      <c r="J5011" s="3" t="str">
        <f>HYPERLINK("https://www.boe.es/gazeta/dias/1811/09/28/pdfs/GEI-1811-125.pdf#page=8","Abrir facsímil")</f>
        <v>Abrir facsímil</v>
      </c>
      <c r="K5011" s="3" t="s">
        <v>150</v>
      </c>
    </row>
    <row r="5012" spans="1:11" ht="42" customHeight="1">
      <c r="A5012" s="2" t="s">
        <v>13092</v>
      </c>
      <c r="B5012" s="2" t="s">
        <v>13093</v>
      </c>
      <c r="C5012" s="2" t="s">
        <v>26</v>
      </c>
      <c r="D5012" s="2" t="s">
        <v>141</v>
      </c>
      <c r="E5012" s="4">
        <v>-32238</v>
      </c>
      <c r="F5012" s="3" t="s">
        <v>166</v>
      </c>
      <c r="G5012" s="3" t="s">
        <v>178</v>
      </c>
      <c r="H5012" s="2" t="s">
        <v>148</v>
      </c>
      <c r="I5012" s="2" t="s">
        <v>13094</v>
      </c>
      <c r="J5012" s="3" t="str">
        <f>HYPERLINK("https://www.boe.es/gazeta/dias/1811/09/25/pdfs/GMD-C-1811-268.pdf#page=4","Abrir facsímil")</f>
        <v>Abrir facsímil</v>
      </c>
      <c r="K5012" s="3" t="s">
        <v>150</v>
      </c>
    </row>
    <row r="5013" spans="1:11" ht="42" customHeight="1">
      <c r="A5013" s="2" t="s">
        <v>13095</v>
      </c>
      <c r="B5013" s="2" t="s">
        <v>13096</v>
      </c>
      <c r="C5013" s="2" t="s">
        <v>26</v>
      </c>
      <c r="D5013" s="2" t="s">
        <v>18</v>
      </c>
      <c r="E5013" s="4">
        <v>-32155</v>
      </c>
      <c r="F5013" s="3" t="s">
        <v>263</v>
      </c>
      <c r="G5013" s="3" t="s">
        <v>264</v>
      </c>
      <c r="H5013" s="2" t="s">
        <v>148</v>
      </c>
      <c r="I5013" s="2" t="s">
        <v>13097</v>
      </c>
      <c r="J5013" s="3" t="str">
        <f>HYPERLINK("https://www.boe.es/gazeta/dias/1811/12/17/pdfs/GEI-1811-163.pdf#page=8","Abrir facsímil")</f>
        <v>Abrir facsímil</v>
      </c>
      <c r="K5013" s="3" t="s">
        <v>150</v>
      </c>
    </row>
    <row r="5014" spans="1:11" ht="42" customHeight="1">
      <c r="A5014" s="2" t="s">
        <v>13098</v>
      </c>
      <c r="B5014" s="2" t="s">
        <v>13099</v>
      </c>
      <c r="C5014" s="2" t="s">
        <v>17</v>
      </c>
      <c r="D5014" s="2" t="s">
        <v>18</v>
      </c>
      <c r="E5014" s="4">
        <v>-32213</v>
      </c>
      <c r="F5014" s="3" t="s">
        <v>4653</v>
      </c>
      <c r="G5014" s="3" t="s">
        <v>1930</v>
      </c>
      <c r="H5014" s="2" t="s">
        <v>148</v>
      </c>
      <c r="I5014" s="2" t="s">
        <v>13100</v>
      </c>
      <c r="J5014" s="3" t="str">
        <f>HYPERLINK("https://www.boe.es/gazeta/dias/1811/10/20/pdfs/GMD-1811-293.pdf#page=4","Abrir facsímil")</f>
        <v>Abrir facsímil</v>
      </c>
      <c r="K5014" s="3" t="s">
        <v>150</v>
      </c>
    </row>
    <row r="5015" spans="1:11" ht="42" customHeight="1">
      <c r="A5015" s="2" t="s">
        <v>13101</v>
      </c>
      <c r="B5015" s="2" t="s">
        <v>13102</v>
      </c>
      <c r="C5015" s="2" t="s">
        <v>26</v>
      </c>
      <c r="D5015" s="2" t="s">
        <v>141</v>
      </c>
      <c r="E5015" s="4">
        <v>-32355</v>
      </c>
      <c r="F5015" s="3" t="s">
        <v>537</v>
      </c>
      <c r="G5015" s="3" t="s">
        <v>44</v>
      </c>
      <c r="H5015" s="2" t="s">
        <v>148</v>
      </c>
      <c r="I5015" s="2" t="s">
        <v>13103</v>
      </c>
      <c r="J5015" s="3" t="str">
        <f>HYPERLINK("https://www.boe.es/gazeta/dias/1811/05/31/pdfs/GMD-C-1811-151.pdf#page=6","Abrir facsímil")</f>
        <v>Abrir facsímil</v>
      </c>
      <c r="K5015" s="3" t="s">
        <v>150</v>
      </c>
    </row>
    <row r="5016" spans="1:11" ht="42" customHeight="1">
      <c r="A5016" s="2" t="s">
        <v>13104</v>
      </c>
      <c r="B5016" s="2" t="s">
        <v>13105</v>
      </c>
      <c r="C5016" s="2" t="s">
        <v>26</v>
      </c>
      <c r="D5016" s="2" t="s">
        <v>18</v>
      </c>
      <c r="E5016" s="4">
        <v>-32158</v>
      </c>
      <c r="F5016" s="3" t="s">
        <v>46</v>
      </c>
      <c r="G5016" s="3" t="s">
        <v>47</v>
      </c>
      <c r="H5016" s="2" t="s">
        <v>148</v>
      </c>
      <c r="I5016" s="2" t="s">
        <v>13106</v>
      </c>
      <c r="J5016" s="3" t="str">
        <f>HYPERLINK("https://www.boe.es/gazeta/dias/1811/12/14/pdfs/GEI-1811-162.pdf#page=7","Abrir facsímil")</f>
        <v>Abrir facsímil</v>
      </c>
      <c r="K5016" s="3" t="s">
        <v>150</v>
      </c>
    </row>
    <row r="5017" spans="1:11" ht="42" customHeight="1">
      <c r="A5017" s="2" t="s">
        <v>13107</v>
      </c>
      <c r="B5017" s="2" t="s">
        <v>13108</v>
      </c>
      <c r="C5017" s="2" t="s">
        <v>26</v>
      </c>
      <c r="D5017" s="2" t="s">
        <v>141</v>
      </c>
      <c r="E5017" s="4">
        <v>-32188</v>
      </c>
      <c r="F5017" s="3" t="s">
        <v>505</v>
      </c>
      <c r="G5017" s="3" t="s">
        <v>162</v>
      </c>
      <c r="H5017" s="2" t="s">
        <v>148</v>
      </c>
      <c r="I5017" s="2" t="s">
        <v>13109</v>
      </c>
      <c r="J5017" s="3" t="str">
        <f>HYPERLINK("https://www.boe.es/gazeta/dias/1811/11/14/pdfs/GEI-D-1811-149.pdf#page=4","Abrir facsímil")</f>
        <v>Abrir facsímil</v>
      </c>
      <c r="K5017" s="3" t="s">
        <v>150</v>
      </c>
    </row>
    <row r="5018" spans="1:11" ht="42" customHeight="1">
      <c r="A5018" s="2" t="s">
        <v>13110</v>
      </c>
      <c r="B5018" s="2" t="s">
        <v>13111</v>
      </c>
      <c r="C5018" s="2" t="s">
        <v>26</v>
      </c>
      <c r="D5018" s="2" t="s">
        <v>18</v>
      </c>
      <c r="E5018" s="4">
        <v>-32326</v>
      </c>
      <c r="F5018" s="3" t="s">
        <v>43</v>
      </c>
      <c r="G5018" s="3" t="s">
        <v>44</v>
      </c>
      <c r="H5018" s="2" t="s">
        <v>148</v>
      </c>
      <c r="I5018" s="2" t="s">
        <v>13112</v>
      </c>
      <c r="J5018" s="3" t="str">
        <f>HYPERLINK("https://www.boe.es/gazeta/dias/1811/06/29/pdfs/GEI-1811-86.pdf#page=6","Abrir facsímil")</f>
        <v>Abrir facsímil</v>
      </c>
      <c r="K5018" s="3" t="s">
        <v>150</v>
      </c>
    </row>
    <row r="5019" spans="1:11" ht="42" customHeight="1">
      <c r="A5019" s="2" t="s">
        <v>13110</v>
      </c>
      <c r="B5019" s="2" t="s">
        <v>13111</v>
      </c>
      <c r="C5019" s="2" t="s">
        <v>26</v>
      </c>
      <c r="D5019" s="2" t="s">
        <v>18</v>
      </c>
      <c r="E5019" s="4">
        <v>-32286</v>
      </c>
      <c r="F5019" s="3" t="s">
        <v>754</v>
      </c>
      <c r="G5019" s="3" t="s">
        <v>1728</v>
      </c>
      <c r="H5019" s="2" t="s">
        <v>148</v>
      </c>
      <c r="I5019" s="2" t="s">
        <v>13113</v>
      </c>
      <c r="J5019" s="3" t="str">
        <f>HYPERLINK("https://www.boe.es/gazeta/dias/1811/08/08/pdfs/GEI-1811-103.pdf#page=8","Abrir facsímil")</f>
        <v>Abrir facsímil</v>
      </c>
      <c r="K5019" s="3" t="s">
        <v>150</v>
      </c>
    </row>
    <row r="5020" spans="1:11" ht="42" customHeight="1">
      <c r="A5020" s="2" t="s">
        <v>13114</v>
      </c>
      <c r="B5020" s="2" t="s">
        <v>13115</v>
      </c>
      <c r="C5020" s="2" t="s">
        <v>26</v>
      </c>
      <c r="D5020" s="2" t="s">
        <v>18</v>
      </c>
      <c r="E5020" s="4">
        <v>-32144</v>
      </c>
      <c r="F5020" s="3" t="s">
        <v>1097</v>
      </c>
      <c r="G5020" s="3" t="s">
        <v>1098</v>
      </c>
      <c r="H5020" s="2" t="s">
        <v>148</v>
      </c>
      <c r="I5020" s="2" t="s">
        <v>13116</v>
      </c>
      <c r="J5020" s="3" t="str">
        <f>HYPERLINK("https://www.boe.es/gazeta/dias/1811/12/28/pdfs/GEI-1811-168.pdf#page=8","Abrir facsímil")</f>
        <v>Abrir facsímil</v>
      </c>
      <c r="K5020" s="3" t="s">
        <v>150</v>
      </c>
    </row>
    <row r="5021" spans="1:11" ht="42" customHeight="1">
      <c r="A5021" s="2" t="s">
        <v>13117</v>
      </c>
      <c r="B5021" s="2" t="s">
        <v>13118</v>
      </c>
      <c r="C5021" s="2" t="s">
        <v>17</v>
      </c>
      <c r="D5021" s="2" t="s">
        <v>156</v>
      </c>
      <c r="E5021" s="4">
        <v>-32358</v>
      </c>
      <c r="F5021" s="3" t="s">
        <v>2971</v>
      </c>
      <c r="G5021" s="3" t="s">
        <v>515</v>
      </c>
      <c r="H5021" s="2" t="s">
        <v>148</v>
      </c>
      <c r="I5021" s="2" t="s">
        <v>13119</v>
      </c>
      <c r="J5021" s="3" t="str">
        <f>HYPERLINK("https://www.boe.es/gazeta/dias/1811/05/28/pdfs/GEI-1811-72.pdf#page=1","Abrir facsímil")</f>
        <v>Abrir facsímil</v>
      </c>
      <c r="K5021" s="3" t="s">
        <v>150</v>
      </c>
    </row>
    <row r="5022" spans="1:11" ht="42" customHeight="1">
      <c r="A5022" s="2" t="s">
        <v>13120</v>
      </c>
      <c r="B5022" s="2" t="s">
        <v>13121</v>
      </c>
      <c r="C5022" s="2" t="s">
        <v>26</v>
      </c>
      <c r="D5022" s="2" t="s">
        <v>18</v>
      </c>
      <c r="E5022" s="4">
        <v>-32188</v>
      </c>
      <c r="F5022" s="3" t="s">
        <v>356</v>
      </c>
      <c r="G5022" s="3" t="s">
        <v>468</v>
      </c>
      <c r="H5022" s="2" t="s">
        <v>148</v>
      </c>
      <c r="I5022" s="2" t="s">
        <v>13122</v>
      </c>
      <c r="J5022" s="3" t="str">
        <f>HYPERLINK("https://www.boe.es/gazeta/dias/1811/11/14/pdfs/GMD-1811-318.pdf#page=6","Abrir facsímil")</f>
        <v>Abrir facsímil</v>
      </c>
      <c r="K5022" s="3" t="s">
        <v>150</v>
      </c>
    </row>
    <row r="5023" spans="1:11" ht="42" customHeight="1">
      <c r="A5023" s="2" t="s">
        <v>13123</v>
      </c>
      <c r="B5023" s="2" t="s">
        <v>13124</v>
      </c>
      <c r="C5023" s="2" t="s">
        <v>17</v>
      </c>
      <c r="D5023" s="2" t="s">
        <v>18</v>
      </c>
      <c r="E5023" s="4">
        <v>-32267</v>
      </c>
      <c r="F5023" s="3" t="s">
        <v>1045</v>
      </c>
      <c r="G5023" s="3" t="s">
        <v>178</v>
      </c>
      <c r="H5023" s="2" t="s">
        <v>148</v>
      </c>
      <c r="I5023" s="2" t="s">
        <v>13125</v>
      </c>
      <c r="J5023" s="3" t="str">
        <f>HYPERLINK("https://www.boe.es/gazeta/dias/1811/08/27/pdfs/GEI-1811-111.pdf#page=5","Abrir facsímil")</f>
        <v>Abrir facsímil</v>
      </c>
      <c r="K5023" s="3" t="s">
        <v>150</v>
      </c>
    </row>
    <row r="5024" spans="1:11" ht="42" customHeight="1">
      <c r="A5024" s="2" t="s">
        <v>13126</v>
      </c>
      <c r="B5024" s="2" t="s">
        <v>13127</v>
      </c>
      <c r="C5024" s="2" t="s">
        <v>17</v>
      </c>
      <c r="D5024" s="2" t="s">
        <v>18</v>
      </c>
      <c r="E5024" s="4">
        <v>-32342</v>
      </c>
      <c r="F5024" s="3" t="s">
        <v>1474</v>
      </c>
      <c r="G5024" s="3" t="s">
        <v>44</v>
      </c>
      <c r="H5024" s="2" t="s">
        <v>21</v>
      </c>
      <c r="I5024" s="2" t="s">
        <v>13128</v>
      </c>
      <c r="J5024" s="3" t="str">
        <f>HYPERLINK("https://www.boe.es/gazeta/dias/1811/06/13/pdfs/GEI-1811-79.pdf#page=8","Abrir facsímil")</f>
        <v>Abrir facsímil</v>
      </c>
      <c r="K5024" s="3" t="s">
        <v>23</v>
      </c>
    </row>
    <row r="5025" spans="1:11" ht="42" customHeight="1">
      <c r="A5025" s="2" t="s">
        <v>13129</v>
      </c>
      <c r="B5025" s="2" t="s">
        <v>13130</v>
      </c>
      <c r="C5025" s="2" t="s">
        <v>37</v>
      </c>
      <c r="D5025" s="2" t="s">
        <v>18</v>
      </c>
      <c r="E5025" s="4">
        <v>-32235</v>
      </c>
      <c r="F5025" s="3" t="s">
        <v>376</v>
      </c>
      <c r="G5025" s="3" t="s">
        <v>1280</v>
      </c>
      <c r="H5025" s="2" t="s">
        <v>148</v>
      </c>
      <c r="I5025" s="2" t="s">
        <v>13131</v>
      </c>
      <c r="J5025" s="3" t="str">
        <f>HYPERLINK("https://www.boe.es/gazeta/dias/1811/09/28/pdfs/GMD-1811-271.pdf#page=2","Abrir facsímil")</f>
        <v>Abrir facsímil</v>
      </c>
      <c r="K5025" s="3" t="s">
        <v>150</v>
      </c>
    </row>
    <row r="5026" spans="1:11" ht="42" customHeight="1">
      <c r="A5026" s="2" t="s">
        <v>13132</v>
      </c>
      <c r="B5026" s="2" t="s">
        <v>13133</v>
      </c>
      <c r="C5026" s="2" t="s">
        <v>26</v>
      </c>
      <c r="D5026" s="2" t="s">
        <v>141</v>
      </c>
      <c r="E5026" s="4">
        <v>-32238</v>
      </c>
      <c r="F5026" s="3" t="s">
        <v>166</v>
      </c>
      <c r="G5026" s="3" t="s">
        <v>178</v>
      </c>
      <c r="H5026" s="2" t="s">
        <v>148</v>
      </c>
      <c r="I5026" s="2" t="s">
        <v>13134</v>
      </c>
      <c r="J5026" s="3" t="str">
        <f>HYPERLINK("https://www.boe.es/gazeta/dias/1811/09/25/pdfs/GMD-C-1811-268.pdf#page=4","Abrir facsímil")</f>
        <v>Abrir facsímil</v>
      </c>
      <c r="K5026" s="3" t="s">
        <v>150</v>
      </c>
    </row>
    <row r="5027" spans="1:11" ht="42" customHeight="1">
      <c r="A5027" s="2" t="s">
        <v>13135</v>
      </c>
      <c r="B5027" s="2" t="s">
        <v>13136</v>
      </c>
      <c r="C5027" s="2" t="s">
        <v>26</v>
      </c>
      <c r="D5027" s="2" t="s">
        <v>18</v>
      </c>
      <c r="E5027" s="4">
        <v>-32416</v>
      </c>
      <c r="F5027" s="3" t="s">
        <v>954</v>
      </c>
      <c r="G5027" s="3" t="s">
        <v>47</v>
      </c>
      <c r="H5027" s="2" t="s">
        <v>148</v>
      </c>
      <c r="I5027" s="2" t="s">
        <v>13137</v>
      </c>
      <c r="J5027" s="3" t="str">
        <f>HYPERLINK("https://www.boe.es/gazeta/dias/1811/03/31/pdfs/GMD-1811-90.pdf#page=3","Abrir facsímil")</f>
        <v>Abrir facsímil</v>
      </c>
      <c r="K5027" s="3" t="s">
        <v>150</v>
      </c>
    </row>
    <row r="5028" spans="1:11" ht="42" customHeight="1">
      <c r="A5028" s="2" t="s">
        <v>13138</v>
      </c>
      <c r="B5028" s="2" t="s">
        <v>13139</v>
      </c>
      <c r="C5028" s="2" t="s">
        <v>26</v>
      </c>
      <c r="D5028" s="2" t="s">
        <v>18</v>
      </c>
      <c r="E5028" s="4">
        <v>-32384</v>
      </c>
      <c r="F5028" s="3" t="s">
        <v>338</v>
      </c>
      <c r="G5028" s="3" t="s">
        <v>5363</v>
      </c>
      <c r="H5028" s="2" t="s">
        <v>148</v>
      </c>
      <c r="I5028" s="2" t="s">
        <v>13140</v>
      </c>
      <c r="J5028" s="3" t="str">
        <f>HYPERLINK("https://www.boe.es/gazeta/dias/1811/05/02/pdfs/GEI-1811-58.pdf#page=4","Abrir facsímil")</f>
        <v>Abrir facsímil</v>
      </c>
      <c r="K5028" s="3" t="s">
        <v>150</v>
      </c>
    </row>
    <row r="5029" spans="1:11" ht="42" customHeight="1">
      <c r="A5029" s="2" t="s">
        <v>13141</v>
      </c>
      <c r="B5029" s="2" t="s">
        <v>13142</v>
      </c>
      <c r="C5029" s="2" t="s">
        <v>26</v>
      </c>
      <c r="D5029" s="2" t="s">
        <v>18</v>
      </c>
      <c r="E5029" s="4">
        <v>-32213</v>
      </c>
      <c r="F5029" s="3" t="s">
        <v>4653</v>
      </c>
      <c r="G5029" s="3" t="s">
        <v>1930</v>
      </c>
      <c r="H5029" s="2" t="s">
        <v>148</v>
      </c>
      <c r="I5029" s="2" t="s">
        <v>13143</v>
      </c>
      <c r="J5029" s="3" t="str">
        <f>HYPERLINK("https://www.boe.es/gazeta/dias/1811/10/20/pdfs/GMD-1811-293.pdf#page=4","Abrir facsímil")</f>
        <v>Abrir facsímil</v>
      </c>
      <c r="K5029" s="3" t="s">
        <v>150</v>
      </c>
    </row>
    <row r="5030" spans="1:11" ht="42" customHeight="1">
      <c r="A5030" s="2" t="s">
        <v>13144</v>
      </c>
      <c r="B5030" s="2" t="s">
        <v>13145</v>
      </c>
      <c r="C5030" s="2" t="s">
        <v>26</v>
      </c>
      <c r="D5030" s="2" t="s">
        <v>18</v>
      </c>
      <c r="E5030" s="4">
        <v>-32153</v>
      </c>
      <c r="F5030" s="3" t="s">
        <v>123</v>
      </c>
      <c r="G5030" s="3" t="s">
        <v>1067</v>
      </c>
      <c r="H5030" s="2" t="s">
        <v>148</v>
      </c>
      <c r="I5030" s="2" t="s">
        <v>13146</v>
      </c>
      <c r="J5030" s="3" t="str">
        <f>HYPERLINK("https://www.boe.es/gazeta/dias/1811/12/19/pdfs/GMD-1811-353.pdf#page=5","Abrir facsímil")</f>
        <v>Abrir facsímil</v>
      </c>
      <c r="K5030" s="3" t="s">
        <v>150</v>
      </c>
    </row>
    <row r="5031" spans="1:11" ht="42" customHeight="1">
      <c r="A5031" s="2" t="s">
        <v>13147</v>
      </c>
      <c r="B5031" s="2" t="s">
        <v>13148</v>
      </c>
      <c r="C5031" s="2" t="s">
        <v>841</v>
      </c>
      <c r="D5031" s="2" t="s">
        <v>18</v>
      </c>
      <c r="E5031" s="4">
        <v>-32175</v>
      </c>
      <c r="F5031" s="3" t="s">
        <v>1671</v>
      </c>
      <c r="G5031" s="3" t="s">
        <v>1184</v>
      </c>
      <c r="H5031" s="2" t="s">
        <v>148</v>
      </c>
      <c r="I5031" s="2" t="s">
        <v>13149</v>
      </c>
      <c r="J5031" s="3" t="str">
        <f>HYPERLINK("https://www.boe.es/gazeta/dias/1811/11/27/pdfs/GMD-1811-331.pdf#page=4","Abrir facsímil")</f>
        <v>Abrir facsímil</v>
      </c>
      <c r="K5031" s="3" t="s">
        <v>150</v>
      </c>
    </row>
    <row r="5032" spans="1:11" ht="42" customHeight="1">
      <c r="A5032" s="2" t="s">
        <v>13150</v>
      </c>
      <c r="B5032" s="2" t="s">
        <v>13151</v>
      </c>
      <c r="C5032" s="2" t="s">
        <v>17</v>
      </c>
      <c r="D5032" s="2" t="s">
        <v>18</v>
      </c>
      <c r="E5032" s="4">
        <v>-32414</v>
      </c>
      <c r="F5032" s="3" t="s">
        <v>213</v>
      </c>
      <c r="G5032" s="3" t="s">
        <v>91</v>
      </c>
      <c r="H5032" s="2" t="s">
        <v>148</v>
      </c>
      <c r="I5032" s="2" t="s">
        <v>13152</v>
      </c>
      <c r="J5032" s="3" t="str">
        <f>HYPERLINK("https://www.boe.es/gazeta/dias/1811/04/02/pdfs/GEI-1811-45.pdf#page=2","Abrir facsímil")</f>
        <v>Abrir facsímil</v>
      </c>
      <c r="K5032" s="3" t="s">
        <v>150</v>
      </c>
    </row>
    <row r="5033" spans="1:11" ht="42" customHeight="1">
      <c r="A5033" s="2" t="s">
        <v>13150</v>
      </c>
      <c r="B5033" s="2" t="s">
        <v>13151</v>
      </c>
      <c r="C5033" s="2" t="s">
        <v>26</v>
      </c>
      <c r="D5033" s="2" t="s">
        <v>18</v>
      </c>
      <c r="E5033" s="4">
        <v>-32242</v>
      </c>
      <c r="F5033" s="3" t="s">
        <v>1295</v>
      </c>
      <c r="G5033" s="3" t="s">
        <v>1296</v>
      </c>
      <c r="H5033" s="2" t="s">
        <v>148</v>
      </c>
      <c r="I5033" s="2" t="s">
        <v>13153</v>
      </c>
      <c r="J5033" s="3" t="str">
        <f>HYPERLINK("https://www.boe.es/gazeta/dias/1811/09/21/pdfs/GEI-1811-122.pdf#page=8","Abrir facsímil")</f>
        <v>Abrir facsímil</v>
      </c>
      <c r="K5033" s="3" t="s">
        <v>150</v>
      </c>
    </row>
    <row r="5034" spans="1:11" ht="42" customHeight="1">
      <c r="A5034" s="2" t="s">
        <v>13154</v>
      </c>
      <c r="B5034" s="2" t="s">
        <v>13155</v>
      </c>
      <c r="C5034" s="2" t="s">
        <v>26</v>
      </c>
      <c r="D5034" s="2" t="s">
        <v>141</v>
      </c>
      <c r="E5034" s="4">
        <v>-32280</v>
      </c>
      <c r="F5034" s="3" t="s">
        <v>142</v>
      </c>
      <c r="G5034" s="3" t="s">
        <v>597</v>
      </c>
      <c r="H5034" s="2" t="s">
        <v>148</v>
      </c>
      <c r="I5034" s="2" t="s">
        <v>13156</v>
      </c>
      <c r="J5034" s="3" t="str">
        <f>HYPERLINK("https://www.boe.es/gazeta/dias/1811/08/14/pdfs/GMD-C-1811-226.pdf#page=2","Abrir facsímil")</f>
        <v>Abrir facsímil</v>
      </c>
      <c r="K5034" s="3" t="s">
        <v>150</v>
      </c>
    </row>
    <row r="5035" spans="1:11" ht="42" customHeight="1">
      <c r="A5035" s="2" t="s">
        <v>13157</v>
      </c>
      <c r="B5035" s="2" t="s">
        <v>13158</v>
      </c>
      <c r="C5035" s="2" t="s">
        <v>26</v>
      </c>
      <c r="D5035" s="2" t="s">
        <v>18</v>
      </c>
      <c r="E5035" s="4">
        <v>-32242</v>
      </c>
      <c r="F5035" s="3" t="s">
        <v>1295</v>
      </c>
      <c r="G5035" s="3" t="s">
        <v>1296</v>
      </c>
      <c r="H5035" s="2" t="s">
        <v>148</v>
      </c>
      <c r="I5035" s="2" t="s">
        <v>13159</v>
      </c>
      <c r="J5035" s="3" t="str">
        <f>HYPERLINK("https://www.boe.es/gazeta/dias/1811/09/21/pdfs/GEI-1811-122.pdf#page=8","Abrir facsímil")</f>
        <v>Abrir facsímil</v>
      </c>
      <c r="K5035" s="3" t="s">
        <v>150</v>
      </c>
    </row>
    <row r="5036" spans="1:11" ht="42" customHeight="1">
      <c r="A5036" s="2" t="s">
        <v>13160</v>
      </c>
      <c r="B5036" s="2" t="s">
        <v>13161</v>
      </c>
      <c r="C5036" s="2" t="s">
        <v>26</v>
      </c>
      <c r="D5036" s="2" t="s">
        <v>18</v>
      </c>
      <c r="E5036" s="4">
        <v>-32211</v>
      </c>
      <c r="F5036" s="3" t="s">
        <v>1074</v>
      </c>
      <c r="G5036" s="3" t="s">
        <v>2442</v>
      </c>
      <c r="H5036" s="2" t="s">
        <v>148</v>
      </c>
      <c r="I5036" s="2" t="s">
        <v>13162</v>
      </c>
      <c r="J5036" s="3" t="str">
        <f>HYPERLINK("https://www.boe.es/gazeta/dias/1811/10/22/pdfs/GEI-1811-136.pdf#page=7","Abrir facsímil")</f>
        <v>Abrir facsímil</v>
      </c>
      <c r="K5036" s="3" t="s">
        <v>150</v>
      </c>
    </row>
    <row r="5037" spans="1:11" ht="42" customHeight="1">
      <c r="A5037" s="2" t="s">
        <v>13163</v>
      </c>
      <c r="B5037" s="2" t="s">
        <v>13164</v>
      </c>
      <c r="C5037" s="2" t="s">
        <v>17</v>
      </c>
      <c r="D5037" s="2" t="s">
        <v>156</v>
      </c>
      <c r="E5037" s="4">
        <v>-32452</v>
      </c>
      <c r="F5037" s="3" t="s">
        <v>106</v>
      </c>
      <c r="G5037" s="3" t="s">
        <v>20</v>
      </c>
      <c r="H5037" s="2" t="s">
        <v>148</v>
      </c>
      <c r="I5037" s="2" t="s">
        <v>13165</v>
      </c>
      <c r="J5037" s="3" t="str">
        <f>HYPERLINK("https://www.boe.es/gazeta/dias/1811/02/23/pdfs/GEI-1811-24.pdf#page=8","Abrir facsímil")</f>
        <v>Abrir facsímil</v>
      </c>
      <c r="K5037" s="3" t="s">
        <v>150</v>
      </c>
    </row>
    <row r="5038" spans="1:11" ht="42" customHeight="1">
      <c r="A5038" s="2" t="s">
        <v>13166</v>
      </c>
      <c r="B5038" s="2" t="s">
        <v>13167</v>
      </c>
      <c r="C5038" s="2" t="s">
        <v>26</v>
      </c>
      <c r="D5038" s="2" t="s">
        <v>18</v>
      </c>
      <c r="E5038" s="4">
        <v>-32489</v>
      </c>
      <c r="F5038" s="3" t="s">
        <v>2073</v>
      </c>
      <c r="G5038" s="3" t="s">
        <v>44</v>
      </c>
      <c r="H5038" s="2" t="s">
        <v>148</v>
      </c>
      <c r="I5038" s="2" t="s">
        <v>13168</v>
      </c>
      <c r="J5038" s="3" t="str">
        <f>HYPERLINK("https://www.boe.es/gazeta/dias/1811/01/17/pdfs/GEI-1811-8.pdf#page=8","Abrir facsímil")</f>
        <v>Abrir facsímil</v>
      </c>
      <c r="K5038" s="3" t="s">
        <v>150</v>
      </c>
    </row>
    <row r="5039" spans="1:11" ht="42" customHeight="1">
      <c r="A5039" s="2" t="s">
        <v>13169</v>
      </c>
      <c r="B5039" s="2" t="s">
        <v>13170</v>
      </c>
      <c r="C5039" s="2" t="s">
        <v>26</v>
      </c>
      <c r="D5039" s="2" t="s">
        <v>18</v>
      </c>
      <c r="E5039" s="4">
        <v>-32470</v>
      </c>
      <c r="F5039" s="3" t="s">
        <v>1432</v>
      </c>
      <c r="G5039" s="3" t="s">
        <v>3543</v>
      </c>
      <c r="H5039" s="2" t="s">
        <v>148</v>
      </c>
      <c r="I5039" s="2" t="s">
        <v>13171</v>
      </c>
      <c r="J5039" s="3" t="str">
        <f>HYPERLINK("https://www.boe.es/gazeta/dias/1811/02/05/pdfs/GEI-1811-16.pdf#page=8","Abrir facsímil")</f>
        <v>Abrir facsímil</v>
      </c>
      <c r="K5039" s="3" t="s">
        <v>150</v>
      </c>
    </row>
    <row r="5040" spans="1:11" ht="42" customHeight="1">
      <c r="A5040" s="2" t="s">
        <v>13172</v>
      </c>
      <c r="B5040" s="2" t="s">
        <v>13173</v>
      </c>
      <c r="C5040" s="2" t="s">
        <v>17</v>
      </c>
      <c r="D5040" s="2" t="s">
        <v>105</v>
      </c>
      <c r="E5040" s="4">
        <v>-32167</v>
      </c>
      <c r="F5040" s="3" t="s">
        <v>347</v>
      </c>
      <c r="G5040" s="3" t="s">
        <v>183</v>
      </c>
      <c r="H5040" s="2" t="s">
        <v>148</v>
      </c>
      <c r="I5040" s="2" t="s">
        <v>13174</v>
      </c>
      <c r="J5040" s="3" t="str">
        <f>HYPERLINK("https://www.boe.es/gazeta/dias/1811/12/05/pdfs/GEI-D-1811-158.pdf#page=4","Abrir facsímil")</f>
        <v>Abrir facsímil</v>
      </c>
      <c r="K5040" s="3" t="s">
        <v>150</v>
      </c>
    </row>
    <row r="5041" spans="1:11" ht="42" customHeight="1">
      <c r="A5041" s="2" t="s">
        <v>13175</v>
      </c>
      <c r="B5041" s="2" t="s">
        <v>13176</v>
      </c>
      <c r="C5041" s="2" t="s">
        <v>17</v>
      </c>
      <c r="D5041" s="2" t="s">
        <v>18</v>
      </c>
      <c r="E5041" s="4">
        <v>-32316</v>
      </c>
      <c r="F5041" s="3" t="s">
        <v>5337</v>
      </c>
      <c r="G5041" s="3" t="s">
        <v>183</v>
      </c>
      <c r="H5041" s="2" t="s">
        <v>148</v>
      </c>
      <c r="I5041" s="2" t="s">
        <v>13177</v>
      </c>
      <c r="J5041" s="3" t="str">
        <f>HYPERLINK("https://www.boe.es/gazeta/dias/1811/07/09/pdfs/GEI-1811-90.pdf#page=4","Abrir facsímil")</f>
        <v>Abrir facsímil</v>
      </c>
      <c r="K5041" s="3" t="s">
        <v>150</v>
      </c>
    </row>
    <row r="5042" spans="1:11" ht="42" customHeight="1">
      <c r="A5042" s="2" t="s">
        <v>13178</v>
      </c>
      <c r="B5042" s="2" t="s">
        <v>13179</v>
      </c>
      <c r="C5042" s="2" t="s">
        <v>26</v>
      </c>
      <c r="D5042" s="2" t="s">
        <v>18</v>
      </c>
      <c r="E5042" s="4">
        <v>-32165</v>
      </c>
      <c r="F5042" s="3" t="s">
        <v>1462</v>
      </c>
      <c r="G5042" s="3" t="s">
        <v>3610</v>
      </c>
      <c r="H5042" s="2" t="s">
        <v>148</v>
      </c>
      <c r="I5042" s="2" t="s">
        <v>13180</v>
      </c>
      <c r="J5042" s="3" t="str">
        <f>HYPERLINK("https://www.boe.es/gazeta/dias/1811/12/07/pdfs/GMD-1811-341.pdf#page=4","Abrir facsímil")</f>
        <v>Abrir facsímil</v>
      </c>
      <c r="K5042" s="3" t="s">
        <v>150</v>
      </c>
    </row>
    <row r="5043" spans="1:11" ht="42" customHeight="1">
      <c r="A5043" s="2" t="s">
        <v>13181</v>
      </c>
      <c r="B5043" s="2" t="s">
        <v>13181</v>
      </c>
      <c r="C5043" s="2" t="s">
        <v>17</v>
      </c>
      <c r="D5043" s="2" t="s">
        <v>18</v>
      </c>
      <c r="E5043" s="4">
        <v>-32268</v>
      </c>
      <c r="F5043" s="3" t="s">
        <v>3683</v>
      </c>
      <c r="G5043" s="3" t="s">
        <v>91</v>
      </c>
      <c r="H5043" s="2" t="s">
        <v>148</v>
      </c>
      <c r="I5043" s="2" t="s">
        <v>13182</v>
      </c>
      <c r="J5043" s="3" t="str">
        <f>HYPERLINK("https://www.boe.es/gazeta/dias/1811/08/26/pdfs/GMD-1811-238.pdf#page=3","Abrir facsímil")</f>
        <v>Abrir facsímil</v>
      </c>
      <c r="K5043" s="3" t="s">
        <v>150</v>
      </c>
    </row>
    <row r="5044" spans="1:11" ht="42" customHeight="1">
      <c r="A5044" s="2" t="s">
        <v>13183</v>
      </c>
      <c r="B5044" s="2" t="s">
        <v>13184</v>
      </c>
      <c r="C5044" s="2" t="s">
        <v>26</v>
      </c>
      <c r="D5044" s="2" t="s">
        <v>105</v>
      </c>
      <c r="E5044" s="4">
        <v>-32263</v>
      </c>
      <c r="F5044" s="3" t="s">
        <v>3780</v>
      </c>
      <c r="G5044" s="3" t="s">
        <v>3781</v>
      </c>
      <c r="H5044" s="2" t="s">
        <v>148</v>
      </c>
      <c r="I5044" s="2" t="s">
        <v>13185</v>
      </c>
      <c r="J5044" s="3" t="str">
        <f>HYPERLINK("https://www.boe.es/gazeta/dias/1811/08/31/pdfs/GMD-1811-243.pdf#page=4","Abrir facsímil")</f>
        <v>Abrir facsímil</v>
      </c>
      <c r="K5044" s="3" t="s">
        <v>150</v>
      </c>
    </row>
    <row r="5045" spans="1:11" ht="42" customHeight="1">
      <c r="A5045" s="2" t="s">
        <v>13186</v>
      </c>
      <c r="B5045" s="2" t="s">
        <v>13186</v>
      </c>
      <c r="C5045" s="2" t="s">
        <v>17</v>
      </c>
      <c r="D5045" s="2" t="s">
        <v>156</v>
      </c>
      <c r="E5045" s="4">
        <v>-32323</v>
      </c>
      <c r="F5045" s="3" t="s">
        <v>2289</v>
      </c>
      <c r="G5045" s="3" t="s">
        <v>331</v>
      </c>
      <c r="H5045" s="2" t="s">
        <v>148</v>
      </c>
      <c r="I5045" s="2" t="s">
        <v>13187</v>
      </c>
      <c r="J5045" s="3" t="str">
        <f>HYPERLINK("https://www.boe.es/gazeta/dias/1811/07/02/pdfs/GMD-1811-183.pdf#page=4","Abrir facsímil")</f>
        <v>Abrir facsímil</v>
      </c>
      <c r="K5045" s="3" t="s">
        <v>150</v>
      </c>
    </row>
    <row r="5046" spans="1:11" ht="42" customHeight="1">
      <c r="A5046" s="2" t="s">
        <v>13188</v>
      </c>
      <c r="B5046" s="2" t="s">
        <v>13189</v>
      </c>
      <c r="C5046" s="2" t="s">
        <v>26</v>
      </c>
      <c r="D5046" s="2" t="s">
        <v>18</v>
      </c>
      <c r="E5046" s="4">
        <v>-32200</v>
      </c>
      <c r="F5046" s="3" t="s">
        <v>109</v>
      </c>
      <c r="G5046" s="3" t="s">
        <v>268</v>
      </c>
      <c r="H5046" s="2" t="s">
        <v>148</v>
      </c>
      <c r="I5046" s="2" t="s">
        <v>13190</v>
      </c>
      <c r="J5046" s="3" t="str">
        <f>HYPERLINK("https://www.boe.es/gazeta/dias/1811/11/02/pdfs/GEI-1811-141.pdf#page=7","Abrir facsímil")</f>
        <v>Abrir facsímil</v>
      </c>
      <c r="K5046" s="3" t="s">
        <v>150</v>
      </c>
    </row>
    <row r="5047" spans="1:11" ht="42" customHeight="1">
      <c r="A5047" s="2" t="s">
        <v>13191</v>
      </c>
      <c r="B5047" s="2" t="s">
        <v>13191</v>
      </c>
      <c r="C5047" s="2" t="s">
        <v>17</v>
      </c>
      <c r="D5047" s="2" t="s">
        <v>156</v>
      </c>
      <c r="E5047" s="4">
        <v>-32435</v>
      </c>
      <c r="F5047" s="3" t="s">
        <v>11833</v>
      </c>
      <c r="G5047" s="3" t="s">
        <v>20</v>
      </c>
      <c r="H5047" s="2" t="s">
        <v>148</v>
      </c>
      <c r="I5047" s="2" t="s">
        <v>13192</v>
      </c>
      <c r="J5047" s="3" t="str">
        <f>HYPERLINK("https://www.boe.es/gazeta/dias/1811/03/12/pdfs/GEI-1811-36E.pdf#page=2","Abrir facsímil")</f>
        <v>Abrir facsímil</v>
      </c>
      <c r="K5047" s="3" t="s">
        <v>150</v>
      </c>
    </row>
    <row r="5048" spans="1:11" ht="42" customHeight="1">
      <c r="A5048" s="2" t="s">
        <v>13193</v>
      </c>
      <c r="B5048" s="2" t="s">
        <v>13194</v>
      </c>
      <c r="C5048" s="2" t="s">
        <v>26</v>
      </c>
      <c r="D5048" s="2" t="s">
        <v>18</v>
      </c>
      <c r="E5048" s="4">
        <v>-32188</v>
      </c>
      <c r="F5048" s="3" t="s">
        <v>356</v>
      </c>
      <c r="G5048" s="3" t="s">
        <v>468</v>
      </c>
      <c r="H5048" s="2" t="s">
        <v>148</v>
      </c>
      <c r="I5048" s="2" t="s">
        <v>13195</v>
      </c>
      <c r="J5048" s="3" t="str">
        <f>HYPERLINK("https://www.boe.es/gazeta/dias/1811/11/14/pdfs/GMD-1811-318.pdf#page=6","Abrir facsímil")</f>
        <v>Abrir facsímil</v>
      </c>
      <c r="K5048" s="3" t="s">
        <v>150</v>
      </c>
    </row>
    <row r="5049" spans="1:11" ht="42" customHeight="1">
      <c r="A5049" s="2" t="s">
        <v>13196</v>
      </c>
      <c r="B5049" s="2" t="s">
        <v>13197</v>
      </c>
      <c r="C5049" s="2" t="s">
        <v>17</v>
      </c>
      <c r="D5049" s="2" t="s">
        <v>18</v>
      </c>
      <c r="E5049" s="4">
        <v>-32176</v>
      </c>
      <c r="F5049" s="3" t="s">
        <v>638</v>
      </c>
      <c r="G5049" s="3" t="s">
        <v>178</v>
      </c>
      <c r="H5049" s="2" t="s">
        <v>148</v>
      </c>
      <c r="I5049" s="2" t="s">
        <v>13198</v>
      </c>
      <c r="J5049" s="3" t="str">
        <f>HYPERLINK("https://www.boe.es/gazeta/dias/1811/11/26/pdfs/GEI-1811-154.pdf#page=4","Abrir facsímil")</f>
        <v>Abrir facsímil</v>
      </c>
      <c r="K5049" s="3" t="s">
        <v>150</v>
      </c>
    </row>
    <row r="5050" spans="1:11" ht="42" customHeight="1">
      <c r="A5050" s="2" t="s">
        <v>13199</v>
      </c>
      <c r="B5050" s="2" t="s">
        <v>13199</v>
      </c>
      <c r="C5050" s="2" t="s">
        <v>17</v>
      </c>
      <c r="D5050" s="2" t="s">
        <v>18</v>
      </c>
      <c r="E5050" s="4">
        <v>-32407</v>
      </c>
      <c r="F5050" s="3" t="s">
        <v>38</v>
      </c>
      <c r="G5050" s="3" t="s">
        <v>3731</v>
      </c>
      <c r="H5050" s="2" t="s">
        <v>148</v>
      </c>
      <c r="I5050" s="2" t="s">
        <v>13200</v>
      </c>
      <c r="J5050" s="3" t="str">
        <f>HYPERLINK("https://www.boe.es/gazeta/dias/1811/04/09/pdfs/GEI-1811-48.pdf#page=6","Abrir facsímil")</f>
        <v>Abrir facsímil</v>
      </c>
      <c r="K5050" s="3" t="s">
        <v>150</v>
      </c>
    </row>
    <row r="5051" spans="1:11" ht="42" customHeight="1">
      <c r="A5051" s="2" t="s">
        <v>13199</v>
      </c>
      <c r="B5051" s="2" t="s">
        <v>13199</v>
      </c>
      <c r="C5051" s="2" t="s">
        <v>17</v>
      </c>
      <c r="D5051" s="2" t="s">
        <v>156</v>
      </c>
      <c r="E5051" s="4">
        <v>-32407</v>
      </c>
      <c r="F5051" s="3" t="s">
        <v>38</v>
      </c>
      <c r="G5051" s="3" t="s">
        <v>2458</v>
      </c>
      <c r="H5051" s="2" t="s">
        <v>148</v>
      </c>
      <c r="I5051" s="2" t="s">
        <v>13201</v>
      </c>
      <c r="J5051" s="3" t="str">
        <f>HYPERLINK("https://www.boe.es/gazeta/dias/1811/04/09/pdfs/GEI-1811-48.pdf#page=9","Abrir facsímil")</f>
        <v>Abrir facsímil</v>
      </c>
      <c r="K5051" s="3" t="s">
        <v>150</v>
      </c>
    </row>
    <row r="5052" spans="1:11" ht="42" customHeight="1">
      <c r="A5052" s="2" t="s">
        <v>13199</v>
      </c>
      <c r="B5052" s="2" t="s">
        <v>13199</v>
      </c>
      <c r="C5052" s="2" t="s">
        <v>17</v>
      </c>
      <c r="D5052" s="2" t="s">
        <v>204</v>
      </c>
      <c r="E5052" s="4">
        <v>-32265</v>
      </c>
      <c r="F5052" s="3" t="s">
        <v>2375</v>
      </c>
      <c r="G5052" s="3" t="s">
        <v>13202</v>
      </c>
      <c r="H5052" s="2" t="s">
        <v>148</v>
      </c>
      <c r="I5052" s="2" t="s">
        <v>13203</v>
      </c>
      <c r="J5052" s="3" t="str">
        <f>HYPERLINK("https://www.boe.es/gazeta/dias/1811/08/29/pdfs/GEI-1811-112.pdf#page=1","Abrir facsímil")</f>
        <v>Abrir facsímil</v>
      </c>
      <c r="K5052" s="3" t="s">
        <v>150</v>
      </c>
    </row>
    <row r="5053" spans="1:11" ht="42" customHeight="1">
      <c r="A5053" s="2" t="s">
        <v>13199</v>
      </c>
      <c r="B5053" s="2" t="s">
        <v>13199</v>
      </c>
      <c r="C5053" s="2" t="s">
        <v>17</v>
      </c>
      <c r="D5053" s="2" t="s">
        <v>18</v>
      </c>
      <c r="E5053" s="4">
        <v>-32265</v>
      </c>
      <c r="F5053" s="3" t="s">
        <v>2375</v>
      </c>
      <c r="G5053" s="3" t="s">
        <v>13204</v>
      </c>
      <c r="H5053" s="2" t="s">
        <v>148</v>
      </c>
      <c r="I5053" s="2" t="s">
        <v>13205</v>
      </c>
      <c r="J5053" s="3" t="str">
        <f>HYPERLINK("https://www.boe.es/gazeta/dias/1811/08/29/pdfs/GEI-1811-112.pdf#page=3","Abrir facsímil")</f>
        <v>Abrir facsímil</v>
      </c>
      <c r="K5053" s="3" t="s">
        <v>150</v>
      </c>
    </row>
    <row r="5054" spans="1:11" ht="42" customHeight="1">
      <c r="A5054" s="2" t="s">
        <v>13206</v>
      </c>
      <c r="B5054" s="2" t="s">
        <v>13206</v>
      </c>
      <c r="C5054" s="2" t="s">
        <v>17</v>
      </c>
      <c r="D5054" s="2" t="s">
        <v>156</v>
      </c>
      <c r="E5054" s="4">
        <v>-32260</v>
      </c>
      <c r="F5054" s="3" t="s">
        <v>27</v>
      </c>
      <c r="G5054" s="3" t="s">
        <v>248</v>
      </c>
      <c r="H5054" s="2" t="s">
        <v>148</v>
      </c>
      <c r="I5054" s="2" t="s">
        <v>13207</v>
      </c>
      <c r="J5054" s="3" t="str">
        <f>HYPERLINK("https://www.boe.es/gazeta/dias/1811/09/03/pdfs/GEI-1811-114.pdf#page=6","Abrir facsímil")</f>
        <v>Abrir facsímil</v>
      </c>
      <c r="K5054" s="3" t="s">
        <v>150</v>
      </c>
    </row>
    <row r="5055" spans="1:11" ht="42" customHeight="1">
      <c r="A5055" s="2" t="s">
        <v>13199</v>
      </c>
      <c r="B5055" s="2" t="s">
        <v>13199</v>
      </c>
      <c r="C5055" s="2" t="s">
        <v>17</v>
      </c>
      <c r="D5055" s="2" t="s">
        <v>18</v>
      </c>
      <c r="E5055" s="4">
        <v>-32188</v>
      </c>
      <c r="F5055" s="3" t="s">
        <v>74</v>
      </c>
      <c r="G5055" s="3" t="s">
        <v>13208</v>
      </c>
      <c r="H5055" s="2" t="s">
        <v>148</v>
      </c>
      <c r="I5055" s="2" t="s">
        <v>13209</v>
      </c>
      <c r="J5055" s="3" t="str">
        <f>HYPERLINK("https://www.boe.es/gazeta/dias/1811/11/14/pdfs/GEI-1811-149.pdf#page=5","Abrir facsímil")</f>
        <v>Abrir facsímil</v>
      </c>
      <c r="K5055" s="3" t="s">
        <v>150</v>
      </c>
    </row>
    <row r="5056" spans="1:11" ht="42" customHeight="1">
      <c r="A5056" s="2" t="s">
        <v>13199</v>
      </c>
      <c r="B5056" s="2" t="s">
        <v>13199</v>
      </c>
      <c r="C5056" s="2" t="s">
        <v>17</v>
      </c>
      <c r="D5056" s="2" t="s">
        <v>18</v>
      </c>
      <c r="E5056" s="4">
        <v>-32179</v>
      </c>
      <c r="F5056" s="3" t="s">
        <v>614</v>
      </c>
      <c r="G5056" s="3" t="s">
        <v>468</v>
      </c>
      <c r="H5056" s="2" t="s">
        <v>148</v>
      </c>
      <c r="I5056" s="2" t="s">
        <v>13210</v>
      </c>
      <c r="J5056" s="3" t="str">
        <f>HYPERLINK("https://www.boe.es/gazeta/dias/1811/11/23/pdfs/GEI-1811-153.pdf#page=6","Abrir facsímil")</f>
        <v>Abrir facsímil</v>
      </c>
      <c r="K5056" s="3" t="s">
        <v>150</v>
      </c>
    </row>
    <row r="5057" spans="1:11" ht="42" customHeight="1">
      <c r="A5057" s="2" t="s">
        <v>13211</v>
      </c>
      <c r="B5057" s="2" t="s">
        <v>13212</v>
      </c>
      <c r="C5057" s="2" t="s">
        <v>26</v>
      </c>
      <c r="D5057" s="2" t="s">
        <v>18</v>
      </c>
      <c r="E5057" s="4">
        <v>-32176</v>
      </c>
      <c r="F5057" s="3" t="s">
        <v>638</v>
      </c>
      <c r="G5057" s="3" t="s">
        <v>178</v>
      </c>
      <c r="H5057" s="2" t="s">
        <v>148</v>
      </c>
      <c r="I5057" s="2" t="s">
        <v>13213</v>
      </c>
      <c r="J5057" s="3" t="str">
        <f>HYPERLINK("https://www.boe.es/gazeta/dias/1811/11/26/pdfs/GEI-1811-154.pdf#page=4","Abrir facsímil")</f>
        <v>Abrir facsímil</v>
      </c>
      <c r="K5057" s="3" t="s">
        <v>150</v>
      </c>
    </row>
    <row r="5058" spans="1:11" ht="42" customHeight="1">
      <c r="A5058" s="2" t="s">
        <v>13211</v>
      </c>
      <c r="B5058" s="2" t="s">
        <v>13212</v>
      </c>
      <c r="C5058" s="2" t="s">
        <v>17</v>
      </c>
      <c r="D5058" s="2" t="s">
        <v>156</v>
      </c>
      <c r="E5058" s="4">
        <v>-32167</v>
      </c>
      <c r="F5058" s="3" t="s">
        <v>347</v>
      </c>
      <c r="G5058" s="3" t="s">
        <v>13214</v>
      </c>
      <c r="H5058" s="2" t="s">
        <v>148</v>
      </c>
      <c r="I5058" s="2" t="s">
        <v>13215</v>
      </c>
      <c r="J5058" s="3" t="str">
        <f>HYPERLINK("https://www.boe.es/gazeta/dias/1811/12/05/pdfs/GEI-D-1811-158.pdf#page=3","Abrir facsímil")</f>
        <v>Abrir facsímil</v>
      </c>
      <c r="K5058" s="3" t="s">
        <v>150</v>
      </c>
    </row>
    <row r="5059" spans="1:11" ht="42" customHeight="1">
      <c r="A5059" s="2" t="s">
        <v>13211</v>
      </c>
      <c r="B5059" s="2" t="s">
        <v>13212</v>
      </c>
      <c r="C5059" s="2" t="s">
        <v>37</v>
      </c>
      <c r="D5059" s="2" t="s">
        <v>156</v>
      </c>
      <c r="E5059" s="4">
        <v>-32167</v>
      </c>
      <c r="F5059" s="3" t="s">
        <v>347</v>
      </c>
      <c r="G5059" s="3" t="s">
        <v>183</v>
      </c>
      <c r="H5059" s="2" t="s">
        <v>148</v>
      </c>
      <c r="I5059" s="2" t="s">
        <v>13216</v>
      </c>
      <c r="J5059" s="3" t="str">
        <f>HYPERLINK("https://www.boe.es/gazeta/dias/1811/12/05/pdfs/GEI-D-1811-158.pdf#page=4","Abrir facsímil")</f>
        <v>Abrir facsímil</v>
      </c>
      <c r="K5059" s="3" t="s">
        <v>150</v>
      </c>
    </row>
    <row r="5060" spans="1:11" ht="42" customHeight="1">
      <c r="A5060" s="2" t="s">
        <v>13211</v>
      </c>
      <c r="B5060" s="2" t="s">
        <v>13212</v>
      </c>
      <c r="C5060" s="2" t="s">
        <v>26</v>
      </c>
      <c r="D5060" s="2" t="s">
        <v>105</v>
      </c>
      <c r="E5060" s="4">
        <v>-32162</v>
      </c>
      <c r="F5060" s="3" t="s">
        <v>317</v>
      </c>
      <c r="G5060" s="3" t="s">
        <v>5003</v>
      </c>
      <c r="H5060" s="2" t="s">
        <v>148</v>
      </c>
      <c r="I5060" s="2" t="s">
        <v>13217</v>
      </c>
      <c r="J5060" s="3" t="str">
        <f>HYPERLINK("https://www.boe.es/gazeta/dias/1811/12/10/pdfs/GEI-1811-160.pdf#page=7","Abrir facsímil")</f>
        <v>Abrir facsímil</v>
      </c>
      <c r="K5060" s="3" t="s">
        <v>150</v>
      </c>
    </row>
    <row r="5061" spans="1:11" ht="42" customHeight="1">
      <c r="A5061" s="2" t="s">
        <v>13218</v>
      </c>
      <c r="B5061" s="2" t="s">
        <v>13218</v>
      </c>
      <c r="C5061" s="2" t="s">
        <v>17</v>
      </c>
      <c r="D5061" s="2" t="s">
        <v>18</v>
      </c>
      <c r="E5061" s="4">
        <v>-32161</v>
      </c>
      <c r="F5061" s="3" t="s">
        <v>2826</v>
      </c>
      <c r="G5061" s="3" t="s">
        <v>178</v>
      </c>
      <c r="H5061" s="2" t="s">
        <v>148</v>
      </c>
      <c r="I5061" s="2" t="s">
        <v>13219</v>
      </c>
      <c r="J5061" s="3" t="str">
        <f>HYPERLINK("https://www.boe.es/gazeta/dias/1811/12/11/pdfs/GMD-1811-345.pdf#page=4","Abrir facsímil")</f>
        <v>Abrir facsímil</v>
      </c>
      <c r="K5061" s="3" t="s">
        <v>150</v>
      </c>
    </row>
    <row r="5062" spans="1:11" ht="42" customHeight="1">
      <c r="A5062" s="2" t="s">
        <v>13218</v>
      </c>
      <c r="B5062" s="2" t="s">
        <v>13218</v>
      </c>
      <c r="C5062" s="2" t="s">
        <v>17</v>
      </c>
      <c r="D5062" s="2" t="s">
        <v>18</v>
      </c>
      <c r="E5062" s="4">
        <v>-32141</v>
      </c>
      <c r="F5062" s="3" t="s">
        <v>327</v>
      </c>
      <c r="G5062" s="3" t="s">
        <v>6930</v>
      </c>
      <c r="H5062" s="2" t="s">
        <v>148</v>
      </c>
      <c r="I5062" s="2" t="s">
        <v>13220</v>
      </c>
      <c r="J5062" s="3" t="str">
        <f>HYPERLINK("https://www.boe.es/gazeta/dias/1811/12/31/pdfs/GMD-1811-365.pdf#page=2","Abrir facsímil")</f>
        <v>Abrir facsímil</v>
      </c>
      <c r="K5062" s="3" t="s">
        <v>150</v>
      </c>
    </row>
    <row r="5063" spans="1:11" ht="42" customHeight="1">
      <c r="A5063" s="2" t="s">
        <v>13221</v>
      </c>
      <c r="B5063" s="2" t="s">
        <v>13222</v>
      </c>
      <c r="C5063" s="2" t="s">
        <v>37</v>
      </c>
      <c r="D5063" s="2" t="s">
        <v>18</v>
      </c>
      <c r="E5063" s="4">
        <v>-32416</v>
      </c>
      <c r="F5063" s="3" t="s">
        <v>954</v>
      </c>
      <c r="G5063" s="3" t="s">
        <v>47</v>
      </c>
      <c r="H5063" s="2" t="s">
        <v>148</v>
      </c>
      <c r="I5063" s="2" t="s">
        <v>13223</v>
      </c>
      <c r="J5063" s="3" t="str">
        <f>HYPERLINK("https://www.boe.es/gazeta/dias/1811/03/31/pdfs/GMD-1811-90.pdf#page=3","Abrir facsímil")</f>
        <v>Abrir facsímil</v>
      </c>
      <c r="K5063" s="3" t="s">
        <v>150</v>
      </c>
    </row>
    <row r="5064" spans="1:11" ht="42" customHeight="1">
      <c r="A5064" s="2" t="s">
        <v>13224</v>
      </c>
      <c r="B5064" s="2" t="s">
        <v>13225</v>
      </c>
      <c r="C5064" s="2" t="s">
        <v>17</v>
      </c>
      <c r="D5064" s="2" t="s">
        <v>156</v>
      </c>
      <c r="E5064" s="4">
        <v>-32216</v>
      </c>
      <c r="F5064" s="3" t="s">
        <v>2739</v>
      </c>
      <c r="G5064" s="3" t="s">
        <v>510</v>
      </c>
      <c r="H5064" s="2" t="s">
        <v>148</v>
      </c>
      <c r="I5064" s="2" t="s">
        <v>13226</v>
      </c>
      <c r="J5064" s="3" t="str">
        <f>HYPERLINK("https://www.boe.es/gazeta/dias/1811/10/17/pdfs/GEI-1811-134.pdf#page=8","Abrir facsímil")</f>
        <v>Abrir facsímil</v>
      </c>
      <c r="K5064" s="3" t="s">
        <v>150</v>
      </c>
    </row>
    <row r="5065" spans="1:11" ht="42" customHeight="1">
      <c r="A5065" s="2" t="s">
        <v>13227</v>
      </c>
      <c r="B5065" s="2" t="s">
        <v>13227</v>
      </c>
      <c r="C5065" s="2" t="s">
        <v>17</v>
      </c>
      <c r="D5065" s="2" t="s">
        <v>18</v>
      </c>
      <c r="E5065" s="4">
        <v>-32298</v>
      </c>
      <c r="F5065" s="3" t="s">
        <v>133</v>
      </c>
      <c r="G5065" s="3" t="s">
        <v>4588</v>
      </c>
      <c r="H5065" s="2" t="s">
        <v>148</v>
      </c>
      <c r="I5065" s="2" t="s">
        <v>13228</v>
      </c>
      <c r="J5065" s="3" t="str">
        <f>HYPERLINK("https://www.boe.es/gazeta/dias/1811/07/27/pdfs/GEI-1811-98.pdf#page=6","Abrir facsímil")</f>
        <v>Abrir facsímil</v>
      </c>
      <c r="K5065" s="3" t="s">
        <v>150</v>
      </c>
    </row>
    <row r="5066" spans="1:11" ht="42" customHeight="1">
      <c r="A5066" s="2" t="s">
        <v>13229</v>
      </c>
      <c r="B5066" s="2" t="s">
        <v>13229</v>
      </c>
      <c r="C5066" s="2" t="s">
        <v>17</v>
      </c>
      <c r="D5066" s="2" t="s">
        <v>18</v>
      </c>
      <c r="E5066" s="4">
        <v>-32401</v>
      </c>
      <c r="F5066" s="3" t="s">
        <v>1084</v>
      </c>
      <c r="G5066" s="3" t="s">
        <v>44</v>
      </c>
      <c r="H5066" s="2" t="s">
        <v>148</v>
      </c>
      <c r="I5066" s="2" t="s">
        <v>13230</v>
      </c>
      <c r="J5066" s="3" t="str">
        <f>HYPERLINK("https://www.boe.es/gazeta/dias/1811/04/15/pdfs/GMD-1811-105.pdf#page=3","Abrir facsímil")</f>
        <v>Abrir facsímil</v>
      </c>
      <c r="K5066" s="3" t="s">
        <v>150</v>
      </c>
    </row>
    <row r="5067" spans="1:11" ht="42" customHeight="1">
      <c r="A5067" s="2" t="s">
        <v>13231</v>
      </c>
      <c r="B5067" s="2" t="s">
        <v>13231</v>
      </c>
      <c r="C5067" s="2" t="s">
        <v>17</v>
      </c>
      <c r="D5067" s="2" t="s">
        <v>18</v>
      </c>
      <c r="E5067" s="4">
        <v>-32401</v>
      </c>
      <c r="F5067" s="3" t="s">
        <v>1084</v>
      </c>
      <c r="G5067" s="3" t="s">
        <v>44</v>
      </c>
      <c r="H5067" s="2" t="s">
        <v>148</v>
      </c>
      <c r="I5067" s="2" t="s">
        <v>13232</v>
      </c>
      <c r="J5067" s="3" t="str">
        <f>HYPERLINK("https://www.boe.es/gazeta/dias/1811/04/15/pdfs/GMD-1811-105.pdf#page=3","Abrir facsímil")</f>
        <v>Abrir facsímil</v>
      </c>
      <c r="K5067" s="3" t="s">
        <v>150</v>
      </c>
    </row>
    <row r="5068" spans="1:11" ht="42" customHeight="1">
      <c r="A5068" s="2" t="s">
        <v>13233</v>
      </c>
      <c r="B5068" s="2" t="s">
        <v>13233</v>
      </c>
      <c r="C5068" s="2" t="s">
        <v>17</v>
      </c>
      <c r="D5068" s="2" t="s">
        <v>18</v>
      </c>
      <c r="E5068" s="4">
        <v>-32315</v>
      </c>
      <c r="F5068" s="3" t="s">
        <v>3189</v>
      </c>
      <c r="G5068" s="3" t="s">
        <v>248</v>
      </c>
      <c r="H5068" s="2" t="s">
        <v>148</v>
      </c>
      <c r="I5068" s="2" t="s">
        <v>13234</v>
      </c>
      <c r="J5068" s="3" t="str">
        <f>HYPERLINK("https://www.boe.es/gazeta/dias/1811/07/10/pdfs/GMD-1811-191.pdf#page=1","Abrir facsímil")</f>
        <v>Abrir facsímil</v>
      </c>
      <c r="K5068" s="3" t="s">
        <v>150</v>
      </c>
    </row>
    <row r="5069" spans="1:11" ht="42" customHeight="1">
      <c r="A5069" s="2" t="s">
        <v>13235</v>
      </c>
      <c r="B5069" s="2" t="s">
        <v>13236</v>
      </c>
      <c r="C5069" s="2" t="s">
        <v>17</v>
      </c>
      <c r="D5069" s="2" t="s">
        <v>18</v>
      </c>
      <c r="E5069" s="4">
        <v>-32416</v>
      </c>
      <c r="F5069" s="3" t="s">
        <v>954</v>
      </c>
      <c r="G5069" s="3" t="s">
        <v>183</v>
      </c>
      <c r="H5069" s="2" t="s">
        <v>148</v>
      </c>
      <c r="I5069" s="2" t="s">
        <v>13237</v>
      </c>
      <c r="J5069" s="3" t="str">
        <f>HYPERLINK("https://www.boe.es/gazeta/dias/1811/03/31/pdfs/GMD-1811-90.pdf#page=4","Abrir facsímil")</f>
        <v>Abrir facsímil</v>
      </c>
      <c r="K5069" s="3" t="s">
        <v>150</v>
      </c>
    </row>
    <row r="5070" spans="1:11" ht="42" customHeight="1">
      <c r="A5070" s="2" t="s">
        <v>13238</v>
      </c>
      <c r="B5070" s="2" t="s">
        <v>13239</v>
      </c>
      <c r="C5070" s="2" t="s">
        <v>26</v>
      </c>
      <c r="D5070" s="2" t="s">
        <v>18</v>
      </c>
      <c r="E5070" s="4">
        <v>-32424</v>
      </c>
      <c r="F5070" s="3" t="s">
        <v>1028</v>
      </c>
      <c r="G5070" s="3" t="s">
        <v>47</v>
      </c>
      <c r="H5070" s="2" t="s">
        <v>148</v>
      </c>
      <c r="I5070" s="2" t="s">
        <v>13240</v>
      </c>
      <c r="J5070" s="3" t="str">
        <f>HYPERLINK("https://www.boe.es/gazeta/dias/1811/03/23/pdfs/GEI-1811-41.pdf#page=7","Abrir facsímil")</f>
        <v>Abrir facsímil</v>
      </c>
      <c r="K5070" s="3" t="s">
        <v>150</v>
      </c>
    </row>
    <row r="5071" spans="1:11" ht="42" customHeight="1">
      <c r="A5071" s="2" t="s">
        <v>13241</v>
      </c>
      <c r="B5071" s="2" t="s">
        <v>13241</v>
      </c>
      <c r="C5071" s="2" t="s">
        <v>17</v>
      </c>
      <c r="D5071" s="2" t="s">
        <v>156</v>
      </c>
      <c r="E5071" s="4">
        <v>-32308</v>
      </c>
      <c r="F5071" s="3" t="s">
        <v>4572</v>
      </c>
      <c r="G5071" s="3" t="s">
        <v>91</v>
      </c>
      <c r="H5071" s="2" t="s">
        <v>148</v>
      </c>
      <c r="I5071" s="2" t="s">
        <v>13242</v>
      </c>
      <c r="J5071" s="3" t="str">
        <f>HYPERLINK("https://www.boe.es/gazeta/dias/1811/07/17/pdfs/GMD-1811-198.pdf#page=3","Abrir facsímil")</f>
        <v>Abrir facsímil</v>
      </c>
      <c r="K5071" s="3" t="s">
        <v>150</v>
      </c>
    </row>
    <row r="5072" spans="1:11" ht="42" customHeight="1">
      <c r="A5072" s="2" t="s">
        <v>13243</v>
      </c>
      <c r="B5072" s="2" t="s">
        <v>13243</v>
      </c>
      <c r="C5072" s="2" t="s">
        <v>17</v>
      </c>
      <c r="D5072" s="2" t="s">
        <v>204</v>
      </c>
      <c r="E5072" s="4">
        <v>-32456</v>
      </c>
      <c r="F5072" s="3" t="s">
        <v>1261</v>
      </c>
      <c r="G5072" s="3" t="s">
        <v>13244</v>
      </c>
      <c r="H5072" s="2" t="s">
        <v>148</v>
      </c>
      <c r="I5072" s="2" t="s">
        <v>13245</v>
      </c>
      <c r="J5072" s="3" t="str">
        <f>HYPERLINK("https://www.boe.es/gazeta/dias/1811/02/19/pdfs/GEI-1811-22.pdf#page=5","Abrir facsímil")</f>
        <v>Abrir facsímil</v>
      </c>
      <c r="K5072" s="3" t="s">
        <v>150</v>
      </c>
    </row>
    <row r="5073" spans="1:11" ht="42" customHeight="1">
      <c r="A5073" s="2" t="s">
        <v>13246</v>
      </c>
      <c r="B5073" s="2" t="s">
        <v>13246</v>
      </c>
      <c r="C5073" s="2" t="s">
        <v>17</v>
      </c>
      <c r="D5073" s="2" t="s">
        <v>156</v>
      </c>
      <c r="E5073" s="4">
        <v>-32340</v>
      </c>
      <c r="F5073" s="3" t="s">
        <v>565</v>
      </c>
      <c r="G5073" s="3" t="s">
        <v>1054</v>
      </c>
      <c r="H5073" s="2" t="s">
        <v>148</v>
      </c>
      <c r="I5073" s="2" t="s">
        <v>13247</v>
      </c>
      <c r="J5073" s="3" t="str">
        <f>HYPERLINK("https://www.boe.es/gazeta/dias/1811/06/15/pdfs/GEI-1811-80.pdf#page=3","Abrir facsímil")</f>
        <v>Abrir facsímil</v>
      </c>
      <c r="K5073" s="3" t="s">
        <v>150</v>
      </c>
    </row>
    <row r="5074" spans="1:11" ht="42" customHeight="1">
      <c r="A5074" s="2" t="s">
        <v>13248</v>
      </c>
      <c r="B5074" s="2" t="s">
        <v>13248</v>
      </c>
      <c r="C5074" s="2" t="s">
        <v>17</v>
      </c>
      <c r="D5074" s="2" t="s">
        <v>156</v>
      </c>
      <c r="E5074" s="4">
        <v>-32319</v>
      </c>
      <c r="F5074" s="3" t="s">
        <v>975</v>
      </c>
      <c r="G5074" s="3" t="s">
        <v>2705</v>
      </c>
      <c r="H5074" s="2" t="s">
        <v>148</v>
      </c>
      <c r="I5074" s="2" t="s">
        <v>13249</v>
      </c>
      <c r="J5074" s="3" t="str">
        <f>HYPERLINK("https://www.boe.es/gazeta/dias/1811/07/06/pdfs/GEI-1811-89.pdf#page=8","Abrir facsímil")</f>
        <v>Abrir facsímil</v>
      </c>
      <c r="K5074" s="3" t="s">
        <v>150</v>
      </c>
    </row>
    <row r="5075" spans="1:11" ht="42" customHeight="1">
      <c r="A5075" s="2" t="s">
        <v>13250</v>
      </c>
      <c r="B5075" s="2" t="s">
        <v>13250</v>
      </c>
      <c r="C5075" s="2" t="s">
        <v>17</v>
      </c>
      <c r="D5075" s="2" t="s">
        <v>156</v>
      </c>
      <c r="E5075" s="4">
        <v>-32308</v>
      </c>
      <c r="F5075" s="3" t="s">
        <v>4572</v>
      </c>
      <c r="G5075" s="3" t="s">
        <v>91</v>
      </c>
      <c r="H5075" s="2" t="s">
        <v>148</v>
      </c>
      <c r="I5075" s="2" t="s">
        <v>13251</v>
      </c>
      <c r="J5075" s="3" t="str">
        <f>HYPERLINK("https://www.boe.es/gazeta/dias/1811/07/17/pdfs/GMD-1811-198.pdf#page=3","Abrir facsímil")</f>
        <v>Abrir facsímil</v>
      </c>
      <c r="K5075" s="3" t="s">
        <v>150</v>
      </c>
    </row>
    <row r="5076" spans="1:11" ht="42" customHeight="1">
      <c r="A5076" s="2" t="s">
        <v>13252</v>
      </c>
      <c r="B5076" s="2" t="s">
        <v>13252</v>
      </c>
      <c r="C5076" s="2" t="s">
        <v>17</v>
      </c>
      <c r="D5076" s="2" t="s">
        <v>18</v>
      </c>
      <c r="E5076" s="4">
        <v>-32467</v>
      </c>
      <c r="F5076" s="3" t="s">
        <v>768</v>
      </c>
      <c r="G5076" s="3" t="s">
        <v>178</v>
      </c>
      <c r="H5076" s="2" t="s">
        <v>148</v>
      </c>
      <c r="I5076" s="2" t="s">
        <v>13253</v>
      </c>
      <c r="J5076" s="3" t="str">
        <f>HYPERLINK("https://www.boe.es/gazeta/dias/1811/02/08/pdfs/GMD-1811-39.pdf#page=4","Abrir facsímil")</f>
        <v>Abrir facsímil</v>
      </c>
      <c r="K5076" s="3" t="s">
        <v>150</v>
      </c>
    </row>
    <row r="5077" spans="1:11" ht="42" customHeight="1">
      <c r="A5077" s="2" t="s">
        <v>13252</v>
      </c>
      <c r="B5077" s="2" t="s">
        <v>13252</v>
      </c>
      <c r="C5077" s="2" t="s">
        <v>17</v>
      </c>
      <c r="D5077" s="2" t="s">
        <v>156</v>
      </c>
      <c r="E5077" s="4">
        <v>-32438</v>
      </c>
      <c r="F5077" s="3" t="s">
        <v>4284</v>
      </c>
      <c r="G5077" s="3" t="s">
        <v>2379</v>
      </c>
      <c r="H5077" s="2" t="s">
        <v>148</v>
      </c>
      <c r="I5077" s="2" t="s">
        <v>13254</v>
      </c>
      <c r="J5077" s="3" t="str">
        <f>HYPERLINK("https://www.boe.es/gazeta/dias/1811/03/09/pdfs/GMD-1811-68.pdf#page=2","Abrir facsímil")</f>
        <v>Abrir facsímil</v>
      </c>
      <c r="K5077" s="3" t="s">
        <v>150</v>
      </c>
    </row>
    <row r="5078" spans="1:11" ht="42" customHeight="1">
      <c r="A5078" s="2" t="s">
        <v>13252</v>
      </c>
      <c r="B5078" s="2" t="s">
        <v>13252</v>
      </c>
      <c r="C5078" s="2" t="s">
        <v>17</v>
      </c>
      <c r="D5078" s="2" t="s">
        <v>156</v>
      </c>
      <c r="E5078" s="4">
        <v>-32390</v>
      </c>
      <c r="F5078" s="3" t="s">
        <v>6268</v>
      </c>
      <c r="G5078" s="3" t="s">
        <v>115</v>
      </c>
      <c r="H5078" s="2" t="s">
        <v>148</v>
      </c>
      <c r="I5078" s="2" t="s">
        <v>13255</v>
      </c>
      <c r="J5078" s="3" t="str">
        <f>HYPERLINK("https://www.boe.es/gazeta/dias/1811/04/26/pdfs/GMD-1811-116.pdf#page=3","Abrir facsímil")</f>
        <v>Abrir facsímil</v>
      </c>
      <c r="K5078" s="3" t="s">
        <v>150</v>
      </c>
    </row>
    <row r="5079" spans="1:11" ht="42" customHeight="1">
      <c r="A5079" s="2" t="s">
        <v>13252</v>
      </c>
      <c r="B5079" s="2" t="s">
        <v>13252</v>
      </c>
      <c r="C5079" s="2" t="s">
        <v>17</v>
      </c>
      <c r="D5079" s="2" t="s">
        <v>18</v>
      </c>
      <c r="E5079" s="4">
        <v>-32335</v>
      </c>
      <c r="F5079" s="3" t="s">
        <v>3776</v>
      </c>
      <c r="G5079" s="3" t="s">
        <v>13256</v>
      </c>
      <c r="H5079" s="2" t="s">
        <v>148</v>
      </c>
      <c r="I5079" s="2" t="s">
        <v>13257</v>
      </c>
      <c r="J5079" s="3" t="str">
        <f>HYPERLINK("https://www.boe.es/gazeta/dias/1811/06/20/pdfs/GEI-1811-82.pdf#page=5","Abrir facsímil")</f>
        <v>Abrir facsímil</v>
      </c>
      <c r="K5079" s="3" t="s">
        <v>150</v>
      </c>
    </row>
    <row r="5080" spans="1:11" ht="42" customHeight="1">
      <c r="A5080" s="2" t="s">
        <v>13252</v>
      </c>
      <c r="B5080" s="2" t="s">
        <v>13252</v>
      </c>
      <c r="C5080" s="2" t="s">
        <v>17</v>
      </c>
      <c r="D5080" s="2" t="s">
        <v>156</v>
      </c>
      <c r="E5080" s="4">
        <v>-32298</v>
      </c>
      <c r="F5080" s="3" t="s">
        <v>133</v>
      </c>
      <c r="G5080" s="3" t="s">
        <v>13258</v>
      </c>
      <c r="H5080" s="2" t="s">
        <v>148</v>
      </c>
      <c r="I5080" s="2" t="s">
        <v>13259</v>
      </c>
      <c r="J5080" s="3" t="str">
        <f>HYPERLINK("https://www.boe.es/gazeta/dias/1811/07/27/pdfs/GEI-1811-98.pdf#page=3","Abrir facsímil")</f>
        <v>Abrir facsímil</v>
      </c>
      <c r="K5080" s="3" t="s">
        <v>150</v>
      </c>
    </row>
    <row r="5081" spans="1:11" ht="42" customHeight="1">
      <c r="A5081" s="2" t="s">
        <v>13252</v>
      </c>
      <c r="B5081" s="2" t="s">
        <v>13252</v>
      </c>
      <c r="C5081" s="2" t="s">
        <v>17</v>
      </c>
      <c r="D5081" s="2" t="s">
        <v>18</v>
      </c>
      <c r="E5081" s="4">
        <v>-32295</v>
      </c>
      <c r="F5081" s="3" t="s">
        <v>279</v>
      </c>
      <c r="G5081" s="3" t="s">
        <v>3613</v>
      </c>
      <c r="H5081" s="2" t="s">
        <v>148</v>
      </c>
      <c r="I5081" s="2" t="s">
        <v>13260</v>
      </c>
      <c r="J5081" s="3" t="str">
        <f>HYPERLINK("https://www.boe.es/gazeta/dias/1811/07/30/pdfs/GEI-1811-99.pdf#page=3","Abrir facsímil")</f>
        <v>Abrir facsímil</v>
      </c>
      <c r="K5081" s="3" t="s">
        <v>150</v>
      </c>
    </row>
    <row r="5082" spans="1:11" ht="42" customHeight="1">
      <c r="A5082" s="2" t="s">
        <v>13252</v>
      </c>
      <c r="B5082" s="2" t="s">
        <v>13252</v>
      </c>
      <c r="C5082" s="2" t="s">
        <v>17</v>
      </c>
      <c r="D5082" s="2" t="s">
        <v>18</v>
      </c>
      <c r="E5082" s="4">
        <v>-32295</v>
      </c>
      <c r="F5082" s="3" t="s">
        <v>279</v>
      </c>
      <c r="G5082" s="3" t="s">
        <v>280</v>
      </c>
      <c r="H5082" s="2" t="s">
        <v>148</v>
      </c>
      <c r="I5082" s="2" t="s">
        <v>13261</v>
      </c>
      <c r="J5082" s="3" t="str">
        <f>HYPERLINK("https://www.boe.es/gazeta/dias/1811/07/30/pdfs/GEI-1811-99.pdf#page=4","Abrir facsímil")</f>
        <v>Abrir facsímil</v>
      </c>
      <c r="K5082" s="3" t="s">
        <v>150</v>
      </c>
    </row>
    <row r="5083" spans="1:11" ht="42" customHeight="1">
      <c r="A5083" s="2" t="s">
        <v>13252</v>
      </c>
      <c r="B5083" s="2" t="s">
        <v>13252</v>
      </c>
      <c r="C5083" s="2" t="s">
        <v>17</v>
      </c>
      <c r="D5083" s="2" t="s">
        <v>156</v>
      </c>
      <c r="E5083" s="4">
        <v>-32221</v>
      </c>
      <c r="F5083" s="3" t="s">
        <v>747</v>
      </c>
      <c r="G5083" s="3" t="s">
        <v>9998</v>
      </c>
      <c r="H5083" s="2" t="s">
        <v>148</v>
      </c>
      <c r="I5083" s="2" t="s">
        <v>13262</v>
      </c>
      <c r="J5083" s="3" t="str">
        <f>HYPERLINK("https://www.boe.es/gazeta/dias/1811/10/12/pdfs/GEI-1811-131.pdf#page=3","Abrir facsímil")</f>
        <v>Abrir facsímil</v>
      </c>
      <c r="K5083" s="3" t="s">
        <v>150</v>
      </c>
    </row>
    <row r="5084" spans="1:11" ht="42" customHeight="1">
      <c r="A5084" s="2" t="s">
        <v>13263</v>
      </c>
      <c r="B5084" s="2" t="s">
        <v>13264</v>
      </c>
      <c r="C5084" s="2" t="s">
        <v>26</v>
      </c>
      <c r="D5084" s="2" t="s">
        <v>18</v>
      </c>
      <c r="E5084" s="4">
        <v>-32417</v>
      </c>
      <c r="F5084" s="3" t="s">
        <v>604</v>
      </c>
      <c r="G5084" s="3" t="s">
        <v>178</v>
      </c>
      <c r="H5084" s="2" t="s">
        <v>148</v>
      </c>
      <c r="I5084" s="2" t="s">
        <v>13265</v>
      </c>
      <c r="J5084" s="3" t="str">
        <f>HYPERLINK("https://www.boe.es/gazeta/dias/1811/03/30/pdfs/GMD-1811-89.pdf#page=3","Abrir facsímil")</f>
        <v>Abrir facsímil</v>
      </c>
      <c r="K5084" s="3" t="s">
        <v>150</v>
      </c>
    </row>
    <row r="5085" spans="1:11" ht="42" customHeight="1">
      <c r="A5085" s="2" t="s">
        <v>13266</v>
      </c>
      <c r="B5085" s="2" t="s">
        <v>13267</v>
      </c>
      <c r="C5085" s="2" t="s">
        <v>17</v>
      </c>
      <c r="D5085" s="2" t="s">
        <v>18</v>
      </c>
      <c r="E5085" s="4">
        <v>-32417</v>
      </c>
      <c r="F5085" s="3" t="s">
        <v>604</v>
      </c>
      <c r="G5085" s="3" t="s">
        <v>178</v>
      </c>
      <c r="H5085" s="2" t="s">
        <v>148</v>
      </c>
      <c r="I5085" s="2" t="s">
        <v>13268</v>
      </c>
      <c r="J5085" s="3" t="str">
        <f>HYPERLINK("https://www.boe.es/gazeta/dias/1811/03/30/pdfs/GMD-1811-89.pdf#page=3","Abrir facsímil")</f>
        <v>Abrir facsímil</v>
      </c>
      <c r="K5085" s="3" t="s">
        <v>150</v>
      </c>
    </row>
    <row r="5086" spans="1:11" ht="42" customHeight="1">
      <c r="A5086" s="2" t="s">
        <v>13269</v>
      </c>
      <c r="B5086" s="2" t="s">
        <v>13270</v>
      </c>
      <c r="C5086" s="2" t="s">
        <v>17</v>
      </c>
      <c r="D5086" s="2" t="s">
        <v>18</v>
      </c>
      <c r="E5086" s="4">
        <v>-32181</v>
      </c>
      <c r="F5086" s="3" t="s">
        <v>368</v>
      </c>
      <c r="G5086" s="3" t="s">
        <v>3866</v>
      </c>
      <c r="H5086" s="2" t="s">
        <v>148</v>
      </c>
      <c r="I5086" s="2" t="s">
        <v>13271</v>
      </c>
      <c r="J5086" s="3" t="str">
        <f>HYPERLINK("https://www.boe.es/gazeta/dias/1811/11/21/pdfs/GEI-1811-152.pdf#page=4","Abrir facsímil")</f>
        <v>Abrir facsímil</v>
      </c>
      <c r="K5086" s="3" t="s">
        <v>150</v>
      </c>
    </row>
    <row r="5087" spans="1:11" ht="42" customHeight="1">
      <c r="A5087" s="2" t="s">
        <v>13272</v>
      </c>
      <c r="B5087" s="2" t="s">
        <v>13272</v>
      </c>
      <c r="C5087" s="2" t="s">
        <v>17</v>
      </c>
      <c r="D5087" s="2" t="s">
        <v>156</v>
      </c>
      <c r="E5087" s="4">
        <v>-32431</v>
      </c>
      <c r="F5087" s="3" t="s">
        <v>342</v>
      </c>
      <c r="G5087" s="3" t="s">
        <v>91</v>
      </c>
      <c r="H5087" s="2" t="s">
        <v>148</v>
      </c>
      <c r="I5087" s="2" t="s">
        <v>13273</v>
      </c>
      <c r="J5087" s="3" t="str">
        <f>HYPERLINK("https://www.boe.es/gazeta/dias/1811/03/16/pdfs/GEI-1811-38.pdf#page=1","Abrir facsímil")</f>
        <v>Abrir facsímil</v>
      </c>
      <c r="K5087" s="3" t="s">
        <v>150</v>
      </c>
    </row>
    <row r="5088" spans="1:11" ht="42" customHeight="1">
      <c r="A5088" s="2" t="s">
        <v>13274</v>
      </c>
      <c r="B5088" s="2" t="s">
        <v>13274</v>
      </c>
      <c r="C5088" s="2" t="s">
        <v>17</v>
      </c>
      <c r="D5088" s="2" t="s">
        <v>18</v>
      </c>
      <c r="E5088" s="4">
        <v>-32446</v>
      </c>
      <c r="F5088" s="3" t="s">
        <v>13275</v>
      </c>
      <c r="G5088" s="3" t="s">
        <v>57</v>
      </c>
      <c r="H5088" s="2" t="s">
        <v>148</v>
      </c>
      <c r="I5088" s="2" t="s">
        <v>13276</v>
      </c>
      <c r="J5088" s="3" t="str">
        <f>HYPERLINK("https://www.boe.es/gazeta/dias/1811/03/01/pdfs/GMD-1811-60.pdf#page=2","Abrir facsímil")</f>
        <v>Abrir facsímil</v>
      </c>
      <c r="K5088" s="3" t="s">
        <v>150</v>
      </c>
    </row>
    <row r="5089" spans="1:11" ht="42" customHeight="1">
      <c r="A5089" s="2" t="s">
        <v>13277</v>
      </c>
      <c r="B5089" s="2" t="s">
        <v>13277</v>
      </c>
      <c r="C5089" s="2" t="s">
        <v>17</v>
      </c>
      <c r="D5089" s="2" t="s">
        <v>156</v>
      </c>
      <c r="E5089" s="4">
        <v>-32494</v>
      </c>
      <c r="F5089" s="3" t="s">
        <v>585</v>
      </c>
      <c r="G5089" s="3" t="s">
        <v>586</v>
      </c>
      <c r="H5089" s="2" t="s">
        <v>148</v>
      </c>
      <c r="I5089" s="2" t="s">
        <v>13278</v>
      </c>
      <c r="J5089" s="3" t="str">
        <f>HYPERLINK("https://www.boe.es/gazeta/dias/1811/01/12/pdfs/GMD-1811-12.pdf#page=4","Abrir facsímil")</f>
        <v>Abrir facsímil</v>
      </c>
      <c r="K5089" s="3" t="s">
        <v>150</v>
      </c>
    </row>
    <row r="5090" spans="1:11" ht="42" customHeight="1">
      <c r="A5090" s="2" t="s">
        <v>13279</v>
      </c>
      <c r="B5090" s="2" t="s">
        <v>13279</v>
      </c>
      <c r="C5090" s="2" t="s">
        <v>26</v>
      </c>
      <c r="D5090" s="2" t="s">
        <v>18</v>
      </c>
      <c r="E5090" s="4">
        <v>-32167</v>
      </c>
      <c r="F5090" s="3" t="s">
        <v>1591</v>
      </c>
      <c r="G5090" s="3" t="s">
        <v>11226</v>
      </c>
      <c r="H5090" s="2" t="s">
        <v>148</v>
      </c>
      <c r="I5090" s="2" t="s">
        <v>13280</v>
      </c>
      <c r="J5090" s="3" t="str">
        <f>HYPERLINK("https://www.boe.es/gazeta/dias/1811/12/05/pdfs/GMD-1811-339.pdf#page=2","Abrir facsímil")</f>
        <v>Abrir facsímil</v>
      </c>
      <c r="K5090" s="3" t="s">
        <v>150</v>
      </c>
    </row>
    <row r="5091" spans="1:11" ht="42" customHeight="1">
      <c r="A5091" s="2" t="s">
        <v>13281</v>
      </c>
      <c r="B5091" s="2" t="s">
        <v>13281</v>
      </c>
      <c r="C5091" s="2" t="s">
        <v>17</v>
      </c>
      <c r="D5091" s="2" t="s">
        <v>18</v>
      </c>
      <c r="E5091" s="4">
        <v>-32319</v>
      </c>
      <c r="F5091" s="3" t="s">
        <v>975</v>
      </c>
      <c r="G5091" s="3" t="s">
        <v>2705</v>
      </c>
      <c r="H5091" s="2" t="s">
        <v>148</v>
      </c>
      <c r="I5091" s="2" t="s">
        <v>13282</v>
      </c>
      <c r="J5091" s="3" t="str">
        <f>HYPERLINK("https://www.boe.es/gazeta/dias/1811/07/06/pdfs/GEI-1811-89.pdf#page=8","Abrir facsímil")</f>
        <v>Abrir facsímil</v>
      </c>
      <c r="K5091" s="3" t="s">
        <v>150</v>
      </c>
    </row>
    <row r="5092" spans="1:11" ht="42" customHeight="1">
      <c r="A5092" s="2" t="s">
        <v>13283</v>
      </c>
      <c r="B5092" s="2" t="s">
        <v>13283</v>
      </c>
      <c r="C5092" s="2" t="s">
        <v>17</v>
      </c>
      <c r="D5092" s="2" t="s">
        <v>18</v>
      </c>
      <c r="E5092" s="4">
        <v>-32490</v>
      </c>
      <c r="F5092" s="3" t="s">
        <v>2407</v>
      </c>
      <c r="G5092" s="3" t="s">
        <v>178</v>
      </c>
      <c r="H5092" s="2" t="s">
        <v>148</v>
      </c>
      <c r="I5092" s="2" t="s">
        <v>13284</v>
      </c>
      <c r="J5092" s="3" t="str">
        <f>HYPERLINK("https://www.boe.es/gazeta/dias/1811/01/16/pdfs/GMD-1811-16.pdf#page=3","Abrir facsímil")</f>
        <v>Abrir facsímil</v>
      </c>
      <c r="K5092" s="3" t="s">
        <v>150</v>
      </c>
    </row>
    <row r="5093" spans="1:11" ht="42" customHeight="1">
      <c r="A5093" s="2" t="s">
        <v>13285</v>
      </c>
      <c r="B5093" s="2" t="s">
        <v>13285</v>
      </c>
      <c r="C5093" s="2" t="s">
        <v>26</v>
      </c>
      <c r="D5093" s="2" t="s">
        <v>18</v>
      </c>
      <c r="E5093" s="4">
        <v>-32167</v>
      </c>
      <c r="F5093" s="3" t="s">
        <v>1591</v>
      </c>
      <c r="G5093" s="3" t="s">
        <v>11226</v>
      </c>
      <c r="H5093" s="2" t="s">
        <v>148</v>
      </c>
      <c r="I5093" s="2" t="s">
        <v>13286</v>
      </c>
      <c r="J5093" s="3" t="str">
        <f>HYPERLINK("https://www.boe.es/gazeta/dias/1811/12/05/pdfs/GMD-1811-339.pdf#page=2","Abrir facsímil")</f>
        <v>Abrir facsímil</v>
      </c>
      <c r="K5093" s="3" t="s">
        <v>150</v>
      </c>
    </row>
    <row r="5094" spans="1:11" ht="42" customHeight="1">
      <c r="A5094" s="2" t="s">
        <v>13287</v>
      </c>
      <c r="B5094" s="2" t="s">
        <v>13287</v>
      </c>
      <c r="C5094" s="2" t="s">
        <v>17</v>
      </c>
      <c r="D5094" s="2" t="s">
        <v>18</v>
      </c>
      <c r="E5094" s="4">
        <v>-32390</v>
      </c>
      <c r="F5094" s="3" t="s">
        <v>6268</v>
      </c>
      <c r="G5094" s="3" t="s">
        <v>115</v>
      </c>
      <c r="H5094" s="2" t="s">
        <v>148</v>
      </c>
      <c r="I5094" s="2" t="s">
        <v>13288</v>
      </c>
      <c r="J5094" s="3" t="str">
        <f>HYPERLINK("https://www.boe.es/gazeta/dias/1811/04/26/pdfs/GMD-1811-116.pdf#page=3","Abrir facsímil")</f>
        <v>Abrir facsímil</v>
      </c>
      <c r="K5094" s="3" t="s">
        <v>150</v>
      </c>
    </row>
    <row r="5095" spans="1:11" ht="42" customHeight="1">
      <c r="A5095" s="2" t="s">
        <v>13289</v>
      </c>
      <c r="B5095" s="2" t="s">
        <v>13290</v>
      </c>
      <c r="C5095" s="2" t="s">
        <v>17</v>
      </c>
      <c r="D5095" s="2" t="s">
        <v>18</v>
      </c>
      <c r="E5095" s="4">
        <v>-32242</v>
      </c>
      <c r="F5095" s="3" t="s">
        <v>1295</v>
      </c>
      <c r="G5095" s="3" t="s">
        <v>5707</v>
      </c>
      <c r="H5095" s="2" t="s">
        <v>148</v>
      </c>
      <c r="I5095" s="2" t="s">
        <v>13291</v>
      </c>
      <c r="J5095" s="3" t="str">
        <f>HYPERLINK("https://www.boe.es/gazeta/dias/1811/09/21/pdfs/GEI-1811-122.pdf#page=5","Abrir facsímil")</f>
        <v>Abrir facsímil</v>
      </c>
      <c r="K5095" s="3" t="s">
        <v>150</v>
      </c>
    </row>
    <row r="5096" spans="1:11" ht="42" customHeight="1">
      <c r="A5096" s="2" t="s">
        <v>13292</v>
      </c>
      <c r="B5096" s="2" t="s">
        <v>13293</v>
      </c>
      <c r="C5096" s="2" t="s">
        <v>26</v>
      </c>
      <c r="D5096" s="2" t="s">
        <v>18</v>
      </c>
      <c r="E5096" s="4">
        <v>-32216</v>
      </c>
      <c r="F5096" s="3" t="s">
        <v>2739</v>
      </c>
      <c r="G5096" s="3" t="s">
        <v>377</v>
      </c>
      <c r="H5096" s="2" t="s">
        <v>148</v>
      </c>
      <c r="I5096" s="2" t="s">
        <v>13294</v>
      </c>
      <c r="J5096" s="3" t="str">
        <f>HYPERLINK("https://www.boe.es/gazeta/dias/1811/10/17/pdfs/GEI-1811-134.pdf#page=1","Abrir facsímil")</f>
        <v>Abrir facsímil</v>
      </c>
      <c r="K5096" s="3" t="s">
        <v>150</v>
      </c>
    </row>
    <row r="5097" spans="1:11" ht="42" customHeight="1">
      <c r="A5097" s="2" t="s">
        <v>13295</v>
      </c>
      <c r="B5097" s="2" t="s">
        <v>13295</v>
      </c>
      <c r="C5097" s="2" t="s">
        <v>17</v>
      </c>
      <c r="D5097" s="2" t="s">
        <v>18</v>
      </c>
      <c r="E5097" s="4">
        <v>-32209</v>
      </c>
      <c r="F5097" s="3" t="s">
        <v>9303</v>
      </c>
      <c r="G5097" s="3" t="s">
        <v>9304</v>
      </c>
      <c r="H5097" s="2" t="s">
        <v>148</v>
      </c>
      <c r="I5097" s="2" t="s">
        <v>13296</v>
      </c>
      <c r="J5097" s="3" t="str">
        <f>HYPERLINK("https://www.boe.es/gazeta/dias/1811/10/24/pdfs/GEI-1811-137.pdf#page=2","Abrir facsímil")</f>
        <v>Abrir facsímil</v>
      </c>
      <c r="K5097" s="3" t="s">
        <v>150</v>
      </c>
    </row>
    <row r="5098" spans="1:11" ht="42" customHeight="1">
      <c r="A5098" s="2" t="s">
        <v>13297</v>
      </c>
      <c r="B5098" s="2" t="s">
        <v>13298</v>
      </c>
      <c r="C5098" s="2" t="s">
        <v>26</v>
      </c>
      <c r="D5098" s="2" t="s">
        <v>141</v>
      </c>
      <c r="E5098" s="4">
        <v>-32188</v>
      </c>
      <c r="F5098" s="3" t="s">
        <v>505</v>
      </c>
      <c r="G5098" s="3" t="s">
        <v>47</v>
      </c>
      <c r="H5098" s="2" t="s">
        <v>148</v>
      </c>
      <c r="I5098" s="2" t="s">
        <v>13299</v>
      </c>
      <c r="J5098" s="3" t="str">
        <f>HYPERLINK("https://www.boe.es/gazeta/dias/1811/11/14/pdfs/GEI-D-1811-149.pdf#page=3","Abrir facsímil")</f>
        <v>Abrir facsímil</v>
      </c>
      <c r="K5098" s="3" t="s">
        <v>150</v>
      </c>
    </row>
    <row r="5099" spans="1:11" ht="42" customHeight="1">
      <c r="A5099" s="2" t="s">
        <v>13300</v>
      </c>
      <c r="B5099" s="2" t="s">
        <v>13301</v>
      </c>
      <c r="C5099" s="2" t="s">
        <v>37</v>
      </c>
      <c r="D5099" s="2" t="s">
        <v>141</v>
      </c>
      <c r="E5099" s="4">
        <v>-32389</v>
      </c>
      <c r="F5099" s="3" t="s">
        <v>524</v>
      </c>
      <c r="G5099" s="3" t="s">
        <v>525</v>
      </c>
      <c r="H5099" s="2" t="s">
        <v>148</v>
      </c>
      <c r="I5099" s="2" t="s">
        <v>13302</v>
      </c>
      <c r="J5099" s="3" t="str">
        <f>HYPERLINK("https://www.boe.es/gazeta/dias/1811/04/27/pdfs/GEI-D-1811-56.pdf#page=4","Abrir facsímil")</f>
        <v>Abrir facsímil</v>
      </c>
      <c r="K5099" s="3" t="s">
        <v>150</v>
      </c>
    </row>
    <row r="5100" spans="1:11" ht="42" customHeight="1">
      <c r="A5100" s="2" t="s">
        <v>13303</v>
      </c>
      <c r="B5100" s="2" t="s">
        <v>13303</v>
      </c>
      <c r="C5100" s="2" t="s">
        <v>17</v>
      </c>
      <c r="D5100" s="2" t="s">
        <v>18</v>
      </c>
      <c r="E5100" s="4">
        <v>-32434</v>
      </c>
      <c r="F5100" s="3" t="s">
        <v>1932</v>
      </c>
      <c r="G5100" s="3" t="s">
        <v>468</v>
      </c>
      <c r="H5100" s="2" t="s">
        <v>148</v>
      </c>
      <c r="I5100" s="2" t="s">
        <v>13304</v>
      </c>
      <c r="J5100" s="3" t="str">
        <f>HYPERLINK("https://www.boe.es/gazeta/dias/1811/03/13/pdfs/GMD-1811-72.pdf#page=4","Abrir facsímil")</f>
        <v>Abrir facsímil</v>
      </c>
      <c r="K5100" s="3" t="s">
        <v>150</v>
      </c>
    </row>
    <row r="5101" spans="1:11" ht="42" customHeight="1">
      <c r="A5101" s="2" t="s">
        <v>13305</v>
      </c>
      <c r="B5101" s="2" t="s">
        <v>13305</v>
      </c>
      <c r="C5101" s="2" t="s">
        <v>17</v>
      </c>
      <c r="D5101" s="2" t="s">
        <v>18</v>
      </c>
      <c r="E5101" s="4">
        <v>-32228</v>
      </c>
      <c r="F5101" s="3" t="s">
        <v>899</v>
      </c>
      <c r="G5101" s="3" t="s">
        <v>900</v>
      </c>
      <c r="H5101" s="2" t="s">
        <v>148</v>
      </c>
      <c r="I5101" s="2" t="s">
        <v>13306</v>
      </c>
      <c r="J5101" s="3" t="str">
        <f>HYPERLINK("https://www.boe.es/gazeta/dias/1811/10/05/pdfs/GMD-1811-278.pdf#page=2","Abrir facsímil")</f>
        <v>Abrir facsímil</v>
      </c>
      <c r="K5101" s="3" t="s">
        <v>150</v>
      </c>
    </row>
    <row r="5102" spans="1:11" ht="42" customHeight="1">
      <c r="A5102" s="2" t="s">
        <v>13307</v>
      </c>
      <c r="B5102" s="2" t="s">
        <v>13308</v>
      </c>
      <c r="C5102" s="2" t="s">
        <v>17</v>
      </c>
      <c r="D5102" s="2" t="s">
        <v>18</v>
      </c>
      <c r="E5102" s="4">
        <v>-32281</v>
      </c>
      <c r="F5102" s="3" t="s">
        <v>982</v>
      </c>
      <c r="G5102" s="3" t="s">
        <v>6869</v>
      </c>
      <c r="H5102" s="2" t="s">
        <v>148</v>
      </c>
      <c r="I5102" s="2" t="s">
        <v>13309</v>
      </c>
      <c r="J5102" s="3" t="str">
        <f>HYPERLINK("https://www.boe.es/gazeta/dias/1811/08/13/pdfs/GEI-1811-105.pdf#page=5","Abrir facsímil")</f>
        <v>Abrir facsímil</v>
      </c>
      <c r="K5102" s="3" t="s">
        <v>150</v>
      </c>
    </row>
    <row r="5103" spans="1:11" ht="42" customHeight="1">
      <c r="A5103" s="2" t="s">
        <v>13310</v>
      </c>
      <c r="B5103" s="2" t="s">
        <v>13310</v>
      </c>
      <c r="C5103" s="2" t="s">
        <v>17</v>
      </c>
      <c r="D5103" s="2" t="s">
        <v>156</v>
      </c>
      <c r="E5103" s="4">
        <v>-32349</v>
      </c>
      <c r="F5103" s="3" t="s">
        <v>3983</v>
      </c>
      <c r="G5103" s="3" t="s">
        <v>44</v>
      </c>
      <c r="H5103" s="2" t="s">
        <v>148</v>
      </c>
      <c r="I5103" s="2" t="s">
        <v>13311</v>
      </c>
      <c r="J5103" s="3" t="str">
        <f>HYPERLINK("https://www.boe.es/gazeta/dias/1811/06/06/pdfs/GMD-1811-157.pdf#page=2","Abrir facsímil")</f>
        <v>Abrir facsímil</v>
      </c>
      <c r="K5103" s="3" t="s">
        <v>150</v>
      </c>
    </row>
    <row r="5104" spans="1:11" ht="42" customHeight="1">
      <c r="A5104" s="2" t="s">
        <v>13310</v>
      </c>
      <c r="B5104" s="2" t="s">
        <v>13310</v>
      </c>
      <c r="C5104" s="2" t="s">
        <v>17</v>
      </c>
      <c r="D5104" s="2" t="s">
        <v>156</v>
      </c>
      <c r="E5104" s="4">
        <v>-32337</v>
      </c>
      <c r="F5104" s="3" t="s">
        <v>786</v>
      </c>
      <c r="G5104" s="3" t="s">
        <v>787</v>
      </c>
      <c r="H5104" s="2" t="s">
        <v>148</v>
      </c>
      <c r="I5104" s="2" t="s">
        <v>13312</v>
      </c>
      <c r="J5104" s="3" t="str">
        <f>HYPERLINK("https://www.boe.es/gazeta/dias/1811/06/18/pdfs/GMD-1811-169.pdf#page=1","Abrir facsímil")</f>
        <v>Abrir facsímil</v>
      </c>
      <c r="K5104" s="3" t="s">
        <v>150</v>
      </c>
    </row>
    <row r="5105" spans="1:11" ht="42" customHeight="1">
      <c r="A5105" s="2" t="s">
        <v>13310</v>
      </c>
      <c r="B5105" s="2" t="s">
        <v>13310</v>
      </c>
      <c r="C5105" s="2" t="s">
        <v>37</v>
      </c>
      <c r="D5105" s="2" t="s">
        <v>18</v>
      </c>
      <c r="E5105" s="4">
        <v>-32243</v>
      </c>
      <c r="F5105" s="3" t="s">
        <v>51</v>
      </c>
      <c r="G5105" s="3" t="s">
        <v>12777</v>
      </c>
      <c r="H5105" s="2" t="s">
        <v>148</v>
      </c>
      <c r="I5105" s="2" t="s">
        <v>13313</v>
      </c>
      <c r="J5105" s="3" t="str">
        <f>HYPERLINK("https://www.boe.es/gazeta/dias/1811/09/20/pdfs/GMD-1811-263.pdf#page=1","Abrir facsímil")</f>
        <v>Abrir facsímil</v>
      </c>
      <c r="K5105" s="3" t="s">
        <v>150</v>
      </c>
    </row>
    <row r="5106" spans="1:11" ht="42" customHeight="1">
      <c r="A5106" s="2" t="s">
        <v>13314</v>
      </c>
      <c r="B5106" s="2" t="s">
        <v>13314</v>
      </c>
      <c r="C5106" s="2" t="s">
        <v>17</v>
      </c>
      <c r="D5106" s="2" t="s">
        <v>18</v>
      </c>
      <c r="E5106" s="4">
        <v>-32151</v>
      </c>
      <c r="F5106" s="3" t="s">
        <v>2160</v>
      </c>
      <c r="G5106" s="3" t="s">
        <v>91</v>
      </c>
      <c r="H5106" s="2" t="s">
        <v>148</v>
      </c>
      <c r="I5106" s="2" t="s">
        <v>13315</v>
      </c>
      <c r="J5106" s="3" t="str">
        <f>HYPERLINK("https://www.boe.es/gazeta/dias/1811/12/21/pdfs/GMD-1811-355.pdf#page=1","Abrir facsímil")</f>
        <v>Abrir facsímil</v>
      </c>
      <c r="K5106" s="3" t="s">
        <v>150</v>
      </c>
    </row>
    <row r="5107" spans="1:11" ht="42" customHeight="1">
      <c r="A5107" s="2" t="s">
        <v>13316</v>
      </c>
      <c r="B5107" s="2" t="s">
        <v>13316</v>
      </c>
      <c r="C5107" s="2" t="s">
        <v>104</v>
      </c>
      <c r="D5107" s="2" t="s">
        <v>18</v>
      </c>
      <c r="E5107" s="4">
        <v>-32443</v>
      </c>
      <c r="F5107" s="3" t="s">
        <v>1522</v>
      </c>
      <c r="G5107" s="3" t="s">
        <v>91</v>
      </c>
      <c r="H5107" s="2" t="s">
        <v>148</v>
      </c>
      <c r="I5107" s="2" t="s">
        <v>13317</v>
      </c>
      <c r="J5107" s="3" t="str">
        <f>HYPERLINK("https://www.boe.es/gazeta/dias/1811/03/04/pdfs/GMD-1811-63.pdf#page=2","Abrir facsímil")</f>
        <v>Abrir facsímil</v>
      </c>
      <c r="K5107" s="3" t="s">
        <v>150</v>
      </c>
    </row>
    <row r="5108" spans="1:11" ht="42" customHeight="1">
      <c r="A5108" s="2" t="s">
        <v>13318</v>
      </c>
      <c r="B5108" s="2" t="s">
        <v>13318</v>
      </c>
      <c r="C5108" s="2" t="s">
        <v>26</v>
      </c>
      <c r="D5108" s="2" t="s">
        <v>204</v>
      </c>
      <c r="E5108" s="4">
        <v>-32360</v>
      </c>
      <c r="F5108" s="3" t="s">
        <v>5470</v>
      </c>
      <c r="G5108" s="3" t="s">
        <v>468</v>
      </c>
      <c r="H5108" s="2" t="s">
        <v>148</v>
      </c>
      <c r="I5108" s="2" t="s">
        <v>13319</v>
      </c>
      <c r="J5108" s="3" t="str">
        <f>HYPERLINK("https://www.boe.es/gazeta/dias/1811/05/26/pdfs/GMD-1811-146.pdf#page=1","Abrir facsímil")</f>
        <v>Abrir facsímil</v>
      </c>
      <c r="K5108" s="3" t="s">
        <v>150</v>
      </c>
    </row>
    <row r="5109" spans="1:11" ht="42" customHeight="1">
      <c r="A5109" s="2" t="s">
        <v>13320</v>
      </c>
      <c r="B5109" s="2" t="s">
        <v>13321</v>
      </c>
      <c r="C5109" s="2" t="s">
        <v>26</v>
      </c>
      <c r="D5109" s="2" t="s">
        <v>18</v>
      </c>
      <c r="E5109" s="4">
        <v>-32500</v>
      </c>
      <c r="F5109" s="3" t="s">
        <v>13322</v>
      </c>
      <c r="G5109" s="3" t="s">
        <v>468</v>
      </c>
      <c r="H5109" s="2" t="s">
        <v>148</v>
      </c>
      <c r="I5109" s="2" t="s">
        <v>13323</v>
      </c>
      <c r="J5109" s="3" t="str">
        <f>HYPERLINK("https://www.boe.es/gazeta/dias/1811/01/06/pdfs/GMD-1811-6.pdf#page=4","Abrir facsímil")</f>
        <v>Abrir facsímil</v>
      </c>
      <c r="K5109" s="3" t="s">
        <v>150</v>
      </c>
    </row>
    <row r="5110" spans="1:11" ht="42" customHeight="1">
      <c r="A5110" s="2" t="s">
        <v>13320</v>
      </c>
      <c r="B5110" s="2" t="s">
        <v>13321</v>
      </c>
      <c r="C5110" s="2" t="s">
        <v>84</v>
      </c>
      <c r="D5110" s="2" t="s">
        <v>18</v>
      </c>
      <c r="E5110" s="4">
        <v>-32498</v>
      </c>
      <c r="F5110" s="3" t="s">
        <v>5452</v>
      </c>
      <c r="G5110" s="3" t="s">
        <v>91</v>
      </c>
      <c r="H5110" s="2" t="s">
        <v>148</v>
      </c>
      <c r="I5110" s="2" t="s">
        <v>13324</v>
      </c>
      <c r="J5110" s="3" t="str">
        <f>HYPERLINK("https://www.boe.es/gazeta/dias/1811/01/08/pdfs/GMD-1811-8.pdf#page=3","Abrir facsímil")</f>
        <v>Abrir facsímil</v>
      </c>
      <c r="K5110" s="3" t="s">
        <v>150</v>
      </c>
    </row>
    <row r="5111" spans="1:11" ht="42" customHeight="1">
      <c r="A5111" s="2" t="s">
        <v>13320</v>
      </c>
      <c r="B5111" s="2" t="s">
        <v>13321</v>
      </c>
      <c r="C5111" s="2" t="s">
        <v>104</v>
      </c>
      <c r="D5111" s="2" t="s">
        <v>18</v>
      </c>
      <c r="E5111" s="4">
        <v>-32473</v>
      </c>
      <c r="F5111" s="3" t="s">
        <v>1109</v>
      </c>
      <c r="G5111" s="3" t="s">
        <v>162</v>
      </c>
      <c r="H5111" s="2" t="s">
        <v>148</v>
      </c>
      <c r="I5111" s="2" t="s">
        <v>13325</v>
      </c>
      <c r="J5111" s="3" t="str">
        <f>HYPERLINK("https://www.boe.es/gazeta/dias/1811/02/02/pdfs/GMD-1811-33.pdf#page=3","Abrir facsímil")</f>
        <v>Abrir facsímil</v>
      </c>
      <c r="K5111" s="3" t="s">
        <v>150</v>
      </c>
    </row>
    <row r="5112" spans="1:11" ht="42" customHeight="1">
      <c r="A5112" s="2" t="s">
        <v>13320</v>
      </c>
      <c r="B5112" s="2" t="s">
        <v>13321</v>
      </c>
      <c r="C5112" s="2" t="s">
        <v>26</v>
      </c>
      <c r="D5112" s="2" t="s">
        <v>18</v>
      </c>
      <c r="E5112" s="4">
        <v>-32473</v>
      </c>
      <c r="F5112" s="3" t="s">
        <v>1109</v>
      </c>
      <c r="G5112" s="3" t="s">
        <v>305</v>
      </c>
      <c r="H5112" s="2" t="s">
        <v>148</v>
      </c>
      <c r="I5112" s="2" t="s">
        <v>13326</v>
      </c>
      <c r="J5112" s="3" t="str">
        <f>HYPERLINK("https://www.boe.es/gazeta/dias/1811/02/02/pdfs/GMD-1811-33.pdf#page=4","Abrir facsímil")</f>
        <v>Abrir facsímil</v>
      </c>
      <c r="K5112" s="3" t="s">
        <v>150</v>
      </c>
    </row>
    <row r="5113" spans="1:11" ht="42" customHeight="1">
      <c r="A5113" s="2" t="s">
        <v>13320</v>
      </c>
      <c r="B5113" s="2" t="s">
        <v>13321</v>
      </c>
      <c r="C5113" s="2" t="s">
        <v>84</v>
      </c>
      <c r="D5113" s="2" t="s">
        <v>18</v>
      </c>
      <c r="E5113" s="4">
        <v>-32471</v>
      </c>
      <c r="F5113" s="3" t="s">
        <v>1571</v>
      </c>
      <c r="G5113" s="3" t="s">
        <v>12501</v>
      </c>
      <c r="H5113" s="2" t="s">
        <v>148</v>
      </c>
      <c r="I5113" s="2" t="s">
        <v>13327</v>
      </c>
      <c r="J5113" s="3" t="str">
        <f>HYPERLINK("https://www.boe.es/gazeta/dias/1811/02/04/pdfs/GMD-1811-35.pdf#page=4","Abrir facsímil")</f>
        <v>Abrir facsímil</v>
      </c>
      <c r="K5113" s="3" t="s">
        <v>150</v>
      </c>
    </row>
    <row r="5114" spans="1:11" ht="42" customHeight="1">
      <c r="A5114" s="2" t="s">
        <v>13328</v>
      </c>
      <c r="B5114" s="2" t="s">
        <v>13329</v>
      </c>
      <c r="C5114" s="2" t="s">
        <v>26</v>
      </c>
      <c r="D5114" s="2" t="s">
        <v>141</v>
      </c>
      <c r="E5114" s="4">
        <v>-32396</v>
      </c>
      <c r="F5114" s="3" t="s">
        <v>804</v>
      </c>
      <c r="G5114" s="3" t="s">
        <v>805</v>
      </c>
      <c r="H5114" s="2" t="s">
        <v>148</v>
      </c>
      <c r="I5114" s="2" t="s">
        <v>13330</v>
      </c>
      <c r="J5114" s="3" t="str">
        <f>HYPERLINK("https://www.boe.es/gazeta/dias/1811/04/20/pdfs/GEI-D-1811-53.pdf#page=4","Abrir facsímil")</f>
        <v>Abrir facsímil</v>
      </c>
      <c r="K5114" s="3" t="s">
        <v>150</v>
      </c>
    </row>
    <row r="5115" spans="1:11" ht="42" customHeight="1">
      <c r="A5115" s="2" t="s">
        <v>13331</v>
      </c>
      <c r="B5115" s="2" t="s">
        <v>13332</v>
      </c>
      <c r="C5115" s="2" t="s">
        <v>17</v>
      </c>
      <c r="D5115" s="2" t="s">
        <v>18</v>
      </c>
      <c r="E5115" s="4">
        <v>-32300</v>
      </c>
      <c r="F5115" s="3" t="s">
        <v>61</v>
      </c>
      <c r="G5115" s="3" t="s">
        <v>62</v>
      </c>
      <c r="H5115" s="2" t="s">
        <v>148</v>
      </c>
      <c r="I5115" s="2" t="s">
        <v>13333</v>
      </c>
      <c r="J5115" s="3" t="str">
        <f>HYPERLINK("https://www.boe.es/gazeta/dias/1811/07/25/pdfs/GEI-1811-97.pdf#page=5","Abrir facsímil")</f>
        <v>Abrir facsímil</v>
      </c>
      <c r="K5115" s="3" t="s">
        <v>150</v>
      </c>
    </row>
    <row r="5116" spans="1:11" ht="42" customHeight="1">
      <c r="A5116" s="2" t="s">
        <v>13334</v>
      </c>
      <c r="B5116" s="2" t="s">
        <v>13335</v>
      </c>
      <c r="C5116" s="2" t="s">
        <v>26</v>
      </c>
      <c r="D5116" s="2" t="s">
        <v>18</v>
      </c>
      <c r="E5116" s="4">
        <v>-32200</v>
      </c>
      <c r="F5116" s="3" t="s">
        <v>109</v>
      </c>
      <c r="G5116" s="3" t="s">
        <v>268</v>
      </c>
      <c r="H5116" s="2" t="s">
        <v>148</v>
      </c>
      <c r="I5116" s="2" t="s">
        <v>13336</v>
      </c>
      <c r="J5116" s="3" t="str">
        <f>HYPERLINK("https://www.boe.es/gazeta/dias/1811/11/02/pdfs/GEI-1811-141.pdf#page=7","Abrir facsímil")</f>
        <v>Abrir facsímil</v>
      </c>
      <c r="K5116" s="3" t="s">
        <v>150</v>
      </c>
    </row>
    <row r="5117" spans="1:11" ht="42" customHeight="1">
      <c r="A5117" s="2" t="s">
        <v>13337</v>
      </c>
      <c r="B5117" s="2" t="s">
        <v>13338</v>
      </c>
      <c r="C5117" s="2" t="s">
        <v>17</v>
      </c>
      <c r="D5117" s="2" t="s">
        <v>156</v>
      </c>
      <c r="E5117" s="4">
        <v>-32158</v>
      </c>
      <c r="F5117" s="3" t="s">
        <v>46</v>
      </c>
      <c r="G5117" s="3" t="s">
        <v>47</v>
      </c>
      <c r="H5117" s="2" t="s">
        <v>148</v>
      </c>
      <c r="I5117" s="2" t="s">
        <v>13339</v>
      </c>
      <c r="J5117" s="3" t="str">
        <f>HYPERLINK("https://www.boe.es/gazeta/dias/1811/12/14/pdfs/GEI-1811-162.pdf#page=7","Abrir facsímil")</f>
        <v>Abrir facsímil</v>
      </c>
      <c r="K5117" s="3" t="s">
        <v>150</v>
      </c>
    </row>
    <row r="5118" spans="1:11" ht="42" customHeight="1">
      <c r="A5118" s="2" t="s">
        <v>13340</v>
      </c>
      <c r="B5118" s="2" t="s">
        <v>13340</v>
      </c>
      <c r="C5118" s="2" t="s">
        <v>17</v>
      </c>
      <c r="D5118" s="2" t="s">
        <v>204</v>
      </c>
      <c r="E5118" s="4">
        <v>-32234</v>
      </c>
      <c r="F5118" s="3" t="s">
        <v>12552</v>
      </c>
      <c r="G5118" s="3" t="s">
        <v>39</v>
      </c>
      <c r="H5118" s="2" t="s">
        <v>148</v>
      </c>
      <c r="I5118" s="2" t="s">
        <v>13341</v>
      </c>
      <c r="J5118" s="3" t="str">
        <f>HYPERLINK("https://www.boe.es/gazeta/dias/1811/09/29/pdfs/GMD-1811-272.pdf#page=1","Abrir facsímil")</f>
        <v>Abrir facsímil</v>
      </c>
      <c r="K5118" s="3" t="s">
        <v>150</v>
      </c>
    </row>
    <row r="5119" spans="1:11" ht="42" customHeight="1">
      <c r="A5119" s="2" t="s">
        <v>13342</v>
      </c>
      <c r="B5119" s="2" t="s">
        <v>13342</v>
      </c>
      <c r="C5119" s="2" t="s">
        <v>17</v>
      </c>
      <c r="D5119" s="2" t="s">
        <v>18</v>
      </c>
      <c r="E5119" s="4">
        <v>-32336</v>
      </c>
      <c r="F5119" s="3" t="s">
        <v>8466</v>
      </c>
      <c r="G5119" s="3" t="s">
        <v>107</v>
      </c>
      <c r="H5119" s="2" t="s">
        <v>148</v>
      </c>
      <c r="I5119" s="2" t="s">
        <v>13343</v>
      </c>
      <c r="J5119" s="3" t="str">
        <f>HYPERLINK("https://www.boe.es/gazeta/dias/1811/06/19/pdfs/GMD-1811-170.pdf#page=2","Abrir facsímil")</f>
        <v>Abrir facsímil</v>
      </c>
      <c r="K5119" s="3" t="s">
        <v>150</v>
      </c>
    </row>
    <row r="5120" spans="1:11" ht="42" customHeight="1">
      <c r="A5120" s="2" t="s">
        <v>13344</v>
      </c>
      <c r="B5120" s="2" t="s">
        <v>13345</v>
      </c>
      <c r="C5120" s="2" t="s">
        <v>17</v>
      </c>
      <c r="D5120" s="2" t="s">
        <v>156</v>
      </c>
      <c r="E5120" s="4">
        <v>-32435</v>
      </c>
      <c r="F5120" s="3" t="s">
        <v>11833</v>
      </c>
      <c r="G5120" s="3" t="s">
        <v>44</v>
      </c>
      <c r="H5120" s="2" t="s">
        <v>148</v>
      </c>
      <c r="I5120" s="2" t="s">
        <v>13346</v>
      </c>
      <c r="J5120" s="3" t="str">
        <f>HYPERLINK("https://www.boe.es/gazeta/dias/1811/03/12/pdfs/GEI-1811-36E.pdf#page=1","Abrir facsímil")</f>
        <v>Abrir facsímil</v>
      </c>
      <c r="K5120" s="3" t="s">
        <v>150</v>
      </c>
    </row>
    <row r="5121" spans="1:11" ht="42" customHeight="1">
      <c r="A5121" s="2" t="s">
        <v>13347</v>
      </c>
      <c r="B5121" s="2" t="s">
        <v>13348</v>
      </c>
      <c r="C5121" s="2" t="s">
        <v>17</v>
      </c>
      <c r="D5121" s="2" t="s">
        <v>528</v>
      </c>
      <c r="E5121" s="4">
        <v>-32435</v>
      </c>
      <c r="F5121" s="3" t="s">
        <v>11833</v>
      </c>
      <c r="G5121" s="3" t="s">
        <v>20</v>
      </c>
      <c r="H5121" s="2" t="s">
        <v>148</v>
      </c>
      <c r="I5121" s="2" t="s">
        <v>13349</v>
      </c>
      <c r="J5121" s="3" t="str">
        <f>HYPERLINK("https://www.boe.es/gazeta/dias/1811/03/12/pdfs/GEI-1811-36E.pdf#page=2","Abrir facsímil")</f>
        <v>Abrir facsímil</v>
      </c>
      <c r="K5121" s="3" t="s">
        <v>150</v>
      </c>
    </row>
    <row r="5122" spans="1:11" ht="42" customHeight="1">
      <c r="A5122" s="2" t="s">
        <v>13344</v>
      </c>
      <c r="B5122" s="2" t="s">
        <v>13345</v>
      </c>
      <c r="C5122" s="2" t="s">
        <v>17</v>
      </c>
      <c r="D5122" s="2" t="s">
        <v>105</v>
      </c>
      <c r="E5122" s="4">
        <v>-32435</v>
      </c>
      <c r="F5122" s="3" t="s">
        <v>11833</v>
      </c>
      <c r="G5122" s="3" t="s">
        <v>178</v>
      </c>
      <c r="H5122" s="2" t="s">
        <v>148</v>
      </c>
      <c r="I5122" s="2" t="s">
        <v>13350</v>
      </c>
      <c r="J5122" s="3" t="str">
        <f>HYPERLINK("https://www.boe.es/gazeta/dias/1811/03/12/pdfs/GEI-1811-36E.pdf#page=3","Abrir facsímil")</f>
        <v>Abrir facsímil</v>
      </c>
      <c r="K5122" s="3" t="s">
        <v>150</v>
      </c>
    </row>
    <row r="5123" spans="1:11" ht="42" customHeight="1">
      <c r="A5123" s="2" t="s">
        <v>13351</v>
      </c>
      <c r="B5123" s="2" t="s">
        <v>13351</v>
      </c>
      <c r="C5123" s="2" t="s">
        <v>104</v>
      </c>
      <c r="D5123" s="2" t="s">
        <v>105</v>
      </c>
      <c r="E5123" s="4">
        <v>-32505</v>
      </c>
      <c r="F5123" s="3" t="s">
        <v>661</v>
      </c>
      <c r="G5123" s="3" t="s">
        <v>530</v>
      </c>
      <c r="H5123" s="2" t="s">
        <v>148</v>
      </c>
      <c r="I5123" s="2" t="s">
        <v>13352</v>
      </c>
      <c r="J5123" s="3" t="str">
        <f>HYPERLINK("https://www.boe.es/gazeta/dias/1811/01/01/pdfs/GMD-1811-1.pdf#page=3","Abrir facsímil")</f>
        <v>Abrir facsímil</v>
      </c>
      <c r="K5123" s="3" t="s">
        <v>150</v>
      </c>
    </row>
    <row r="5124" spans="1:11" ht="42" customHeight="1">
      <c r="A5124" s="2" t="s">
        <v>13353</v>
      </c>
      <c r="B5124" s="2" t="s">
        <v>13353</v>
      </c>
      <c r="C5124" s="2" t="s">
        <v>17</v>
      </c>
      <c r="D5124" s="2" t="s">
        <v>105</v>
      </c>
      <c r="E5124" s="4">
        <v>-32419</v>
      </c>
      <c r="F5124" s="3" t="s">
        <v>2585</v>
      </c>
      <c r="G5124" s="3" t="s">
        <v>4529</v>
      </c>
      <c r="H5124" s="2" t="s">
        <v>148</v>
      </c>
      <c r="I5124" s="2" t="s">
        <v>13354</v>
      </c>
      <c r="J5124" s="3" t="str">
        <f>HYPERLINK("https://www.boe.es/gazeta/dias/1811/03/28/pdfs/GEI-1811-43.pdf#page=8","Abrir facsímil")</f>
        <v>Abrir facsímil</v>
      </c>
      <c r="K5124" s="3" t="s">
        <v>150</v>
      </c>
    </row>
    <row r="5125" spans="1:11" ht="42" customHeight="1">
      <c r="A5125" s="2" t="s">
        <v>13355</v>
      </c>
      <c r="B5125" s="2" t="s">
        <v>13356</v>
      </c>
      <c r="C5125" s="2" t="s">
        <v>26</v>
      </c>
      <c r="D5125" s="2" t="s">
        <v>18</v>
      </c>
      <c r="E5125" s="4">
        <v>-32153</v>
      </c>
      <c r="F5125" s="3" t="s">
        <v>123</v>
      </c>
      <c r="G5125" s="3" t="s">
        <v>288</v>
      </c>
      <c r="H5125" s="2" t="s">
        <v>148</v>
      </c>
      <c r="I5125" s="2" t="s">
        <v>13357</v>
      </c>
      <c r="J5125" s="3" t="str">
        <f>HYPERLINK("https://www.boe.es/gazeta/dias/1811/12/19/pdfs/GMD-1811-353.pdf#page=4","Abrir facsímil")</f>
        <v>Abrir facsímil</v>
      </c>
      <c r="K5125" s="3" t="s">
        <v>150</v>
      </c>
    </row>
    <row r="5126" spans="1:11" ht="42" customHeight="1">
      <c r="A5126" s="2" t="s">
        <v>13358</v>
      </c>
      <c r="B5126" s="2" t="s">
        <v>13359</v>
      </c>
      <c r="C5126" s="2" t="s">
        <v>122</v>
      </c>
      <c r="D5126" s="2" t="s">
        <v>18</v>
      </c>
      <c r="E5126" s="4">
        <v>-32416</v>
      </c>
      <c r="F5126" s="3" t="s">
        <v>954</v>
      </c>
      <c r="G5126" s="3" t="s">
        <v>183</v>
      </c>
      <c r="H5126" s="2" t="s">
        <v>148</v>
      </c>
      <c r="I5126" s="2" t="s">
        <v>13360</v>
      </c>
      <c r="J5126" s="3" t="str">
        <f>HYPERLINK("https://www.boe.es/gazeta/dias/1811/03/31/pdfs/GMD-1811-90.pdf#page=4","Abrir facsímil")</f>
        <v>Abrir facsímil</v>
      </c>
      <c r="K5126" s="3" t="s">
        <v>150</v>
      </c>
    </row>
    <row r="5127" spans="1:11" ht="42" customHeight="1">
      <c r="A5127" s="2" t="s">
        <v>13361</v>
      </c>
      <c r="B5127" s="2" t="s">
        <v>13362</v>
      </c>
      <c r="C5127" s="2" t="s">
        <v>17</v>
      </c>
      <c r="D5127" s="2" t="s">
        <v>18</v>
      </c>
      <c r="E5127" s="4">
        <v>-32300</v>
      </c>
      <c r="F5127" s="3" t="s">
        <v>61</v>
      </c>
      <c r="G5127" s="3" t="s">
        <v>62</v>
      </c>
      <c r="H5127" s="2" t="s">
        <v>148</v>
      </c>
      <c r="I5127" s="2" t="s">
        <v>13363</v>
      </c>
      <c r="J5127" s="3" t="str">
        <f>HYPERLINK("https://www.boe.es/gazeta/dias/1811/07/25/pdfs/GEI-1811-97.pdf#page=5","Abrir facsímil")</f>
        <v>Abrir facsímil</v>
      </c>
      <c r="K5127" s="3" t="s">
        <v>150</v>
      </c>
    </row>
    <row r="5128" spans="1:11" ht="42" customHeight="1">
      <c r="A5128" s="2" t="s">
        <v>13364</v>
      </c>
      <c r="B5128" s="2" t="s">
        <v>13365</v>
      </c>
      <c r="C5128" s="2" t="s">
        <v>26</v>
      </c>
      <c r="D5128" s="2" t="s">
        <v>18</v>
      </c>
      <c r="E5128" s="4">
        <v>-32505</v>
      </c>
      <c r="F5128" s="3" t="s">
        <v>475</v>
      </c>
      <c r="G5128" s="3" t="s">
        <v>755</v>
      </c>
      <c r="H5128" s="2" t="s">
        <v>148</v>
      </c>
      <c r="I5128" s="2" t="s">
        <v>13366</v>
      </c>
      <c r="J5128" s="3" t="str">
        <f>HYPERLINK("https://www.boe.es/gazeta/dias/1811/01/01/pdfs/GEI-1811-1.pdf#page=8","Abrir facsímil")</f>
        <v>Abrir facsímil</v>
      </c>
      <c r="K5128" s="3" t="s">
        <v>150</v>
      </c>
    </row>
    <row r="5129" spans="1:11" ht="42" customHeight="1">
      <c r="A5129" s="2" t="s">
        <v>13367</v>
      </c>
      <c r="B5129" s="2" t="s">
        <v>13368</v>
      </c>
      <c r="C5129" s="2" t="s">
        <v>26</v>
      </c>
      <c r="D5129" s="2" t="s">
        <v>18</v>
      </c>
      <c r="E5129" s="4">
        <v>-32155</v>
      </c>
      <c r="F5129" s="3" t="s">
        <v>263</v>
      </c>
      <c r="G5129" s="3" t="s">
        <v>264</v>
      </c>
      <c r="H5129" s="2" t="s">
        <v>148</v>
      </c>
      <c r="I5129" s="2" t="s">
        <v>13369</v>
      </c>
      <c r="J5129" s="3" t="str">
        <f>HYPERLINK("https://www.boe.es/gazeta/dias/1811/12/17/pdfs/GEI-1811-163.pdf#page=8","Abrir facsímil")</f>
        <v>Abrir facsímil</v>
      </c>
      <c r="K5129" s="3" t="s">
        <v>150</v>
      </c>
    </row>
    <row r="5130" spans="1:11" ht="42" customHeight="1">
      <c r="A5130" s="2" t="s">
        <v>13370</v>
      </c>
      <c r="B5130" s="2" t="s">
        <v>13370</v>
      </c>
      <c r="C5130" s="2" t="s">
        <v>17</v>
      </c>
      <c r="D5130" s="2" t="s">
        <v>204</v>
      </c>
      <c r="E5130" s="4">
        <v>-32388</v>
      </c>
      <c r="F5130" s="3" t="s">
        <v>2772</v>
      </c>
      <c r="G5130" s="3" t="s">
        <v>9331</v>
      </c>
      <c r="H5130" s="2" t="s">
        <v>148</v>
      </c>
      <c r="I5130" s="2" t="s">
        <v>13371</v>
      </c>
      <c r="J5130" s="3" t="str">
        <f>HYPERLINK("https://www.boe.es/gazeta/dias/1811/04/28/pdfs/GMD-1811-118.pdf#page=1","Abrir facsímil")</f>
        <v>Abrir facsímil</v>
      </c>
      <c r="K5130" s="3" t="s">
        <v>150</v>
      </c>
    </row>
    <row r="5131" spans="1:11" ht="42" customHeight="1">
      <c r="A5131" s="2" t="s">
        <v>13372</v>
      </c>
      <c r="B5131" s="2" t="s">
        <v>13372</v>
      </c>
      <c r="C5131" s="2" t="s">
        <v>17</v>
      </c>
      <c r="D5131" s="2" t="s">
        <v>156</v>
      </c>
      <c r="E5131" s="4">
        <v>-32407</v>
      </c>
      <c r="F5131" s="3" t="s">
        <v>38</v>
      </c>
      <c r="G5131" s="3" t="s">
        <v>5292</v>
      </c>
      <c r="H5131" s="2" t="s">
        <v>148</v>
      </c>
      <c r="I5131" s="2" t="s">
        <v>13373</v>
      </c>
      <c r="J5131" s="3" t="str">
        <f>HYPERLINK("https://www.boe.es/gazeta/dias/1811/04/09/pdfs/GEI-1811-48.pdf#page=8","Abrir facsímil")</f>
        <v>Abrir facsímil</v>
      </c>
      <c r="K5131" s="3" t="s">
        <v>150</v>
      </c>
    </row>
    <row r="5132" spans="1:11" ht="42" customHeight="1">
      <c r="A5132" s="2" t="s">
        <v>13372</v>
      </c>
      <c r="B5132" s="2" t="s">
        <v>13372</v>
      </c>
      <c r="C5132" s="2" t="s">
        <v>17</v>
      </c>
      <c r="D5132" s="2" t="s">
        <v>156</v>
      </c>
      <c r="E5132" s="4">
        <v>-32407</v>
      </c>
      <c r="F5132" s="3" t="s">
        <v>38</v>
      </c>
      <c r="G5132" s="3" t="s">
        <v>2458</v>
      </c>
      <c r="H5132" s="2" t="s">
        <v>148</v>
      </c>
      <c r="I5132" s="2" t="s">
        <v>13374</v>
      </c>
      <c r="J5132" s="3" t="str">
        <f>HYPERLINK("https://www.boe.es/gazeta/dias/1811/04/09/pdfs/GEI-1811-48.pdf#page=9","Abrir facsímil")</f>
        <v>Abrir facsímil</v>
      </c>
      <c r="K5132" s="3" t="s">
        <v>150</v>
      </c>
    </row>
    <row r="5133" spans="1:11" ht="42" customHeight="1">
      <c r="A5133" s="2" t="s">
        <v>13372</v>
      </c>
      <c r="B5133" s="2" t="s">
        <v>13372</v>
      </c>
      <c r="C5133" s="2" t="s">
        <v>17</v>
      </c>
      <c r="D5133" s="2" t="s">
        <v>18</v>
      </c>
      <c r="E5133" s="4">
        <v>-32260</v>
      </c>
      <c r="F5133" s="3" t="s">
        <v>27</v>
      </c>
      <c r="G5133" s="3" t="s">
        <v>7983</v>
      </c>
      <c r="H5133" s="2" t="s">
        <v>148</v>
      </c>
      <c r="I5133" s="2" t="s">
        <v>13375</v>
      </c>
      <c r="J5133" s="3" t="str">
        <f>HYPERLINK("https://www.boe.es/gazeta/dias/1811/09/03/pdfs/GEI-1811-114.pdf#page=8","Abrir facsímil")</f>
        <v>Abrir facsímil</v>
      </c>
      <c r="K5133" s="3" t="s">
        <v>150</v>
      </c>
    </row>
    <row r="5134" spans="1:11" ht="42" customHeight="1">
      <c r="A5134" s="2" t="s">
        <v>13376</v>
      </c>
      <c r="B5134" s="2" t="s">
        <v>13377</v>
      </c>
      <c r="C5134" s="2" t="s">
        <v>26</v>
      </c>
      <c r="D5134" s="2" t="s">
        <v>18</v>
      </c>
      <c r="E5134" s="4">
        <v>-32153</v>
      </c>
      <c r="F5134" s="3" t="s">
        <v>235</v>
      </c>
      <c r="G5134" s="3" t="s">
        <v>2181</v>
      </c>
      <c r="H5134" s="2" t="s">
        <v>148</v>
      </c>
      <c r="I5134" s="2" t="s">
        <v>13378</v>
      </c>
      <c r="J5134" s="3" t="str">
        <f>HYPERLINK("https://www.boe.es/gazeta/dias/1811/12/19/pdfs/GEI-1811-164.pdf#page=8","Abrir facsímil")</f>
        <v>Abrir facsímil</v>
      </c>
      <c r="K5134" s="3" t="s">
        <v>150</v>
      </c>
    </row>
    <row r="5135" spans="1:11" ht="42" customHeight="1">
      <c r="A5135" s="2" t="s">
        <v>13379</v>
      </c>
      <c r="B5135" s="2" t="s">
        <v>13379</v>
      </c>
      <c r="C5135" s="2" t="s">
        <v>37</v>
      </c>
      <c r="D5135" s="2" t="s">
        <v>18</v>
      </c>
      <c r="E5135" s="4">
        <v>-32358</v>
      </c>
      <c r="F5135" s="3" t="s">
        <v>3186</v>
      </c>
      <c r="G5135" s="3" t="s">
        <v>4049</v>
      </c>
      <c r="H5135" s="2" t="s">
        <v>148</v>
      </c>
      <c r="I5135" s="2" t="s">
        <v>13380</v>
      </c>
      <c r="J5135" s="3" t="str">
        <f>HYPERLINK("https://www.boe.es/gazeta/dias/1811/05/28/pdfs/GMD-1811-148.pdf#page=4","Abrir facsímil")</f>
        <v>Abrir facsímil</v>
      </c>
      <c r="K5135" s="3" t="s">
        <v>150</v>
      </c>
    </row>
    <row r="5136" spans="1:11" ht="42" customHeight="1">
      <c r="A5136" s="2" t="s">
        <v>13381</v>
      </c>
      <c r="B5136" s="2" t="s">
        <v>13381</v>
      </c>
      <c r="C5136" s="2" t="s">
        <v>17</v>
      </c>
      <c r="D5136" s="2" t="s">
        <v>204</v>
      </c>
      <c r="E5136" s="4">
        <v>-32191</v>
      </c>
      <c r="F5136" s="3" t="s">
        <v>2483</v>
      </c>
      <c r="G5136" s="3" t="s">
        <v>115</v>
      </c>
      <c r="H5136" s="2" t="s">
        <v>148</v>
      </c>
      <c r="I5136" s="2" t="s">
        <v>13382</v>
      </c>
      <c r="J5136" s="3" t="str">
        <f>HYPERLINK("https://www.boe.es/gazeta/dias/1811/11/11/pdfs/GMD-1811-315.pdf#page=3","Abrir facsímil")</f>
        <v>Abrir facsímil</v>
      </c>
      <c r="K5136" s="3" t="s">
        <v>150</v>
      </c>
    </row>
    <row r="5137" spans="1:11" ht="42" customHeight="1">
      <c r="A5137" s="2" t="s">
        <v>13383</v>
      </c>
      <c r="B5137" s="2" t="s">
        <v>13384</v>
      </c>
      <c r="C5137" s="2" t="s">
        <v>26</v>
      </c>
      <c r="D5137" s="2" t="s">
        <v>18</v>
      </c>
      <c r="E5137" s="4">
        <v>-32286</v>
      </c>
      <c r="F5137" s="3" t="s">
        <v>754</v>
      </c>
      <c r="G5137" s="3" t="s">
        <v>900</v>
      </c>
      <c r="H5137" s="2" t="s">
        <v>148</v>
      </c>
      <c r="I5137" s="2" t="s">
        <v>13385</v>
      </c>
      <c r="J5137" s="3" t="str">
        <f>HYPERLINK("https://www.boe.es/gazeta/dias/1811/08/08/pdfs/GEI-1811-103.pdf#page=4","Abrir facsímil")</f>
        <v>Abrir facsímil</v>
      </c>
      <c r="K5137" s="3" t="s">
        <v>150</v>
      </c>
    </row>
    <row r="5138" spans="1:11" ht="42" customHeight="1">
      <c r="A5138" s="2" t="s">
        <v>13386</v>
      </c>
      <c r="B5138" s="2" t="s">
        <v>13387</v>
      </c>
      <c r="C5138" s="2" t="s">
        <v>841</v>
      </c>
      <c r="D5138" s="2" t="s">
        <v>204</v>
      </c>
      <c r="E5138" s="4">
        <v>-32175</v>
      </c>
      <c r="F5138" s="3" t="s">
        <v>1671</v>
      </c>
      <c r="G5138" s="3" t="s">
        <v>1184</v>
      </c>
      <c r="H5138" s="2" t="s">
        <v>148</v>
      </c>
      <c r="I5138" s="2" t="s">
        <v>13388</v>
      </c>
      <c r="J5138" s="3" t="str">
        <f>HYPERLINK("https://www.boe.es/gazeta/dias/1811/11/27/pdfs/GMD-1811-331.pdf#page=4","Abrir facsímil")</f>
        <v>Abrir facsímil</v>
      </c>
      <c r="K5138" s="3" t="s">
        <v>150</v>
      </c>
    </row>
    <row r="5139" spans="1:11" ht="42" customHeight="1">
      <c r="A5139" s="2" t="s">
        <v>13389</v>
      </c>
      <c r="B5139" s="2" t="s">
        <v>13390</v>
      </c>
      <c r="C5139" s="2" t="s">
        <v>26</v>
      </c>
      <c r="D5139" s="2" t="s">
        <v>18</v>
      </c>
      <c r="E5139" s="4">
        <v>-32188</v>
      </c>
      <c r="F5139" s="3" t="s">
        <v>356</v>
      </c>
      <c r="G5139" s="3" t="s">
        <v>468</v>
      </c>
      <c r="H5139" s="2" t="s">
        <v>148</v>
      </c>
      <c r="I5139" s="2" t="s">
        <v>13391</v>
      </c>
      <c r="J5139" s="3" t="str">
        <f>HYPERLINK("https://www.boe.es/gazeta/dias/1811/11/14/pdfs/GMD-1811-318.pdf#page=6","Abrir facsímil")</f>
        <v>Abrir facsímil</v>
      </c>
      <c r="K5139" s="3" t="s">
        <v>150</v>
      </c>
    </row>
    <row r="5140" spans="1:11" ht="42" customHeight="1">
      <c r="A5140" s="2" t="s">
        <v>13392</v>
      </c>
      <c r="B5140" s="2" t="s">
        <v>13393</v>
      </c>
      <c r="C5140" s="2" t="s">
        <v>26</v>
      </c>
      <c r="D5140" s="2" t="s">
        <v>18</v>
      </c>
      <c r="E5140" s="4">
        <v>-32288</v>
      </c>
      <c r="F5140" s="3" t="s">
        <v>95</v>
      </c>
      <c r="G5140" s="3" t="s">
        <v>47</v>
      </c>
      <c r="H5140" s="2" t="s">
        <v>148</v>
      </c>
      <c r="I5140" s="2" t="s">
        <v>13394</v>
      </c>
      <c r="J5140" s="3" t="str">
        <f>HYPERLINK("https://www.boe.es/gazeta/dias/1811/08/06/pdfs/GEI-1811-102.pdf#page=8","Abrir facsímil")</f>
        <v>Abrir facsímil</v>
      </c>
      <c r="K5140" s="3" t="s">
        <v>150</v>
      </c>
    </row>
    <row r="5141" spans="1:11" ht="42" customHeight="1">
      <c r="A5141" s="2" t="s">
        <v>13395</v>
      </c>
      <c r="B5141" s="2" t="s">
        <v>13396</v>
      </c>
      <c r="C5141" s="2" t="s">
        <v>841</v>
      </c>
      <c r="D5141" s="2" t="s">
        <v>18</v>
      </c>
      <c r="E5141" s="4">
        <v>-32209</v>
      </c>
      <c r="F5141" s="3" t="s">
        <v>1324</v>
      </c>
      <c r="G5141" s="3" t="s">
        <v>1325</v>
      </c>
      <c r="H5141" s="2" t="s">
        <v>148</v>
      </c>
      <c r="I5141" s="2" t="s">
        <v>13397</v>
      </c>
      <c r="J5141" s="3" t="str">
        <f>HYPERLINK("https://www.boe.es/gazeta/dias/1811/10/24/pdfs/GMD-1811-297.pdf#page=2","Abrir facsímil")</f>
        <v>Abrir facsímil</v>
      </c>
      <c r="K5141" s="3" t="s">
        <v>150</v>
      </c>
    </row>
    <row r="5142" spans="1:11" ht="42" customHeight="1">
      <c r="A5142" s="2" t="s">
        <v>13398</v>
      </c>
      <c r="B5142" s="2" t="s">
        <v>13399</v>
      </c>
      <c r="C5142" s="2" t="s">
        <v>26</v>
      </c>
      <c r="D5142" s="2" t="s">
        <v>105</v>
      </c>
      <c r="E5142" s="4">
        <v>-32270</v>
      </c>
      <c r="F5142" s="3" t="s">
        <v>431</v>
      </c>
      <c r="G5142" s="3" t="s">
        <v>2080</v>
      </c>
      <c r="H5142" s="2" t="s">
        <v>148</v>
      </c>
      <c r="I5142" s="2" t="s">
        <v>13400</v>
      </c>
      <c r="J5142" s="3" t="str">
        <f>HYPERLINK("https://www.boe.es/gazeta/dias/1811/08/24/pdfs/GEI-1811-110.pdf#page=5","Abrir facsímil")</f>
        <v>Abrir facsímil</v>
      </c>
      <c r="K5142" s="3" t="s">
        <v>150</v>
      </c>
    </row>
    <row r="5143" spans="1:11" ht="42" customHeight="1">
      <c r="A5143" s="2" t="s">
        <v>13401</v>
      </c>
      <c r="B5143" s="2" t="s">
        <v>13402</v>
      </c>
      <c r="C5143" s="2" t="s">
        <v>37</v>
      </c>
      <c r="D5143" s="2" t="s">
        <v>18</v>
      </c>
      <c r="E5143" s="4">
        <v>-32361</v>
      </c>
      <c r="F5143" s="3" t="s">
        <v>1104</v>
      </c>
      <c r="G5143" s="3" t="s">
        <v>2213</v>
      </c>
      <c r="H5143" s="2" t="s">
        <v>21</v>
      </c>
      <c r="I5143" s="2" t="s">
        <v>13403</v>
      </c>
      <c r="J5143" s="3" t="str">
        <f>HYPERLINK("https://www.boe.es/gazeta/dias/1811/05/25/pdfs/GEI-1811-71.pdf#page=8","Abrir facsímil")</f>
        <v>Abrir facsímil</v>
      </c>
      <c r="K5143" s="3" t="s">
        <v>23</v>
      </c>
    </row>
    <row r="5144" spans="1:11" ht="42" customHeight="1">
      <c r="A5144" s="2" t="s">
        <v>13404</v>
      </c>
      <c r="B5144" s="2" t="s">
        <v>13405</v>
      </c>
      <c r="C5144" s="2" t="s">
        <v>37</v>
      </c>
      <c r="D5144" s="2" t="s">
        <v>18</v>
      </c>
      <c r="E5144" s="4">
        <v>-32407</v>
      </c>
      <c r="F5144" s="3" t="s">
        <v>38</v>
      </c>
      <c r="G5144" s="3" t="s">
        <v>480</v>
      </c>
      <c r="H5144" s="2" t="s">
        <v>21</v>
      </c>
      <c r="I5144" s="2" t="s">
        <v>13406</v>
      </c>
      <c r="J5144" s="3" t="str">
        <f>HYPERLINK("https://www.boe.es/gazeta/dias/1811/04/09/pdfs/GEI-1811-48.pdf#page=4","Abrir facsímil")</f>
        <v>Abrir facsímil</v>
      </c>
      <c r="K5144" s="3" t="s">
        <v>23</v>
      </c>
    </row>
    <row r="5145" spans="1:11" ht="42" customHeight="1">
      <c r="A5145" s="2" t="s">
        <v>13407</v>
      </c>
      <c r="B5145" s="2" t="s">
        <v>13408</v>
      </c>
      <c r="C5145" s="2" t="s">
        <v>841</v>
      </c>
      <c r="D5145" s="2" t="s">
        <v>18</v>
      </c>
      <c r="E5145" s="4">
        <v>-32225</v>
      </c>
      <c r="F5145" s="3" t="s">
        <v>390</v>
      </c>
      <c r="G5145" s="3" t="s">
        <v>1368</v>
      </c>
      <c r="H5145" s="2" t="s">
        <v>148</v>
      </c>
      <c r="I5145" s="2" t="s">
        <v>13409</v>
      </c>
      <c r="J5145" s="3" t="str">
        <f>HYPERLINK("https://www.boe.es/gazeta/dias/1811/10/08/pdfs/GEI-1811-129.pdf#page=8","Abrir facsímil")</f>
        <v>Abrir facsímil</v>
      </c>
      <c r="K5145" s="3" t="s">
        <v>150</v>
      </c>
    </row>
    <row r="5146" spans="1:11" ht="42" customHeight="1">
      <c r="A5146" s="2" t="s">
        <v>13410</v>
      </c>
      <c r="B5146" s="2" t="s">
        <v>13411</v>
      </c>
      <c r="C5146" s="2" t="s">
        <v>26</v>
      </c>
      <c r="D5146" s="2" t="s">
        <v>18</v>
      </c>
      <c r="E5146" s="4">
        <v>-32200</v>
      </c>
      <c r="F5146" s="3" t="s">
        <v>109</v>
      </c>
      <c r="G5146" s="3" t="s">
        <v>268</v>
      </c>
      <c r="H5146" s="2" t="s">
        <v>148</v>
      </c>
      <c r="I5146" s="2" t="s">
        <v>13412</v>
      </c>
      <c r="J5146" s="3" t="str">
        <f>HYPERLINK("https://www.boe.es/gazeta/dias/1811/11/02/pdfs/GEI-1811-141.pdf#page=7","Abrir facsímil")</f>
        <v>Abrir facsímil</v>
      </c>
      <c r="K5146" s="3" t="s">
        <v>150</v>
      </c>
    </row>
    <row r="5147" spans="1:11" ht="42" customHeight="1">
      <c r="A5147" s="2" t="s">
        <v>13413</v>
      </c>
      <c r="B5147" s="2" t="s">
        <v>13414</v>
      </c>
      <c r="C5147" s="2" t="s">
        <v>104</v>
      </c>
      <c r="D5147" s="2" t="s">
        <v>528</v>
      </c>
      <c r="E5147" s="4">
        <v>-32219</v>
      </c>
      <c r="F5147" s="3" t="s">
        <v>529</v>
      </c>
      <c r="G5147" s="3" t="s">
        <v>530</v>
      </c>
      <c r="H5147" s="2" t="s">
        <v>148</v>
      </c>
      <c r="I5147" s="2" t="s">
        <v>13415</v>
      </c>
      <c r="J5147" s="3" t="str">
        <f>HYPERLINK("https://www.boe.es/gazeta/dias/1811/10/14/pdfs/GEI-1811-132E.pdf#page=4","Abrir facsímil")</f>
        <v>Abrir facsímil</v>
      </c>
      <c r="K5147" s="3" t="s">
        <v>150</v>
      </c>
    </row>
    <row r="5148" spans="1:11" ht="42" customHeight="1">
      <c r="A5148" s="2" t="s">
        <v>13416</v>
      </c>
      <c r="B5148" s="2" t="s">
        <v>13417</v>
      </c>
      <c r="C5148" s="2" t="s">
        <v>26</v>
      </c>
      <c r="D5148" s="2" t="s">
        <v>141</v>
      </c>
      <c r="E5148" s="4">
        <v>-32280</v>
      </c>
      <c r="F5148" s="3" t="s">
        <v>142</v>
      </c>
      <c r="G5148" s="3" t="s">
        <v>597</v>
      </c>
      <c r="H5148" s="2" t="s">
        <v>148</v>
      </c>
      <c r="I5148" s="2" t="s">
        <v>13418</v>
      </c>
      <c r="J5148" s="3" t="str">
        <f>HYPERLINK("https://www.boe.es/gazeta/dias/1811/08/14/pdfs/GMD-C-1811-226.pdf#page=2","Abrir facsímil")</f>
        <v>Abrir facsímil</v>
      </c>
      <c r="K5148" s="3" t="s">
        <v>150</v>
      </c>
    </row>
    <row r="5149" spans="1:11" ht="42" customHeight="1">
      <c r="A5149" s="2" t="s">
        <v>13419</v>
      </c>
      <c r="B5149" s="2" t="s">
        <v>13420</v>
      </c>
      <c r="C5149" s="2" t="s">
        <v>17</v>
      </c>
      <c r="D5149" s="2" t="s">
        <v>156</v>
      </c>
      <c r="E5149" s="4">
        <v>-32235</v>
      </c>
      <c r="F5149" s="3" t="s">
        <v>190</v>
      </c>
      <c r="G5149" s="3" t="s">
        <v>188</v>
      </c>
      <c r="H5149" s="2" t="s">
        <v>148</v>
      </c>
      <c r="I5149" s="2" t="s">
        <v>13421</v>
      </c>
      <c r="J5149" s="3" t="str">
        <f>HYPERLINK("https://www.boe.es/gazeta/dias/1811/09/28/pdfs/GEI-1811-125.pdf#page=8","Abrir facsímil")</f>
        <v>Abrir facsímil</v>
      </c>
      <c r="K5149" s="3" t="s">
        <v>150</v>
      </c>
    </row>
    <row r="5150" spans="1:11" ht="42" customHeight="1">
      <c r="A5150" s="2" t="s">
        <v>13422</v>
      </c>
      <c r="B5150" s="2" t="s">
        <v>13422</v>
      </c>
      <c r="C5150" s="2" t="s">
        <v>17</v>
      </c>
      <c r="D5150" s="2" t="s">
        <v>18</v>
      </c>
      <c r="E5150" s="4">
        <v>-32434</v>
      </c>
      <c r="F5150" s="3" t="s">
        <v>1932</v>
      </c>
      <c r="G5150" s="3" t="s">
        <v>468</v>
      </c>
      <c r="H5150" s="2" t="s">
        <v>148</v>
      </c>
      <c r="I5150" s="2" t="s">
        <v>13423</v>
      </c>
      <c r="J5150" s="3" t="str">
        <f>HYPERLINK("https://www.boe.es/gazeta/dias/1811/03/13/pdfs/GMD-1811-72.pdf#page=4","Abrir facsímil")</f>
        <v>Abrir facsímil</v>
      </c>
      <c r="K5150" s="3" t="s">
        <v>150</v>
      </c>
    </row>
    <row r="5151" spans="1:11" ht="42" customHeight="1">
      <c r="A5151" s="2" t="s">
        <v>13424</v>
      </c>
      <c r="B5151" s="2" t="s">
        <v>13425</v>
      </c>
      <c r="C5151" s="2" t="s">
        <v>122</v>
      </c>
      <c r="D5151" s="2" t="s">
        <v>18</v>
      </c>
      <c r="E5151" s="4">
        <v>-32368</v>
      </c>
      <c r="F5151" s="3" t="s">
        <v>2511</v>
      </c>
      <c r="G5151" s="3" t="s">
        <v>846</v>
      </c>
      <c r="H5151" s="2" t="s">
        <v>148</v>
      </c>
      <c r="I5151" s="2" t="s">
        <v>13426</v>
      </c>
      <c r="J5151" s="3" t="str">
        <f>HYPERLINK("https://www.boe.es/gazeta/dias/1811/05/18/pdfs/GEI-1811-65.pdf#page=7","Abrir facsímil")</f>
        <v>Abrir facsímil</v>
      </c>
      <c r="K5151" s="3" t="s">
        <v>150</v>
      </c>
    </row>
    <row r="5152" spans="1:11" ht="42" customHeight="1">
      <c r="A5152" s="2" t="s">
        <v>13427</v>
      </c>
      <c r="B5152" s="2" t="s">
        <v>13427</v>
      </c>
      <c r="C5152" s="2" t="s">
        <v>17</v>
      </c>
      <c r="D5152" s="2" t="s">
        <v>18</v>
      </c>
      <c r="E5152" s="4">
        <v>-32180</v>
      </c>
      <c r="F5152" s="3" t="s">
        <v>9096</v>
      </c>
      <c r="G5152" s="3" t="s">
        <v>47</v>
      </c>
      <c r="H5152" s="2" t="s">
        <v>148</v>
      </c>
      <c r="I5152" s="2" t="s">
        <v>13428</v>
      </c>
      <c r="J5152" s="3" t="str">
        <f>HYPERLINK("https://www.boe.es/gazeta/dias/1811/11/22/pdfs/GMD-1811-326.pdf#page=4","Abrir facsímil")</f>
        <v>Abrir facsímil</v>
      </c>
      <c r="K5152" s="3" t="s">
        <v>150</v>
      </c>
    </row>
    <row r="5153" spans="1:11" ht="42" customHeight="1">
      <c r="A5153" s="2" t="s">
        <v>13429</v>
      </c>
      <c r="B5153" s="2" t="s">
        <v>13430</v>
      </c>
      <c r="C5153" s="2" t="s">
        <v>17</v>
      </c>
      <c r="D5153" s="2" t="s">
        <v>105</v>
      </c>
      <c r="E5153" s="4">
        <v>-32167</v>
      </c>
      <c r="F5153" s="3" t="s">
        <v>347</v>
      </c>
      <c r="G5153" s="3" t="s">
        <v>183</v>
      </c>
      <c r="H5153" s="2" t="s">
        <v>148</v>
      </c>
      <c r="I5153" s="2" t="s">
        <v>13431</v>
      </c>
      <c r="J5153" s="3" t="str">
        <f>HYPERLINK("https://www.boe.es/gazeta/dias/1811/12/05/pdfs/GEI-D-1811-158.pdf#page=4","Abrir facsímil")</f>
        <v>Abrir facsímil</v>
      </c>
      <c r="K5153" s="3" t="s">
        <v>150</v>
      </c>
    </row>
    <row r="5154" spans="1:11" ht="42" customHeight="1">
      <c r="A5154" s="2" t="s">
        <v>13432</v>
      </c>
      <c r="B5154" s="2" t="s">
        <v>13433</v>
      </c>
      <c r="C5154" s="2" t="s">
        <v>17</v>
      </c>
      <c r="D5154" s="2" t="s">
        <v>18</v>
      </c>
      <c r="E5154" s="4">
        <v>-32487</v>
      </c>
      <c r="F5154" s="3" t="s">
        <v>842</v>
      </c>
      <c r="G5154" s="3" t="s">
        <v>440</v>
      </c>
      <c r="H5154" s="2" t="s">
        <v>148</v>
      </c>
      <c r="I5154" s="2" t="s">
        <v>13434</v>
      </c>
      <c r="J5154" s="3" t="str">
        <f>HYPERLINK("https://www.boe.es/gazeta/dias/1811/01/19/pdfs/GEI-1811-9.pdf#page=2","Abrir facsímil")</f>
        <v>Abrir facsímil</v>
      </c>
      <c r="K5154" s="3" t="s">
        <v>150</v>
      </c>
    </row>
    <row r="5155" spans="1:11" ht="42" customHeight="1">
      <c r="A5155" s="2" t="s">
        <v>13435</v>
      </c>
      <c r="B5155" s="2" t="s">
        <v>13436</v>
      </c>
      <c r="C5155" s="2" t="s">
        <v>26</v>
      </c>
      <c r="D5155" s="2" t="s">
        <v>18</v>
      </c>
      <c r="E5155" s="4">
        <v>-32165</v>
      </c>
      <c r="F5155" s="3" t="s">
        <v>4621</v>
      </c>
      <c r="G5155" s="3" t="s">
        <v>480</v>
      </c>
      <c r="H5155" s="2" t="s">
        <v>148</v>
      </c>
      <c r="I5155" s="2" t="s">
        <v>13437</v>
      </c>
      <c r="J5155" s="3" t="str">
        <f>HYPERLINK("https://www.boe.es/gazeta/dias/1811/12/07/pdfs/GEI-1811-159.pdf#page=4","Abrir facsímil")</f>
        <v>Abrir facsímil</v>
      </c>
      <c r="K5155" s="3" t="s">
        <v>150</v>
      </c>
    </row>
    <row r="5156" spans="1:11" ht="42" customHeight="1">
      <c r="A5156" s="2" t="s">
        <v>13438</v>
      </c>
      <c r="B5156" s="2" t="s">
        <v>13439</v>
      </c>
      <c r="C5156" s="2" t="s">
        <v>17</v>
      </c>
      <c r="D5156" s="2" t="s">
        <v>156</v>
      </c>
      <c r="E5156" s="4">
        <v>-32165</v>
      </c>
      <c r="F5156" s="3" t="s">
        <v>4621</v>
      </c>
      <c r="G5156" s="3" t="s">
        <v>553</v>
      </c>
      <c r="H5156" s="2" t="s">
        <v>148</v>
      </c>
      <c r="I5156" s="2" t="s">
        <v>13440</v>
      </c>
      <c r="J5156" s="3" t="str">
        <f>HYPERLINK("https://www.boe.es/gazeta/dias/1811/12/07/pdfs/GEI-1811-159.pdf#page=7","Abrir facsímil")</f>
        <v>Abrir facsímil</v>
      </c>
      <c r="K5156" s="3" t="s">
        <v>150</v>
      </c>
    </row>
    <row r="5157" spans="1:11" ht="42" customHeight="1">
      <c r="A5157" s="2" t="s">
        <v>13441</v>
      </c>
      <c r="B5157" s="2" t="s">
        <v>13442</v>
      </c>
      <c r="C5157" s="2" t="s">
        <v>17</v>
      </c>
      <c r="D5157" s="2" t="s">
        <v>18</v>
      </c>
      <c r="E5157" s="4">
        <v>-32228</v>
      </c>
      <c r="F5157" s="3" t="s">
        <v>372</v>
      </c>
      <c r="G5157" s="3" t="s">
        <v>20</v>
      </c>
      <c r="H5157" s="2" t="s">
        <v>148</v>
      </c>
      <c r="I5157" s="2" t="s">
        <v>13443</v>
      </c>
      <c r="J5157" s="3" t="str">
        <f>HYPERLINK("https://www.boe.es/gazeta/dias/1811/10/05/pdfs/GEI-1811-128.pdf#page=8","Abrir facsímil")</f>
        <v>Abrir facsímil</v>
      </c>
      <c r="K5157" s="3" t="s">
        <v>150</v>
      </c>
    </row>
    <row r="5158" spans="1:11" ht="42" customHeight="1">
      <c r="A5158" s="2" t="s">
        <v>13444</v>
      </c>
      <c r="B5158" s="2" t="s">
        <v>13444</v>
      </c>
      <c r="C5158" s="2" t="s">
        <v>17</v>
      </c>
      <c r="D5158" s="2" t="s">
        <v>18</v>
      </c>
      <c r="E5158" s="4">
        <v>-32434</v>
      </c>
      <c r="F5158" s="3" t="s">
        <v>1932</v>
      </c>
      <c r="G5158" s="3" t="s">
        <v>178</v>
      </c>
      <c r="H5158" s="2" t="s">
        <v>148</v>
      </c>
      <c r="I5158" s="2" t="s">
        <v>13445</v>
      </c>
      <c r="J5158" s="3" t="str">
        <f>HYPERLINK("https://www.boe.es/gazeta/dias/1811/03/13/pdfs/GMD-1811-72.pdf#page=2","Abrir facsímil")</f>
        <v>Abrir facsímil</v>
      </c>
      <c r="K5158" s="3" t="s">
        <v>150</v>
      </c>
    </row>
    <row r="5159" spans="1:11" ht="42" customHeight="1">
      <c r="A5159" s="2" t="s">
        <v>13446</v>
      </c>
      <c r="B5159" s="2" t="s">
        <v>13446</v>
      </c>
      <c r="C5159" s="2" t="s">
        <v>17</v>
      </c>
      <c r="D5159" s="2" t="s">
        <v>156</v>
      </c>
      <c r="E5159" s="4">
        <v>-32325</v>
      </c>
      <c r="F5159" s="3" t="s">
        <v>552</v>
      </c>
      <c r="G5159" s="3" t="s">
        <v>553</v>
      </c>
      <c r="H5159" s="2" t="s">
        <v>148</v>
      </c>
      <c r="I5159" s="2" t="s">
        <v>13447</v>
      </c>
      <c r="J5159" s="3" t="str">
        <f>HYPERLINK("https://www.boe.es/gazeta/dias/1811/06/30/pdfs/GMD-1811-181.pdf#page=3","Abrir facsímil")</f>
        <v>Abrir facsímil</v>
      </c>
      <c r="K5159" s="3" t="s">
        <v>150</v>
      </c>
    </row>
    <row r="5160" spans="1:11" ht="42" customHeight="1">
      <c r="A5160" s="2" t="s">
        <v>13448</v>
      </c>
      <c r="B5160" s="2" t="s">
        <v>13448</v>
      </c>
      <c r="C5160" s="2" t="s">
        <v>17</v>
      </c>
      <c r="D5160" s="2" t="s">
        <v>18</v>
      </c>
      <c r="E5160" s="4">
        <v>-32176</v>
      </c>
      <c r="F5160" s="3" t="s">
        <v>638</v>
      </c>
      <c r="G5160" s="3" t="s">
        <v>47</v>
      </c>
      <c r="H5160" s="2" t="s">
        <v>148</v>
      </c>
      <c r="I5160" s="2" t="s">
        <v>13449</v>
      </c>
      <c r="J5160" s="3" t="str">
        <f>HYPERLINK("https://www.boe.es/gazeta/dias/1811/11/26/pdfs/GEI-1811-154.pdf#page=5","Abrir facsímil")</f>
        <v>Abrir facsímil</v>
      </c>
      <c r="K5160" s="3" t="s">
        <v>150</v>
      </c>
    </row>
    <row r="5161" spans="1:11" ht="42" customHeight="1">
      <c r="A5161" s="2" t="s">
        <v>13450</v>
      </c>
      <c r="B5161" s="2" t="s">
        <v>13450</v>
      </c>
      <c r="C5161" s="2" t="s">
        <v>17</v>
      </c>
      <c r="D5161" s="2" t="s">
        <v>18</v>
      </c>
      <c r="E5161" s="4">
        <v>-32434</v>
      </c>
      <c r="F5161" s="3" t="s">
        <v>1932</v>
      </c>
      <c r="G5161" s="3" t="s">
        <v>178</v>
      </c>
      <c r="H5161" s="2" t="s">
        <v>148</v>
      </c>
      <c r="I5161" s="2" t="s">
        <v>13451</v>
      </c>
      <c r="J5161" s="3" t="str">
        <f>HYPERLINK("https://www.boe.es/gazeta/dias/1811/03/13/pdfs/GMD-1811-72.pdf#page=2","Abrir facsímil")</f>
        <v>Abrir facsímil</v>
      </c>
      <c r="K5161" s="3" t="s">
        <v>150</v>
      </c>
    </row>
    <row r="5162" spans="1:11" ht="42" customHeight="1">
      <c r="A5162" s="2" t="s">
        <v>13450</v>
      </c>
      <c r="B5162" s="2" t="s">
        <v>13450</v>
      </c>
      <c r="C5162" s="2" t="s">
        <v>17</v>
      </c>
      <c r="D5162" s="2" t="s">
        <v>18</v>
      </c>
      <c r="E5162" s="4">
        <v>-32325</v>
      </c>
      <c r="F5162" s="3" t="s">
        <v>552</v>
      </c>
      <c r="G5162" s="3" t="s">
        <v>553</v>
      </c>
      <c r="H5162" s="2" t="s">
        <v>148</v>
      </c>
      <c r="I5162" s="2" t="s">
        <v>13452</v>
      </c>
      <c r="J5162" s="3" t="str">
        <f>HYPERLINK("https://www.boe.es/gazeta/dias/1811/06/30/pdfs/GMD-1811-181.pdf#page=3","Abrir facsímil")</f>
        <v>Abrir facsímil</v>
      </c>
      <c r="K5162" s="3" t="s">
        <v>150</v>
      </c>
    </row>
    <row r="5163" spans="1:11" ht="42" customHeight="1">
      <c r="A5163" s="2" t="s">
        <v>13453</v>
      </c>
      <c r="B5163" s="2" t="s">
        <v>13453</v>
      </c>
      <c r="C5163" s="2" t="s">
        <v>17</v>
      </c>
      <c r="D5163" s="2" t="s">
        <v>156</v>
      </c>
      <c r="E5163" s="4">
        <v>-32391</v>
      </c>
      <c r="F5163" s="3" t="s">
        <v>2998</v>
      </c>
      <c r="G5163" s="3" t="s">
        <v>178</v>
      </c>
      <c r="H5163" s="2" t="s">
        <v>148</v>
      </c>
      <c r="I5163" s="2" t="s">
        <v>13454</v>
      </c>
      <c r="J5163" s="3" t="str">
        <f>HYPERLINK("https://www.boe.es/gazeta/dias/1811/04/25/pdfs/GMD-1811-115.pdf#page=3","Abrir facsímil")</f>
        <v>Abrir facsímil</v>
      </c>
      <c r="K5163" s="3" t="s">
        <v>150</v>
      </c>
    </row>
    <row r="5164" spans="1:11" ht="42" customHeight="1">
      <c r="A5164" s="2" t="s">
        <v>13455</v>
      </c>
      <c r="B5164" s="2" t="s">
        <v>13456</v>
      </c>
      <c r="C5164" s="2" t="s">
        <v>26</v>
      </c>
      <c r="D5164" s="2" t="s">
        <v>18</v>
      </c>
      <c r="E5164" s="4">
        <v>-32188</v>
      </c>
      <c r="F5164" s="3" t="s">
        <v>356</v>
      </c>
      <c r="G5164" s="3" t="s">
        <v>468</v>
      </c>
      <c r="H5164" s="2" t="s">
        <v>148</v>
      </c>
      <c r="I5164" s="2" t="s">
        <v>13457</v>
      </c>
      <c r="J5164" s="3" t="str">
        <f>HYPERLINK("https://www.boe.es/gazeta/dias/1811/11/14/pdfs/GMD-1811-318.pdf#page=6","Abrir facsímil")</f>
        <v>Abrir facsímil</v>
      </c>
      <c r="K5164" s="3" t="s">
        <v>150</v>
      </c>
    </row>
    <row r="5165" spans="1:11" ht="42" customHeight="1">
      <c r="A5165" s="2" t="s">
        <v>13458</v>
      </c>
      <c r="B5165" s="2" t="s">
        <v>13458</v>
      </c>
      <c r="C5165" s="2" t="s">
        <v>17</v>
      </c>
      <c r="D5165" s="2" t="s">
        <v>156</v>
      </c>
      <c r="E5165" s="4">
        <v>-32374</v>
      </c>
      <c r="F5165" s="3" t="s">
        <v>10021</v>
      </c>
      <c r="G5165" s="3" t="s">
        <v>57</v>
      </c>
      <c r="H5165" s="2" t="s">
        <v>148</v>
      </c>
      <c r="I5165" s="2" t="s">
        <v>13459</v>
      </c>
      <c r="J5165" s="3" t="str">
        <f>HYPERLINK("https://www.boe.es/gazeta/dias/1811/05/12/pdfs/GMD-1811-132.pdf#page=2","Abrir facsímil")</f>
        <v>Abrir facsímil</v>
      </c>
      <c r="K5165" s="3" t="s">
        <v>150</v>
      </c>
    </row>
    <row r="5166" spans="1:11" ht="42" customHeight="1">
      <c r="A5166" s="2" t="s">
        <v>13460</v>
      </c>
      <c r="B5166" s="2" t="s">
        <v>13460</v>
      </c>
      <c r="C5166" s="2" t="s">
        <v>26</v>
      </c>
      <c r="D5166" s="2" t="s">
        <v>18</v>
      </c>
      <c r="E5166" s="4">
        <v>-32280</v>
      </c>
      <c r="F5166" s="3" t="s">
        <v>7865</v>
      </c>
      <c r="G5166" s="3" t="s">
        <v>57</v>
      </c>
      <c r="H5166" s="2" t="s">
        <v>148</v>
      </c>
      <c r="I5166" s="2" t="s">
        <v>13461</v>
      </c>
      <c r="J5166" s="3" t="str">
        <f>HYPERLINK("https://www.boe.es/gazeta/dias/1811/08/14/pdfs/GMD-1811-226.pdf#page=2","Abrir facsímil")</f>
        <v>Abrir facsímil</v>
      </c>
      <c r="K5166" s="3" t="s">
        <v>150</v>
      </c>
    </row>
    <row r="5167" spans="1:11" ht="42" customHeight="1">
      <c r="A5167" s="2" t="s">
        <v>13462</v>
      </c>
      <c r="B5167" s="2" t="s">
        <v>13463</v>
      </c>
      <c r="C5167" s="2" t="s">
        <v>26</v>
      </c>
      <c r="D5167" s="2" t="s">
        <v>18</v>
      </c>
      <c r="E5167" s="4">
        <v>-32291</v>
      </c>
      <c r="F5167" s="3" t="s">
        <v>13464</v>
      </c>
      <c r="G5167" s="3" t="s">
        <v>1384</v>
      </c>
      <c r="H5167" s="2" t="s">
        <v>148</v>
      </c>
      <c r="I5167" s="2" t="s">
        <v>13465</v>
      </c>
      <c r="J5167" s="3" t="str">
        <f>HYPERLINK("https://www.boe.es/gazeta/dias/1811/08/03/pdfs/GMD-1811-215.pdf#page=3","Abrir facsímil")</f>
        <v>Abrir facsímil</v>
      </c>
      <c r="K5167" s="3" t="s">
        <v>150</v>
      </c>
    </row>
    <row r="5168" spans="1:11" ht="42" customHeight="1">
      <c r="A5168" s="2" t="s">
        <v>13466</v>
      </c>
      <c r="B5168" s="2" t="s">
        <v>13466</v>
      </c>
      <c r="C5168" s="2" t="s">
        <v>17</v>
      </c>
      <c r="D5168" s="2" t="s">
        <v>204</v>
      </c>
      <c r="E5168" s="4">
        <v>-32242</v>
      </c>
      <c r="F5168" s="3" t="s">
        <v>3015</v>
      </c>
      <c r="G5168" s="3" t="s">
        <v>1143</v>
      </c>
      <c r="H5168" s="2" t="s">
        <v>148</v>
      </c>
      <c r="I5168" s="2" t="s">
        <v>13467</v>
      </c>
      <c r="J5168" s="3" t="str">
        <f>HYPERLINK("https://www.boe.es/gazeta/dias/1811/09/21/pdfs/GMD-1811-264.pdf#page=1","Abrir facsímil")</f>
        <v>Abrir facsímil</v>
      </c>
      <c r="K5168" s="3" t="s">
        <v>150</v>
      </c>
    </row>
    <row r="5169" spans="1:11" ht="42" customHeight="1">
      <c r="A5169" s="2" t="s">
        <v>13468</v>
      </c>
      <c r="B5169" s="2" t="s">
        <v>13468</v>
      </c>
      <c r="C5169" s="2" t="s">
        <v>17</v>
      </c>
      <c r="D5169" s="2" t="s">
        <v>156</v>
      </c>
      <c r="E5169" s="4">
        <v>-32311</v>
      </c>
      <c r="F5169" s="3" t="s">
        <v>9612</v>
      </c>
      <c r="G5169" s="3" t="s">
        <v>13469</v>
      </c>
      <c r="H5169" s="2" t="s">
        <v>148</v>
      </c>
      <c r="I5169" s="2" t="s">
        <v>13470</v>
      </c>
      <c r="J5169" s="3" t="str">
        <f>HYPERLINK("https://www.boe.es/gazeta/dias/1811/07/14/pdfs/GMD-1811-195.pdf#page=1","Abrir facsímil")</f>
        <v>Abrir facsímil</v>
      </c>
      <c r="K5169" s="3" t="s">
        <v>150</v>
      </c>
    </row>
    <row r="5170" spans="1:11" ht="42" customHeight="1">
      <c r="A5170" s="2" t="s">
        <v>13471</v>
      </c>
      <c r="B5170" s="2" t="s">
        <v>13471</v>
      </c>
      <c r="C5170" s="2" t="s">
        <v>17</v>
      </c>
      <c r="D5170" s="2" t="s">
        <v>18</v>
      </c>
      <c r="E5170" s="4">
        <v>-32455</v>
      </c>
      <c r="F5170" s="3" t="s">
        <v>8959</v>
      </c>
      <c r="G5170" s="3" t="s">
        <v>8960</v>
      </c>
      <c r="H5170" s="2" t="s">
        <v>148</v>
      </c>
      <c r="I5170" s="2" t="s">
        <v>13472</v>
      </c>
      <c r="J5170" s="3" t="str">
        <f>HYPERLINK("https://www.boe.es/gazeta/dias/1811/02/20/pdfs/GMD-1811-51.pdf#page=2","Abrir facsímil")</f>
        <v>Abrir facsímil</v>
      </c>
      <c r="K5170" s="3" t="s">
        <v>150</v>
      </c>
    </row>
    <row r="5171" spans="1:11" ht="42" customHeight="1">
      <c r="A5171" s="2" t="s">
        <v>13471</v>
      </c>
      <c r="B5171" s="2" t="s">
        <v>13471</v>
      </c>
      <c r="C5171" s="2" t="s">
        <v>17</v>
      </c>
      <c r="D5171" s="2" t="s">
        <v>18</v>
      </c>
      <c r="E5171" s="4">
        <v>-32436</v>
      </c>
      <c r="F5171" s="3" t="s">
        <v>1972</v>
      </c>
      <c r="G5171" s="3" t="s">
        <v>178</v>
      </c>
      <c r="H5171" s="2" t="s">
        <v>148</v>
      </c>
      <c r="I5171" s="2" t="s">
        <v>13473</v>
      </c>
      <c r="J5171" s="3" t="str">
        <f>HYPERLINK("https://www.boe.es/gazeta/dias/1811/03/11/pdfs/GMD-1811-70.pdf#page=3","Abrir facsímil")</f>
        <v>Abrir facsímil</v>
      </c>
      <c r="K5171" s="3" t="s">
        <v>150</v>
      </c>
    </row>
    <row r="5172" spans="1:11" ht="42" customHeight="1">
      <c r="A5172" s="2" t="s">
        <v>13471</v>
      </c>
      <c r="B5172" s="2" t="s">
        <v>13471</v>
      </c>
      <c r="C5172" s="2" t="s">
        <v>17</v>
      </c>
      <c r="D5172" s="2" t="s">
        <v>105</v>
      </c>
      <c r="E5172" s="4">
        <v>-32388</v>
      </c>
      <c r="F5172" s="3" t="s">
        <v>2772</v>
      </c>
      <c r="G5172" s="3" t="s">
        <v>976</v>
      </c>
      <c r="H5172" s="2" t="s">
        <v>148</v>
      </c>
      <c r="I5172" s="2" t="s">
        <v>13474</v>
      </c>
      <c r="J5172" s="3" t="str">
        <f>HYPERLINK("https://www.boe.es/gazeta/dias/1811/04/28/pdfs/GMD-1811-118.pdf#page=3","Abrir facsímil")</f>
        <v>Abrir facsímil</v>
      </c>
      <c r="K5172" s="3" t="s">
        <v>150</v>
      </c>
    </row>
    <row r="5173" spans="1:11" ht="42" customHeight="1">
      <c r="A5173" s="2" t="s">
        <v>13471</v>
      </c>
      <c r="B5173" s="2" t="s">
        <v>13471</v>
      </c>
      <c r="C5173" s="2" t="s">
        <v>104</v>
      </c>
      <c r="D5173" s="2" t="s">
        <v>18</v>
      </c>
      <c r="E5173" s="4">
        <v>-32332</v>
      </c>
      <c r="F5173" s="3" t="s">
        <v>13475</v>
      </c>
      <c r="G5173" s="3" t="s">
        <v>2246</v>
      </c>
      <c r="H5173" s="2" t="s">
        <v>148</v>
      </c>
      <c r="I5173" s="2" t="s">
        <v>13476</v>
      </c>
      <c r="J5173" s="3" t="str">
        <f>HYPERLINK("https://www.boe.es/gazeta/dias/1811/06/23/pdfs/GMD-1811-174.pdf#page=1","Abrir facsímil")</f>
        <v>Abrir facsímil</v>
      </c>
      <c r="K5173" s="3" t="s">
        <v>150</v>
      </c>
    </row>
    <row r="5174" spans="1:11" ht="42" customHeight="1">
      <c r="A5174" s="2" t="s">
        <v>13471</v>
      </c>
      <c r="B5174" s="2" t="s">
        <v>13471</v>
      </c>
      <c r="C5174" s="2" t="s">
        <v>104</v>
      </c>
      <c r="D5174" s="2" t="s">
        <v>204</v>
      </c>
      <c r="E5174" s="4">
        <v>-32322</v>
      </c>
      <c r="F5174" s="3" t="s">
        <v>13477</v>
      </c>
      <c r="G5174" s="3" t="s">
        <v>468</v>
      </c>
      <c r="H5174" s="2" t="s">
        <v>148</v>
      </c>
      <c r="I5174" s="2" t="s">
        <v>13478</v>
      </c>
      <c r="J5174" s="3" t="str">
        <f>HYPERLINK("https://www.boe.es/gazeta/dias/1811/07/03/pdfs/GMD-1811-184.pdf#page=1","Abrir facsímil")</f>
        <v>Abrir facsímil</v>
      </c>
      <c r="K5174" s="3" t="s">
        <v>150</v>
      </c>
    </row>
    <row r="5175" spans="1:11" ht="42" customHeight="1">
      <c r="A5175" s="2" t="s">
        <v>13471</v>
      </c>
      <c r="B5175" s="2" t="s">
        <v>13471</v>
      </c>
      <c r="C5175" s="2" t="s">
        <v>367</v>
      </c>
      <c r="D5175" s="2" t="s">
        <v>204</v>
      </c>
      <c r="E5175" s="4">
        <v>-32295</v>
      </c>
      <c r="F5175" s="3" t="s">
        <v>6168</v>
      </c>
      <c r="G5175" s="3" t="s">
        <v>9285</v>
      </c>
      <c r="H5175" s="2" t="s">
        <v>148</v>
      </c>
      <c r="I5175" s="2" t="s">
        <v>13479</v>
      </c>
      <c r="J5175" s="3" t="str">
        <f>HYPERLINK("https://www.boe.es/gazeta/dias/1811/07/30/pdfs/GMD-1811-211.pdf#page=1","Abrir facsímil")</f>
        <v>Abrir facsímil</v>
      </c>
      <c r="K5175" s="3" t="s">
        <v>150</v>
      </c>
    </row>
    <row r="5176" spans="1:11" ht="42" customHeight="1">
      <c r="A5176" s="2" t="s">
        <v>13480</v>
      </c>
      <c r="B5176" s="2" t="s">
        <v>13480</v>
      </c>
      <c r="C5176" s="2" t="s">
        <v>17</v>
      </c>
      <c r="D5176" s="2" t="s">
        <v>18</v>
      </c>
      <c r="E5176" s="4">
        <v>-32149</v>
      </c>
      <c r="F5176" s="3" t="s">
        <v>2292</v>
      </c>
      <c r="G5176" s="3" t="s">
        <v>183</v>
      </c>
      <c r="H5176" s="2" t="s">
        <v>148</v>
      </c>
      <c r="I5176" s="2" t="s">
        <v>13481</v>
      </c>
      <c r="J5176" s="3" t="str">
        <f>HYPERLINK("https://www.boe.es/gazeta/dias/1811/12/23/pdfs/GMD-1811-357.pdf#page=4","Abrir facsímil")</f>
        <v>Abrir facsímil</v>
      </c>
      <c r="K5176" s="3" t="s">
        <v>150</v>
      </c>
    </row>
    <row r="5177" spans="1:11" ht="42" customHeight="1">
      <c r="A5177" s="2" t="s">
        <v>13482</v>
      </c>
      <c r="B5177" s="2" t="s">
        <v>13482</v>
      </c>
      <c r="C5177" s="2" t="s">
        <v>17</v>
      </c>
      <c r="D5177" s="2" t="s">
        <v>105</v>
      </c>
      <c r="E5177" s="4">
        <v>-32307</v>
      </c>
      <c r="F5177" s="3" t="s">
        <v>1112</v>
      </c>
      <c r="G5177" s="3" t="s">
        <v>13483</v>
      </c>
      <c r="H5177" s="2" t="s">
        <v>148</v>
      </c>
      <c r="I5177" s="2" t="s">
        <v>13484</v>
      </c>
      <c r="J5177" s="3" t="str">
        <f>HYPERLINK("https://www.boe.es/gazeta/dias/1811/07/18/pdfs/GEI-1811-94.pdf#page=2","Abrir facsímil")</f>
        <v>Abrir facsímil</v>
      </c>
      <c r="K5177" s="3" t="s">
        <v>150</v>
      </c>
    </row>
    <row r="5178" spans="1:11" ht="42" customHeight="1">
      <c r="A5178" s="2" t="s">
        <v>13482</v>
      </c>
      <c r="B5178" s="2" t="s">
        <v>13482</v>
      </c>
      <c r="C5178" s="2" t="s">
        <v>17</v>
      </c>
      <c r="D5178" s="2" t="s">
        <v>18</v>
      </c>
      <c r="E5178" s="4">
        <v>-32302</v>
      </c>
      <c r="F5178" s="3" t="s">
        <v>864</v>
      </c>
      <c r="G5178" s="3" t="s">
        <v>228</v>
      </c>
      <c r="H5178" s="2" t="s">
        <v>148</v>
      </c>
      <c r="I5178" s="2" t="s">
        <v>13485</v>
      </c>
      <c r="J5178" s="3" t="str">
        <f>HYPERLINK("https://www.boe.es/gazeta/dias/1811/07/23/pdfs/GEI-1811-96.pdf#page=7","Abrir facsímil")</f>
        <v>Abrir facsímil</v>
      </c>
      <c r="K5178" s="3" t="s">
        <v>150</v>
      </c>
    </row>
    <row r="5179" spans="1:11" ht="42" customHeight="1">
      <c r="A5179" s="2" t="s">
        <v>13486</v>
      </c>
      <c r="B5179" s="2" t="s">
        <v>13486</v>
      </c>
      <c r="C5179" s="2" t="s">
        <v>17</v>
      </c>
      <c r="D5179" s="2" t="s">
        <v>18</v>
      </c>
      <c r="E5179" s="4">
        <v>-32285</v>
      </c>
      <c r="F5179" s="3" t="s">
        <v>3716</v>
      </c>
      <c r="G5179" s="3" t="s">
        <v>162</v>
      </c>
      <c r="H5179" s="2" t="s">
        <v>148</v>
      </c>
      <c r="I5179" s="2" t="s">
        <v>13487</v>
      </c>
      <c r="J5179" s="3" t="str">
        <f>HYPERLINK("https://www.boe.es/gazeta/dias/1811/08/09/pdfs/GMD-1811-221.pdf#page=2","Abrir facsímil")</f>
        <v>Abrir facsímil</v>
      </c>
      <c r="K5179" s="3" t="s">
        <v>150</v>
      </c>
    </row>
    <row r="5180" spans="1:11" ht="42" customHeight="1">
      <c r="A5180" s="2" t="s">
        <v>13488</v>
      </c>
      <c r="B5180" s="2" t="s">
        <v>13488</v>
      </c>
      <c r="C5180" s="2" t="s">
        <v>17</v>
      </c>
      <c r="D5180" s="2" t="s">
        <v>18</v>
      </c>
      <c r="E5180" s="4">
        <v>-32152</v>
      </c>
      <c r="F5180" s="3" t="s">
        <v>1673</v>
      </c>
      <c r="G5180" s="3" t="s">
        <v>57</v>
      </c>
      <c r="H5180" s="2" t="s">
        <v>148</v>
      </c>
      <c r="I5180" s="2" t="s">
        <v>13489</v>
      </c>
      <c r="J5180" s="3" t="str">
        <f>HYPERLINK("https://www.boe.es/gazeta/dias/1811/12/20/pdfs/GMD-1811-354.pdf#page=2","Abrir facsímil")</f>
        <v>Abrir facsímil</v>
      </c>
      <c r="K5180" s="3" t="s">
        <v>150</v>
      </c>
    </row>
    <row r="5181" spans="1:11" ht="42" customHeight="1">
      <c r="A5181" s="2" t="s">
        <v>13490</v>
      </c>
      <c r="B5181" s="2" t="s">
        <v>13491</v>
      </c>
      <c r="C5181" s="2" t="s">
        <v>17</v>
      </c>
      <c r="D5181" s="2" t="s">
        <v>18</v>
      </c>
      <c r="E5181" s="4">
        <v>-32358</v>
      </c>
      <c r="F5181" s="3" t="s">
        <v>2971</v>
      </c>
      <c r="G5181" s="3" t="s">
        <v>515</v>
      </c>
      <c r="H5181" s="2" t="s">
        <v>148</v>
      </c>
      <c r="I5181" s="2" t="s">
        <v>13492</v>
      </c>
      <c r="J5181" s="3" t="str">
        <f>HYPERLINK("https://www.boe.es/gazeta/dias/1811/05/28/pdfs/GEI-1811-72.pdf#page=1","Abrir facsímil")</f>
        <v>Abrir facsímil</v>
      </c>
      <c r="K5181" s="3" t="s">
        <v>150</v>
      </c>
    </row>
    <row r="5182" spans="1:11" ht="42" customHeight="1">
      <c r="A5182" s="2" t="s">
        <v>13493</v>
      </c>
      <c r="B5182" s="2" t="s">
        <v>13494</v>
      </c>
      <c r="C5182" s="2" t="s">
        <v>26</v>
      </c>
      <c r="D5182" s="2" t="s">
        <v>18</v>
      </c>
      <c r="E5182" s="4">
        <v>-32270</v>
      </c>
      <c r="F5182" s="3" t="s">
        <v>431</v>
      </c>
      <c r="G5182" s="3" t="s">
        <v>2080</v>
      </c>
      <c r="H5182" s="2" t="s">
        <v>148</v>
      </c>
      <c r="I5182" s="2" t="s">
        <v>13495</v>
      </c>
      <c r="J5182" s="3" t="str">
        <f>HYPERLINK("https://www.boe.es/gazeta/dias/1811/08/24/pdfs/GEI-1811-110.pdf#page=5","Abrir facsímil")</f>
        <v>Abrir facsímil</v>
      </c>
      <c r="K5182" s="3" t="s">
        <v>150</v>
      </c>
    </row>
    <row r="5183" spans="1:11" ht="42" customHeight="1">
      <c r="A5183" s="2" t="s">
        <v>13496</v>
      </c>
      <c r="B5183" s="2" t="s">
        <v>13497</v>
      </c>
      <c r="C5183" s="2" t="s">
        <v>122</v>
      </c>
      <c r="D5183" s="2" t="s">
        <v>105</v>
      </c>
      <c r="E5183" s="4">
        <v>-32153</v>
      </c>
      <c r="F5183" s="3" t="s">
        <v>123</v>
      </c>
      <c r="G5183" s="3" t="s">
        <v>1067</v>
      </c>
      <c r="H5183" s="2" t="s">
        <v>148</v>
      </c>
      <c r="I5183" s="2" t="s">
        <v>13498</v>
      </c>
      <c r="J5183" s="3" t="str">
        <f>HYPERLINK("https://www.boe.es/gazeta/dias/1811/12/19/pdfs/GMD-1811-353.pdf#page=5","Abrir facsímil")</f>
        <v>Abrir facsímil</v>
      </c>
      <c r="K5183" s="3" t="s">
        <v>150</v>
      </c>
    </row>
    <row r="5184" spans="1:11" ht="42" customHeight="1">
      <c r="A5184" s="2" t="s">
        <v>13499</v>
      </c>
      <c r="B5184" s="2" t="s">
        <v>13500</v>
      </c>
      <c r="C5184" s="2" t="s">
        <v>26</v>
      </c>
      <c r="D5184" s="2" t="s">
        <v>141</v>
      </c>
      <c r="E5184" s="4">
        <v>-32211</v>
      </c>
      <c r="F5184" s="3" t="s">
        <v>2887</v>
      </c>
      <c r="G5184" s="3" t="s">
        <v>2888</v>
      </c>
      <c r="H5184" s="2" t="s">
        <v>148</v>
      </c>
      <c r="I5184" s="2" t="s">
        <v>13501</v>
      </c>
      <c r="J5184" s="3" t="str">
        <f>HYPERLINK("https://www.boe.es/gazeta/dias/1811/10/22/pdfs/GEI-D-1811-136.pdf#page=4","Abrir facsímil")</f>
        <v>Abrir facsímil</v>
      </c>
      <c r="K5184" s="3" t="s">
        <v>150</v>
      </c>
    </row>
    <row r="5185" spans="1:11" ht="42" customHeight="1">
      <c r="A5185" s="2" t="s">
        <v>13502</v>
      </c>
      <c r="B5185" s="2" t="s">
        <v>13503</v>
      </c>
      <c r="C5185" s="2" t="s">
        <v>26</v>
      </c>
      <c r="D5185" s="2" t="s">
        <v>141</v>
      </c>
      <c r="E5185" s="4">
        <v>-32280</v>
      </c>
      <c r="F5185" s="3" t="s">
        <v>142</v>
      </c>
      <c r="G5185" s="3" t="s">
        <v>47</v>
      </c>
      <c r="H5185" s="2" t="s">
        <v>148</v>
      </c>
      <c r="I5185" s="2" t="s">
        <v>13504</v>
      </c>
      <c r="J5185" s="3" t="str">
        <f>HYPERLINK("https://www.boe.es/gazeta/dias/1811/08/14/pdfs/GMD-C-1811-226.pdf#page=1","Abrir facsímil")</f>
        <v>Abrir facsímil</v>
      </c>
      <c r="K5185" s="3" t="s">
        <v>150</v>
      </c>
    </row>
    <row r="5186" spans="1:11" ht="42" customHeight="1">
      <c r="A5186" s="2" t="s">
        <v>13505</v>
      </c>
      <c r="B5186" s="2" t="s">
        <v>13506</v>
      </c>
      <c r="C5186" s="2" t="s">
        <v>26</v>
      </c>
      <c r="D5186" s="2" t="s">
        <v>18</v>
      </c>
      <c r="E5186" s="4">
        <v>-32153</v>
      </c>
      <c r="F5186" s="3" t="s">
        <v>123</v>
      </c>
      <c r="G5186" s="3" t="s">
        <v>124</v>
      </c>
      <c r="H5186" s="2" t="s">
        <v>148</v>
      </c>
      <c r="I5186" s="2" t="s">
        <v>13507</v>
      </c>
      <c r="J5186" s="3" t="str">
        <f>HYPERLINK("https://www.boe.es/gazeta/dias/1811/12/19/pdfs/GMD-1811-353.pdf#page=6","Abrir facsímil")</f>
        <v>Abrir facsímil</v>
      </c>
      <c r="K5186" s="3" t="s">
        <v>150</v>
      </c>
    </row>
    <row r="5187" spans="1:11" ht="42" customHeight="1">
      <c r="A5187" s="2" t="s">
        <v>13508</v>
      </c>
      <c r="B5187" s="2" t="s">
        <v>13508</v>
      </c>
      <c r="C5187" s="2" t="s">
        <v>26</v>
      </c>
      <c r="D5187" s="2" t="s">
        <v>18</v>
      </c>
      <c r="E5187" s="4">
        <v>-32419</v>
      </c>
      <c r="F5187" s="3" t="s">
        <v>5133</v>
      </c>
      <c r="G5187" s="3" t="s">
        <v>13509</v>
      </c>
      <c r="H5187" s="2" t="s">
        <v>148</v>
      </c>
      <c r="I5187" s="2" t="s">
        <v>13510</v>
      </c>
      <c r="J5187" s="3" t="str">
        <f>HYPERLINK("https://www.boe.es/gazeta/dias/1811/03/28/pdfs/GMD-1811-87.pdf#page=3","Abrir facsímil")</f>
        <v>Abrir facsímil</v>
      </c>
      <c r="K5187" s="3" t="s">
        <v>150</v>
      </c>
    </row>
    <row r="5188" spans="1:11" ht="42" customHeight="1">
      <c r="A5188" s="2" t="s">
        <v>13511</v>
      </c>
      <c r="B5188" s="2" t="s">
        <v>13512</v>
      </c>
      <c r="C5188" s="2" t="s">
        <v>17</v>
      </c>
      <c r="D5188" s="2" t="s">
        <v>156</v>
      </c>
      <c r="E5188" s="4">
        <v>-32146</v>
      </c>
      <c r="F5188" s="3" t="s">
        <v>777</v>
      </c>
      <c r="G5188" s="3" t="s">
        <v>9371</v>
      </c>
      <c r="H5188" s="2" t="s">
        <v>148</v>
      </c>
      <c r="I5188" s="2" t="s">
        <v>13513</v>
      </c>
      <c r="J5188" s="3" t="str">
        <f>HYPERLINK("https://www.boe.es/gazeta/dias/1811/12/26/pdfs/GEI-1811-167.pdf#page=6","Abrir facsímil")</f>
        <v>Abrir facsímil</v>
      </c>
      <c r="K5188" s="3" t="s">
        <v>150</v>
      </c>
    </row>
    <row r="5189" spans="1:11" ht="42" customHeight="1">
      <c r="A5189" s="2" t="s">
        <v>13514</v>
      </c>
      <c r="B5189" s="2" t="s">
        <v>13514</v>
      </c>
      <c r="C5189" s="2" t="s">
        <v>17</v>
      </c>
      <c r="D5189" s="2" t="s">
        <v>18</v>
      </c>
      <c r="E5189" s="4">
        <v>-32144</v>
      </c>
      <c r="F5189" s="3" t="s">
        <v>1097</v>
      </c>
      <c r="G5189" s="3" t="s">
        <v>91</v>
      </c>
      <c r="H5189" s="2" t="s">
        <v>148</v>
      </c>
      <c r="I5189" s="2" t="s">
        <v>13515</v>
      </c>
      <c r="J5189" s="3" t="str">
        <f>HYPERLINK("https://www.boe.es/gazeta/dias/1811/12/28/pdfs/GEI-1811-168.pdf#page=2","Abrir facsímil")</f>
        <v>Abrir facsímil</v>
      </c>
      <c r="K5189" s="3" t="s">
        <v>150</v>
      </c>
    </row>
    <row r="5190" spans="1:11" ht="42" customHeight="1">
      <c r="A5190" s="2" t="s">
        <v>13516</v>
      </c>
      <c r="B5190" s="2" t="s">
        <v>13517</v>
      </c>
      <c r="C5190" s="2" t="s">
        <v>104</v>
      </c>
      <c r="D5190" s="2" t="s">
        <v>18</v>
      </c>
      <c r="E5190" s="4">
        <v>-32312</v>
      </c>
      <c r="F5190" s="3" t="s">
        <v>2640</v>
      </c>
      <c r="G5190" s="3" t="s">
        <v>248</v>
      </c>
      <c r="H5190" s="2" t="s">
        <v>21</v>
      </c>
      <c r="I5190" s="2" t="s">
        <v>13518</v>
      </c>
      <c r="J5190" s="3" t="str">
        <f>HYPERLINK("https://www.boe.es/gazeta/dias/1811/07/13/pdfs/GEI-1811-92.pdf#page=2","Abrir facsímil")</f>
        <v>Abrir facsímil</v>
      </c>
      <c r="K5190" s="3" t="s">
        <v>23</v>
      </c>
    </row>
    <row r="5191" spans="1:11" ht="42" customHeight="1">
      <c r="A5191" s="2" t="s">
        <v>13519</v>
      </c>
      <c r="B5191" s="2" t="s">
        <v>13520</v>
      </c>
      <c r="C5191" s="2" t="s">
        <v>26</v>
      </c>
      <c r="D5191" s="2" t="s">
        <v>18</v>
      </c>
      <c r="E5191" s="4">
        <v>-32195</v>
      </c>
      <c r="F5191" s="3" t="s">
        <v>439</v>
      </c>
      <c r="G5191" s="3" t="s">
        <v>440</v>
      </c>
      <c r="H5191" s="2" t="s">
        <v>148</v>
      </c>
      <c r="I5191" s="2" t="s">
        <v>13521</v>
      </c>
      <c r="J5191" s="3" t="str">
        <f>HYPERLINK("https://www.boe.es/gazeta/dias/1811/11/07/pdfs/GEI-1811-144.pdf#page=8","Abrir facsímil")</f>
        <v>Abrir facsímil</v>
      </c>
      <c r="K5191" s="3" t="s">
        <v>150</v>
      </c>
    </row>
    <row r="5192" spans="1:11" ht="42" customHeight="1">
      <c r="A5192" s="2" t="s">
        <v>13522</v>
      </c>
      <c r="B5192" s="2" t="s">
        <v>13523</v>
      </c>
      <c r="C5192" s="2" t="s">
        <v>26</v>
      </c>
      <c r="D5192" s="2" t="s">
        <v>18</v>
      </c>
      <c r="E5192" s="4">
        <v>-32501</v>
      </c>
      <c r="F5192" s="3" t="s">
        <v>509</v>
      </c>
      <c r="G5192" s="3" t="s">
        <v>510</v>
      </c>
      <c r="H5192" s="2" t="s">
        <v>148</v>
      </c>
      <c r="I5192" s="2" t="s">
        <v>13524</v>
      </c>
      <c r="J5192" s="3" t="str">
        <f>HYPERLINK("https://www.boe.es/gazeta/dias/1811/01/05/pdfs/GEI-1811-3.pdf#page=8","Abrir facsímil")</f>
        <v>Abrir facsímil</v>
      </c>
      <c r="K5192" s="3" t="s">
        <v>150</v>
      </c>
    </row>
    <row r="5193" spans="1:11" ht="42" customHeight="1">
      <c r="A5193" s="2" t="s">
        <v>13525</v>
      </c>
      <c r="B5193" s="2" t="s">
        <v>13525</v>
      </c>
      <c r="C5193" s="2" t="s">
        <v>17</v>
      </c>
      <c r="D5193" s="2" t="s">
        <v>156</v>
      </c>
      <c r="E5193" s="4">
        <v>-32323</v>
      </c>
      <c r="F5193" s="3" t="s">
        <v>322</v>
      </c>
      <c r="G5193" s="3" t="s">
        <v>1482</v>
      </c>
      <c r="H5193" s="2" t="s">
        <v>148</v>
      </c>
      <c r="I5193" s="2" t="s">
        <v>13526</v>
      </c>
      <c r="J5193" s="3" t="str">
        <f>HYPERLINK("https://www.boe.es/gazeta/dias/1811/07/02/pdfs/GEI-1811-87.pdf#page=3","Abrir facsímil")</f>
        <v>Abrir facsímil</v>
      </c>
      <c r="K5193" s="3" t="s">
        <v>150</v>
      </c>
    </row>
    <row r="5194" spans="1:11" ht="42" customHeight="1">
      <c r="A5194" s="2" t="s">
        <v>13527</v>
      </c>
      <c r="B5194" s="2" t="s">
        <v>13528</v>
      </c>
      <c r="C5194" s="2" t="s">
        <v>26</v>
      </c>
      <c r="D5194" s="2" t="s">
        <v>105</v>
      </c>
      <c r="E5194" s="4">
        <v>-32195</v>
      </c>
      <c r="F5194" s="3" t="s">
        <v>439</v>
      </c>
      <c r="G5194" s="3" t="s">
        <v>2092</v>
      </c>
      <c r="H5194" s="2" t="s">
        <v>148</v>
      </c>
      <c r="I5194" s="2" t="s">
        <v>13529</v>
      </c>
      <c r="J5194" s="3" t="str">
        <f>HYPERLINK("https://www.boe.es/gazeta/dias/1811/11/07/pdfs/GEI-1811-144.pdf#page=7","Abrir facsímil")</f>
        <v>Abrir facsímil</v>
      </c>
      <c r="K5194" s="3" t="s">
        <v>150</v>
      </c>
    </row>
    <row r="5195" spans="1:11" ht="42" customHeight="1">
      <c r="A5195" s="2" t="s">
        <v>13530</v>
      </c>
      <c r="B5195" s="2" t="s">
        <v>13531</v>
      </c>
      <c r="C5195" s="2" t="s">
        <v>26</v>
      </c>
      <c r="D5195" s="2" t="s">
        <v>18</v>
      </c>
      <c r="E5195" s="4">
        <v>-32249</v>
      </c>
      <c r="F5195" s="3" t="s">
        <v>182</v>
      </c>
      <c r="G5195" s="3" t="s">
        <v>183</v>
      </c>
      <c r="H5195" s="2" t="s">
        <v>148</v>
      </c>
      <c r="I5195" s="2" t="s">
        <v>13532</v>
      </c>
      <c r="J5195" s="3" t="str">
        <f>HYPERLINK("https://www.boe.es/gazeta/dias/1811/09/14/pdfs/GMD-1811-257.pdf#page=4","Abrir facsímil")</f>
        <v>Abrir facsímil</v>
      </c>
      <c r="K5195" s="3" t="s">
        <v>150</v>
      </c>
    </row>
    <row r="5196" spans="1:11" ht="42" customHeight="1">
      <c r="A5196" s="2" t="s">
        <v>13533</v>
      </c>
      <c r="B5196" s="2" t="s">
        <v>13534</v>
      </c>
      <c r="C5196" s="2" t="s">
        <v>26</v>
      </c>
      <c r="D5196" s="2" t="s">
        <v>18</v>
      </c>
      <c r="E5196" s="4">
        <v>-32471</v>
      </c>
      <c r="F5196" s="3" t="s">
        <v>1571</v>
      </c>
      <c r="G5196" s="3" t="s">
        <v>530</v>
      </c>
      <c r="H5196" s="2" t="s">
        <v>148</v>
      </c>
      <c r="I5196" s="2" t="s">
        <v>13535</v>
      </c>
      <c r="J5196" s="3" t="str">
        <f>HYPERLINK("https://www.boe.es/gazeta/dias/1811/02/04/pdfs/GMD-1811-35.pdf#page=3","Abrir facsímil")</f>
        <v>Abrir facsímil</v>
      </c>
      <c r="K5196" s="3" t="s">
        <v>150</v>
      </c>
    </row>
    <row r="5197" spans="1:11" ht="42" customHeight="1">
      <c r="A5197" s="2" t="s">
        <v>13536</v>
      </c>
      <c r="B5197" s="2" t="s">
        <v>13537</v>
      </c>
      <c r="C5197" s="2" t="s">
        <v>37</v>
      </c>
      <c r="D5197" s="2" t="s">
        <v>18</v>
      </c>
      <c r="E5197" s="4">
        <v>-32416</v>
      </c>
      <c r="F5197" s="3" t="s">
        <v>954</v>
      </c>
      <c r="G5197" s="3" t="s">
        <v>47</v>
      </c>
      <c r="H5197" s="2" t="s">
        <v>148</v>
      </c>
      <c r="I5197" s="2" t="s">
        <v>13538</v>
      </c>
      <c r="J5197" s="3" t="str">
        <f>HYPERLINK("https://www.boe.es/gazeta/dias/1811/03/31/pdfs/GMD-1811-90.pdf#page=3","Abrir facsímil")</f>
        <v>Abrir facsímil</v>
      </c>
      <c r="K5197" s="3" t="s">
        <v>150</v>
      </c>
    </row>
    <row r="5198" spans="1:11" ht="42" customHeight="1">
      <c r="A5198" s="2" t="s">
        <v>13539</v>
      </c>
      <c r="B5198" s="2" t="s">
        <v>13539</v>
      </c>
      <c r="C5198" s="2" t="s">
        <v>17</v>
      </c>
      <c r="D5198" s="2" t="s">
        <v>18</v>
      </c>
      <c r="E5198" s="4">
        <v>-32208</v>
      </c>
      <c r="F5198" s="3" t="s">
        <v>8346</v>
      </c>
      <c r="G5198" s="3" t="s">
        <v>44</v>
      </c>
      <c r="H5198" s="2" t="s">
        <v>148</v>
      </c>
      <c r="I5198" s="2" t="s">
        <v>13540</v>
      </c>
      <c r="J5198" s="3" t="str">
        <f>HYPERLINK("https://www.boe.es/gazeta/dias/1811/10/25/pdfs/GMD-1811-298.pdf#page=4","Abrir facsímil")</f>
        <v>Abrir facsímil</v>
      </c>
      <c r="K5198" s="3" t="s">
        <v>150</v>
      </c>
    </row>
    <row r="5199" spans="1:11" ht="42" customHeight="1">
      <c r="A5199" s="2" t="s">
        <v>13541</v>
      </c>
      <c r="B5199" s="2" t="s">
        <v>13541</v>
      </c>
      <c r="C5199" s="2" t="s">
        <v>17</v>
      </c>
      <c r="D5199" s="2" t="s">
        <v>18</v>
      </c>
      <c r="E5199" s="4">
        <v>-32152</v>
      </c>
      <c r="F5199" s="3" t="s">
        <v>1673</v>
      </c>
      <c r="G5199" s="3" t="s">
        <v>57</v>
      </c>
      <c r="H5199" s="2" t="s">
        <v>148</v>
      </c>
      <c r="I5199" s="2" t="s">
        <v>13542</v>
      </c>
      <c r="J5199" s="3" t="str">
        <f>HYPERLINK("https://www.boe.es/gazeta/dias/1811/12/20/pdfs/GMD-1811-354.pdf#page=2","Abrir facsímil")</f>
        <v>Abrir facsímil</v>
      </c>
      <c r="K5199" s="3" t="s">
        <v>150</v>
      </c>
    </row>
    <row r="5200" spans="1:11" ht="42" customHeight="1">
      <c r="A5200" s="2" t="s">
        <v>13543</v>
      </c>
      <c r="B5200" s="2" t="s">
        <v>13544</v>
      </c>
      <c r="C5200" s="2" t="s">
        <v>26</v>
      </c>
      <c r="D5200" s="2" t="s">
        <v>18</v>
      </c>
      <c r="E5200" s="4">
        <v>-32300</v>
      </c>
      <c r="F5200" s="3" t="s">
        <v>61</v>
      </c>
      <c r="G5200" s="3" t="s">
        <v>62</v>
      </c>
      <c r="H5200" s="2" t="s">
        <v>148</v>
      </c>
      <c r="I5200" s="2" t="s">
        <v>13545</v>
      </c>
      <c r="J5200" s="3" t="str">
        <f>HYPERLINK("https://www.boe.es/gazeta/dias/1811/07/25/pdfs/GEI-1811-97.pdf#page=5","Abrir facsímil")</f>
        <v>Abrir facsímil</v>
      </c>
      <c r="K5200" s="3" t="s">
        <v>150</v>
      </c>
    </row>
    <row r="5201" spans="1:11" ht="42" customHeight="1">
      <c r="A5201" s="2" t="s">
        <v>13546</v>
      </c>
      <c r="B5201" s="2" t="s">
        <v>13546</v>
      </c>
      <c r="C5201" s="2" t="s">
        <v>17</v>
      </c>
      <c r="D5201" s="2" t="s">
        <v>18</v>
      </c>
      <c r="E5201" s="4">
        <v>-32414</v>
      </c>
      <c r="F5201" s="3" t="s">
        <v>2588</v>
      </c>
      <c r="G5201" s="3" t="s">
        <v>2714</v>
      </c>
      <c r="H5201" s="2" t="s">
        <v>148</v>
      </c>
      <c r="I5201" s="2" t="s">
        <v>13547</v>
      </c>
      <c r="J5201" s="3" t="str">
        <f>HYPERLINK("https://www.boe.es/gazeta/dias/1811/04/02/pdfs/GMD-1811-92.pdf#page=2","Abrir facsímil")</f>
        <v>Abrir facsímil</v>
      </c>
      <c r="K5201" s="3" t="s">
        <v>150</v>
      </c>
    </row>
    <row r="5202" spans="1:11" ht="42" customHeight="1">
      <c r="A5202" s="2" t="s">
        <v>13546</v>
      </c>
      <c r="B5202" s="2" t="s">
        <v>13546</v>
      </c>
      <c r="C5202" s="2" t="s">
        <v>17</v>
      </c>
      <c r="D5202" s="2" t="s">
        <v>18</v>
      </c>
      <c r="E5202" s="4">
        <v>-32349</v>
      </c>
      <c r="F5202" s="3" t="s">
        <v>239</v>
      </c>
      <c r="G5202" s="3" t="s">
        <v>4509</v>
      </c>
      <c r="H5202" s="2" t="s">
        <v>148</v>
      </c>
      <c r="I5202" s="2" t="s">
        <v>13548</v>
      </c>
      <c r="J5202" s="3" t="str">
        <f>HYPERLINK("https://www.boe.es/gazeta/dias/1811/06/06/pdfs/GEI-1811-76.pdf#page=5","Abrir facsímil")</f>
        <v>Abrir facsímil</v>
      </c>
      <c r="K5202" s="3" t="s">
        <v>150</v>
      </c>
    </row>
    <row r="5203" spans="1:11" ht="42" customHeight="1">
      <c r="A5203" s="2" t="s">
        <v>13546</v>
      </c>
      <c r="B5203" s="2" t="s">
        <v>13546</v>
      </c>
      <c r="C5203" s="2" t="s">
        <v>17</v>
      </c>
      <c r="D5203" s="2" t="s">
        <v>156</v>
      </c>
      <c r="E5203" s="4">
        <v>-32333</v>
      </c>
      <c r="F5203" s="3" t="s">
        <v>292</v>
      </c>
      <c r="G5203" s="3" t="s">
        <v>4086</v>
      </c>
      <c r="H5203" s="2" t="s">
        <v>148</v>
      </c>
      <c r="I5203" s="2" t="s">
        <v>13549</v>
      </c>
      <c r="J5203" s="3" t="str">
        <f>HYPERLINK("https://www.boe.es/gazeta/dias/1811/06/22/pdfs/GEI-1811-83.pdf#page=1","Abrir facsímil")</f>
        <v>Abrir facsímil</v>
      </c>
      <c r="K5203" s="3" t="s">
        <v>150</v>
      </c>
    </row>
    <row r="5204" spans="1:11" ht="42" customHeight="1">
      <c r="A5204" s="2" t="s">
        <v>13550</v>
      </c>
      <c r="B5204" s="2" t="s">
        <v>13551</v>
      </c>
      <c r="C5204" s="2" t="s">
        <v>37</v>
      </c>
      <c r="D5204" s="2" t="s">
        <v>18</v>
      </c>
      <c r="E5204" s="4">
        <v>-32416</v>
      </c>
      <c r="F5204" s="3" t="s">
        <v>954</v>
      </c>
      <c r="G5204" s="3" t="s">
        <v>183</v>
      </c>
      <c r="H5204" s="2" t="s">
        <v>148</v>
      </c>
      <c r="I5204" s="2" t="s">
        <v>13552</v>
      </c>
      <c r="J5204" s="3" t="str">
        <f>HYPERLINK("https://www.boe.es/gazeta/dias/1811/03/31/pdfs/GMD-1811-90.pdf#page=4","Abrir facsímil")</f>
        <v>Abrir facsímil</v>
      </c>
      <c r="K5204" s="3" t="s">
        <v>150</v>
      </c>
    </row>
    <row r="5205" spans="1:11" ht="42" customHeight="1">
      <c r="A5205" s="2" t="s">
        <v>13553</v>
      </c>
      <c r="B5205" s="2" t="s">
        <v>13553</v>
      </c>
      <c r="C5205" s="2" t="s">
        <v>17</v>
      </c>
      <c r="D5205" s="2" t="s">
        <v>156</v>
      </c>
      <c r="E5205" s="4">
        <v>-32363</v>
      </c>
      <c r="F5205" s="3" t="s">
        <v>1645</v>
      </c>
      <c r="G5205" s="3" t="s">
        <v>8256</v>
      </c>
      <c r="H5205" s="2" t="s">
        <v>148</v>
      </c>
      <c r="I5205" s="2" t="s">
        <v>13554</v>
      </c>
      <c r="J5205" s="3" t="str">
        <f>HYPERLINK("https://www.boe.es/gazeta/dias/1811/05/23/pdfs/GEI-1811-68.pdf#page=3","Abrir facsímil")</f>
        <v>Abrir facsímil</v>
      </c>
      <c r="K5205" s="3" t="s">
        <v>150</v>
      </c>
    </row>
    <row r="5206" spans="1:11" ht="42" customHeight="1">
      <c r="A5206" s="2" t="s">
        <v>13553</v>
      </c>
      <c r="B5206" s="2" t="s">
        <v>13553</v>
      </c>
      <c r="C5206" s="2" t="s">
        <v>17</v>
      </c>
      <c r="D5206" s="2" t="s">
        <v>18</v>
      </c>
      <c r="E5206" s="4">
        <v>-32335</v>
      </c>
      <c r="F5206" s="3" t="s">
        <v>3776</v>
      </c>
      <c r="G5206" s="3" t="s">
        <v>91</v>
      </c>
      <c r="H5206" s="2" t="s">
        <v>148</v>
      </c>
      <c r="I5206" s="2" t="s">
        <v>13555</v>
      </c>
      <c r="J5206" s="3" t="str">
        <f>HYPERLINK("https://www.boe.es/gazeta/dias/1811/06/20/pdfs/GEI-1811-82.pdf#page=3","Abrir facsímil")</f>
        <v>Abrir facsímil</v>
      </c>
      <c r="K5206" s="3" t="s">
        <v>150</v>
      </c>
    </row>
    <row r="5207" spans="1:11" ht="42" customHeight="1">
      <c r="A5207" s="2" t="s">
        <v>13556</v>
      </c>
      <c r="B5207" s="2" t="s">
        <v>13556</v>
      </c>
      <c r="C5207" s="2" t="s">
        <v>37</v>
      </c>
      <c r="D5207" s="2" t="s">
        <v>18</v>
      </c>
      <c r="E5207" s="4">
        <v>-32358</v>
      </c>
      <c r="F5207" s="3" t="s">
        <v>3186</v>
      </c>
      <c r="G5207" s="3" t="s">
        <v>4049</v>
      </c>
      <c r="H5207" s="2" t="s">
        <v>148</v>
      </c>
      <c r="I5207" s="2" t="s">
        <v>13557</v>
      </c>
      <c r="J5207" s="3" t="str">
        <f>HYPERLINK("https://www.boe.es/gazeta/dias/1811/05/28/pdfs/GMD-1811-148.pdf#page=4","Abrir facsímil")</f>
        <v>Abrir facsímil</v>
      </c>
      <c r="K5207" s="3" t="s">
        <v>150</v>
      </c>
    </row>
    <row r="5208" spans="1:11" ht="42" customHeight="1">
      <c r="A5208" s="2" t="s">
        <v>13558</v>
      </c>
      <c r="B5208" s="2" t="s">
        <v>13559</v>
      </c>
      <c r="C5208" s="2" t="s">
        <v>26</v>
      </c>
      <c r="D5208" s="2" t="s">
        <v>18</v>
      </c>
      <c r="E5208" s="4">
        <v>-32472</v>
      </c>
      <c r="F5208" s="3" t="s">
        <v>398</v>
      </c>
      <c r="G5208" s="3" t="s">
        <v>115</v>
      </c>
      <c r="H5208" s="2" t="s">
        <v>148</v>
      </c>
      <c r="I5208" s="2" t="s">
        <v>13560</v>
      </c>
      <c r="J5208" s="3" t="str">
        <f>HYPERLINK("https://www.boe.es/gazeta/dias/1811/02/03/pdfs/GMD-1811-34.pdf#page=3","Abrir facsímil")</f>
        <v>Abrir facsímil</v>
      </c>
      <c r="K5208" s="3" t="s">
        <v>150</v>
      </c>
    </row>
    <row r="5209" spans="1:11" ht="42" customHeight="1">
      <c r="A5209" s="2" t="s">
        <v>13561</v>
      </c>
      <c r="B5209" s="2" t="s">
        <v>13561</v>
      </c>
      <c r="C5209" s="2" t="s">
        <v>17</v>
      </c>
      <c r="D5209" s="2" t="s">
        <v>156</v>
      </c>
      <c r="E5209" s="4">
        <v>-32342</v>
      </c>
      <c r="F5209" s="3" t="s">
        <v>1474</v>
      </c>
      <c r="G5209" s="3" t="s">
        <v>586</v>
      </c>
      <c r="H5209" s="2" t="s">
        <v>148</v>
      </c>
      <c r="I5209" s="2" t="s">
        <v>13562</v>
      </c>
      <c r="J5209" s="3" t="str">
        <f>HYPERLINK("https://www.boe.es/gazeta/dias/1811/06/13/pdfs/GEI-1811-79.pdf#page=5","Abrir facsímil")</f>
        <v>Abrir facsímil</v>
      </c>
      <c r="K5209" s="3" t="s">
        <v>150</v>
      </c>
    </row>
    <row r="5210" spans="1:11" ht="42" customHeight="1">
      <c r="A5210" s="2" t="s">
        <v>13563</v>
      </c>
      <c r="B5210" s="2" t="s">
        <v>13564</v>
      </c>
      <c r="C5210" s="2" t="s">
        <v>26</v>
      </c>
      <c r="D5210" s="2" t="s">
        <v>18</v>
      </c>
      <c r="E5210" s="4">
        <v>-32359</v>
      </c>
      <c r="F5210" s="3" t="s">
        <v>7795</v>
      </c>
      <c r="G5210" s="3" t="s">
        <v>515</v>
      </c>
      <c r="H5210" s="2" t="s">
        <v>148</v>
      </c>
      <c r="I5210" s="2" t="s">
        <v>13565</v>
      </c>
      <c r="J5210" s="3" t="str">
        <f>HYPERLINK("https://www.boe.es/gazeta/dias/1811/05/27/pdfs/GMD-1811-147.pdf#page=2","Abrir facsímil")</f>
        <v>Abrir facsímil</v>
      </c>
      <c r="K5210" s="3" t="s">
        <v>150</v>
      </c>
    </row>
    <row r="5211" spans="1:11" ht="42" customHeight="1">
      <c r="A5211" s="2" t="s">
        <v>13566</v>
      </c>
      <c r="B5211" s="2" t="s">
        <v>13567</v>
      </c>
      <c r="C5211" s="2" t="s">
        <v>26</v>
      </c>
      <c r="D5211" s="2" t="s">
        <v>141</v>
      </c>
      <c r="E5211" s="4">
        <v>-32249</v>
      </c>
      <c r="F5211" s="3" t="s">
        <v>743</v>
      </c>
      <c r="G5211" s="3" t="s">
        <v>1021</v>
      </c>
      <c r="H5211" s="2" t="s">
        <v>148</v>
      </c>
      <c r="I5211" s="2" t="s">
        <v>13568</v>
      </c>
      <c r="J5211" s="3" t="str">
        <f>HYPERLINK("https://www.boe.es/gazeta/dias/1811/09/14/pdfs/GMD-C-1811-257.pdf#page=2","Abrir facsímil")</f>
        <v>Abrir facsímil</v>
      </c>
      <c r="K5211" s="3" t="s">
        <v>150</v>
      </c>
    </row>
    <row r="5212" spans="1:11" ht="42" customHeight="1">
      <c r="A5212" s="2" t="s">
        <v>13569</v>
      </c>
      <c r="B5212" s="2" t="s">
        <v>13569</v>
      </c>
      <c r="C5212" s="2" t="s">
        <v>17</v>
      </c>
      <c r="D5212" s="2" t="s">
        <v>18</v>
      </c>
      <c r="E5212" s="4">
        <v>-32403</v>
      </c>
      <c r="F5212" s="3" t="s">
        <v>1915</v>
      </c>
      <c r="G5212" s="3" t="s">
        <v>2594</v>
      </c>
      <c r="H5212" s="2" t="s">
        <v>148</v>
      </c>
      <c r="I5212" s="2" t="s">
        <v>13570</v>
      </c>
      <c r="J5212" s="3" t="str">
        <f>HYPERLINK("https://www.boe.es/gazeta/dias/1811/04/13/pdfs/GEI-1811-50.pdf#page=4","Abrir facsímil")</f>
        <v>Abrir facsímil</v>
      </c>
      <c r="K5212" s="3" t="s">
        <v>150</v>
      </c>
    </row>
    <row r="5213" spans="1:11" ht="42" customHeight="1">
      <c r="A5213" s="2" t="s">
        <v>13569</v>
      </c>
      <c r="B5213" s="2" t="s">
        <v>13569</v>
      </c>
      <c r="C5213" s="2" t="s">
        <v>17</v>
      </c>
      <c r="D5213" s="2" t="s">
        <v>18</v>
      </c>
      <c r="E5213" s="4">
        <v>-32283</v>
      </c>
      <c r="F5213" s="3" t="s">
        <v>90</v>
      </c>
      <c r="G5213" s="3" t="s">
        <v>1856</v>
      </c>
      <c r="H5213" s="2" t="s">
        <v>148</v>
      </c>
      <c r="I5213" s="2" t="s">
        <v>13571</v>
      </c>
      <c r="J5213" s="3" t="str">
        <f>HYPERLINK("https://www.boe.es/gazeta/dias/1811/08/11/pdfs/GMD-1811-223.pdf#page=1","Abrir facsímil")</f>
        <v>Abrir facsímil</v>
      </c>
      <c r="K5213" s="3" t="s">
        <v>150</v>
      </c>
    </row>
    <row r="5214" spans="1:11" ht="42" customHeight="1">
      <c r="A5214" s="2" t="s">
        <v>13572</v>
      </c>
      <c r="B5214" s="2" t="s">
        <v>13572</v>
      </c>
      <c r="C5214" s="2" t="s">
        <v>17</v>
      </c>
      <c r="D5214" s="2" t="s">
        <v>18</v>
      </c>
      <c r="E5214" s="4">
        <v>-32495</v>
      </c>
      <c r="F5214" s="3" t="s">
        <v>1681</v>
      </c>
      <c r="G5214" s="3" t="s">
        <v>553</v>
      </c>
      <c r="H5214" s="2" t="s">
        <v>148</v>
      </c>
      <c r="I5214" s="2" t="s">
        <v>13573</v>
      </c>
      <c r="J5214" s="3" t="str">
        <f>HYPERLINK("https://www.boe.es/gazeta/dias/1811/01/11/pdfs/GMD-1811-11.pdf#page=2","Abrir facsímil")</f>
        <v>Abrir facsímil</v>
      </c>
      <c r="K5214" s="3" t="s">
        <v>150</v>
      </c>
    </row>
    <row r="5215" spans="1:11" ht="42" customHeight="1">
      <c r="A5215" s="2" t="s">
        <v>13574</v>
      </c>
      <c r="B5215" s="2" t="s">
        <v>13575</v>
      </c>
      <c r="C5215" s="2" t="s">
        <v>84</v>
      </c>
      <c r="D5215" s="2" t="s">
        <v>18</v>
      </c>
      <c r="E5215" s="4">
        <v>-32426</v>
      </c>
      <c r="F5215" s="3" t="s">
        <v>244</v>
      </c>
      <c r="G5215" s="3" t="s">
        <v>44</v>
      </c>
      <c r="H5215" s="2" t="s">
        <v>148</v>
      </c>
      <c r="I5215" s="2" t="s">
        <v>13576</v>
      </c>
      <c r="J5215" s="3" t="str">
        <f>HYPERLINK("https://www.boe.es/gazeta/dias/1811/03/21/pdfs/GMD-1811-80.pdf#page=4","Abrir facsímil")</f>
        <v>Abrir facsímil</v>
      </c>
      <c r="K5215" s="3" t="s">
        <v>150</v>
      </c>
    </row>
    <row r="5216" spans="1:11" ht="42" customHeight="1">
      <c r="A5216" s="2" t="s">
        <v>13577</v>
      </c>
      <c r="B5216" s="2" t="s">
        <v>13578</v>
      </c>
      <c r="C5216" s="2" t="s">
        <v>17</v>
      </c>
      <c r="D5216" s="2" t="s">
        <v>156</v>
      </c>
      <c r="E5216" s="4">
        <v>-32191</v>
      </c>
      <c r="F5216" s="3" t="s">
        <v>2483</v>
      </c>
      <c r="G5216" s="3" t="s">
        <v>13579</v>
      </c>
      <c r="H5216" s="2" t="s">
        <v>148</v>
      </c>
      <c r="I5216" s="2" t="s">
        <v>13580</v>
      </c>
      <c r="J5216" s="3" t="str">
        <f>HYPERLINK("https://www.boe.es/gazeta/dias/1811/11/11/pdfs/GMD-1811-315.pdf#page=4","Abrir facsímil")</f>
        <v>Abrir facsímil</v>
      </c>
      <c r="K5216" s="3" t="s">
        <v>150</v>
      </c>
    </row>
    <row r="5217" spans="1:11" ht="42" customHeight="1">
      <c r="A5217" s="2" t="s">
        <v>13581</v>
      </c>
      <c r="B5217" s="2" t="s">
        <v>13582</v>
      </c>
      <c r="C5217" s="2" t="s">
        <v>17</v>
      </c>
      <c r="D5217" s="2" t="s">
        <v>156</v>
      </c>
      <c r="E5217" s="4">
        <v>-32494</v>
      </c>
      <c r="F5217" s="3" t="s">
        <v>585</v>
      </c>
      <c r="G5217" s="3" t="s">
        <v>586</v>
      </c>
      <c r="H5217" s="2" t="s">
        <v>148</v>
      </c>
      <c r="I5217" s="2" t="s">
        <v>13583</v>
      </c>
      <c r="J5217" s="3" t="str">
        <f>HYPERLINK("https://www.boe.es/gazeta/dias/1811/01/12/pdfs/GMD-1811-12.pdf#page=4","Abrir facsímil")</f>
        <v>Abrir facsímil</v>
      </c>
      <c r="K5217" s="3" t="s">
        <v>150</v>
      </c>
    </row>
    <row r="5218" spans="1:11" ht="42" customHeight="1">
      <c r="A5218" s="2" t="s">
        <v>13584</v>
      </c>
      <c r="B5218" s="2" t="s">
        <v>13584</v>
      </c>
      <c r="C5218" s="2" t="s">
        <v>17</v>
      </c>
      <c r="D5218" s="2" t="s">
        <v>18</v>
      </c>
      <c r="E5218" s="4">
        <v>-32219</v>
      </c>
      <c r="F5218" s="3" t="s">
        <v>2681</v>
      </c>
      <c r="G5218" s="3" t="s">
        <v>488</v>
      </c>
      <c r="H5218" s="2" t="s">
        <v>148</v>
      </c>
      <c r="I5218" s="2" t="s">
        <v>13585</v>
      </c>
      <c r="J5218" s="3" t="str">
        <f>HYPERLINK("https://www.boe.es/gazeta/dias/1811/10/14/pdfs/GMD-1811-287.pdf#page=3","Abrir facsímil")</f>
        <v>Abrir facsímil</v>
      </c>
      <c r="K5218" s="3" t="s">
        <v>150</v>
      </c>
    </row>
    <row r="5219" spans="1:11" ht="42" customHeight="1">
      <c r="A5219" s="2" t="s">
        <v>13586</v>
      </c>
      <c r="B5219" s="2" t="s">
        <v>13587</v>
      </c>
      <c r="C5219" s="2" t="s">
        <v>26</v>
      </c>
      <c r="D5219" s="2" t="s">
        <v>18</v>
      </c>
      <c r="E5219" s="4">
        <v>-32200</v>
      </c>
      <c r="F5219" s="3" t="s">
        <v>109</v>
      </c>
      <c r="G5219" s="3" t="s">
        <v>110</v>
      </c>
      <c r="H5219" s="2" t="s">
        <v>148</v>
      </c>
      <c r="I5219" s="2" t="s">
        <v>13588</v>
      </c>
      <c r="J5219" s="3" t="str">
        <f>HYPERLINK("https://www.boe.es/gazeta/dias/1811/11/02/pdfs/GEI-1811-141.pdf#page=6","Abrir facsímil")</f>
        <v>Abrir facsímil</v>
      </c>
      <c r="K5219" s="3" t="s">
        <v>150</v>
      </c>
    </row>
    <row r="5220" spans="1:11" ht="42" customHeight="1">
      <c r="A5220" s="2" t="s">
        <v>13589</v>
      </c>
      <c r="B5220" s="2" t="s">
        <v>13590</v>
      </c>
      <c r="C5220" s="2" t="s">
        <v>17</v>
      </c>
      <c r="D5220" s="2" t="s">
        <v>18</v>
      </c>
      <c r="E5220" s="4">
        <v>-32248</v>
      </c>
      <c r="F5220" s="3" t="s">
        <v>622</v>
      </c>
      <c r="G5220" s="3" t="s">
        <v>115</v>
      </c>
      <c r="H5220" s="2" t="s">
        <v>148</v>
      </c>
      <c r="I5220" s="2" t="s">
        <v>13591</v>
      </c>
      <c r="J5220" s="3" t="str">
        <f>HYPERLINK("https://www.boe.es/gazeta/dias/1811/09/15/pdfs/GMD-1811-258.pdf#page=3","Abrir facsímil")</f>
        <v>Abrir facsímil</v>
      </c>
      <c r="K5220" s="3" t="s">
        <v>150</v>
      </c>
    </row>
    <row r="5221" spans="1:11" ht="42" customHeight="1">
      <c r="A5221" s="2" t="s">
        <v>13592</v>
      </c>
      <c r="B5221" s="2" t="s">
        <v>13593</v>
      </c>
      <c r="C5221" s="2" t="s">
        <v>17</v>
      </c>
      <c r="D5221" s="2" t="s">
        <v>18</v>
      </c>
      <c r="E5221" s="4">
        <v>-32283</v>
      </c>
      <c r="F5221" s="3" t="s">
        <v>90</v>
      </c>
      <c r="G5221" s="3" t="s">
        <v>91</v>
      </c>
      <c r="H5221" s="2" t="s">
        <v>148</v>
      </c>
      <c r="I5221" s="2" t="s">
        <v>13594</v>
      </c>
      <c r="J5221" s="3" t="str">
        <f>HYPERLINK("https://www.boe.es/gazeta/dias/1811/08/11/pdfs/GMD-1811-223.pdf#page=4","Abrir facsímil")</f>
        <v>Abrir facsímil</v>
      </c>
      <c r="K5221" s="3" t="s">
        <v>150</v>
      </c>
    </row>
    <row r="5222" spans="1:11" ht="42" customHeight="1">
      <c r="A5222" s="2" t="s">
        <v>13595</v>
      </c>
      <c r="B5222" s="2" t="s">
        <v>13595</v>
      </c>
      <c r="C5222" s="2" t="s">
        <v>17</v>
      </c>
      <c r="D5222" s="2" t="s">
        <v>18</v>
      </c>
      <c r="E5222" s="4">
        <v>-32152</v>
      </c>
      <c r="F5222" s="3" t="s">
        <v>1673</v>
      </c>
      <c r="G5222" s="3" t="s">
        <v>57</v>
      </c>
      <c r="H5222" s="2" t="s">
        <v>148</v>
      </c>
      <c r="I5222" s="2" t="s">
        <v>13596</v>
      </c>
      <c r="J5222" s="3" t="str">
        <f>HYPERLINK("https://www.boe.es/gazeta/dias/1811/12/20/pdfs/GMD-1811-354.pdf#page=2","Abrir facsímil")</f>
        <v>Abrir facsímil</v>
      </c>
      <c r="K5222" s="3" t="s">
        <v>150</v>
      </c>
    </row>
    <row r="5223" spans="1:11" ht="42" customHeight="1">
      <c r="A5223" s="2" t="s">
        <v>13597</v>
      </c>
      <c r="B5223" s="2" t="s">
        <v>13598</v>
      </c>
      <c r="C5223" s="2" t="s">
        <v>17</v>
      </c>
      <c r="D5223" s="2" t="s">
        <v>18</v>
      </c>
      <c r="E5223" s="4">
        <v>-32417</v>
      </c>
      <c r="F5223" s="3" t="s">
        <v>604</v>
      </c>
      <c r="G5223" s="3" t="s">
        <v>178</v>
      </c>
      <c r="H5223" s="2" t="s">
        <v>148</v>
      </c>
      <c r="I5223" s="2" t="s">
        <v>13599</v>
      </c>
      <c r="J5223" s="3" t="str">
        <f>HYPERLINK("https://www.boe.es/gazeta/dias/1811/03/30/pdfs/GMD-1811-89.pdf#page=3","Abrir facsímil")</f>
        <v>Abrir facsímil</v>
      </c>
      <c r="K5223" s="3" t="s">
        <v>150</v>
      </c>
    </row>
    <row r="5224" spans="1:11" ht="42" customHeight="1">
      <c r="A5224" s="2" t="s">
        <v>13600</v>
      </c>
      <c r="B5224" s="2" t="s">
        <v>13600</v>
      </c>
      <c r="C5224" s="2" t="s">
        <v>26</v>
      </c>
      <c r="D5224" s="2" t="s">
        <v>18</v>
      </c>
      <c r="E5224" s="4">
        <v>-32226</v>
      </c>
      <c r="F5224" s="3" t="s">
        <v>618</v>
      </c>
      <c r="G5224" s="3" t="s">
        <v>57</v>
      </c>
      <c r="H5224" s="2" t="s">
        <v>148</v>
      </c>
      <c r="I5224" s="2" t="s">
        <v>13601</v>
      </c>
      <c r="J5224" s="3" t="str">
        <f>HYPERLINK("https://www.boe.es/gazeta/dias/1811/10/07/pdfs/GMD-1811-280.pdf#page=2","Abrir facsímil")</f>
        <v>Abrir facsímil</v>
      </c>
      <c r="K5224" s="3" t="s">
        <v>150</v>
      </c>
    </row>
    <row r="5225" spans="1:11" ht="42" customHeight="1">
      <c r="A5225" s="2" t="s">
        <v>13602</v>
      </c>
      <c r="B5225" s="2" t="s">
        <v>13603</v>
      </c>
      <c r="C5225" s="2" t="s">
        <v>17</v>
      </c>
      <c r="D5225" s="2" t="s">
        <v>18</v>
      </c>
      <c r="E5225" s="4">
        <v>-32391</v>
      </c>
      <c r="F5225" s="3" t="s">
        <v>252</v>
      </c>
      <c r="G5225" s="3" t="s">
        <v>657</v>
      </c>
      <c r="H5225" s="2" t="s">
        <v>21</v>
      </c>
      <c r="I5225" s="2" t="s">
        <v>13604</v>
      </c>
      <c r="J5225" s="3" t="str">
        <f>HYPERLINK("https://www.boe.es/gazeta/dias/1811/04/25/pdfs/GEI-1811-55.pdf#page=2","Abrir facsímil")</f>
        <v>Abrir facsímil</v>
      </c>
      <c r="K5225" s="3" t="s">
        <v>23</v>
      </c>
    </row>
    <row r="5226" spans="1:11" ht="42" customHeight="1">
      <c r="A5226" s="2" t="s">
        <v>13605</v>
      </c>
      <c r="B5226" s="2" t="s">
        <v>13606</v>
      </c>
      <c r="C5226" s="2" t="s">
        <v>37</v>
      </c>
      <c r="D5226" s="2" t="s">
        <v>156</v>
      </c>
      <c r="E5226" s="4">
        <v>-32263</v>
      </c>
      <c r="F5226" s="3" t="s">
        <v>3780</v>
      </c>
      <c r="G5226" s="3" t="s">
        <v>3781</v>
      </c>
      <c r="H5226" s="2" t="s">
        <v>148</v>
      </c>
      <c r="I5226" s="2" t="s">
        <v>13607</v>
      </c>
      <c r="J5226" s="3" t="str">
        <f>HYPERLINK("https://www.boe.es/gazeta/dias/1811/08/31/pdfs/GMD-1811-243.pdf#page=4","Abrir facsímil")</f>
        <v>Abrir facsímil</v>
      </c>
      <c r="K5226" s="3" t="s">
        <v>150</v>
      </c>
    </row>
    <row r="5227" spans="1:11" ht="42" customHeight="1">
      <c r="A5227" s="2" t="s">
        <v>13608</v>
      </c>
      <c r="B5227" s="2" t="s">
        <v>13609</v>
      </c>
      <c r="C5227" s="2" t="s">
        <v>17</v>
      </c>
      <c r="D5227" s="2" t="s">
        <v>18</v>
      </c>
      <c r="E5227" s="4">
        <v>-32438</v>
      </c>
      <c r="F5227" s="3" t="s">
        <v>114</v>
      </c>
      <c r="G5227" s="3" t="s">
        <v>115</v>
      </c>
      <c r="H5227" s="2" t="s">
        <v>148</v>
      </c>
      <c r="I5227" s="2" t="s">
        <v>13610</v>
      </c>
      <c r="J5227" s="3" t="str">
        <f>HYPERLINK("https://www.boe.es/gazeta/dias/1811/03/09/pdfs/GEI-1811-33.pdf#page=3","Abrir facsímil")</f>
        <v>Abrir facsímil</v>
      </c>
      <c r="K5227" s="3" t="s">
        <v>150</v>
      </c>
    </row>
    <row r="5228" spans="1:11" ht="42" customHeight="1">
      <c r="A5228" s="2" t="s">
        <v>13611</v>
      </c>
      <c r="B5228" s="2" t="s">
        <v>13612</v>
      </c>
      <c r="C5228" s="2" t="s">
        <v>17</v>
      </c>
      <c r="D5228" s="2" t="s">
        <v>18</v>
      </c>
      <c r="E5228" s="4">
        <v>-32279</v>
      </c>
      <c r="F5228" s="3" t="s">
        <v>540</v>
      </c>
      <c r="G5228" s="3" t="s">
        <v>91</v>
      </c>
      <c r="H5228" s="2" t="s">
        <v>148</v>
      </c>
      <c r="I5228" s="2" t="s">
        <v>13613</v>
      </c>
      <c r="J5228" s="3" t="str">
        <f>HYPERLINK("https://www.boe.es/gazeta/dias/1811/08/15/pdfs/GMD-1811-227.pdf#page=3","Abrir facsímil")</f>
        <v>Abrir facsímil</v>
      </c>
      <c r="K5228" s="3" t="s">
        <v>150</v>
      </c>
    </row>
    <row r="5229" spans="1:11" ht="42" customHeight="1">
      <c r="A5229" s="2" t="s">
        <v>13614</v>
      </c>
      <c r="B5229" s="2" t="s">
        <v>13615</v>
      </c>
      <c r="C5229" s="2" t="s">
        <v>26</v>
      </c>
      <c r="D5229" s="2" t="s">
        <v>18</v>
      </c>
      <c r="E5229" s="4">
        <v>-32505</v>
      </c>
      <c r="F5229" s="3" t="s">
        <v>475</v>
      </c>
      <c r="G5229" s="3" t="s">
        <v>755</v>
      </c>
      <c r="H5229" s="2" t="s">
        <v>148</v>
      </c>
      <c r="I5229" s="2" t="s">
        <v>13616</v>
      </c>
      <c r="J5229" s="3" t="str">
        <f>HYPERLINK("https://www.boe.es/gazeta/dias/1811/01/01/pdfs/GEI-1811-1.pdf#page=8","Abrir facsímil")</f>
        <v>Abrir facsímil</v>
      </c>
      <c r="K5229" s="3" t="s">
        <v>150</v>
      </c>
    </row>
    <row r="5230" spans="1:11" ht="42" customHeight="1">
      <c r="A5230" s="2" t="s">
        <v>13617</v>
      </c>
      <c r="B5230" s="2" t="s">
        <v>13618</v>
      </c>
      <c r="C5230" s="2" t="s">
        <v>26</v>
      </c>
      <c r="D5230" s="2" t="s">
        <v>18</v>
      </c>
      <c r="E5230" s="4">
        <v>-32452</v>
      </c>
      <c r="F5230" s="3" t="s">
        <v>106</v>
      </c>
      <c r="G5230" s="3" t="s">
        <v>20</v>
      </c>
      <c r="H5230" s="2" t="s">
        <v>148</v>
      </c>
      <c r="I5230" s="2" t="s">
        <v>13619</v>
      </c>
      <c r="J5230" s="3" t="str">
        <f>HYPERLINK("https://www.boe.es/gazeta/dias/1811/02/23/pdfs/GEI-1811-24.pdf#page=8","Abrir facsímil")</f>
        <v>Abrir facsímil</v>
      </c>
      <c r="K5230" s="3" t="s">
        <v>150</v>
      </c>
    </row>
    <row r="5231" spans="1:11" ht="42" customHeight="1">
      <c r="A5231" s="2" t="s">
        <v>13620</v>
      </c>
      <c r="B5231" s="2" t="s">
        <v>13621</v>
      </c>
      <c r="C5231" s="2" t="s">
        <v>26</v>
      </c>
      <c r="D5231" s="2" t="s">
        <v>18</v>
      </c>
      <c r="E5231" s="4">
        <v>-32396</v>
      </c>
      <c r="F5231" s="3" t="s">
        <v>1267</v>
      </c>
      <c r="G5231" s="3" t="s">
        <v>382</v>
      </c>
      <c r="H5231" s="2" t="s">
        <v>148</v>
      </c>
      <c r="I5231" s="2" t="s">
        <v>13622</v>
      </c>
      <c r="J5231" s="3" t="str">
        <f>HYPERLINK("https://www.boe.es/gazeta/dias/1811/04/20/pdfs/GMD-1811-110.pdf#page=2","Abrir facsímil")</f>
        <v>Abrir facsímil</v>
      </c>
      <c r="K5231" s="3" t="s">
        <v>150</v>
      </c>
    </row>
    <row r="5232" spans="1:11" ht="42" customHeight="1">
      <c r="A5232" s="2" t="s">
        <v>13623</v>
      </c>
      <c r="B5232" s="2" t="s">
        <v>13623</v>
      </c>
      <c r="C5232" s="2" t="s">
        <v>367</v>
      </c>
      <c r="D5232" s="2" t="s">
        <v>18</v>
      </c>
      <c r="E5232" s="4">
        <v>-32464</v>
      </c>
      <c r="F5232" s="3" t="s">
        <v>4044</v>
      </c>
      <c r="G5232" s="3" t="s">
        <v>284</v>
      </c>
      <c r="H5232" s="2" t="s">
        <v>148</v>
      </c>
      <c r="I5232" s="2" t="s">
        <v>13624</v>
      </c>
      <c r="J5232" s="3" t="str">
        <f>HYPERLINK("https://www.boe.es/gazeta/dias/1811/02/11/pdfs/GMD-1811-42.pdf#page=2","Abrir facsímil")</f>
        <v>Abrir facsímil</v>
      </c>
      <c r="K5232" s="3" t="s">
        <v>150</v>
      </c>
    </row>
    <row r="5233" spans="1:11" ht="42" customHeight="1">
      <c r="A5233" s="2" t="s">
        <v>13623</v>
      </c>
      <c r="B5233" s="2" t="s">
        <v>13623</v>
      </c>
      <c r="C5233" s="2" t="s">
        <v>26</v>
      </c>
      <c r="D5233" s="2" t="s">
        <v>18</v>
      </c>
      <c r="E5233" s="4">
        <v>-32320</v>
      </c>
      <c r="F5233" s="3" t="s">
        <v>3234</v>
      </c>
      <c r="G5233" s="3" t="s">
        <v>2824</v>
      </c>
      <c r="H5233" s="2" t="s">
        <v>148</v>
      </c>
      <c r="I5233" s="2" t="s">
        <v>13625</v>
      </c>
      <c r="J5233" s="3" t="str">
        <f>HYPERLINK("https://www.boe.es/gazeta/dias/1811/07/05/pdfs/GMD-1811-186.pdf#page=1","Abrir facsímil")</f>
        <v>Abrir facsímil</v>
      </c>
      <c r="K5233" s="3" t="s">
        <v>150</v>
      </c>
    </row>
    <row r="5234" spans="1:11" ht="42" customHeight="1">
      <c r="A5234" s="2" t="s">
        <v>13626</v>
      </c>
      <c r="B5234" s="2" t="s">
        <v>13627</v>
      </c>
      <c r="C5234" s="2" t="s">
        <v>17</v>
      </c>
      <c r="D5234" s="2" t="s">
        <v>18</v>
      </c>
      <c r="E5234" s="4">
        <v>-32433</v>
      </c>
      <c r="F5234" s="3" t="s">
        <v>209</v>
      </c>
      <c r="G5234" s="3" t="s">
        <v>115</v>
      </c>
      <c r="H5234" s="2" t="s">
        <v>148</v>
      </c>
      <c r="I5234" s="2" t="s">
        <v>13628</v>
      </c>
      <c r="J5234" s="3" t="str">
        <f>HYPERLINK("https://www.boe.es/gazeta/dias/1811/03/14/pdfs/GMD-1811-73.pdf#page=3","Abrir facsímil")</f>
        <v>Abrir facsímil</v>
      </c>
      <c r="K5234" s="3" t="s">
        <v>150</v>
      </c>
    </row>
    <row r="5235" spans="1:11" ht="42" customHeight="1">
      <c r="A5235" s="2" t="s">
        <v>13629</v>
      </c>
      <c r="B5235" s="2" t="s">
        <v>13630</v>
      </c>
      <c r="C5235" s="2" t="s">
        <v>26</v>
      </c>
      <c r="D5235" s="2" t="s">
        <v>18</v>
      </c>
      <c r="E5235" s="4">
        <v>-32433</v>
      </c>
      <c r="F5235" s="3" t="s">
        <v>209</v>
      </c>
      <c r="G5235" s="3" t="s">
        <v>488</v>
      </c>
      <c r="H5235" s="2" t="s">
        <v>148</v>
      </c>
      <c r="I5235" s="2" t="s">
        <v>13631</v>
      </c>
      <c r="J5235" s="3" t="str">
        <f>HYPERLINK("https://www.boe.es/gazeta/dias/1811/03/14/pdfs/GMD-1811-73.pdf#page=2","Abrir facsímil")</f>
        <v>Abrir facsímil</v>
      </c>
      <c r="K5235" s="3" t="s">
        <v>150</v>
      </c>
    </row>
    <row r="5236" spans="1:11" ht="42" customHeight="1">
      <c r="A5236" s="2" t="s">
        <v>13632</v>
      </c>
      <c r="B5236" s="2" t="s">
        <v>13633</v>
      </c>
      <c r="C5236" s="2" t="s">
        <v>17</v>
      </c>
      <c r="D5236" s="2" t="s">
        <v>18</v>
      </c>
      <c r="E5236" s="4">
        <v>-32300</v>
      </c>
      <c r="F5236" s="3" t="s">
        <v>61</v>
      </c>
      <c r="G5236" s="3" t="s">
        <v>62</v>
      </c>
      <c r="H5236" s="2" t="s">
        <v>148</v>
      </c>
      <c r="I5236" s="2" t="s">
        <v>13634</v>
      </c>
      <c r="J5236" s="3" t="str">
        <f>HYPERLINK("https://www.boe.es/gazeta/dias/1811/07/25/pdfs/GEI-1811-97.pdf#page=5","Abrir facsímil")</f>
        <v>Abrir facsímil</v>
      </c>
      <c r="K5236" s="3" t="s">
        <v>150</v>
      </c>
    </row>
    <row r="5237" spans="1:11" ht="42" customHeight="1">
      <c r="A5237" s="2" t="s">
        <v>13635</v>
      </c>
      <c r="B5237" s="2" t="s">
        <v>13636</v>
      </c>
      <c r="C5237" s="2" t="s">
        <v>84</v>
      </c>
      <c r="D5237" s="2" t="s">
        <v>105</v>
      </c>
      <c r="E5237" s="4">
        <v>-32501</v>
      </c>
      <c r="F5237" s="3" t="s">
        <v>509</v>
      </c>
      <c r="G5237" s="3" t="s">
        <v>510</v>
      </c>
      <c r="H5237" s="2" t="s">
        <v>148</v>
      </c>
      <c r="I5237" s="2" t="s">
        <v>13637</v>
      </c>
      <c r="J5237" s="3" t="str">
        <f>HYPERLINK("https://www.boe.es/gazeta/dias/1811/01/05/pdfs/GEI-1811-3.pdf#page=8","Abrir facsímil")</f>
        <v>Abrir facsímil</v>
      </c>
      <c r="K5237" s="3" t="s">
        <v>150</v>
      </c>
    </row>
    <row r="5238" spans="1:11" ht="42" customHeight="1">
      <c r="A5238" s="2" t="s">
        <v>13638</v>
      </c>
      <c r="B5238" s="2" t="s">
        <v>13638</v>
      </c>
      <c r="C5238" s="2" t="s">
        <v>17</v>
      </c>
      <c r="D5238" s="2" t="s">
        <v>156</v>
      </c>
      <c r="E5238" s="4">
        <v>-32410</v>
      </c>
      <c r="F5238" s="3" t="s">
        <v>2678</v>
      </c>
      <c r="G5238" s="3" t="s">
        <v>440</v>
      </c>
      <c r="H5238" s="2" t="s">
        <v>148</v>
      </c>
      <c r="I5238" s="2" t="s">
        <v>13639</v>
      </c>
      <c r="J5238" s="3" t="str">
        <f>HYPERLINK("https://www.boe.es/gazeta/dias/1811/04/06/pdfs/GEI-1811-47.pdf#page=4","Abrir facsímil")</f>
        <v>Abrir facsímil</v>
      </c>
      <c r="K5238" s="3" t="s">
        <v>150</v>
      </c>
    </row>
    <row r="5239" spans="1:11" ht="42" customHeight="1">
      <c r="A5239" s="2" t="s">
        <v>13638</v>
      </c>
      <c r="B5239" s="2" t="s">
        <v>13638</v>
      </c>
      <c r="C5239" s="2" t="s">
        <v>17</v>
      </c>
      <c r="D5239" s="2" t="s">
        <v>18</v>
      </c>
      <c r="E5239" s="4">
        <v>-32381</v>
      </c>
      <c r="F5239" s="3" t="s">
        <v>1698</v>
      </c>
      <c r="G5239" s="3" t="s">
        <v>134</v>
      </c>
      <c r="H5239" s="2" t="s">
        <v>148</v>
      </c>
      <c r="I5239" s="2" t="s">
        <v>13640</v>
      </c>
      <c r="J5239" s="3" t="str">
        <f>HYPERLINK("https://www.boe.es/gazeta/dias/1811/05/05/pdfs/GMD-1811-125.pdf#page=3","Abrir facsímil")</f>
        <v>Abrir facsímil</v>
      </c>
      <c r="K5239" s="3" t="s">
        <v>150</v>
      </c>
    </row>
    <row r="5240" spans="1:11" ht="42" customHeight="1">
      <c r="A5240" s="2" t="s">
        <v>13638</v>
      </c>
      <c r="B5240" s="2" t="s">
        <v>13638</v>
      </c>
      <c r="C5240" s="2" t="s">
        <v>17</v>
      </c>
      <c r="D5240" s="2" t="s">
        <v>105</v>
      </c>
      <c r="E5240" s="4">
        <v>-32147</v>
      </c>
      <c r="F5240" s="3" t="s">
        <v>1922</v>
      </c>
      <c r="G5240" s="3" t="s">
        <v>1923</v>
      </c>
      <c r="H5240" s="2" t="s">
        <v>148</v>
      </c>
      <c r="I5240" s="2" t="s">
        <v>13641</v>
      </c>
      <c r="J5240" s="3" t="str">
        <f>HYPERLINK("https://www.boe.es/gazeta/dias/1811/12/25/pdfs/GMD-1811-359.pdf#page=4","Abrir facsímil")</f>
        <v>Abrir facsímil</v>
      </c>
      <c r="K5240" s="3" t="s">
        <v>150</v>
      </c>
    </row>
    <row r="5241" spans="1:11" ht="42" customHeight="1">
      <c r="A5241" s="2" t="s">
        <v>13642</v>
      </c>
      <c r="B5241" s="2" t="s">
        <v>13643</v>
      </c>
      <c r="C5241" s="2" t="s">
        <v>37</v>
      </c>
      <c r="D5241" s="2" t="s">
        <v>18</v>
      </c>
      <c r="E5241" s="4">
        <v>-32266</v>
      </c>
      <c r="F5241" s="3" t="s">
        <v>1234</v>
      </c>
      <c r="G5241" s="3" t="s">
        <v>1235</v>
      </c>
      <c r="H5241" s="2" t="s">
        <v>148</v>
      </c>
      <c r="I5241" s="2" t="s">
        <v>13644</v>
      </c>
      <c r="J5241" s="3" t="str">
        <f>HYPERLINK("https://www.boe.es/gazeta/dias/1811/08/28/pdfs/GMD-1811-240.pdf#page=4","Abrir facsímil")</f>
        <v>Abrir facsímil</v>
      </c>
      <c r="K5241" s="3" t="s">
        <v>150</v>
      </c>
    </row>
    <row r="5242" spans="1:11" ht="42" customHeight="1">
      <c r="A5242" s="2" t="s">
        <v>13645</v>
      </c>
      <c r="B5242" s="2" t="s">
        <v>13646</v>
      </c>
      <c r="C5242" s="2" t="s">
        <v>17</v>
      </c>
      <c r="D5242" s="2" t="s">
        <v>18</v>
      </c>
      <c r="E5242" s="4">
        <v>-32309</v>
      </c>
      <c r="F5242" s="3" t="s">
        <v>2496</v>
      </c>
      <c r="G5242" s="3" t="s">
        <v>47</v>
      </c>
      <c r="H5242" s="2" t="s">
        <v>148</v>
      </c>
      <c r="I5242" s="2" t="s">
        <v>13647</v>
      </c>
      <c r="J5242" s="3" t="str">
        <f>HYPERLINK("https://www.boe.es/gazeta/dias/1811/07/16/pdfs/GEI-1811-93.pdf#page=8","Abrir facsímil")</f>
        <v>Abrir facsímil</v>
      </c>
      <c r="K5242" s="3" t="s">
        <v>150</v>
      </c>
    </row>
    <row r="5243" spans="1:11" ht="42" customHeight="1">
      <c r="A5243" s="2" t="s">
        <v>13648</v>
      </c>
      <c r="B5243" s="2" t="s">
        <v>13649</v>
      </c>
      <c r="C5243" s="2" t="s">
        <v>26</v>
      </c>
      <c r="D5243" s="2" t="s">
        <v>18</v>
      </c>
      <c r="E5243" s="4">
        <v>-32155</v>
      </c>
      <c r="F5243" s="3" t="s">
        <v>263</v>
      </c>
      <c r="G5243" s="3" t="s">
        <v>1800</v>
      </c>
      <c r="H5243" s="2" t="s">
        <v>148</v>
      </c>
      <c r="I5243" s="2" t="s">
        <v>13650</v>
      </c>
      <c r="J5243" s="3" t="str">
        <f>HYPERLINK("https://www.boe.es/gazeta/dias/1811/12/17/pdfs/GEI-1811-163.pdf#page=7","Abrir facsímil")</f>
        <v>Abrir facsímil</v>
      </c>
      <c r="K5243" s="3" t="s">
        <v>150</v>
      </c>
    </row>
    <row r="5244" spans="1:11" ht="42" customHeight="1">
      <c r="A5244" s="2" t="s">
        <v>13651</v>
      </c>
      <c r="B5244" s="2" t="s">
        <v>13652</v>
      </c>
      <c r="C5244" s="2" t="s">
        <v>17</v>
      </c>
      <c r="D5244" s="2" t="s">
        <v>18</v>
      </c>
      <c r="E5244" s="4">
        <v>-32486</v>
      </c>
      <c r="F5244" s="3" t="s">
        <v>556</v>
      </c>
      <c r="G5244" s="3" t="s">
        <v>248</v>
      </c>
      <c r="H5244" s="2" t="s">
        <v>148</v>
      </c>
      <c r="I5244" s="2" t="s">
        <v>13653</v>
      </c>
      <c r="J5244" s="3" t="str">
        <f>HYPERLINK("https://www.boe.es/gazeta/dias/1811/01/20/pdfs/GMD-1811-20.pdf#page=2","Abrir facsímil")</f>
        <v>Abrir facsímil</v>
      </c>
      <c r="K5244" s="3" t="s">
        <v>150</v>
      </c>
    </row>
    <row r="5245" spans="1:11" ht="42" customHeight="1">
      <c r="A5245" s="2" t="s">
        <v>13654</v>
      </c>
      <c r="B5245" s="2" t="s">
        <v>13655</v>
      </c>
      <c r="C5245" s="2" t="s">
        <v>17</v>
      </c>
      <c r="D5245" s="2" t="s">
        <v>156</v>
      </c>
      <c r="E5245" s="4">
        <v>-32463</v>
      </c>
      <c r="F5245" s="3" t="s">
        <v>734</v>
      </c>
      <c r="G5245" s="3" t="s">
        <v>20</v>
      </c>
      <c r="H5245" s="2" t="s">
        <v>148</v>
      </c>
      <c r="I5245" s="2" t="s">
        <v>13656</v>
      </c>
      <c r="J5245" s="3" t="str">
        <f>HYPERLINK("https://www.boe.es/gazeta/dias/1811/02/12/pdfs/GEI-1811-19.pdf#page=6","Abrir facsímil")</f>
        <v>Abrir facsímil</v>
      </c>
      <c r="K5245" s="3" t="s">
        <v>150</v>
      </c>
    </row>
    <row r="5246" spans="1:11" ht="42" customHeight="1">
      <c r="A5246" s="2" t="s">
        <v>13657</v>
      </c>
      <c r="B5246" s="2" t="s">
        <v>13657</v>
      </c>
      <c r="C5246" s="2" t="s">
        <v>26</v>
      </c>
      <c r="D5246" s="2" t="s">
        <v>204</v>
      </c>
      <c r="E5246" s="4">
        <v>-32350</v>
      </c>
      <c r="F5246" s="3" t="s">
        <v>4957</v>
      </c>
      <c r="G5246" s="3" t="s">
        <v>47</v>
      </c>
      <c r="H5246" s="2" t="s">
        <v>148</v>
      </c>
      <c r="I5246" s="2" t="s">
        <v>13658</v>
      </c>
      <c r="J5246" s="3" t="str">
        <f>HYPERLINK("https://www.boe.es/gazeta/dias/1811/06/05/pdfs/GMD-1811-156.pdf#page=2","Abrir facsímil")</f>
        <v>Abrir facsímil</v>
      </c>
      <c r="K5246" s="3" t="s">
        <v>150</v>
      </c>
    </row>
    <row r="5247" spans="1:11" ht="42" customHeight="1">
      <c r="A5247" s="2" t="s">
        <v>13659</v>
      </c>
      <c r="B5247" s="2" t="s">
        <v>13659</v>
      </c>
      <c r="C5247" s="2" t="s">
        <v>17</v>
      </c>
      <c r="D5247" s="2" t="s">
        <v>18</v>
      </c>
      <c r="E5247" s="4">
        <v>-32355</v>
      </c>
      <c r="F5247" s="3" t="s">
        <v>2342</v>
      </c>
      <c r="G5247" s="3" t="s">
        <v>1757</v>
      </c>
      <c r="H5247" s="2" t="s">
        <v>148</v>
      </c>
      <c r="I5247" s="2" t="s">
        <v>13660</v>
      </c>
      <c r="J5247" s="3" t="str">
        <f>HYPERLINK("https://www.boe.es/gazeta/dias/1811/05/31/pdfs/GMD-1811-151.pdf#page=1","Abrir facsímil")</f>
        <v>Abrir facsímil</v>
      </c>
      <c r="K5247" s="3" t="s">
        <v>150</v>
      </c>
    </row>
    <row r="5248" spans="1:11" ht="42" customHeight="1">
      <c r="A5248" s="2" t="s">
        <v>13661</v>
      </c>
      <c r="B5248" s="2" t="s">
        <v>13661</v>
      </c>
      <c r="C5248" s="2" t="s">
        <v>26</v>
      </c>
      <c r="D5248" s="2" t="s">
        <v>141</v>
      </c>
      <c r="E5248" s="4">
        <v>-32280</v>
      </c>
      <c r="F5248" s="3" t="s">
        <v>142</v>
      </c>
      <c r="G5248" s="3" t="s">
        <v>47</v>
      </c>
      <c r="H5248" s="2" t="s">
        <v>148</v>
      </c>
      <c r="I5248" s="2" t="s">
        <v>13662</v>
      </c>
      <c r="J5248" s="3" t="str">
        <f>HYPERLINK("https://www.boe.es/gazeta/dias/1811/08/14/pdfs/GMD-C-1811-226.pdf#page=1","Abrir facsímil")</f>
        <v>Abrir facsímil</v>
      </c>
      <c r="K5248" s="3" t="s">
        <v>150</v>
      </c>
    </row>
    <row r="5249" spans="1:11" ht="42" customHeight="1">
      <c r="A5249" s="2" t="s">
        <v>13663</v>
      </c>
      <c r="B5249" s="2" t="s">
        <v>13664</v>
      </c>
      <c r="C5249" s="2" t="s">
        <v>66</v>
      </c>
      <c r="D5249" s="2" t="s">
        <v>204</v>
      </c>
      <c r="E5249" s="4">
        <v>-32182</v>
      </c>
      <c r="F5249" s="3" t="s">
        <v>653</v>
      </c>
      <c r="G5249" s="3" t="s">
        <v>44</v>
      </c>
      <c r="H5249" s="2" t="s">
        <v>148</v>
      </c>
      <c r="I5249" s="2" t="s">
        <v>13665</v>
      </c>
      <c r="J5249" s="3" t="str">
        <f>HYPERLINK("https://www.boe.es/gazeta/dias/1811/11/20/pdfs/GMD-1811-324.pdf#page=4","Abrir facsímil")</f>
        <v>Abrir facsímil</v>
      </c>
      <c r="K5249" s="3" t="s">
        <v>150</v>
      </c>
    </row>
    <row r="5250" spans="1:11" ht="42" customHeight="1">
      <c r="A5250" s="2" t="s">
        <v>13666</v>
      </c>
      <c r="B5250" s="2" t="s">
        <v>13666</v>
      </c>
      <c r="C5250" s="2" t="s">
        <v>17</v>
      </c>
      <c r="D5250" s="2" t="s">
        <v>18</v>
      </c>
      <c r="E5250" s="4">
        <v>-32230</v>
      </c>
      <c r="F5250" s="3" t="s">
        <v>625</v>
      </c>
      <c r="G5250" s="3" t="s">
        <v>5020</v>
      </c>
      <c r="H5250" s="2" t="s">
        <v>148</v>
      </c>
      <c r="I5250" s="2" t="s">
        <v>13667</v>
      </c>
      <c r="J5250" s="3" t="str">
        <f>HYPERLINK("https://www.boe.es/gazeta/dias/1811/10/03/pdfs/GEI-1811-127.pdf#page=4","Abrir facsímil")</f>
        <v>Abrir facsímil</v>
      </c>
      <c r="K5250" s="3" t="s">
        <v>150</v>
      </c>
    </row>
    <row r="5251" spans="1:11" ht="42" customHeight="1">
      <c r="A5251" s="2" t="s">
        <v>13668</v>
      </c>
      <c r="B5251" s="2" t="s">
        <v>13669</v>
      </c>
      <c r="C5251" s="2" t="s">
        <v>17</v>
      </c>
      <c r="D5251" s="2" t="s">
        <v>156</v>
      </c>
      <c r="E5251" s="4">
        <v>-32286</v>
      </c>
      <c r="F5251" s="3" t="s">
        <v>754</v>
      </c>
      <c r="G5251" s="3" t="s">
        <v>900</v>
      </c>
      <c r="H5251" s="2" t="s">
        <v>148</v>
      </c>
      <c r="I5251" s="2" t="s">
        <v>13670</v>
      </c>
      <c r="J5251" s="3" t="str">
        <f>HYPERLINK("https://www.boe.es/gazeta/dias/1811/08/08/pdfs/GEI-1811-103.pdf#page=4","Abrir facsímil")</f>
        <v>Abrir facsímil</v>
      </c>
      <c r="K5251" s="3" t="s">
        <v>150</v>
      </c>
    </row>
    <row r="5252" spans="1:11" ht="42" customHeight="1">
      <c r="A5252" s="2" t="s">
        <v>13671</v>
      </c>
      <c r="B5252" s="2" t="s">
        <v>13672</v>
      </c>
      <c r="C5252" s="2" t="s">
        <v>26</v>
      </c>
      <c r="D5252" s="2" t="s">
        <v>18</v>
      </c>
      <c r="E5252" s="4">
        <v>-32179</v>
      </c>
      <c r="F5252" s="3" t="s">
        <v>3269</v>
      </c>
      <c r="G5252" s="3" t="s">
        <v>91</v>
      </c>
      <c r="H5252" s="2" t="s">
        <v>148</v>
      </c>
      <c r="I5252" s="2" t="s">
        <v>13673</v>
      </c>
      <c r="J5252" s="3" t="str">
        <f>HYPERLINK("https://www.boe.es/gazeta/dias/1811/11/23/pdfs/GMD-1811-327.pdf#page=4","Abrir facsímil")</f>
        <v>Abrir facsímil</v>
      </c>
      <c r="K5252" s="3" t="s">
        <v>150</v>
      </c>
    </row>
    <row r="5253" spans="1:11" ht="42" customHeight="1">
      <c r="A5253" s="2" t="s">
        <v>13674</v>
      </c>
      <c r="B5253" s="2" t="s">
        <v>13675</v>
      </c>
      <c r="C5253" s="2" t="s">
        <v>17</v>
      </c>
      <c r="D5253" s="2" t="s">
        <v>156</v>
      </c>
      <c r="E5253" s="4">
        <v>-32286</v>
      </c>
      <c r="F5253" s="3" t="s">
        <v>754</v>
      </c>
      <c r="G5253" s="3" t="s">
        <v>1728</v>
      </c>
      <c r="H5253" s="2" t="s">
        <v>148</v>
      </c>
      <c r="I5253" s="2" t="s">
        <v>13676</v>
      </c>
      <c r="J5253" s="3" t="str">
        <f>HYPERLINK("https://www.boe.es/gazeta/dias/1811/08/08/pdfs/GEI-1811-103.pdf#page=8","Abrir facsímil")</f>
        <v>Abrir facsímil</v>
      </c>
      <c r="K5253" s="3" t="s">
        <v>150</v>
      </c>
    </row>
    <row r="5254" spans="1:11" ht="42" customHeight="1">
      <c r="A5254" s="2" t="s">
        <v>13677</v>
      </c>
      <c r="B5254" s="2" t="s">
        <v>13678</v>
      </c>
      <c r="C5254" s="2" t="s">
        <v>26</v>
      </c>
      <c r="D5254" s="2" t="s">
        <v>18</v>
      </c>
      <c r="E5254" s="4">
        <v>-32210</v>
      </c>
      <c r="F5254" s="3" t="s">
        <v>1737</v>
      </c>
      <c r="G5254" s="3" t="s">
        <v>248</v>
      </c>
      <c r="H5254" s="2" t="s">
        <v>148</v>
      </c>
      <c r="I5254" s="2" t="s">
        <v>13679</v>
      </c>
      <c r="J5254" s="3" t="str">
        <f>HYPERLINK("https://www.boe.es/gazeta/dias/1811/10/23/pdfs/GMD-1811-296.pdf#page=5","Abrir facsímil")</f>
        <v>Abrir facsímil</v>
      </c>
      <c r="K5254" s="3" t="s">
        <v>150</v>
      </c>
    </row>
    <row r="5255" spans="1:11" ht="42" customHeight="1">
      <c r="A5255" s="2" t="s">
        <v>13680</v>
      </c>
      <c r="B5255" s="2" t="s">
        <v>13681</v>
      </c>
      <c r="C5255" s="2" t="s">
        <v>84</v>
      </c>
      <c r="D5255" s="2" t="s">
        <v>105</v>
      </c>
      <c r="E5255" s="4">
        <v>-32463</v>
      </c>
      <c r="F5255" s="3" t="s">
        <v>734</v>
      </c>
      <c r="G5255" s="3" t="s">
        <v>735</v>
      </c>
      <c r="H5255" s="2" t="s">
        <v>148</v>
      </c>
      <c r="I5255" s="2" t="s">
        <v>13682</v>
      </c>
      <c r="J5255" s="3" t="str">
        <f>HYPERLINK("https://www.boe.es/gazeta/dias/1811/02/12/pdfs/GEI-1811-19.pdf#page=8","Abrir facsímil")</f>
        <v>Abrir facsímil</v>
      </c>
      <c r="K5255" s="3" t="s">
        <v>150</v>
      </c>
    </row>
    <row r="5256" spans="1:11" ht="42" customHeight="1">
      <c r="A5256" s="2" t="s">
        <v>13683</v>
      </c>
      <c r="B5256" s="2" t="s">
        <v>13684</v>
      </c>
      <c r="C5256" s="2" t="s">
        <v>17</v>
      </c>
      <c r="D5256" s="2" t="s">
        <v>18</v>
      </c>
      <c r="E5256" s="4">
        <v>-32176</v>
      </c>
      <c r="F5256" s="3" t="s">
        <v>638</v>
      </c>
      <c r="G5256" s="3" t="s">
        <v>44</v>
      </c>
      <c r="H5256" s="2" t="s">
        <v>148</v>
      </c>
      <c r="I5256" s="2" t="s">
        <v>13685</v>
      </c>
      <c r="J5256" s="3" t="str">
        <f>HYPERLINK("https://www.boe.es/gazeta/dias/1811/11/26/pdfs/GEI-1811-154.pdf#page=8","Abrir facsímil")</f>
        <v>Abrir facsímil</v>
      </c>
      <c r="K5256" s="3" t="s">
        <v>150</v>
      </c>
    </row>
    <row r="5257" spans="1:11" ht="42" customHeight="1">
      <c r="A5257" s="2" t="s">
        <v>13686</v>
      </c>
      <c r="B5257" s="2" t="s">
        <v>13687</v>
      </c>
      <c r="C5257" s="2" t="s">
        <v>37</v>
      </c>
      <c r="D5257" s="2" t="s">
        <v>18</v>
      </c>
      <c r="E5257" s="4">
        <v>-32249</v>
      </c>
      <c r="F5257" s="3" t="s">
        <v>824</v>
      </c>
      <c r="G5257" s="3" t="s">
        <v>900</v>
      </c>
      <c r="H5257" s="2" t="s">
        <v>148</v>
      </c>
      <c r="I5257" s="2" t="s">
        <v>13688</v>
      </c>
      <c r="J5257" s="3" t="str">
        <f>HYPERLINK("https://www.boe.es/gazeta/dias/1811/09/14/pdfs/GEI-1811-119.pdf#page=8","Abrir facsímil")</f>
        <v>Abrir facsímil</v>
      </c>
      <c r="K5257" s="3" t="s">
        <v>150</v>
      </c>
    </row>
    <row r="5258" spans="1:11" ht="42" customHeight="1">
      <c r="A5258" s="2" t="s">
        <v>13689</v>
      </c>
      <c r="B5258" s="2" t="s">
        <v>13690</v>
      </c>
      <c r="C5258" s="2" t="s">
        <v>26</v>
      </c>
      <c r="D5258" s="2" t="s">
        <v>18</v>
      </c>
      <c r="E5258" s="4">
        <v>-32153</v>
      </c>
      <c r="F5258" s="3" t="s">
        <v>123</v>
      </c>
      <c r="G5258" s="3" t="s">
        <v>1067</v>
      </c>
      <c r="H5258" s="2" t="s">
        <v>148</v>
      </c>
      <c r="I5258" s="2" t="s">
        <v>13691</v>
      </c>
      <c r="J5258" s="3" t="str">
        <f>HYPERLINK("https://www.boe.es/gazeta/dias/1811/12/19/pdfs/GMD-1811-353.pdf#page=5","Abrir facsímil")</f>
        <v>Abrir facsímil</v>
      </c>
      <c r="K5258" s="3" t="s">
        <v>150</v>
      </c>
    </row>
    <row r="5259" spans="1:11" ht="42" customHeight="1">
      <c r="A5259" s="2" t="s">
        <v>13692</v>
      </c>
      <c r="B5259" s="2" t="s">
        <v>13693</v>
      </c>
      <c r="C5259" s="2" t="s">
        <v>17</v>
      </c>
      <c r="D5259" s="2" t="s">
        <v>156</v>
      </c>
      <c r="E5259" s="4">
        <v>-32303</v>
      </c>
      <c r="F5259" s="3" t="s">
        <v>2811</v>
      </c>
      <c r="G5259" s="3" t="s">
        <v>3577</v>
      </c>
      <c r="H5259" s="2" t="s">
        <v>148</v>
      </c>
      <c r="I5259" s="2" t="s">
        <v>13694</v>
      </c>
      <c r="J5259" s="3" t="str">
        <f>HYPERLINK("https://www.boe.es/gazeta/dias/1811/07/22/pdfs/GMD-1811-203.pdf#page=4","Abrir facsímil")</f>
        <v>Abrir facsímil</v>
      </c>
      <c r="K5259" s="3" t="s">
        <v>150</v>
      </c>
    </row>
    <row r="5260" spans="1:11" ht="42" customHeight="1">
      <c r="A5260" s="2" t="s">
        <v>13695</v>
      </c>
      <c r="B5260" s="2" t="s">
        <v>13696</v>
      </c>
      <c r="C5260" s="2" t="s">
        <v>26</v>
      </c>
      <c r="D5260" s="2" t="s">
        <v>18</v>
      </c>
      <c r="E5260" s="4">
        <v>-32153</v>
      </c>
      <c r="F5260" s="3" t="s">
        <v>123</v>
      </c>
      <c r="G5260" s="3" t="s">
        <v>124</v>
      </c>
      <c r="H5260" s="2" t="s">
        <v>148</v>
      </c>
      <c r="I5260" s="2" t="s">
        <v>13697</v>
      </c>
      <c r="J5260" s="3" t="str">
        <f>HYPERLINK("https://www.boe.es/gazeta/dias/1811/12/19/pdfs/GMD-1811-353.pdf#page=6","Abrir facsímil")</f>
        <v>Abrir facsímil</v>
      </c>
      <c r="K5260" s="3" t="s">
        <v>150</v>
      </c>
    </row>
    <row r="5261" spans="1:11" ht="42" customHeight="1">
      <c r="A5261" s="2" t="s">
        <v>13698</v>
      </c>
      <c r="B5261" s="2" t="s">
        <v>13698</v>
      </c>
      <c r="C5261" s="2" t="s">
        <v>26</v>
      </c>
      <c r="D5261" s="2" t="s">
        <v>18</v>
      </c>
      <c r="E5261" s="4">
        <v>-32436</v>
      </c>
      <c r="F5261" s="3" t="s">
        <v>1972</v>
      </c>
      <c r="G5261" s="3" t="s">
        <v>20</v>
      </c>
      <c r="H5261" s="2" t="s">
        <v>148</v>
      </c>
      <c r="I5261" s="2" t="s">
        <v>13699</v>
      </c>
      <c r="J5261" s="3" t="str">
        <f>HYPERLINK("https://www.boe.es/gazeta/dias/1811/03/11/pdfs/GMD-1811-70.pdf#page=2","Abrir facsímil")</f>
        <v>Abrir facsímil</v>
      </c>
      <c r="K5261" s="3" t="s">
        <v>150</v>
      </c>
    </row>
    <row r="5262" spans="1:11" ht="42" customHeight="1">
      <c r="A5262" s="2" t="s">
        <v>13698</v>
      </c>
      <c r="B5262" s="2" t="s">
        <v>13698</v>
      </c>
      <c r="C5262" s="2" t="s">
        <v>17</v>
      </c>
      <c r="D5262" s="2" t="s">
        <v>18</v>
      </c>
      <c r="E5262" s="4">
        <v>-32430</v>
      </c>
      <c r="F5262" s="3" t="s">
        <v>4714</v>
      </c>
      <c r="G5262" s="3" t="s">
        <v>4715</v>
      </c>
      <c r="H5262" s="2" t="s">
        <v>148</v>
      </c>
      <c r="I5262" s="2" t="s">
        <v>13700</v>
      </c>
      <c r="J5262" s="3" t="str">
        <f>HYPERLINK("https://www.boe.es/gazeta/dias/1811/03/17/pdfs/GMD-1811-76.pdf#page=1","Abrir facsímil")</f>
        <v>Abrir facsímil</v>
      </c>
      <c r="K5262" s="3" t="s">
        <v>150</v>
      </c>
    </row>
    <row r="5263" spans="1:11" ht="42" customHeight="1">
      <c r="A5263" s="2" t="s">
        <v>13698</v>
      </c>
      <c r="B5263" s="2" t="s">
        <v>13698</v>
      </c>
      <c r="C5263" s="2" t="s">
        <v>26</v>
      </c>
      <c r="D5263" s="2" t="s">
        <v>18</v>
      </c>
      <c r="E5263" s="4">
        <v>-32422</v>
      </c>
      <c r="F5263" s="3" t="s">
        <v>5675</v>
      </c>
      <c r="G5263" s="3" t="s">
        <v>13701</v>
      </c>
      <c r="H5263" s="2" t="s">
        <v>148</v>
      </c>
      <c r="I5263" s="2" t="s">
        <v>13702</v>
      </c>
      <c r="J5263" s="3" t="str">
        <f>HYPERLINK("https://www.boe.es/gazeta/dias/1811/03/25/pdfs/GMD-1811-84.pdf#page=1","Abrir facsímil")</f>
        <v>Abrir facsímil</v>
      </c>
      <c r="K5263" s="3" t="s">
        <v>150</v>
      </c>
    </row>
    <row r="5264" spans="1:11" ht="42" customHeight="1">
      <c r="A5264" s="2" t="s">
        <v>13698</v>
      </c>
      <c r="B5264" s="2" t="s">
        <v>13698</v>
      </c>
      <c r="C5264" s="2" t="s">
        <v>17</v>
      </c>
      <c r="D5264" s="2" t="s">
        <v>156</v>
      </c>
      <c r="E5264" s="4">
        <v>-32401</v>
      </c>
      <c r="F5264" s="3" t="s">
        <v>1084</v>
      </c>
      <c r="G5264" s="3" t="s">
        <v>20</v>
      </c>
      <c r="H5264" s="2" t="s">
        <v>148</v>
      </c>
      <c r="I5264" s="2" t="s">
        <v>13703</v>
      </c>
      <c r="J5264" s="3" t="str">
        <f>HYPERLINK("https://www.boe.es/gazeta/dias/1811/04/15/pdfs/GMD-1811-105.pdf#page=2","Abrir facsímil")</f>
        <v>Abrir facsímil</v>
      </c>
      <c r="K5264" s="3" t="s">
        <v>150</v>
      </c>
    </row>
    <row r="5265" spans="1:11" ht="42" customHeight="1">
      <c r="A5265" s="2" t="s">
        <v>13698</v>
      </c>
      <c r="B5265" s="2" t="s">
        <v>13698</v>
      </c>
      <c r="C5265" s="2" t="s">
        <v>26</v>
      </c>
      <c r="D5265" s="2" t="s">
        <v>18</v>
      </c>
      <c r="E5265" s="4">
        <v>-32291</v>
      </c>
      <c r="F5265" s="3" t="s">
        <v>13464</v>
      </c>
      <c r="G5265" s="3" t="s">
        <v>44</v>
      </c>
      <c r="H5265" s="2" t="s">
        <v>148</v>
      </c>
      <c r="I5265" s="2" t="s">
        <v>13704</v>
      </c>
      <c r="J5265" s="3" t="str">
        <f>HYPERLINK("https://www.boe.es/gazeta/dias/1811/08/03/pdfs/GMD-1811-215.pdf#page=2","Abrir facsímil")</f>
        <v>Abrir facsímil</v>
      </c>
      <c r="K5265" s="3" t="s">
        <v>150</v>
      </c>
    </row>
    <row r="5266" spans="1:11" ht="42" customHeight="1">
      <c r="A5266" s="2" t="s">
        <v>13705</v>
      </c>
      <c r="B5266" s="2" t="s">
        <v>13706</v>
      </c>
      <c r="C5266" s="2" t="s">
        <v>26</v>
      </c>
      <c r="D5266" s="2" t="s">
        <v>18</v>
      </c>
      <c r="E5266" s="4">
        <v>-32505</v>
      </c>
      <c r="F5266" s="3" t="s">
        <v>475</v>
      </c>
      <c r="G5266" s="3" t="s">
        <v>755</v>
      </c>
      <c r="H5266" s="2" t="s">
        <v>148</v>
      </c>
      <c r="I5266" s="2" t="s">
        <v>13707</v>
      </c>
      <c r="J5266" s="3" t="str">
        <f>HYPERLINK("https://www.boe.es/gazeta/dias/1811/01/01/pdfs/GEI-1811-1.pdf#page=8","Abrir facsímil")</f>
        <v>Abrir facsímil</v>
      </c>
      <c r="K5266" s="3" t="s">
        <v>150</v>
      </c>
    </row>
    <row r="5267" spans="1:11" ht="42" customHeight="1">
      <c r="A5267" s="2" t="s">
        <v>13708</v>
      </c>
      <c r="B5267" s="2" t="s">
        <v>13709</v>
      </c>
      <c r="C5267" s="2" t="s">
        <v>26</v>
      </c>
      <c r="D5267" s="2" t="s">
        <v>18</v>
      </c>
      <c r="E5267" s="4">
        <v>-32179</v>
      </c>
      <c r="F5267" s="3" t="s">
        <v>614</v>
      </c>
      <c r="G5267" s="3" t="s">
        <v>47</v>
      </c>
      <c r="H5267" s="2" t="s">
        <v>148</v>
      </c>
      <c r="I5267" s="2" t="s">
        <v>13710</v>
      </c>
      <c r="J5267" s="3" t="str">
        <f>HYPERLINK("https://www.boe.es/gazeta/dias/1811/11/23/pdfs/GEI-1811-153.pdf#page=8","Abrir facsímil")</f>
        <v>Abrir facsímil</v>
      </c>
      <c r="K5267" s="3" t="s">
        <v>150</v>
      </c>
    </row>
    <row r="5268" spans="1:11" ht="42" customHeight="1">
      <c r="A5268" s="2" t="s">
        <v>13711</v>
      </c>
      <c r="B5268" s="2" t="s">
        <v>13712</v>
      </c>
      <c r="C5268" s="2" t="s">
        <v>17</v>
      </c>
      <c r="D5268" s="2" t="s">
        <v>18</v>
      </c>
      <c r="E5268" s="4">
        <v>-32461</v>
      </c>
      <c r="F5268" s="3" t="s">
        <v>2429</v>
      </c>
      <c r="G5268" s="3" t="s">
        <v>553</v>
      </c>
      <c r="H5268" s="2" t="s">
        <v>148</v>
      </c>
      <c r="I5268" s="2" t="s">
        <v>13713</v>
      </c>
      <c r="J5268" s="3" t="str">
        <f>HYPERLINK("https://www.boe.es/gazeta/dias/1811/02/14/pdfs/GEI-1811-20.pdf#page=1","Abrir facsímil")</f>
        <v>Abrir facsímil</v>
      </c>
      <c r="K5268" s="3" t="s">
        <v>150</v>
      </c>
    </row>
    <row r="5269" spans="1:11" ht="42" customHeight="1">
      <c r="A5269" s="2" t="s">
        <v>13714</v>
      </c>
      <c r="B5269" s="2" t="s">
        <v>13715</v>
      </c>
      <c r="C5269" s="2" t="s">
        <v>26</v>
      </c>
      <c r="D5269" s="2" t="s">
        <v>18</v>
      </c>
      <c r="E5269" s="4">
        <v>-32295</v>
      </c>
      <c r="F5269" s="3" t="s">
        <v>279</v>
      </c>
      <c r="G5269" s="3" t="s">
        <v>7730</v>
      </c>
      <c r="H5269" s="2" t="s">
        <v>148</v>
      </c>
      <c r="I5269" s="2" t="s">
        <v>13716</v>
      </c>
      <c r="J5269" s="3" t="str">
        <f>HYPERLINK("https://www.boe.es/gazeta/dias/1811/07/30/pdfs/GEI-1811-99.pdf#page=5","Abrir facsímil")</f>
        <v>Abrir facsímil</v>
      </c>
      <c r="K5269" s="3" t="s">
        <v>150</v>
      </c>
    </row>
    <row r="5270" spans="1:11" ht="42" customHeight="1">
      <c r="A5270" s="2" t="s">
        <v>13717</v>
      </c>
      <c r="B5270" s="2" t="s">
        <v>13717</v>
      </c>
      <c r="C5270" s="2" t="s">
        <v>26</v>
      </c>
      <c r="D5270" s="2" t="s">
        <v>18</v>
      </c>
      <c r="E5270" s="4">
        <v>-32146</v>
      </c>
      <c r="F5270" s="3" t="s">
        <v>3210</v>
      </c>
      <c r="G5270" s="3" t="s">
        <v>3211</v>
      </c>
      <c r="H5270" s="2" t="s">
        <v>148</v>
      </c>
      <c r="I5270" s="2" t="s">
        <v>13718</v>
      </c>
      <c r="J5270" s="3" t="str">
        <f>HYPERLINK("https://www.boe.es/gazeta/dias/1811/12/26/pdfs/GMD-1811-360.pdf#page=4","Abrir facsímil")</f>
        <v>Abrir facsímil</v>
      </c>
      <c r="K5270" s="3" t="s">
        <v>150</v>
      </c>
    </row>
    <row r="5271" spans="1:11" ht="42" customHeight="1">
      <c r="A5271" s="2" t="s">
        <v>13719</v>
      </c>
      <c r="B5271" s="2" t="s">
        <v>13720</v>
      </c>
      <c r="C5271" s="2" t="s">
        <v>26</v>
      </c>
      <c r="D5271" s="2" t="s">
        <v>18</v>
      </c>
      <c r="E5271" s="4">
        <v>-32400</v>
      </c>
      <c r="F5271" s="3" t="s">
        <v>3343</v>
      </c>
      <c r="G5271" s="3" t="s">
        <v>20</v>
      </c>
      <c r="H5271" s="2" t="s">
        <v>148</v>
      </c>
      <c r="I5271" s="2" t="s">
        <v>13721</v>
      </c>
      <c r="J5271" s="3" t="str">
        <f>HYPERLINK("https://www.boe.es/gazeta/dias/1811/04/16/pdfs/GMD-1811-106.pdf#page=4","Abrir facsímil")</f>
        <v>Abrir facsímil</v>
      </c>
      <c r="K5271" s="3" t="s">
        <v>150</v>
      </c>
    </row>
    <row r="5272" spans="1:11" ht="42" customHeight="1">
      <c r="A5272" s="2" t="s">
        <v>13722</v>
      </c>
      <c r="B5272" s="2" t="s">
        <v>13723</v>
      </c>
      <c r="C5272" s="2" t="s">
        <v>17</v>
      </c>
      <c r="D5272" s="2" t="s">
        <v>18</v>
      </c>
      <c r="E5272" s="4">
        <v>-32433</v>
      </c>
      <c r="F5272" s="3" t="s">
        <v>676</v>
      </c>
      <c r="G5272" s="3" t="s">
        <v>1143</v>
      </c>
      <c r="H5272" s="2" t="s">
        <v>148</v>
      </c>
      <c r="I5272" s="2" t="s">
        <v>13724</v>
      </c>
      <c r="J5272" s="3" t="str">
        <f>HYPERLINK("https://www.boe.es/gazeta/dias/1811/03/14/pdfs/GEI-1811-37.pdf#page=8","Abrir facsímil")</f>
        <v>Abrir facsímil</v>
      </c>
      <c r="K5272" s="3" t="s">
        <v>150</v>
      </c>
    </row>
    <row r="5273" spans="1:11" ht="42" customHeight="1">
      <c r="A5273" s="2" t="s">
        <v>13725</v>
      </c>
      <c r="B5273" s="2" t="s">
        <v>13725</v>
      </c>
      <c r="C5273" s="2" t="s">
        <v>17</v>
      </c>
      <c r="D5273" s="2" t="s">
        <v>18</v>
      </c>
      <c r="E5273" s="4">
        <v>-32152</v>
      </c>
      <c r="F5273" s="3" t="s">
        <v>1673</v>
      </c>
      <c r="G5273" s="3" t="s">
        <v>57</v>
      </c>
      <c r="H5273" s="2" t="s">
        <v>148</v>
      </c>
      <c r="I5273" s="2" t="s">
        <v>13726</v>
      </c>
      <c r="J5273" s="3" t="str">
        <f>HYPERLINK("https://www.boe.es/gazeta/dias/1811/12/20/pdfs/GMD-1811-354.pdf#page=2","Abrir facsímil")</f>
        <v>Abrir facsímil</v>
      </c>
      <c r="K5273" s="3" t="s">
        <v>150</v>
      </c>
    </row>
    <row r="5274" spans="1:11" ht="42" customHeight="1">
      <c r="A5274" s="2" t="s">
        <v>13727</v>
      </c>
      <c r="B5274" s="2" t="s">
        <v>13728</v>
      </c>
      <c r="C5274" s="2" t="s">
        <v>17</v>
      </c>
      <c r="D5274" s="2" t="s">
        <v>156</v>
      </c>
      <c r="E5274" s="4">
        <v>-32365</v>
      </c>
      <c r="F5274" s="3" t="s">
        <v>1304</v>
      </c>
      <c r="G5274" s="3" t="s">
        <v>120</v>
      </c>
      <c r="H5274" s="2" t="s">
        <v>148</v>
      </c>
      <c r="I5274" s="2" t="s">
        <v>13729</v>
      </c>
      <c r="J5274" s="3" t="str">
        <f>HYPERLINK("https://www.boe.es/gazeta/dias/1811/05/21/pdfs/GEI-D-1811-67.pdf#page=4","Abrir facsímil")</f>
        <v>Abrir facsímil</v>
      </c>
      <c r="K5274" s="3" t="s">
        <v>150</v>
      </c>
    </row>
    <row r="5275" spans="1:11" ht="42" customHeight="1">
      <c r="A5275" s="2" t="s">
        <v>13730</v>
      </c>
      <c r="B5275" s="2" t="s">
        <v>13731</v>
      </c>
      <c r="C5275" s="2" t="s">
        <v>26</v>
      </c>
      <c r="D5275" s="2" t="s">
        <v>105</v>
      </c>
      <c r="E5275" s="4">
        <v>-32195</v>
      </c>
      <c r="F5275" s="3" t="s">
        <v>439</v>
      </c>
      <c r="G5275" s="3" t="s">
        <v>440</v>
      </c>
      <c r="H5275" s="2" t="s">
        <v>148</v>
      </c>
      <c r="I5275" s="2" t="s">
        <v>13732</v>
      </c>
      <c r="J5275" s="3" t="str">
        <f>HYPERLINK("https://www.boe.es/gazeta/dias/1811/11/07/pdfs/GEI-1811-144.pdf#page=8","Abrir facsímil")</f>
        <v>Abrir facsímil</v>
      </c>
      <c r="K5275" s="3" t="s">
        <v>150</v>
      </c>
    </row>
    <row r="5276" spans="1:11" ht="42" customHeight="1">
      <c r="A5276" s="2" t="s">
        <v>13730</v>
      </c>
      <c r="B5276" s="2" t="s">
        <v>13731</v>
      </c>
      <c r="C5276" s="2" t="s">
        <v>26</v>
      </c>
      <c r="D5276" s="2" t="s">
        <v>18</v>
      </c>
      <c r="E5276" s="4">
        <v>-32181</v>
      </c>
      <c r="F5276" s="3" t="s">
        <v>1169</v>
      </c>
      <c r="G5276" s="3" t="s">
        <v>1170</v>
      </c>
      <c r="H5276" s="2" t="s">
        <v>148</v>
      </c>
      <c r="I5276" s="2" t="s">
        <v>13733</v>
      </c>
      <c r="J5276" s="3" t="str">
        <f>HYPERLINK("https://www.boe.es/gazeta/dias/1811/11/21/pdfs/GMD-1811-325.pdf#page=4","Abrir facsímil")</f>
        <v>Abrir facsímil</v>
      </c>
      <c r="K5276" s="3" t="s">
        <v>150</v>
      </c>
    </row>
    <row r="5277" spans="1:11" ht="42" customHeight="1">
      <c r="A5277" s="2" t="s">
        <v>13734</v>
      </c>
      <c r="B5277" s="2" t="s">
        <v>13735</v>
      </c>
      <c r="C5277" s="2" t="s">
        <v>26</v>
      </c>
      <c r="D5277" s="2" t="s">
        <v>18</v>
      </c>
      <c r="E5277" s="4">
        <v>-32151</v>
      </c>
      <c r="F5277" s="3" t="s">
        <v>313</v>
      </c>
      <c r="G5277" s="3" t="s">
        <v>44</v>
      </c>
      <c r="H5277" s="2" t="s">
        <v>148</v>
      </c>
      <c r="I5277" s="2" t="s">
        <v>13736</v>
      </c>
      <c r="J5277" s="3" t="str">
        <f>HYPERLINK("https://www.boe.es/gazeta/dias/1811/12/21/pdfs/GEI-1811-165.pdf#page=7","Abrir facsímil")</f>
        <v>Abrir facsímil</v>
      </c>
      <c r="K5277" s="3" t="s">
        <v>150</v>
      </c>
    </row>
    <row r="5278" spans="1:11" ht="42" customHeight="1">
      <c r="A5278" s="2" t="s">
        <v>13737</v>
      </c>
      <c r="B5278" s="2" t="s">
        <v>13738</v>
      </c>
      <c r="C5278" s="2" t="s">
        <v>26</v>
      </c>
      <c r="D5278" s="2" t="s">
        <v>141</v>
      </c>
      <c r="E5278" s="4">
        <v>-32249</v>
      </c>
      <c r="F5278" s="3" t="s">
        <v>743</v>
      </c>
      <c r="G5278" s="3" t="s">
        <v>1021</v>
      </c>
      <c r="H5278" s="2" t="s">
        <v>148</v>
      </c>
      <c r="I5278" s="2" t="s">
        <v>13739</v>
      </c>
      <c r="J5278" s="3" t="str">
        <f>HYPERLINK("https://www.boe.es/gazeta/dias/1811/09/14/pdfs/GMD-C-1811-257.pdf#page=2","Abrir facsímil")</f>
        <v>Abrir facsímil</v>
      </c>
      <c r="K5278" s="3" t="s">
        <v>150</v>
      </c>
    </row>
    <row r="5279" spans="1:11" ht="42" customHeight="1">
      <c r="A5279" s="2" t="s">
        <v>13740</v>
      </c>
      <c r="B5279" s="2" t="s">
        <v>13741</v>
      </c>
      <c r="C5279" s="2" t="s">
        <v>37</v>
      </c>
      <c r="D5279" s="2" t="s">
        <v>18</v>
      </c>
      <c r="E5279" s="4">
        <v>-32361</v>
      </c>
      <c r="F5279" s="3" t="s">
        <v>1104</v>
      </c>
      <c r="G5279" s="3" t="s">
        <v>2213</v>
      </c>
      <c r="H5279" s="2" t="s">
        <v>148</v>
      </c>
      <c r="I5279" s="2" t="s">
        <v>13742</v>
      </c>
      <c r="J5279" s="3" t="str">
        <f>HYPERLINK("https://www.boe.es/gazeta/dias/1811/05/25/pdfs/GEI-1811-71.pdf#page=8","Abrir facsímil")</f>
        <v>Abrir facsímil</v>
      </c>
      <c r="K5279" s="3" t="s">
        <v>150</v>
      </c>
    </row>
    <row r="5280" spans="1:11" ht="42" customHeight="1">
      <c r="A5280" s="2" t="s">
        <v>13743</v>
      </c>
      <c r="B5280" s="2" t="s">
        <v>13744</v>
      </c>
      <c r="C5280" s="2" t="s">
        <v>37</v>
      </c>
      <c r="D5280" s="2" t="s">
        <v>18</v>
      </c>
      <c r="E5280" s="4">
        <v>-32172</v>
      </c>
      <c r="F5280" s="3" t="s">
        <v>300</v>
      </c>
      <c r="G5280" s="3" t="s">
        <v>301</v>
      </c>
      <c r="H5280" s="2" t="s">
        <v>148</v>
      </c>
      <c r="I5280" s="2" t="s">
        <v>13745</v>
      </c>
      <c r="J5280" s="3" t="str">
        <f>HYPERLINK("https://www.boe.es/gazeta/dias/1811/11/30/pdfs/GMD-1811-334.pdf#page=4","Abrir facsímil")</f>
        <v>Abrir facsímil</v>
      </c>
      <c r="K5280" s="3" t="s">
        <v>150</v>
      </c>
    </row>
    <row r="5281" spans="1:11" ht="42" customHeight="1">
      <c r="A5281" s="2" t="s">
        <v>13746</v>
      </c>
      <c r="B5281" s="2" t="s">
        <v>13747</v>
      </c>
      <c r="C5281" s="2" t="s">
        <v>26</v>
      </c>
      <c r="D5281" s="2" t="s">
        <v>18</v>
      </c>
      <c r="E5281" s="4">
        <v>-32421</v>
      </c>
      <c r="F5281" s="3" t="s">
        <v>79</v>
      </c>
      <c r="G5281" s="3" t="s">
        <v>8682</v>
      </c>
      <c r="H5281" s="2" t="s">
        <v>148</v>
      </c>
      <c r="I5281" s="2" t="s">
        <v>13748</v>
      </c>
      <c r="J5281" s="3" t="str">
        <f>HYPERLINK("https://www.boe.es/gazeta/dias/1811/03/26/pdfs/GEI-1811-42.pdf#page=4","Abrir facsímil")</f>
        <v>Abrir facsímil</v>
      </c>
      <c r="K5281" s="3" t="s">
        <v>150</v>
      </c>
    </row>
    <row r="5282" spans="1:11" ht="42" customHeight="1">
      <c r="A5282" s="2" t="s">
        <v>13749</v>
      </c>
      <c r="B5282" s="2" t="s">
        <v>13749</v>
      </c>
      <c r="C5282" s="2" t="s">
        <v>17</v>
      </c>
      <c r="D5282" s="2" t="s">
        <v>18</v>
      </c>
      <c r="E5282" s="4">
        <v>-32333</v>
      </c>
      <c r="F5282" s="3" t="s">
        <v>11259</v>
      </c>
      <c r="G5282" s="3" t="s">
        <v>1844</v>
      </c>
      <c r="H5282" s="2" t="s">
        <v>148</v>
      </c>
      <c r="I5282" s="2" t="s">
        <v>13750</v>
      </c>
      <c r="J5282" s="3" t="str">
        <f>HYPERLINK("https://www.boe.es/gazeta/dias/1811/06/22/pdfs/GMD-1811-173.pdf#page=1","Abrir facsímil")</f>
        <v>Abrir facsímil</v>
      </c>
      <c r="K5282" s="3" t="s">
        <v>150</v>
      </c>
    </row>
    <row r="5283" spans="1:11" ht="42" customHeight="1">
      <c r="A5283" s="2" t="s">
        <v>13751</v>
      </c>
      <c r="B5283" s="2" t="s">
        <v>13751</v>
      </c>
      <c r="C5283" s="2" t="s">
        <v>367</v>
      </c>
      <c r="D5283" s="2" t="s">
        <v>18</v>
      </c>
      <c r="E5283" s="4">
        <v>-32405</v>
      </c>
      <c r="F5283" s="3" t="s">
        <v>1413</v>
      </c>
      <c r="G5283" s="3" t="s">
        <v>4945</v>
      </c>
      <c r="H5283" s="2" t="s">
        <v>148</v>
      </c>
      <c r="I5283" s="2" t="s">
        <v>13752</v>
      </c>
      <c r="J5283" s="3" t="str">
        <f>HYPERLINK("https://www.boe.es/gazeta/dias/1811/04/11/pdfs/GEI-1811-49.pdf#page=6","Abrir facsímil")</f>
        <v>Abrir facsímil</v>
      </c>
      <c r="K5283" s="3" t="s">
        <v>150</v>
      </c>
    </row>
    <row r="5284" spans="1:11" ht="42" customHeight="1">
      <c r="A5284" s="2" t="s">
        <v>13753</v>
      </c>
      <c r="B5284" s="2" t="s">
        <v>13754</v>
      </c>
      <c r="C5284" s="2" t="s">
        <v>26</v>
      </c>
      <c r="D5284" s="2" t="s">
        <v>18</v>
      </c>
      <c r="E5284" s="4">
        <v>-32172</v>
      </c>
      <c r="F5284" s="3" t="s">
        <v>300</v>
      </c>
      <c r="G5284" s="3" t="s">
        <v>301</v>
      </c>
      <c r="H5284" s="2" t="s">
        <v>148</v>
      </c>
      <c r="I5284" s="2" t="s">
        <v>13755</v>
      </c>
      <c r="J5284" s="3" t="str">
        <f>HYPERLINK("https://www.boe.es/gazeta/dias/1811/11/30/pdfs/GMD-1811-334.pdf#page=4","Abrir facsímil")</f>
        <v>Abrir facsímil</v>
      </c>
      <c r="K5284" s="3" t="s">
        <v>150</v>
      </c>
    </row>
    <row r="5285" spans="1:11" ht="42" customHeight="1">
      <c r="A5285" s="2" t="s">
        <v>13756</v>
      </c>
      <c r="B5285" s="2" t="s">
        <v>13757</v>
      </c>
      <c r="C5285" s="2" t="s">
        <v>17</v>
      </c>
      <c r="D5285" s="2" t="s">
        <v>156</v>
      </c>
      <c r="E5285" s="4">
        <v>-32225</v>
      </c>
      <c r="F5285" s="3" t="s">
        <v>390</v>
      </c>
      <c r="G5285" s="3" t="s">
        <v>1368</v>
      </c>
      <c r="H5285" s="2" t="s">
        <v>148</v>
      </c>
      <c r="I5285" s="2" t="s">
        <v>13758</v>
      </c>
      <c r="J5285" s="3" t="str">
        <f>HYPERLINK("https://www.boe.es/gazeta/dias/1811/10/08/pdfs/GEI-1811-129.pdf#page=8","Abrir facsímil")</f>
        <v>Abrir facsímil</v>
      </c>
      <c r="K5285" s="3" t="s">
        <v>150</v>
      </c>
    </row>
    <row r="5286" spans="1:11" ht="42" customHeight="1">
      <c r="A5286" s="2" t="s">
        <v>13759</v>
      </c>
      <c r="B5286" s="2" t="s">
        <v>13760</v>
      </c>
      <c r="C5286" s="2" t="s">
        <v>26</v>
      </c>
      <c r="D5286" s="2" t="s">
        <v>18</v>
      </c>
      <c r="E5286" s="4">
        <v>-32447</v>
      </c>
      <c r="F5286" s="3" t="s">
        <v>3655</v>
      </c>
      <c r="G5286" s="3" t="s">
        <v>8991</v>
      </c>
      <c r="H5286" s="2" t="s">
        <v>148</v>
      </c>
      <c r="I5286" s="2" t="s">
        <v>13761</v>
      </c>
      <c r="J5286" s="3" t="str">
        <f>HYPERLINK("https://www.boe.es/gazeta/dias/1811/02/28/pdfs/GEI-1811-26.pdf#page=8","Abrir facsímil")</f>
        <v>Abrir facsímil</v>
      </c>
      <c r="K5286" s="3" t="s">
        <v>150</v>
      </c>
    </row>
    <row r="5287" spans="1:11" ht="42" customHeight="1">
      <c r="A5287" s="2" t="s">
        <v>13762</v>
      </c>
      <c r="B5287" s="2" t="s">
        <v>13762</v>
      </c>
      <c r="C5287" s="2" t="s">
        <v>17</v>
      </c>
      <c r="D5287" s="2" t="s">
        <v>156</v>
      </c>
      <c r="E5287" s="4">
        <v>-32160</v>
      </c>
      <c r="F5287" s="3" t="s">
        <v>1013</v>
      </c>
      <c r="G5287" s="3" t="s">
        <v>846</v>
      </c>
      <c r="H5287" s="2" t="s">
        <v>148</v>
      </c>
      <c r="I5287" s="2" t="s">
        <v>13763</v>
      </c>
      <c r="J5287" s="3" t="str">
        <f>HYPERLINK("https://www.boe.es/gazeta/dias/1811/12/12/pdfs/GEI-1811-161.pdf#page=2","Abrir facsímil")</f>
        <v>Abrir facsímil</v>
      </c>
      <c r="K5287" s="3" t="s">
        <v>150</v>
      </c>
    </row>
    <row r="5288" spans="1:11" ht="42" customHeight="1">
      <c r="A5288" s="2" t="s">
        <v>13764</v>
      </c>
      <c r="B5288" s="2" t="s">
        <v>13765</v>
      </c>
      <c r="C5288" s="2" t="s">
        <v>26</v>
      </c>
      <c r="D5288" s="2" t="s">
        <v>18</v>
      </c>
      <c r="E5288" s="4">
        <v>-32326</v>
      </c>
      <c r="F5288" s="3" t="s">
        <v>43</v>
      </c>
      <c r="G5288" s="3" t="s">
        <v>44</v>
      </c>
      <c r="H5288" s="2" t="s">
        <v>148</v>
      </c>
      <c r="I5288" s="2" t="s">
        <v>13766</v>
      </c>
      <c r="J5288" s="3" t="str">
        <f>HYPERLINK("https://www.boe.es/gazeta/dias/1811/06/29/pdfs/GEI-1811-86.pdf#page=6","Abrir facsímil")</f>
        <v>Abrir facsímil</v>
      </c>
      <c r="K5288" s="3" t="s">
        <v>150</v>
      </c>
    </row>
    <row r="5289" spans="1:11" ht="42" customHeight="1">
      <c r="A5289" s="2" t="s">
        <v>13767</v>
      </c>
      <c r="B5289" s="2" t="s">
        <v>13768</v>
      </c>
      <c r="C5289" s="2" t="s">
        <v>26</v>
      </c>
      <c r="D5289" s="2" t="s">
        <v>18</v>
      </c>
      <c r="E5289" s="4">
        <v>-32295</v>
      </c>
      <c r="F5289" s="3" t="s">
        <v>279</v>
      </c>
      <c r="G5289" s="3" t="s">
        <v>44</v>
      </c>
      <c r="H5289" s="2" t="s">
        <v>148</v>
      </c>
      <c r="I5289" s="2" t="s">
        <v>13769</v>
      </c>
      <c r="J5289" s="3" t="str">
        <f>HYPERLINK("https://www.boe.es/gazeta/dias/1811/07/30/pdfs/GEI-1811-99.pdf#page=8","Abrir facsímil")</f>
        <v>Abrir facsímil</v>
      </c>
      <c r="K5289" s="3" t="s">
        <v>150</v>
      </c>
    </row>
    <row r="5290" spans="1:11" ht="42" customHeight="1">
      <c r="A5290" s="2" t="s">
        <v>13770</v>
      </c>
      <c r="B5290" s="2" t="s">
        <v>13770</v>
      </c>
      <c r="C5290" s="2" t="s">
        <v>17</v>
      </c>
      <c r="D5290" s="2" t="s">
        <v>156</v>
      </c>
      <c r="E5290" s="4">
        <v>-32160</v>
      </c>
      <c r="F5290" s="3" t="s">
        <v>1013</v>
      </c>
      <c r="G5290" s="3" t="s">
        <v>846</v>
      </c>
      <c r="H5290" s="2" t="s">
        <v>148</v>
      </c>
      <c r="I5290" s="2" t="s">
        <v>13771</v>
      </c>
      <c r="J5290" s="3" t="str">
        <f>HYPERLINK("https://www.boe.es/gazeta/dias/1811/12/12/pdfs/GEI-1811-161.pdf#page=2","Abrir facsímil")</f>
        <v>Abrir facsímil</v>
      </c>
      <c r="K5290" s="3" t="s">
        <v>150</v>
      </c>
    </row>
    <row r="5291" spans="1:11" ht="42" customHeight="1">
      <c r="A5291" s="2" t="s">
        <v>13772</v>
      </c>
      <c r="B5291" s="2" t="s">
        <v>13773</v>
      </c>
      <c r="C5291" s="2" t="s">
        <v>17</v>
      </c>
      <c r="D5291" s="2" t="s">
        <v>156</v>
      </c>
      <c r="E5291" s="4">
        <v>-32400</v>
      </c>
      <c r="F5291" s="3" t="s">
        <v>13774</v>
      </c>
      <c r="G5291" s="3" t="s">
        <v>20</v>
      </c>
      <c r="H5291" s="2" t="s">
        <v>148</v>
      </c>
      <c r="I5291" s="2" t="s">
        <v>13775</v>
      </c>
      <c r="J5291" s="3" t="str">
        <f>HYPERLINK("https://www.boe.es/gazeta/dias/1811/04/16/pdfs/GEI-1811-51.pdf#page=6","Abrir facsímil")</f>
        <v>Abrir facsímil</v>
      </c>
      <c r="K5291" s="3" t="s">
        <v>150</v>
      </c>
    </row>
    <row r="5292" spans="1:11" ht="42" customHeight="1">
      <c r="A5292" s="2" t="s">
        <v>13776</v>
      </c>
      <c r="B5292" s="2" t="s">
        <v>13776</v>
      </c>
      <c r="C5292" s="2" t="s">
        <v>17</v>
      </c>
      <c r="D5292" s="2" t="s">
        <v>18</v>
      </c>
      <c r="E5292" s="4">
        <v>-32264</v>
      </c>
      <c r="F5292" s="3" t="s">
        <v>3038</v>
      </c>
      <c r="G5292" s="3" t="s">
        <v>178</v>
      </c>
      <c r="H5292" s="2" t="s">
        <v>148</v>
      </c>
      <c r="I5292" s="2" t="s">
        <v>13777</v>
      </c>
      <c r="J5292" s="3" t="str">
        <f>HYPERLINK("https://www.boe.es/gazeta/dias/1811/08/30/pdfs/GMD-1811-242.pdf#page=2","Abrir facsímil")</f>
        <v>Abrir facsímil</v>
      </c>
      <c r="K5292" s="3" t="s">
        <v>150</v>
      </c>
    </row>
    <row r="5293" spans="1:11" ht="42" customHeight="1">
      <c r="A5293" s="2" t="s">
        <v>13778</v>
      </c>
      <c r="B5293" s="2" t="s">
        <v>13778</v>
      </c>
      <c r="C5293" s="2" t="s">
        <v>26</v>
      </c>
      <c r="D5293" s="2" t="s">
        <v>18</v>
      </c>
      <c r="E5293" s="4">
        <v>-32205</v>
      </c>
      <c r="F5293" s="3" t="s">
        <v>7179</v>
      </c>
      <c r="G5293" s="3" t="s">
        <v>13779</v>
      </c>
      <c r="H5293" s="2" t="s">
        <v>148</v>
      </c>
      <c r="I5293" s="2" t="s">
        <v>13780</v>
      </c>
      <c r="J5293" s="3" t="str">
        <f>HYPERLINK("https://www.boe.es/gazeta/dias/1811/10/28/pdfs/GMD-1811-301.pdf#page=2","Abrir facsímil")</f>
        <v>Abrir facsímil</v>
      </c>
      <c r="K5293" s="3" t="s">
        <v>150</v>
      </c>
    </row>
    <row r="5294" spans="1:11" ht="42" customHeight="1">
      <c r="A5294" s="2" t="s">
        <v>13781</v>
      </c>
      <c r="B5294" s="2" t="s">
        <v>13782</v>
      </c>
      <c r="C5294" s="2" t="s">
        <v>26</v>
      </c>
      <c r="D5294" s="2" t="s">
        <v>18</v>
      </c>
      <c r="E5294" s="4">
        <v>-32286</v>
      </c>
      <c r="F5294" s="3" t="s">
        <v>754</v>
      </c>
      <c r="G5294" s="3" t="s">
        <v>1728</v>
      </c>
      <c r="H5294" s="2" t="s">
        <v>148</v>
      </c>
      <c r="I5294" s="2" t="s">
        <v>13783</v>
      </c>
      <c r="J5294" s="3" t="str">
        <f>HYPERLINK("https://www.boe.es/gazeta/dias/1811/08/08/pdfs/GEI-1811-103.pdf#page=8","Abrir facsímil")</f>
        <v>Abrir facsímil</v>
      </c>
      <c r="K5294" s="3" t="s">
        <v>150</v>
      </c>
    </row>
    <row r="5295" spans="1:11" ht="42" customHeight="1">
      <c r="A5295" s="2" t="s">
        <v>13784</v>
      </c>
      <c r="B5295" s="2" t="s">
        <v>13784</v>
      </c>
      <c r="C5295" s="2" t="s">
        <v>17</v>
      </c>
      <c r="D5295" s="2" t="s">
        <v>18</v>
      </c>
      <c r="E5295" s="4">
        <v>-32200</v>
      </c>
      <c r="F5295" s="3" t="s">
        <v>109</v>
      </c>
      <c r="G5295" s="3" t="s">
        <v>630</v>
      </c>
      <c r="H5295" s="2" t="s">
        <v>148</v>
      </c>
      <c r="I5295" s="2" t="s">
        <v>13785</v>
      </c>
      <c r="J5295" s="3" t="str">
        <f>HYPERLINK("https://www.boe.es/gazeta/dias/1811/11/02/pdfs/GEI-1811-141.pdf#page=2","Abrir facsímil")</f>
        <v>Abrir facsímil</v>
      </c>
      <c r="K5295" s="3" t="s">
        <v>150</v>
      </c>
    </row>
    <row r="5296" spans="1:11" ht="42" customHeight="1">
      <c r="A5296" s="2" t="s">
        <v>13786</v>
      </c>
      <c r="B5296" s="2" t="s">
        <v>13787</v>
      </c>
      <c r="C5296" s="2" t="s">
        <v>104</v>
      </c>
      <c r="D5296" s="2" t="s">
        <v>105</v>
      </c>
      <c r="E5296" s="4">
        <v>-32501</v>
      </c>
      <c r="F5296" s="3" t="s">
        <v>509</v>
      </c>
      <c r="G5296" s="3" t="s">
        <v>510</v>
      </c>
      <c r="H5296" s="2" t="s">
        <v>148</v>
      </c>
      <c r="I5296" s="2" t="s">
        <v>13788</v>
      </c>
      <c r="J5296" s="3" t="str">
        <f>HYPERLINK("https://www.boe.es/gazeta/dias/1811/01/05/pdfs/GEI-1811-3.pdf#page=8","Abrir facsímil")</f>
        <v>Abrir facsímil</v>
      </c>
      <c r="K5296" s="3" t="s">
        <v>150</v>
      </c>
    </row>
    <row r="5297" spans="1:11" ht="42" customHeight="1">
      <c r="A5297" s="2" t="s">
        <v>13789</v>
      </c>
      <c r="B5297" s="2" t="s">
        <v>13790</v>
      </c>
      <c r="C5297" s="2" t="s">
        <v>26</v>
      </c>
      <c r="D5297" s="2" t="s">
        <v>18</v>
      </c>
      <c r="E5297" s="4">
        <v>-32173</v>
      </c>
      <c r="F5297" s="3" t="s">
        <v>2701</v>
      </c>
      <c r="G5297" s="3" t="s">
        <v>47</v>
      </c>
      <c r="H5297" s="2" t="s">
        <v>148</v>
      </c>
      <c r="I5297" s="2" t="s">
        <v>13791</v>
      </c>
      <c r="J5297" s="3" t="str">
        <f>HYPERLINK("https://www.boe.es/gazeta/dias/1811/11/29/pdfs/GMD-1811-333.pdf#page=3","Abrir facsímil")</f>
        <v>Abrir facsímil</v>
      </c>
      <c r="K5297" s="3" t="s">
        <v>150</v>
      </c>
    </row>
    <row r="5298" spans="1:11" ht="42" customHeight="1">
      <c r="A5298" s="2" t="s">
        <v>13792</v>
      </c>
      <c r="B5298" s="2" t="s">
        <v>13793</v>
      </c>
      <c r="C5298" s="2" t="s">
        <v>26</v>
      </c>
      <c r="D5298" s="2" t="s">
        <v>18</v>
      </c>
      <c r="E5298" s="4">
        <v>-32396</v>
      </c>
      <c r="F5298" s="3" t="s">
        <v>1267</v>
      </c>
      <c r="G5298" s="3" t="s">
        <v>1143</v>
      </c>
      <c r="H5298" s="2" t="s">
        <v>148</v>
      </c>
      <c r="I5298" s="2" t="s">
        <v>13794</v>
      </c>
      <c r="J5298" s="3" t="str">
        <f>HYPERLINK("https://www.boe.es/gazeta/dias/1811/04/20/pdfs/GMD-1811-110.pdf#page=3","Abrir facsímil")</f>
        <v>Abrir facsímil</v>
      </c>
      <c r="K5298" s="3" t="s">
        <v>150</v>
      </c>
    </row>
    <row r="5299" spans="1:11" ht="42" customHeight="1">
      <c r="A5299" s="2" t="s">
        <v>13795</v>
      </c>
      <c r="B5299" s="2" t="s">
        <v>13796</v>
      </c>
      <c r="C5299" s="2" t="s">
        <v>26</v>
      </c>
      <c r="D5299" s="2" t="s">
        <v>105</v>
      </c>
      <c r="E5299" s="4">
        <v>-32447</v>
      </c>
      <c r="F5299" s="3" t="s">
        <v>665</v>
      </c>
      <c r="G5299" s="3" t="s">
        <v>57</v>
      </c>
      <c r="H5299" s="2" t="s">
        <v>148</v>
      </c>
      <c r="I5299" s="2" t="s">
        <v>13797</v>
      </c>
      <c r="J5299" s="3" t="str">
        <f>HYPERLINK("https://www.boe.es/gazeta/dias/1811/02/28/pdfs/GMD-1811-59.pdf#page=2","Abrir facsímil")</f>
        <v>Abrir facsímil</v>
      </c>
      <c r="K5299" s="3" t="s">
        <v>150</v>
      </c>
    </row>
    <row r="5300" spans="1:11" ht="42" customHeight="1">
      <c r="A5300" s="2" t="s">
        <v>13795</v>
      </c>
      <c r="B5300" s="2" t="s">
        <v>13796</v>
      </c>
      <c r="C5300" s="2" t="s">
        <v>26</v>
      </c>
      <c r="D5300" s="2" t="s">
        <v>18</v>
      </c>
      <c r="E5300" s="4">
        <v>-32153</v>
      </c>
      <c r="F5300" s="3" t="s">
        <v>123</v>
      </c>
      <c r="G5300" s="3" t="s">
        <v>1067</v>
      </c>
      <c r="H5300" s="2" t="s">
        <v>148</v>
      </c>
      <c r="I5300" s="2" t="s">
        <v>13798</v>
      </c>
      <c r="J5300" s="3" t="str">
        <f>HYPERLINK("https://www.boe.es/gazeta/dias/1811/12/19/pdfs/GMD-1811-353.pdf#page=5","Abrir facsímil")</f>
        <v>Abrir facsímil</v>
      </c>
      <c r="K5300" s="3" t="s">
        <v>150</v>
      </c>
    </row>
    <row r="5301" spans="1:11" ht="42" customHeight="1">
      <c r="A5301" s="2" t="s">
        <v>13799</v>
      </c>
      <c r="B5301" s="2" t="s">
        <v>13800</v>
      </c>
      <c r="C5301" s="2" t="s">
        <v>367</v>
      </c>
      <c r="D5301" s="2" t="s">
        <v>18</v>
      </c>
      <c r="E5301" s="4">
        <v>-32397</v>
      </c>
      <c r="F5301" s="3" t="s">
        <v>359</v>
      </c>
      <c r="G5301" s="3" t="s">
        <v>44</v>
      </c>
      <c r="H5301" s="2" t="s">
        <v>148</v>
      </c>
      <c r="I5301" s="2" t="s">
        <v>13801</v>
      </c>
      <c r="J5301" s="3" t="str">
        <f>HYPERLINK("https://www.boe.es/gazeta/dias/1811/04/19/pdfs/GMD-1811-109.pdf#page=4","Abrir facsímil")</f>
        <v>Abrir facsímil</v>
      </c>
      <c r="K5301" s="3" t="s">
        <v>150</v>
      </c>
    </row>
    <row r="5302" spans="1:11" ht="42" customHeight="1">
      <c r="A5302" s="2" t="s">
        <v>13802</v>
      </c>
      <c r="B5302" s="2" t="s">
        <v>13802</v>
      </c>
      <c r="C5302" s="2" t="s">
        <v>84</v>
      </c>
      <c r="D5302" s="2" t="s">
        <v>18</v>
      </c>
      <c r="E5302" s="4">
        <v>-32272</v>
      </c>
      <c r="F5302" s="3" t="s">
        <v>12710</v>
      </c>
      <c r="G5302" s="3" t="s">
        <v>91</v>
      </c>
      <c r="H5302" s="2" t="s">
        <v>148</v>
      </c>
      <c r="I5302" s="2" t="s">
        <v>13803</v>
      </c>
      <c r="J5302" s="3" t="str">
        <f>HYPERLINK("https://www.boe.es/gazeta/dias/1811/08/22/pdfs/GMD-1811-234.pdf#page=2","Abrir facsímil")</f>
        <v>Abrir facsímil</v>
      </c>
      <c r="K5302" s="3" t="s">
        <v>150</v>
      </c>
    </row>
    <row r="5303" spans="1:11" ht="42" customHeight="1">
      <c r="A5303" s="2" t="s">
        <v>13804</v>
      </c>
      <c r="B5303" s="2" t="s">
        <v>13804</v>
      </c>
      <c r="C5303" s="2" t="s">
        <v>17</v>
      </c>
      <c r="D5303" s="2" t="s">
        <v>18</v>
      </c>
      <c r="E5303" s="4">
        <v>-32502</v>
      </c>
      <c r="F5303" s="3" t="s">
        <v>6190</v>
      </c>
      <c r="G5303" s="3" t="s">
        <v>846</v>
      </c>
      <c r="H5303" s="2" t="s">
        <v>148</v>
      </c>
      <c r="I5303" s="2" t="s">
        <v>13805</v>
      </c>
      <c r="J5303" s="3" t="str">
        <f>HYPERLINK("https://www.boe.es/gazeta/dias/1811/01/04/pdfs/GMD-1811-4.pdf#page=2","Abrir facsímil")</f>
        <v>Abrir facsímil</v>
      </c>
      <c r="K5303" s="3" t="s">
        <v>150</v>
      </c>
    </row>
    <row r="5304" spans="1:11" ht="42" customHeight="1">
      <c r="A5304" s="2" t="s">
        <v>13804</v>
      </c>
      <c r="B5304" s="2" t="s">
        <v>13804</v>
      </c>
      <c r="C5304" s="2" t="s">
        <v>17</v>
      </c>
      <c r="D5304" s="2" t="s">
        <v>18</v>
      </c>
      <c r="E5304" s="4">
        <v>-32405</v>
      </c>
      <c r="F5304" s="3" t="s">
        <v>1413</v>
      </c>
      <c r="G5304" s="3" t="s">
        <v>1414</v>
      </c>
      <c r="H5304" s="2" t="s">
        <v>148</v>
      </c>
      <c r="I5304" s="2" t="s">
        <v>13806</v>
      </c>
      <c r="J5304" s="3" t="str">
        <f>HYPERLINK("https://www.boe.es/gazeta/dias/1811/04/11/pdfs/GEI-1811-49.pdf#page=1","Abrir facsímil")</f>
        <v>Abrir facsímil</v>
      </c>
      <c r="K5304" s="3" t="s">
        <v>150</v>
      </c>
    </row>
    <row r="5305" spans="1:11" ht="42" customHeight="1">
      <c r="A5305" s="2" t="s">
        <v>13804</v>
      </c>
      <c r="B5305" s="2" t="s">
        <v>13804</v>
      </c>
      <c r="C5305" s="2" t="s">
        <v>17</v>
      </c>
      <c r="D5305" s="2" t="s">
        <v>204</v>
      </c>
      <c r="E5305" s="4">
        <v>-32363</v>
      </c>
      <c r="F5305" s="3" t="s">
        <v>1645</v>
      </c>
      <c r="G5305" s="3" t="s">
        <v>12205</v>
      </c>
      <c r="H5305" s="2" t="s">
        <v>148</v>
      </c>
      <c r="I5305" s="2" t="s">
        <v>13807</v>
      </c>
      <c r="J5305" s="3" t="str">
        <f>HYPERLINK("https://www.boe.es/gazeta/dias/1811/05/23/pdfs/GEI-1811-68.pdf#page=1","Abrir facsímil")</f>
        <v>Abrir facsímil</v>
      </c>
      <c r="K5305" s="3" t="s">
        <v>150</v>
      </c>
    </row>
    <row r="5306" spans="1:11" ht="42" customHeight="1">
      <c r="A5306" s="2" t="s">
        <v>13808</v>
      </c>
      <c r="B5306" s="2" t="s">
        <v>13809</v>
      </c>
      <c r="C5306" s="2" t="s">
        <v>841</v>
      </c>
      <c r="D5306" s="2" t="s">
        <v>18</v>
      </c>
      <c r="E5306" s="4">
        <v>-32165</v>
      </c>
      <c r="F5306" s="3" t="s">
        <v>1462</v>
      </c>
      <c r="G5306" s="3" t="s">
        <v>3610</v>
      </c>
      <c r="H5306" s="2" t="s">
        <v>148</v>
      </c>
      <c r="I5306" s="2" t="s">
        <v>13810</v>
      </c>
      <c r="J5306" s="3" t="str">
        <f>HYPERLINK("https://www.boe.es/gazeta/dias/1811/12/07/pdfs/GMD-1811-341.pdf#page=4","Abrir facsímil")</f>
        <v>Abrir facsímil</v>
      </c>
      <c r="K5306" s="3" t="s">
        <v>150</v>
      </c>
    </row>
    <row r="5307" spans="1:11" ht="42" customHeight="1">
      <c r="A5307" s="2" t="s">
        <v>13811</v>
      </c>
      <c r="B5307" s="2" t="s">
        <v>13812</v>
      </c>
      <c r="C5307" s="2" t="s">
        <v>104</v>
      </c>
      <c r="D5307" s="2" t="s">
        <v>18</v>
      </c>
      <c r="E5307" s="4">
        <v>-32232</v>
      </c>
      <c r="F5307" s="3" t="s">
        <v>1816</v>
      </c>
      <c r="G5307" s="3" t="s">
        <v>1817</v>
      </c>
      <c r="H5307" s="2" t="s">
        <v>148</v>
      </c>
      <c r="I5307" s="2" t="s">
        <v>13813</v>
      </c>
      <c r="J5307" s="3" t="str">
        <f>HYPERLINK("https://www.boe.es/gazeta/dias/1811/10/01/pdfs/GEI-1811-126.pdf#page=8","Abrir facsímil")</f>
        <v>Abrir facsímil</v>
      </c>
      <c r="K5307" s="3" t="s">
        <v>150</v>
      </c>
    </row>
    <row r="5308" spans="1:11" ht="42" customHeight="1">
      <c r="A5308" s="2" t="s">
        <v>13814</v>
      </c>
      <c r="B5308" s="2" t="s">
        <v>13815</v>
      </c>
      <c r="C5308" s="2" t="s">
        <v>26</v>
      </c>
      <c r="D5308" s="2" t="s">
        <v>18</v>
      </c>
      <c r="E5308" s="4">
        <v>-32153</v>
      </c>
      <c r="F5308" s="3" t="s">
        <v>123</v>
      </c>
      <c r="G5308" s="3" t="s">
        <v>124</v>
      </c>
      <c r="H5308" s="2" t="s">
        <v>148</v>
      </c>
      <c r="I5308" s="2" t="s">
        <v>13816</v>
      </c>
      <c r="J5308" s="3" t="str">
        <f>HYPERLINK("https://www.boe.es/gazeta/dias/1811/12/19/pdfs/GMD-1811-353.pdf#page=6","Abrir facsímil")</f>
        <v>Abrir facsímil</v>
      </c>
      <c r="K5308" s="3" t="s">
        <v>150</v>
      </c>
    </row>
    <row r="5309" spans="1:11" ht="42" customHeight="1">
      <c r="A5309" s="2" t="s">
        <v>13817</v>
      </c>
      <c r="B5309" s="2" t="s">
        <v>13817</v>
      </c>
      <c r="C5309" s="2" t="s">
        <v>26</v>
      </c>
      <c r="D5309" s="2" t="s">
        <v>204</v>
      </c>
      <c r="E5309" s="4">
        <v>-32148</v>
      </c>
      <c r="F5309" s="3" t="s">
        <v>3028</v>
      </c>
      <c r="G5309" s="3" t="s">
        <v>530</v>
      </c>
      <c r="H5309" s="2" t="s">
        <v>148</v>
      </c>
      <c r="I5309" s="2" t="s">
        <v>13818</v>
      </c>
      <c r="J5309" s="3" t="str">
        <f>HYPERLINK("https://www.boe.es/gazeta/dias/1811/12/24/pdfs/GMD-1811-358.pdf#page=3","Abrir facsímil")</f>
        <v>Abrir facsímil</v>
      </c>
      <c r="K5309" s="3" t="s">
        <v>150</v>
      </c>
    </row>
    <row r="5310" spans="1:11" ht="42" customHeight="1">
      <c r="A5310" s="2" t="s">
        <v>13819</v>
      </c>
      <c r="B5310" s="2" t="s">
        <v>13820</v>
      </c>
      <c r="C5310" s="2" t="s">
        <v>37</v>
      </c>
      <c r="D5310" s="2" t="s">
        <v>18</v>
      </c>
      <c r="E5310" s="4">
        <v>-32433</v>
      </c>
      <c r="F5310" s="3" t="s">
        <v>209</v>
      </c>
      <c r="G5310" s="3" t="s">
        <v>488</v>
      </c>
      <c r="H5310" s="2" t="s">
        <v>148</v>
      </c>
      <c r="I5310" s="2" t="s">
        <v>13821</v>
      </c>
      <c r="J5310" s="3" t="str">
        <f>HYPERLINK("https://www.boe.es/gazeta/dias/1811/03/14/pdfs/GMD-1811-73.pdf#page=2","Abrir facsímil")</f>
        <v>Abrir facsímil</v>
      </c>
      <c r="K5310" s="3" t="s">
        <v>150</v>
      </c>
    </row>
    <row r="5311" spans="1:11" ht="42" customHeight="1">
      <c r="A5311" s="2" t="s">
        <v>13822</v>
      </c>
      <c r="B5311" s="2" t="s">
        <v>13823</v>
      </c>
      <c r="C5311" s="2" t="s">
        <v>17</v>
      </c>
      <c r="D5311" s="2" t="s">
        <v>156</v>
      </c>
      <c r="E5311" s="4">
        <v>-32271</v>
      </c>
      <c r="F5311" s="3" t="s">
        <v>2902</v>
      </c>
      <c r="G5311" s="3" t="s">
        <v>28</v>
      </c>
      <c r="H5311" s="2" t="s">
        <v>148</v>
      </c>
      <c r="I5311" s="2" t="s">
        <v>13824</v>
      </c>
      <c r="J5311" s="3" t="str">
        <f>HYPERLINK("https://www.boe.es/gazeta/dias/1811/08/23/pdfs/GMD-1811-235.pdf#page=2","Abrir facsímil")</f>
        <v>Abrir facsímil</v>
      </c>
      <c r="K5311" s="3" t="s">
        <v>150</v>
      </c>
    </row>
    <row r="5312" spans="1:11" ht="42" customHeight="1">
      <c r="A5312" s="2" t="s">
        <v>13825</v>
      </c>
      <c r="B5312" s="2" t="s">
        <v>13825</v>
      </c>
      <c r="C5312" s="2" t="s">
        <v>17</v>
      </c>
      <c r="D5312" s="2" t="s">
        <v>18</v>
      </c>
      <c r="E5312" s="4">
        <v>-32335</v>
      </c>
      <c r="F5312" s="3" t="s">
        <v>3776</v>
      </c>
      <c r="G5312" s="3" t="s">
        <v>1087</v>
      </c>
      <c r="H5312" s="2" t="s">
        <v>148</v>
      </c>
      <c r="I5312" s="2" t="s">
        <v>13826</v>
      </c>
      <c r="J5312" s="3" t="str">
        <f>HYPERLINK("https://www.boe.es/gazeta/dias/1811/06/20/pdfs/GEI-1811-82.pdf#page=2","Abrir facsímil")</f>
        <v>Abrir facsímil</v>
      </c>
      <c r="K5312" s="3" t="s">
        <v>150</v>
      </c>
    </row>
    <row r="5313" spans="1:11" ht="42" customHeight="1">
      <c r="A5313" s="2" t="s">
        <v>13825</v>
      </c>
      <c r="B5313" s="2" t="s">
        <v>13825</v>
      </c>
      <c r="C5313" s="2" t="s">
        <v>17</v>
      </c>
      <c r="D5313" s="2" t="s">
        <v>18</v>
      </c>
      <c r="E5313" s="4">
        <v>-32335</v>
      </c>
      <c r="F5313" s="3" t="s">
        <v>3776</v>
      </c>
      <c r="G5313" s="3" t="s">
        <v>91</v>
      </c>
      <c r="H5313" s="2" t="s">
        <v>148</v>
      </c>
      <c r="I5313" s="2" t="s">
        <v>13827</v>
      </c>
      <c r="J5313" s="3" t="str">
        <f>HYPERLINK("https://www.boe.es/gazeta/dias/1811/06/20/pdfs/GEI-1811-82.pdf#page=3","Abrir facsímil")</f>
        <v>Abrir facsímil</v>
      </c>
      <c r="K5313" s="3" t="s">
        <v>150</v>
      </c>
    </row>
    <row r="5314" spans="1:11" ht="42" customHeight="1">
      <c r="A5314" s="2" t="s">
        <v>13828</v>
      </c>
      <c r="B5314" s="2" t="s">
        <v>13829</v>
      </c>
      <c r="C5314" s="2" t="s">
        <v>26</v>
      </c>
      <c r="D5314" s="2" t="s">
        <v>18</v>
      </c>
      <c r="E5314" s="4">
        <v>-32195</v>
      </c>
      <c r="F5314" s="3" t="s">
        <v>439</v>
      </c>
      <c r="G5314" s="3" t="s">
        <v>440</v>
      </c>
      <c r="H5314" s="2" t="s">
        <v>148</v>
      </c>
      <c r="I5314" s="2" t="s">
        <v>13830</v>
      </c>
      <c r="J5314" s="3" t="str">
        <f>HYPERLINK("https://www.boe.es/gazeta/dias/1811/11/07/pdfs/GEI-1811-144.pdf#page=8","Abrir facsímil")</f>
        <v>Abrir facsímil</v>
      </c>
      <c r="K5314" s="3" t="s">
        <v>150</v>
      </c>
    </row>
    <row r="5315" spans="1:11" ht="42" customHeight="1">
      <c r="A5315" s="2" t="s">
        <v>13831</v>
      </c>
      <c r="B5315" s="2" t="s">
        <v>13832</v>
      </c>
      <c r="C5315" s="2" t="s">
        <v>17</v>
      </c>
      <c r="D5315" s="2" t="s">
        <v>18</v>
      </c>
      <c r="E5315" s="4">
        <v>-32230</v>
      </c>
      <c r="F5315" s="3" t="s">
        <v>625</v>
      </c>
      <c r="G5315" s="3" t="s">
        <v>5020</v>
      </c>
      <c r="H5315" s="2" t="s">
        <v>148</v>
      </c>
      <c r="I5315" s="2" t="s">
        <v>13833</v>
      </c>
      <c r="J5315" s="3" t="str">
        <f>HYPERLINK("https://www.boe.es/gazeta/dias/1811/10/03/pdfs/GEI-1811-127.pdf#page=4","Abrir facsímil")</f>
        <v>Abrir facsímil</v>
      </c>
      <c r="K5315" s="3" t="s">
        <v>150</v>
      </c>
    </row>
    <row r="5316" spans="1:11" ht="42" customHeight="1">
      <c r="A5316" s="2" t="s">
        <v>13834</v>
      </c>
      <c r="B5316" s="2" t="s">
        <v>13835</v>
      </c>
      <c r="C5316" s="2" t="s">
        <v>26</v>
      </c>
      <c r="D5316" s="2" t="s">
        <v>18</v>
      </c>
      <c r="E5316" s="4">
        <v>-32260</v>
      </c>
      <c r="F5316" s="3" t="s">
        <v>27</v>
      </c>
      <c r="G5316" s="3" t="s">
        <v>28</v>
      </c>
      <c r="H5316" s="2" t="s">
        <v>148</v>
      </c>
      <c r="I5316" s="2" t="s">
        <v>13836</v>
      </c>
      <c r="J5316" s="3" t="str">
        <f>HYPERLINK("https://www.boe.es/gazeta/dias/1811/09/03/pdfs/GEI-1811-114.pdf#page=3","Abrir facsímil")</f>
        <v>Abrir facsímil</v>
      </c>
      <c r="K5316" s="3" t="s">
        <v>150</v>
      </c>
    </row>
    <row r="5317" spans="1:11" ht="42" customHeight="1">
      <c r="A5317" s="2" t="s">
        <v>13834</v>
      </c>
      <c r="B5317" s="2" t="s">
        <v>13835</v>
      </c>
      <c r="C5317" s="2" t="s">
        <v>17</v>
      </c>
      <c r="D5317" s="2" t="s">
        <v>18</v>
      </c>
      <c r="E5317" s="4">
        <v>-32260</v>
      </c>
      <c r="F5317" s="3" t="s">
        <v>27</v>
      </c>
      <c r="G5317" s="3" t="s">
        <v>183</v>
      </c>
      <c r="H5317" s="2" t="s">
        <v>148</v>
      </c>
      <c r="I5317" s="2" t="s">
        <v>13837</v>
      </c>
      <c r="J5317" s="3" t="str">
        <f>HYPERLINK("https://www.boe.es/gazeta/dias/1811/09/03/pdfs/GEI-1811-114.pdf#page=4","Abrir facsímil")</f>
        <v>Abrir facsímil</v>
      </c>
      <c r="K5317" s="3" t="s">
        <v>150</v>
      </c>
    </row>
    <row r="5318" spans="1:11" ht="42" customHeight="1">
      <c r="A5318" s="2" t="s">
        <v>13838</v>
      </c>
      <c r="B5318" s="2" t="s">
        <v>13839</v>
      </c>
      <c r="C5318" s="2" t="s">
        <v>26</v>
      </c>
      <c r="D5318" s="2" t="s">
        <v>141</v>
      </c>
      <c r="E5318" s="4">
        <v>-32280</v>
      </c>
      <c r="F5318" s="3" t="s">
        <v>142</v>
      </c>
      <c r="G5318" s="3" t="s">
        <v>47</v>
      </c>
      <c r="H5318" s="2" t="s">
        <v>148</v>
      </c>
      <c r="I5318" s="2" t="s">
        <v>13840</v>
      </c>
      <c r="J5318" s="3" t="str">
        <f>HYPERLINK("https://www.boe.es/gazeta/dias/1811/08/14/pdfs/GMD-C-1811-226.pdf#page=1","Abrir facsímil")</f>
        <v>Abrir facsímil</v>
      </c>
      <c r="K5318" s="3" t="s">
        <v>150</v>
      </c>
    </row>
    <row r="5319" spans="1:11" ht="42" customHeight="1">
      <c r="A5319" s="2" t="s">
        <v>13841</v>
      </c>
      <c r="B5319" s="2" t="s">
        <v>13842</v>
      </c>
      <c r="C5319" s="2" t="s">
        <v>26</v>
      </c>
      <c r="D5319" s="2" t="s">
        <v>18</v>
      </c>
      <c r="E5319" s="4">
        <v>-32372</v>
      </c>
      <c r="F5319" s="3" t="s">
        <v>2690</v>
      </c>
      <c r="G5319" s="3" t="s">
        <v>13843</v>
      </c>
      <c r="H5319" s="2" t="s">
        <v>148</v>
      </c>
      <c r="I5319" s="2" t="s">
        <v>13844</v>
      </c>
      <c r="J5319" s="3" t="str">
        <f>HYPERLINK("https://www.boe.es/gazeta/dias/1811/05/14/pdfs/GEI-1811-63.pdf#page=7","Abrir facsímil")</f>
        <v>Abrir facsímil</v>
      </c>
      <c r="K5319" s="3" t="s">
        <v>150</v>
      </c>
    </row>
    <row r="5320" spans="1:11" ht="42" customHeight="1">
      <c r="A5320" s="2" t="s">
        <v>13845</v>
      </c>
      <c r="B5320" s="2" t="s">
        <v>13846</v>
      </c>
      <c r="C5320" s="2" t="s">
        <v>26</v>
      </c>
      <c r="D5320" s="2" t="s">
        <v>18</v>
      </c>
      <c r="E5320" s="4">
        <v>-32200</v>
      </c>
      <c r="F5320" s="3" t="s">
        <v>109</v>
      </c>
      <c r="G5320" s="3" t="s">
        <v>268</v>
      </c>
      <c r="H5320" s="2" t="s">
        <v>148</v>
      </c>
      <c r="I5320" s="2" t="s">
        <v>13847</v>
      </c>
      <c r="J5320" s="3" t="str">
        <f>HYPERLINK("https://www.boe.es/gazeta/dias/1811/11/02/pdfs/GEI-1811-141.pdf#page=7","Abrir facsímil")</f>
        <v>Abrir facsímil</v>
      </c>
      <c r="K5320" s="3" t="s">
        <v>150</v>
      </c>
    </row>
    <row r="5321" spans="1:11" ht="42" customHeight="1">
      <c r="A5321" s="2" t="s">
        <v>13848</v>
      </c>
      <c r="B5321" s="2" t="s">
        <v>13849</v>
      </c>
      <c r="C5321" s="2" t="s">
        <v>17</v>
      </c>
      <c r="D5321" s="2" t="s">
        <v>156</v>
      </c>
      <c r="E5321" s="4">
        <v>-32384</v>
      </c>
      <c r="F5321" s="3" t="s">
        <v>338</v>
      </c>
      <c r="G5321" s="3" t="s">
        <v>339</v>
      </c>
      <c r="H5321" s="2" t="s">
        <v>148</v>
      </c>
      <c r="I5321" s="2" t="s">
        <v>13850</v>
      </c>
      <c r="J5321" s="3" t="str">
        <f>HYPERLINK("https://www.boe.es/gazeta/dias/1811/05/02/pdfs/GEI-1811-58.pdf#page=8","Abrir facsímil")</f>
        <v>Abrir facsímil</v>
      </c>
      <c r="K5321" s="3" t="s">
        <v>150</v>
      </c>
    </row>
    <row r="5322" spans="1:11" ht="42" customHeight="1">
      <c r="A5322" s="2" t="s">
        <v>13851</v>
      </c>
      <c r="B5322" s="2" t="s">
        <v>13852</v>
      </c>
      <c r="C5322" s="2" t="s">
        <v>17</v>
      </c>
      <c r="D5322" s="2" t="s">
        <v>18</v>
      </c>
      <c r="E5322" s="4">
        <v>-32300</v>
      </c>
      <c r="F5322" s="3" t="s">
        <v>492</v>
      </c>
      <c r="G5322" s="3" t="s">
        <v>20</v>
      </c>
      <c r="H5322" s="2" t="s">
        <v>148</v>
      </c>
      <c r="I5322" s="2" t="s">
        <v>13853</v>
      </c>
      <c r="J5322" s="3" t="str">
        <f>HYPERLINK("https://www.boe.es/gazeta/dias/1811/07/25/pdfs/GMD-1811-206.pdf#page=3","Abrir facsímil")</f>
        <v>Abrir facsímil</v>
      </c>
      <c r="K5322" s="3" t="s">
        <v>150</v>
      </c>
    </row>
    <row r="5323" spans="1:11" ht="42" customHeight="1">
      <c r="A5323" s="2" t="s">
        <v>13854</v>
      </c>
      <c r="B5323" s="2" t="s">
        <v>13855</v>
      </c>
      <c r="C5323" s="2" t="s">
        <v>17</v>
      </c>
      <c r="D5323" s="2" t="s">
        <v>156</v>
      </c>
      <c r="E5323" s="4">
        <v>-32416</v>
      </c>
      <c r="F5323" s="3" t="s">
        <v>954</v>
      </c>
      <c r="G5323" s="3" t="s">
        <v>183</v>
      </c>
      <c r="H5323" s="2" t="s">
        <v>148</v>
      </c>
      <c r="I5323" s="2" t="s">
        <v>13856</v>
      </c>
      <c r="J5323" s="3" t="str">
        <f>HYPERLINK("https://www.boe.es/gazeta/dias/1811/03/31/pdfs/GMD-1811-90.pdf#page=4","Abrir facsímil")</f>
        <v>Abrir facsímil</v>
      </c>
      <c r="K5323" s="3" t="s">
        <v>150</v>
      </c>
    </row>
    <row r="5324" spans="1:11" ht="42" customHeight="1">
      <c r="A5324" s="2" t="s">
        <v>13857</v>
      </c>
      <c r="B5324" s="2" t="s">
        <v>13858</v>
      </c>
      <c r="C5324" s="2" t="s">
        <v>26</v>
      </c>
      <c r="D5324" s="2" t="s">
        <v>18</v>
      </c>
      <c r="E5324" s="4">
        <v>-32379</v>
      </c>
      <c r="F5324" s="3" t="s">
        <v>462</v>
      </c>
      <c r="G5324" s="3" t="s">
        <v>463</v>
      </c>
      <c r="H5324" s="2" t="s">
        <v>148</v>
      </c>
      <c r="I5324" s="2" t="s">
        <v>13859</v>
      </c>
      <c r="J5324" s="3" t="str">
        <f>HYPERLINK("https://www.boe.es/gazeta/dias/1811/05/07/pdfs/GEI-1811-60.pdf#page=8","Abrir facsímil")</f>
        <v>Abrir facsímil</v>
      </c>
      <c r="K5324" s="3" t="s">
        <v>150</v>
      </c>
    </row>
    <row r="5325" spans="1:11" ht="42" customHeight="1">
      <c r="A5325" s="2" t="s">
        <v>13860</v>
      </c>
      <c r="B5325" s="2" t="s">
        <v>13861</v>
      </c>
      <c r="C5325" s="2" t="s">
        <v>26</v>
      </c>
      <c r="D5325" s="2" t="s">
        <v>18</v>
      </c>
      <c r="E5325" s="4">
        <v>-32155</v>
      </c>
      <c r="F5325" s="3" t="s">
        <v>263</v>
      </c>
      <c r="G5325" s="3" t="s">
        <v>1800</v>
      </c>
      <c r="H5325" s="2" t="s">
        <v>148</v>
      </c>
      <c r="I5325" s="2" t="s">
        <v>13862</v>
      </c>
      <c r="J5325" s="3" t="str">
        <f>HYPERLINK("https://www.boe.es/gazeta/dias/1811/12/17/pdfs/GEI-1811-163.pdf#page=7","Abrir facsímil")</f>
        <v>Abrir facsímil</v>
      </c>
      <c r="K5325" s="3" t="s">
        <v>150</v>
      </c>
    </row>
    <row r="5326" spans="1:11" ht="42" customHeight="1">
      <c r="A5326" s="2" t="s">
        <v>13863</v>
      </c>
      <c r="B5326" s="2" t="s">
        <v>13864</v>
      </c>
      <c r="C5326" s="2" t="s">
        <v>26</v>
      </c>
      <c r="D5326" s="2" t="s">
        <v>18</v>
      </c>
      <c r="E5326" s="4">
        <v>-32221</v>
      </c>
      <c r="F5326" s="3" t="s">
        <v>747</v>
      </c>
      <c r="G5326" s="3" t="s">
        <v>47</v>
      </c>
      <c r="H5326" s="2" t="s">
        <v>148</v>
      </c>
      <c r="I5326" s="2" t="s">
        <v>13865</v>
      </c>
      <c r="J5326" s="3" t="str">
        <f>HYPERLINK("https://www.boe.es/gazeta/dias/1811/10/12/pdfs/GEI-1811-131.pdf#page=6","Abrir facsímil")</f>
        <v>Abrir facsímil</v>
      </c>
      <c r="K5326" s="3" t="s">
        <v>150</v>
      </c>
    </row>
    <row r="5327" spans="1:11" ht="42" customHeight="1">
      <c r="A5327" s="2" t="s">
        <v>13866</v>
      </c>
      <c r="B5327" s="2" t="s">
        <v>13867</v>
      </c>
      <c r="C5327" s="2" t="s">
        <v>37</v>
      </c>
      <c r="D5327" s="2" t="s">
        <v>105</v>
      </c>
      <c r="E5327" s="4">
        <v>-32187</v>
      </c>
      <c r="F5327" s="3" t="s">
        <v>1775</v>
      </c>
      <c r="G5327" s="3" t="s">
        <v>657</v>
      </c>
      <c r="H5327" s="2" t="s">
        <v>148</v>
      </c>
      <c r="I5327" s="2" t="s">
        <v>13868</v>
      </c>
      <c r="J5327" s="3" t="str">
        <f>HYPERLINK("https://www.boe.es/gazeta/dias/1811/11/15/pdfs/GMD-1811-319.pdf#page=4","Abrir facsímil")</f>
        <v>Abrir facsímil</v>
      </c>
      <c r="K5327" s="3" t="s">
        <v>150</v>
      </c>
    </row>
    <row r="5328" spans="1:11" ht="42" customHeight="1">
      <c r="A5328" s="2" t="s">
        <v>13869</v>
      </c>
      <c r="B5328" s="2" t="s">
        <v>13870</v>
      </c>
      <c r="C5328" s="2" t="s">
        <v>26</v>
      </c>
      <c r="D5328" s="2" t="s">
        <v>18</v>
      </c>
      <c r="E5328" s="4">
        <v>-32505</v>
      </c>
      <c r="F5328" s="3" t="s">
        <v>475</v>
      </c>
      <c r="G5328" s="3" t="s">
        <v>755</v>
      </c>
      <c r="H5328" s="2" t="s">
        <v>148</v>
      </c>
      <c r="I5328" s="2" t="s">
        <v>13871</v>
      </c>
      <c r="J5328" s="3" t="str">
        <f>HYPERLINK("https://www.boe.es/gazeta/dias/1811/01/01/pdfs/GEI-1811-1.pdf#page=8","Abrir facsímil")</f>
        <v>Abrir facsímil</v>
      </c>
      <c r="K5328" s="3" t="s">
        <v>150</v>
      </c>
    </row>
    <row r="5329" spans="1:11" ht="42" customHeight="1">
      <c r="A5329" s="2" t="s">
        <v>13869</v>
      </c>
      <c r="B5329" s="2" t="s">
        <v>13870</v>
      </c>
      <c r="C5329" s="2" t="s">
        <v>17</v>
      </c>
      <c r="D5329" s="2" t="s">
        <v>18</v>
      </c>
      <c r="E5329" s="4">
        <v>-32503</v>
      </c>
      <c r="F5329" s="3" t="s">
        <v>487</v>
      </c>
      <c r="G5329" s="3" t="s">
        <v>1930</v>
      </c>
      <c r="H5329" s="2" t="s">
        <v>148</v>
      </c>
      <c r="I5329" s="2" t="s">
        <v>13872</v>
      </c>
      <c r="J5329" s="3" t="str">
        <f>HYPERLINK("https://www.boe.es/gazeta/dias/1811/01/03/pdfs/GEI-1811-2.pdf#page=8","Abrir facsímil")</f>
        <v>Abrir facsímil</v>
      </c>
      <c r="K5329" s="3" t="s">
        <v>150</v>
      </c>
    </row>
    <row r="5330" spans="1:11" ht="42" customHeight="1">
      <c r="A5330" s="2" t="s">
        <v>13869</v>
      </c>
      <c r="B5330" s="2" t="s">
        <v>13870</v>
      </c>
      <c r="C5330" s="2" t="s">
        <v>17</v>
      </c>
      <c r="D5330" s="2" t="s">
        <v>18</v>
      </c>
      <c r="E5330" s="4">
        <v>-32463</v>
      </c>
      <c r="F5330" s="3" t="s">
        <v>734</v>
      </c>
      <c r="G5330" s="3" t="s">
        <v>515</v>
      </c>
      <c r="H5330" s="2" t="s">
        <v>148</v>
      </c>
      <c r="I5330" s="2" t="s">
        <v>13873</v>
      </c>
      <c r="J5330" s="3" t="str">
        <f>HYPERLINK("https://www.boe.es/gazeta/dias/1811/02/12/pdfs/GEI-1811-19.pdf#page=7","Abrir facsímil")</f>
        <v>Abrir facsímil</v>
      </c>
      <c r="K5330" s="3" t="s">
        <v>150</v>
      </c>
    </row>
    <row r="5331" spans="1:11" ht="42" customHeight="1">
      <c r="A5331" s="2" t="s">
        <v>13874</v>
      </c>
      <c r="B5331" s="2" t="s">
        <v>13875</v>
      </c>
      <c r="C5331" s="2" t="s">
        <v>26</v>
      </c>
      <c r="D5331" s="2" t="s">
        <v>18</v>
      </c>
      <c r="E5331" s="4">
        <v>-32237</v>
      </c>
      <c r="F5331" s="3" t="s">
        <v>717</v>
      </c>
      <c r="G5331" s="3" t="s">
        <v>47</v>
      </c>
      <c r="H5331" s="2" t="s">
        <v>148</v>
      </c>
      <c r="I5331" s="2" t="s">
        <v>13876</v>
      </c>
      <c r="J5331" s="3" t="str">
        <f>HYPERLINK("https://www.boe.es/gazeta/dias/1811/09/26/pdfs/GEI-1811-124.pdf#page=4","Abrir facsímil")</f>
        <v>Abrir facsímil</v>
      </c>
      <c r="K5331" s="3" t="s">
        <v>150</v>
      </c>
    </row>
    <row r="5332" spans="1:11" ht="42" customHeight="1">
      <c r="A5332" s="2" t="s">
        <v>13877</v>
      </c>
      <c r="B5332" s="2" t="s">
        <v>13878</v>
      </c>
      <c r="C5332" s="2" t="s">
        <v>17</v>
      </c>
      <c r="D5332" s="2" t="s">
        <v>18</v>
      </c>
      <c r="E5332" s="4">
        <v>-32288</v>
      </c>
      <c r="F5332" s="3" t="s">
        <v>95</v>
      </c>
      <c r="G5332" s="3" t="s">
        <v>4290</v>
      </c>
      <c r="H5332" s="2" t="s">
        <v>148</v>
      </c>
      <c r="I5332" s="2" t="s">
        <v>13879</v>
      </c>
      <c r="J5332" s="3" t="str">
        <f>HYPERLINK("https://www.boe.es/gazeta/dias/1811/08/06/pdfs/GEI-1811-102.pdf#page=5","Abrir facsímil")</f>
        <v>Abrir facsímil</v>
      </c>
      <c r="K5332" s="3" t="s">
        <v>150</v>
      </c>
    </row>
    <row r="5333" spans="1:11" ht="42" customHeight="1">
      <c r="A5333" s="2" t="s">
        <v>13880</v>
      </c>
      <c r="B5333" s="2" t="s">
        <v>13881</v>
      </c>
      <c r="C5333" s="2" t="s">
        <v>26</v>
      </c>
      <c r="D5333" s="2" t="s">
        <v>18</v>
      </c>
      <c r="E5333" s="4">
        <v>-32155</v>
      </c>
      <c r="F5333" s="3" t="s">
        <v>263</v>
      </c>
      <c r="G5333" s="3" t="s">
        <v>1800</v>
      </c>
      <c r="H5333" s="2" t="s">
        <v>148</v>
      </c>
      <c r="I5333" s="2" t="s">
        <v>13882</v>
      </c>
      <c r="J5333" s="3" t="str">
        <f>HYPERLINK("https://www.boe.es/gazeta/dias/1811/12/17/pdfs/GEI-1811-163.pdf#page=7","Abrir facsímil")</f>
        <v>Abrir facsímil</v>
      </c>
      <c r="K5333" s="3" t="s">
        <v>150</v>
      </c>
    </row>
    <row r="5334" spans="1:11" ht="42" customHeight="1">
      <c r="A5334" s="2" t="s">
        <v>13883</v>
      </c>
      <c r="B5334" s="2" t="s">
        <v>13884</v>
      </c>
      <c r="C5334" s="2" t="s">
        <v>122</v>
      </c>
      <c r="D5334" s="2" t="s">
        <v>141</v>
      </c>
      <c r="E5334" s="4">
        <v>-32238</v>
      </c>
      <c r="F5334" s="3" t="s">
        <v>166</v>
      </c>
      <c r="G5334" s="3" t="s">
        <v>657</v>
      </c>
      <c r="H5334" s="2" t="s">
        <v>148</v>
      </c>
      <c r="I5334" s="2" t="s">
        <v>13885</v>
      </c>
      <c r="J5334" s="3" t="str">
        <f>HYPERLINK("https://www.boe.es/gazeta/dias/1811/09/25/pdfs/GMD-C-1811-268.pdf#page=3","Abrir facsímil")</f>
        <v>Abrir facsímil</v>
      </c>
      <c r="K5334" s="3" t="s">
        <v>150</v>
      </c>
    </row>
    <row r="5335" spans="1:11" ht="42" customHeight="1">
      <c r="A5335" s="2" t="s">
        <v>13886</v>
      </c>
      <c r="B5335" s="2" t="s">
        <v>13887</v>
      </c>
      <c r="C5335" s="2" t="s">
        <v>26</v>
      </c>
      <c r="D5335" s="2" t="s">
        <v>204</v>
      </c>
      <c r="E5335" s="4">
        <v>-32202</v>
      </c>
      <c r="F5335" s="3" t="s">
        <v>1634</v>
      </c>
      <c r="G5335" s="3" t="s">
        <v>178</v>
      </c>
      <c r="H5335" s="2" t="s">
        <v>148</v>
      </c>
      <c r="I5335" s="2" t="s">
        <v>13888</v>
      </c>
      <c r="J5335" s="3" t="str">
        <f>HYPERLINK("https://www.boe.es/gazeta/dias/1811/10/31/pdfs/GMD-1811-304.pdf#page=4","Abrir facsímil")</f>
        <v>Abrir facsímil</v>
      </c>
      <c r="K5335" s="3" t="s">
        <v>150</v>
      </c>
    </row>
    <row r="5336" spans="1:11" ht="42" customHeight="1">
      <c r="A5336" s="2" t="s">
        <v>13889</v>
      </c>
      <c r="B5336" s="2" t="s">
        <v>13890</v>
      </c>
      <c r="C5336" s="2" t="s">
        <v>367</v>
      </c>
      <c r="D5336" s="2" t="s">
        <v>18</v>
      </c>
      <c r="E5336" s="4">
        <v>-32141</v>
      </c>
      <c r="F5336" s="3" t="s">
        <v>327</v>
      </c>
      <c r="G5336" s="3" t="s">
        <v>20</v>
      </c>
      <c r="H5336" s="2" t="s">
        <v>148</v>
      </c>
      <c r="I5336" s="2" t="s">
        <v>13891</v>
      </c>
      <c r="J5336" s="3" t="str">
        <f>HYPERLINK("https://www.boe.es/gazeta/dias/1811/12/31/pdfs/GMD-1811-365.pdf#page=4","Abrir facsímil")</f>
        <v>Abrir facsímil</v>
      </c>
      <c r="K5336" s="3" t="s">
        <v>150</v>
      </c>
    </row>
    <row r="5337" spans="1:11" ht="42" customHeight="1">
      <c r="A5337" s="2" t="s">
        <v>13892</v>
      </c>
      <c r="B5337" s="2" t="s">
        <v>13893</v>
      </c>
      <c r="C5337" s="2" t="s">
        <v>26</v>
      </c>
      <c r="D5337" s="2" t="s">
        <v>204</v>
      </c>
      <c r="E5337" s="4">
        <v>-32472</v>
      </c>
      <c r="F5337" s="3" t="s">
        <v>398</v>
      </c>
      <c r="G5337" s="3" t="s">
        <v>382</v>
      </c>
      <c r="H5337" s="2" t="s">
        <v>148</v>
      </c>
      <c r="I5337" s="2" t="s">
        <v>13894</v>
      </c>
      <c r="J5337" s="3" t="str">
        <f>HYPERLINK("https://www.boe.es/gazeta/dias/1811/02/03/pdfs/GMD-1811-34.pdf#page=2","Abrir facsímil")</f>
        <v>Abrir facsímil</v>
      </c>
      <c r="K5337" s="3" t="s">
        <v>150</v>
      </c>
    </row>
    <row r="5338" spans="1:11" ht="42" customHeight="1">
      <c r="A5338" s="2" t="s">
        <v>13892</v>
      </c>
      <c r="B5338" s="2" t="s">
        <v>13893</v>
      </c>
      <c r="C5338" s="2" t="s">
        <v>17</v>
      </c>
      <c r="D5338" s="2" t="s">
        <v>18</v>
      </c>
      <c r="E5338" s="4">
        <v>-32316</v>
      </c>
      <c r="F5338" s="3" t="s">
        <v>5337</v>
      </c>
      <c r="G5338" s="3" t="s">
        <v>468</v>
      </c>
      <c r="H5338" s="2" t="s">
        <v>148</v>
      </c>
      <c r="I5338" s="2" t="s">
        <v>13895</v>
      </c>
      <c r="J5338" s="3" t="str">
        <f>HYPERLINK("https://www.boe.es/gazeta/dias/1811/07/09/pdfs/GEI-1811-90.pdf#page=8","Abrir facsímil")</f>
        <v>Abrir facsímil</v>
      </c>
      <c r="K5338" s="3" t="s">
        <v>150</v>
      </c>
    </row>
    <row r="5339" spans="1:11" ht="42" customHeight="1">
      <c r="A5339" s="2" t="s">
        <v>13896</v>
      </c>
      <c r="B5339" s="2" t="s">
        <v>13897</v>
      </c>
      <c r="C5339" s="2" t="s">
        <v>367</v>
      </c>
      <c r="D5339" s="2" t="s">
        <v>18</v>
      </c>
      <c r="E5339" s="4">
        <v>-32188</v>
      </c>
      <c r="F5339" s="3" t="s">
        <v>356</v>
      </c>
      <c r="G5339" s="3" t="s">
        <v>468</v>
      </c>
      <c r="H5339" s="2" t="s">
        <v>148</v>
      </c>
      <c r="I5339" s="2" t="s">
        <v>13898</v>
      </c>
      <c r="J5339" s="3" t="str">
        <f>HYPERLINK("https://www.boe.es/gazeta/dias/1811/11/14/pdfs/GMD-1811-318.pdf#page=6","Abrir facsímil")</f>
        <v>Abrir facsímil</v>
      </c>
      <c r="K5339" s="3" t="s">
        <v>150</v>
      </c>
    </row>
    <row r="5340" spans="1:11" ht="42" customHeight="1">
      <c r="A5340" s="2" t="s">
        <v>13899</v>
      </c>
      <c r="B5340" s="2" t="s">
        <v>13900</v>
      </c>
      <c r="C5340" s="2" t="s">
        <v>26</v>
      </c>
      <c r="D5340" s="2" t="s">
        <v>141</v>
      </c>
      <c r="E5340" s="4">
        <v>-32249</v>
      </c>
      <c r="F5340" s="3" t="s">
        <v>743</v>
      </c>
      <c r="G5340" s="3" t="s">
        <v>1021</v>
      </c>
      <c r="H5340" s="2" t="s">
        <v>148</v>
      </c>
      <c r="I5340" s="2" t="s">
        <v>13901</v>
      </c>
      <c r="J5340" s="3" t="str">
        <f>HYPERLINK("https://www.boe.es/gazeta/dias/1811/09/14/pdfs/GMD-C-1811-257.pdf#page=2","Abrir facsímil")</f>
        <v>Abrir facsímil</v>
      </c>
      <c r="K5340" s="3" t="s">
        <v>150</v>
      </c>
    </row>
    <row r="5341" spans="1:11" ht="42" customHeight="1">
      <c r="A5341" s="2" t="s">
        <v>13902</v>
      </c>
      <c r="B5341" s="2" t="s">
        <v>13903</v>
      </c>
      <c r="C5341" s="2" t="s">
        <v>26</v>
      </c>
      <c r="D5341" s="2" t="s">
        <v>105</v>
      </c>
      <c r="E5341" s="4">
        <v>-32238</v>
      </c>
      <c r="F5341" s="3" t="s">
        <v>166</v>
      </c>
      <c r="G5341" s="3" t="s">
        <v>657</v>
      </c>
      <c r="H5341" s="2" t="s">
        <v>148</v>
      </c>
      <c r="I5341" s="2" t="s">
        <v>13904</v>
      </c>
      <c r="J5341" s="3" t="str">
        <f>HYPERLINK("https://www.boe.es/gazeta/dias/1811/09/25/pdfs/GMD-C-1811-268.pdf#page=3","Abrir facsímil")</f>
        <v>Abrir facsímil</v>
      </c>
      <c r="K5341" s="3" t="s">
        <v>150</v>
      </c>
    </row>
    <row r="5342" spans="1:11" ht="42" customHeight="1">
      <c r="A5342" s="2" t="s">
        <v>13905</v>
      </c>
      <c r="B5342" s="2" t="s">
        <v>13906</v>
      </c>
      <c r="C5342" s="2" t="s">
        <v>26</v>
      </c>
      <c r="D5342" s="2" t="s">
        <v>18</v>
      </c>
      <c r="E5342" s="4">
        <v>-32491</v>
      </c>
      <c r="F5342" s="3" t="s">
        <v>2280</v>
      </c>
      <c r="G5342" s="3" t="s">
        <v>44</v>
      </c>
      <c r="H5342" s="2" t="s">
        <v>148</v>
      </c>
      <c r="I5342" s="2" t="s">
        <v>13907</v>
      </c>
      <c r="J5342" s="3" t="str">
        <f>HYPERLINK("https://www.boe.es/gazeta/dias/1811/01/15/pdfs/GMD-1811-15.pdf#page=4","Abrir facsímil")</f>
        <v>Abrir facsímil</v>
      </c>
      <c r="K5342" s="3" t="s">
        <v>150</v>
      </c>
    </row>
    <row r="5343" spans="1:11" ht="42" customHeight="1">
      <c r="A5343" s="2" t="s">
        <v>13905</v>
      </c>
      <c r="B5343" s="2" t="s">
        <v>13906</v>
      </c>
      <c r="C5343" s="2" t="s">
        <v>26</v>
      </c>
      <c r="D5343" s="2" t="s">
        <v>141</v>
      </c>
      <c r="E5343" s="4">
        <v>-32238</v>
      </c>
      <c r="F5343" s="3" t="s">
        <v>166</v>
      </c>
      <c r="G5343" s="3" t="s">
        <v>39</v>
      </c>
      <c r="H5343" s="2" t="s">
        <v>148</v>
      </c>
      <c r="I5343" s="2" t="s">
        <v>13908</v>
      </c>
      <c r="J5343" s="3" t="str">
        <f>HYPERLINK("https://www.boe.es/gazeta/dias/1811/09/25/pdfs/GMD-C-1811-268.pdf#page=2","Abrir facsímil")</f>
        <v>Abrir facsímil</v>
      </c>
      <c r="K5343" s="3" t="s">
        <v>150</v>
      </c>
    </row>
    <row r="5344" spans="1:11" ht="42" customHeight="1">
      <c r="A5344" s="2" t="s">
        <v>13909</v>
      </c>
      <c r="B5344" s="2" t="s">
        <v>13910</v>
      </c>
      <c r="C5344" s="2" t="s">
        <v>26</v>
      </c>
      <c r="D5344" s="2" t="s">
        <v>141</v>
      </c>
      <c r="E5344" s="4">
        <v>-32238</v>
      </c>
      <c r="F5344" s="3" t="s">
        <v>166</v>
      </c>
      <c r="G5344" s="3" t="s">
        <v>178</v>
      </c>
      <c r="H5344" s="2" t="s">
        <v>148</v>
      </c>
      <c r="I5344" s="2" t="s">
        <v>13911</v>
      </c>
      <c r="J5344" s="3" t="str">
        <f>HYPERLINK("https://www.boe.es/gazeta/dias/1811/09/25/pdfs/GMD-C-1811-268.pdf#page=4","Abrir facsímil")</f>
        <v>Abrir facsímil</v>
      </c>
      <c r="K5344" s="3" t="s">
        <v>150</v>
      </c>
    </row>
    <row r="5345" spans="1:11" ht="42" customHeight="1">
      <c r="A5345" s="2" t="s">
        <v>13912</v>
      </c>
      <c r="B5345" s="2" t="s">
        <v>13913</v>
      </c>
      <c r="C5345" s="2" t="s">
        <v>17</v>
      </c>
      <c r="D5345" s="2" t="s">
        <v>156</v>
      </c>
      <c r="E5345" s="4">
        <v>-32188</v>
      </c>
      <c r="F5345" s="3" t="s">
        <v>505</v>
      </c>
      <c r="G5345" s="3" t="s">
        <v>47</v>
      </c>
      <c r="H5345" s="2" t="s">
        <v>148</v>
      </c>
      <c r="I5345" s="2" t="s">
        <v>13914</v>
      </c>
      <c r="J5345" s="3" t="str">
        <f>HYPERLINK("https://www.boe.es/gazeta/dias/1811/11/14/pdfs/GEI-D-1811-149.pdf#page=3","Abrir facsímil")</f>
        <v>Abrir facsímil</v>
      </c>
      <c r="K5345" s="3" t="s">
        <v>150</v>
      </c>
    </row>
    <row r="5346" spans="1:11" ht="42" customHeight="1">
      <c r="A5346" s="2" t="s">
        <v>13915</v>
      </c>
      <c r="B5346" s="2" t="s">
        <v>13916</v>
      </c>
      <c r="C5346" s="2" t="s">
        <v>26</v>
      </c>
      <c r="D5346" s="2" t="s">
        <v>18</v>
      </c>
      <c r="E5346" s="4">
        <v>-32153</v>
      </c>
      <c r="F5346" s="3" t="s">
        <v>123</v>
      </c>
      <c r="G5346" s="3" t="s">
        <v>1067</v>
      </c>
      <c r="H5346" s="2" t="s">
        <v>148</v>
      </c>
      <c r="I5346" s="2" t="s">
        <v>13917</v>
      </c>
      <c r="J5346" s="3" t="str">
        <f>HYPERLINK("https://www.boe.es/gazeta/dias/1811/12/19/pdfs/GMD-1811-353.pdf#page=5","Abrir facsímil")</f>
        <v>Abrir facsímil</v>
      </c>
      <c r="K5346" s="3" t="s">
        <v>150</v>
      </c>
    </row>
    <row r="5347" spans="1:11" ht="42" customHeight="1">
      <c r="A5347" s="2" t="s">
        <v>13918</v>
      </c>
      <c r="B5347" s="2" t="s">
        <v>13918</v>
      </c>
      <c r="C5347" s="2" t="s">
        <v>26</v>
      </c>
      <c r="D5347" s="2" t="s">
        <v>18</v>
      </c>
      <c r="E5347" s="4">
        <v>-32172</v>
      </c>
      <c r="F5347" s="3" t="s">
        <v>300</v>
      </c>
      <c r="G5347" s="3" t="s">
        <v>305</v>
      </c>
      <c r="H5347" s="2" t="s">
        <v>148</v>
      </c>
      <c r="I5347" s="2" t="s">
        <v>13919</v>
      </c>
      <c r="J5347" s="3" t="str">
        <f>HYPERLINK("https://www.boe.es/gazeta/dias/1811/11/30/pdfs/GMD-1811-334.pdf#page=3","Abrir facsímil")</f>
        <v>Abrir facsímil</v>
      </c>
      <c r="K5347" s="3" t="s">
        <v>150</v>
      </c>
    </row>
    <row r="5348" spans="1:11" ht="42" customHeight="1">
      <c r="A5348" s="2" t="s">
        <v>13920</v>
      </c>
      <c r="B5348" s="2" t="s">
        <v>13921</v>
      </c>
      <c r="C5348" s="2" t="s">
        <v>26</v>
      </c>
      <c r="D5348" s="2" t="s">
        <v>18</v>
      </c>
      <c r="E5348" s="4">
        <v>-32163</v>
      </c>
      <c r="F5348" s="3" t="s">
        <v>497</v>
      </c>
      <c r="G5348" s="3" t="s">
        <v>498</v>
      </c>
      <c r="H5348" s="2" t="s">
        <v>148</v>
      </c>
      <c r="I5348" s="2" t="s">
        <v>13922</v>
      </c>
      <c r="J5348" s="3" t="str">
        <f>HYPERLINK("https://www.boe.es/gazeta/dias/1811/12/09/pdfs/GMD-1811-343.pdf#page=4","Abrir facsímil")</f>
        <v>Abrir facsímil</v>
      </c>
      <c r="K5348" s="3" t="s">
        <v>150</v>
      </c>
    </row>
    <row r="5349" spans="1:11" ht="42" customHeight="1">
      <c r="A5349" s="2" t="s">
        <v>13923</v>
      </c>
      <c r="B5349" s="2" t="s">
        <v>13923</v>
      </c>
      <c r="C5349" s="2" t="s">
        <v>26</v>
      </c>
      <c r="D5349" s="2" t="s">
        <v>18</v>
      </c>
      <c r="E5349" s="4">
        <v>-32195</v>
      </c>
      <c r="F5349" s="3" t="s">
        <v>439</v>
      </c>
      <c r="G5349" s="3" t="s">
        <v>440</v>
      </c>
      <c r="H5349" s="2" t="s">
        <v>148</v>
      </c>
      <c r="I5349" s="2" t="s">
        <v>13924</v>
      </c>
      <c r="J5349" s="3" t="str">
        <f>HYPERLINK("https://www.boe.es/gazeta/dias/1811/11/07/pdfs/GEI-1811-144.pdf#page=8","Abrir facsímil")</f>
        <v>Abrir facsímil</v>
      </c>
      <c r="K5349" s="3" t="s">
        <v>150</v>
      </c>
    </row>
    <row r="5350" spans="1:11" ht="42" customHeight="1">
      <c r="A5350" s="2" t="s">
        <v>13925</v>
      </c>
      <c r="B5350" s="2" t="s">
        <v>13925</v>
      </c>
      <c r="C5350" s="2" t="s">
        <v>17</v>
      </c>
      <c r="D5350" s="2" t="s">
        <v>156</v>
      </c>
      <c r="E5350" s="4">
        <v>-32292</v>
      </c>
      <c r="F5350" s="3" t="s">
        <v>408</v>
      </c>
      <c r="G5350" s="3" t="s">
        <v>409</v>
      </c>
      <c r="H5350" s="2" t="s">
        <v>148</v>
      </c>
      <c r="I5350" s="2" t="s">
        <v>13926</v>
      </c>
      <c r="J5350" s="3" t="str">
        <f>HYPERLINK("https://www.boe.es/gazeta/dias/1811/08/02/pdfs/GMD-1811-214.pdf#page=4","Abrir facsímil")</f>
        <v>Abrir facsímil</v>
      </c>
      <c r="K5350" s="3" t="s">
        <v>150</v>
      </c>
    </row>
    <row r="5351" spans="1:11" ht="42" customHeight="1">
      <c r="A5351" s="2" t="s">
        <v>13927</v>
      </c>
      <c r="B5351" s="2" t="s">
        <v>13927</v>
      </c>
      <c r="C5351" s="2" t="s">
        <v>26</v>
      </c>
      <c r="D5351" s="2" t="s">
        <v>141</v>
      </c>
      <c r="E5351" s="4">
        <v>-32238</v>
      </c>
      <c r="F5351" s="3" t="s">
        <v>166</v>
      </c>
      <c r="G5351" s="3" t="s">
        <v>178</v>
      </c>
      <c r="H5351" s="2" t="s">
        <v>148</v>
      </c>
      <c r="I5351" s="2" t="s">
        <v>13928</v>
      </c>
      <c r="J5351" s="3" t="str">
        <f>HYPERLINK("https://www.boe.es/gazeta/dias/1811/09/25/pdfs/GMD-C-1811-268.pdf#page=4","Abrir facsímil")</f>
        <v>Abrir facsímil</v>
      </c>
      <c r="K5351" s="3" t="s">
        <v>150</v>
      </c>
    </row>
    <row r="5352" spans="1:11" ht="42" customHeight="1">
      <c r="A5352" s="2" t="s">
        <v>13929</v>
      </c>
      <c r="B5352" s="2" t="s">
        <v>13930</v>
      </c>
      <c r="C5352" s="2" t="s">
        <v>26</v>
      </c>
      <c r="D5352" s="2" t="s">
        <v>204</v>
      </c>
      <c r="E5352" s="4">
        <v>-32416</v>
      </c>
      <c r="F5352" s="3" t="s">
        <v>954</v>
      </c>
      <c r="G5352" s="3" t="s">
        <v>47</v>
      </c>
      <c r="H5352" s="2" t="s">
        <v>148</v>
      </c>
      <c r="I5352" s="2" t="s">
        <v>13931</v>
      </c>
      <c r="J5352" s="3" t="str">
        <f>HYPERLINK("https://www.boe.es/gazeta/dias/1811/03/31/pdfs/GMD-1811-90.pdf#page=3","Abrir facsímil")</f>
        <v>Abrir facsímil</v>
      </c>
      <c r="K5352" s="3" t="s">
        <v>150</v>
      </c>
    </row>
    <row r="5353" spans="1:11" ht="42" customHeight="1">
      <c r="A5353" s="2" t="s">
        <v>13932</v>
      </c>
      <c r="B5353" s="2" t="s">
        <v>13933</v>
      </c>
      <c r="C5353" s="2" t="s">
        <v>26</v>
      </c>
      <c r="D5353" s="2" t="s">
        <v>141</v>
      </c>
      <c r="E5353" s="4">
        <v>-32396</v>
      </c>
      <c r="F5353" s="3" t="s">
        <v>804</v>
      </c>
      <c r="G5353" s="3" t="s">
        <v>805</v>
      </c>
      <c r="H5353" s="2" t="s">
        <v>148</v>
      </c>
      <c r="I5353" s="2" t="s">
        <v>13934</v>
      </c>
      <c r="J5353" s="3" t="str">
        <f>HYPERLINK("https://www.boe.es/gazeta/dias/1811/04/20/pdfs/GEI-D-1811-53.pdf#page=4","Abrir facsímil")</f>
        <v>Abrir facsímil</v>
      </c>
      <c r="K5353" s="3" t="s">
        <v>150</v>
      </c>
    </row>
    <row r="5354" spans="1:11" ht="42" customHeight="1">
      <c r="A5354" s="2" t="s">
        <v>13935</v>
      </c>
      <c r="B5354" s="2" t="s">
        <v>13936</v>
      </c>
      <c r="C5354" s="2" t="s">
        <v>17</v>
      </c>
      <c r="D5354" s="2" t="s">
        <v>156</v>
      </c>
      <c r="E5354" s="4">
        <v>-32309</v>
      </c>
      <c r="F5354" s="3" t="s">
        <v>2496</v>
      </c>
      <c r="G5354" s="3" t="s">
        <v>91</v>
      </c>
      <c r="H5354" s="2" t="s">
        <v>148</v>
      </c>
      <c r="I5354" s="2" t="s">
        <v>13937</v>
      </c>
      <c r="J5354" s="3" t="str">
        <f>HYPERLINK("https://www.boe.es/gazeta/dias/1811/07/16/pdfs/GEI-1811-93.pdf#page=7","Abrir facsímil")</f>
        <v>Abrir facsímil</v>
      </c>
      <c r="K5354" s="3" t="s">
        <v>150</v>
      </c>
    </row>
    <row r="5355" spans="1:11" ht="42" customHeight="1">
      <c r="A5355" s="2" t="s">
        <v>13938</v>
      </c>
      <c r="B5355" s="2" t="s">
        <v>13938</v>
      </c>
      <c r="C5355" s="2" t="s">
        <v>17</v>
      </c>
      <c r="D5355" s="2" t="s">
        <v>156</v>
      </c>
      <c r="E5355" s="4">
        <v>-32458</v>
      </c>
      <c r="F5355" s="3" t="s">
        <v>8223</v>
      </c>
      <c r="G5355" s="3" t="s">
        <v>468</v>
      </c>
      <c r="H5355" s="2" t="s">
        <v>148</v>
      </c>
      <c r="I5355" s="2" t="s">
        <v>13939</v>
      </c>
      <c r="J5355" s="3" t="str">
        <f>HYPERLINK("https://www.boe.es/gazeta/dias/1811/02/17/pdfs/GMD-1811-48.pdf#page=4","Abrir facsímil")</f>
        <v>Abrir facsímil</v>
      </c>
      <c r="K5355" s="3" t="s">
        <v>150</v>
      </c>
    </row>
    <row r="5356" spans="1:11" ht="42" customHeight="1">
      <c r="A5356" s="2" t="s">
        <v>13938</v>
      </c>
      <c r="B5356" s="2" t="s">
        <v>13938</v>
      </c>
      <c r="C5356" s="2" t="s">
        <v>17</v>
      </c>
      <c r="D5356" s="2" t="s">
        <v>18</v>
      </c>
      <c r="E5356" s="4">
        <v>-32446</v>
      </c>
      <c r="F5356" s="3" t="s">
        <v>13275</v>
      </c>
      <c r="G5356" s="3" t="s">
        <v>57</v>
      </c>
      <c r="H5356" s="2" t="s">
        <v>148</v>
      </c>
      <c r="I5356" s="2" t="s">
        <v>13940</v>
      </c>
      <c r="J5356" s="3" t="str">
        <f>HYPERLINK("https://www.boe.es/gazeta/dias/1811/03/01/pdfs/GMD-1811-60.pdf#page=2","Abrir facsímil")</f>
        <v>Abrir facsímil</v>
      </c>
      <c r="K5356" s="3" t="s">
        <v>150</v>
      </c>
    </row>
    <row r="5357" spans="1:11" ht="42" customHeight="1">
      <c r="A5357" s="2" t="s">
        <v>13938</v>
      </c>
      <c r="B5357" s="2" t="s">
        <v>13938</v>
      </c>
      <c r="C5357" s="2" t="s">
        <v>367</v>
      </c>
      <c r="D5357" s="2" t="s">
        <v>18</v>
      </c>
      <c r="E5357" s="4">
        <v>-32297</v>
      </c>
      <c r="F5357" s="3" t="s">
        <v>2174</v>
      </c>
      <c r="G5357" s="3" t="s">
        <v>183</v>
      </c>
      <c r="H5357" s="2" t="s">
        <v>148</v>
      </c>
      <c r="I5357" s="2" t="s">
        <v>13941</v>
      </c>
      <c r="J5357" s="3" t="str">
        <f>HYPERLINK("https://www.boe.es/gazeta/dias/1811/07/28/pdfs/GMD-1811-209.pdf#page=4","Abrir facsímil")</f>
        <v>Abrir facsímil</v>
      </c>
      <c r="K5357" s="3" t="s">
        <v>150</v>
      </c>
    </row>
    <row r="5358" spans="1:11" ht="42" customHeight="1">
      <c r="A5358" s="2" t="s">
        <v>13938</v>
      </c>
      <c r="B5358" s="2" t="s">
        <v>13938</v>
      </c>
      <c r="C5358" s="2" t="s">
        <v>17</v>
      </c>
      <c r="D5358" s="2" t="s">
        <v>18</v>
      </c>
      <c r="E5358" s="4">
        <v>-32242</v>
      </c>
      <c r="F5358" s="3" t="s">
        <v>1295</v>
      </c>
      <c r="G5358" s="3" t="s">
        <v>9317</v>
      </c>
      <c r="H5358" s="2" t="s">
        <v>148</v>
      </c>
      <c r="I5358" s="2" t="s">
        <v>13942</v>
      </c>
      <c r="J5358" s="3" t="str">
        <f>HYPERLINK("https://www.boe.es/gazeta/dias/1811/09/21/pdfs/GEI-1811-122.pdf#page=4","Abrir facsímil")</f>
        <v>Abrir facsímil</v>
      </c>
      <c r="K5358" s="3" t="s">
        <v>150</v>
      </c>
    </row>
    <row r="5359" spans="1:11" ht="42" customHeight="1">
      <c r="A5359" s="2" t="s">
        <v>13943</v>
      </c>
      <c r="B5359" s="2" t="s">
        <v>13944</v>
      </c>
      <c r="C5359" s="2" t="s">
        <v>26</v>
      </c>
      <c r="D5359" s="2" t="s">
        <v>18</v>
      </c>
      <c r="E5359" s="4">
        <v>-32214</v>
      </c>
      <c r="F5359" s="3" t="s">
        <v>1753</v>
      </c>
      <c r="G5359" s="3" t="s">
        <v>13945</v>
      </c>
      <c r="H5359" s="2" t="s">
        <v>148</v>
      </c>
      <c r="I5359" s="2" t="s">
        <v>13946</v>
      </c>
      <c r="J5359" s="3" t="str">
        <f>HYPERLINK("https://www.boe.es/gazeta/dias/1811/10/19/pdfs/GEI-1811-135.pdf#page=1","Abrir facsímil")</f>
        <v>Abrir facsímil</v>
      </c>
      <c r="K5359" s="3" t="s">
        <v>150</v>
      </c>
    </row>
    <row r="5360" spans="1:11" ht="42" customHeight="1">
      <c r="A5360" s="2" t="s">
        <v>13947</v>
      </c>
      <c r="B5360" s="2" t="s">
        <v>13948</v>
      </c>
      <c r="C5360" s="2" t="s">
        <v>26</v>
      </c>
      <c r="D5360" s="2" t="s">
        <v>18</v>
      </c>
      <c r="E5360" s="4">
        <v>-32153</v>
      </c>
      <c r="F5360" s="3" t="s">
        <v>123</v>
      </c>
      <c r="G5360" s="3" t="s">
        <v>1067</v>
      </c>
      <c r="H5360" s="2" t="s">
        <v>148</v>
      </c>
      <c r="I5360" s="2" t="s">
        <v>13949</v>
      </c>
      <c r="J5360" s="3" t="str">
        <f>HYPERLINK("https://www.boe.es/gazeta/dias/1811/12/19/pdfs/GMD-1811-353.pdf#page=5","Abrir facsímil")</f>
        <v>Abrir facsímil</v>
      </c>
      <c r="K5360" s="3" t="s">
        <v>150</v>
      </c>
    </row>
    <row r="5361" spans="1:11" ht="42" customHeight="1">
      <c r="A5361" s="2" t="s">
        <v>13950</v>
      </c>
      <c r="B5361" s="2" t="s">
        <v>13951</v>
      </c>
      <c r="C5361" s="2" t="s">
        <v>26</v>
      </c>
      <c r="D5361" s="2" t="s">
        <v>18</v>
      </c>
      <c r="E5361" s="4">
        <v>-32150</v>
      </c>
      <c r="F5361" s="3" t="s">
        <v>1174</v>
      </c>
      <c r="G5361" s="3" t="s">
        <v>20</v>
      </c>
      <c r="H5361" s="2" t="s">
        <v>148</v>
      </c>
      <c r="I5361" s="2" t="s">
        <v>13952</v>
      </c>
      <c r="J5361" s="3" t="str">
        <f>HYPERLINK("https://www.boe.es/gazeta/dias/1811/12/22/pdfs/GMD-1811-356.pdf#page=4","Abrir facsímil")</f>
        <v>Abrir facsímil</v>
      </c>
      <c r="K5361" s="3" t="s">
        <v>150</v>
      </c>
    </row>
    <row r="5362" spans="1:11" ht="42" customHeight="1">
      <c r="A5362" s="2" t="s">
        <v>13953</v>
      </c>
      <c r="B5362" s="2" t="s">
        <v>13954</v>
      </c>
      <c r="C5362" s="2" t="s">
        <v>26</v>
      </c>
      <c r="D5362" s="2" t="s">
        <v>18</v>
      </c>
      <c r="E5362" s="4">
        <v>-32188</v>
      </c>
      <c r="F5362" s="3" t="s">
        <v>356</v>
      </c>
      <c r="G5362" s="3" t="s">
        <v>468</v>
      </c>
      <c r="H5362" s="2" t="s">
        <v>148</v>
      </c>
      <c r="I5362" s="2" t="s">
        <v>13955</v>
      </c>
      <c r="J5362" s="3" t="str">
        <f>HYPERLINK("https://www.boe.es/gazeta/dias/1811/11/14/pdfs/GMD-1811-318.pdf#page=6","Abrir facsímil")</f>
        <v>Abrir facsímil</v>
      </c>
      <c r="K5362" s="3" t="s">
        <v>150</v>
      </c>
    </row>
    <row r="5363" spans="1:11" ht="42" customHeight="1">
      <c r="A5363" s="2" t="s">
        <v>13956</v>
      </c>
      <c r="B5363" s="2" t="s">
        <v>13957</v>
      </c>
      <c r="C5363" s="2" t="s">
        <v>84</v>
      </c>
      <c r="D5363" s="2" t="s">
        <v>105</v>
      </c>
      <c r="E5363" s="4">
        <v>-32258</v>
      </c>
      <c r="F5363" s="3" t="s">
        <v>449</v>
      </c>
      <c r="G5363" s="3" t="s">
        <v>20</v>
      </c>
      <c r="H5363" s="2" t="s">
        <v>21</v>
      </c>
      <c r="I5363" s="2" t="s">
        <v>13958</v>
      </c>
      <c r="J5363" s="3" t="str">
        <f>HYPERLINK("https://www.boe.es/gazeta/dias/1811/09/05/pdfs/GEI-1811-115.pdf#page=8","Abrir facsímil")</f>
        <v>Abrir facsímil</v>
      </c>
      <c r="K5363" s="3" t="s">
        <v>23</v>
      </c>
    </row>
    <row r="5364" spans="1:11" ht="42" customHeight="1">
      <c r="A5364" s="2" t="s">
        <v>13959</v>
      </c>
      <c r="B5364" s="2" t="s">
        <v>13960</v>
      </c>
      <c r="C5364" s="2" t="s">
        <v>26</v>
      </c>
      <c r="D5364" s="2" t="s">
        <v>18</v>
      </c>
      <c r="E5364" s="4">
        <v>-32235</v>
      </c>
      <c r="F5364" s="3" t="s">
        <v>190</v>
      </c>
      <c r="G5364" s="3" t="s">
        <v>188</v>
      </c>
      <c r="H5364" s="2" t="s">
        <v>148</v>
      </c>
      <c r="I5364" s="2" t="s">
        <v>13961</v>
      </c>
      <c r="J5364" s="3" t="str">
        <f>HYPERLINK("https://www.boe.es/gazeta/dias/1811/09/28/pdfs/GEI-1811-125.pdf#page=8","Abrir facsímil")</f>
        <v>Abrir facsímil</v>
      </c>
      <c r="K5364" s="3" t="s">
        <v>150</v>
      </c>
    </row>
    <row r="5365" spans="1:11" ht="42" customHeight="1">
      <c r="A5365" s="2" t="s">
        <v>13962</v>
      </c>
      <c r="B5365" s="2" t="s">
        <v>13963</v>
      </c>
      <c r="C5365" s="2" t="s">
        <v>122</v>
      </c>
      <c r="D5365" s="2" t="s">
        <v>18</v>
      </c>
      <c r="E5365" s="4">
        <v>-32416</v>
      </c>
      <c r="F5365" s="3" t="s">
        <v>954</v>
      </c>
      <c r="G5365" s="3" t="s">
        <v>183</v>
      </c>
      <c r="H5365" s="2" t="s">
        <v>148</v>
      </c>
      <c r="I5365" s="2" t="s">
        <v>13964</v>
      </c>
      <c r="J5365" s="3" t="str">
        <f>HYPERLINK("https://www.boe.es/gazeta/dias/1811/03/31/pdfs/GMD-1811-90.pdf#page=4","Abrir facsímil")</f>
        <v>Abrir facsímil</v>
      </c>
      <c r="K5365" s="3" t="s">
        <v>150</v>
      </c>
    </row>
    <row r="5366" spans="1:11" ht="42" customHeight="1">
      <c r="A5366" s="2" t="s">
        <v>13965</v>
      </c>
      <c r="B5366" s="2" t="s">
        <v>13966</v>
      </c>
      <c r="C5366" s="2" t="s">
        <v>17</v>
      </c>
      <c r="D5366" s="2" t="s">
        <v>18</v>
      </c>
      <c r="E5366" s="4">
        <v>-32145</v>
      </c>
      <c r="F5366" s="3" t="s">
        <v>417</v>
      </c>
      <c r="G5366" s="3" t="s">
        <v>418</v>
      </c>
      <c r="H5366" s="2" t="s">
        <v>148</v>
      </c>
      <c r="I5366" s="2" t="s">
        <v>13967</v>
      </c>
      <c r="J5366" s="3" t="str">
        <f>HYPERLINK("https://www.boe.es/gazeta/dias/1811/12/27/pdfs/GMD-1811-361.pdf#page=4","Abrir facsímil")</f>
        <v>Abrir facsímil</v>
      </c>
      <c r="K5366" s="3" t="s">
        <v>150</v>
      </c>
    </row>
    <row r="5367" spans="1:11" ht="42" customHeight="1">
      <c r="A5367" s="2" t="s">
        <v>13968</v>
      </c>
      <c r="B5367" s="2" t="s">
        <v>13969</v>
      </c>
      <c r="C5367" s="2" t="s">
        <v>17</v>
      </c>
      <c r="D5367" s="2" t="s">
        <v>18</v>
      </c>
      <c r="E5367" s="4">
        <v>-32200</v>
      </c>
      <c r="F5367" s="3" t="s">
        <v>109</v>
      </c>
      <c r="G5367" s="3" t="s">
        <v>586</v>
      </c>
      <c r="H5367" s="2" t="s">
        <v>148</v>
      </c>
      <c r="I5367" s="2" t="s">
        <v>13970</v>
      </c>
      <c r="J5367" s="3" t="str">
        <f>HYPERLINK("https://www.boe.es/gazeta/dias/1811/11/02/pdfs/GEI-1811-141.pdf#page=8","Abrir facsímil")</f>
        <v>Abrir facsímil</v>
      </c>
      <c r="K5367" s="3" t="s">
        <v>150</v>
      </c>
    </row>
    <row r="5368" spans="1:11" ht="42" customHeight="1">
      <c r="A5368" s="2" t="s">
        <v>13971</v>
      </c>
      <c r="B5368" s="2" t="s">
        <v>13972</v>
      </c>
      <c r="C5368" s="2" t="s">
        <v>104</v>
      </c>
      <c r="D5368" s="2" t="s">
        <v>18</v>
      </c>
      <c r="E5368" s="4">
        <v>-32297</v>
      </c>
      <c r="F5368" s="3" t="s">
        <v>2174</v>
      </c>
      <c r="G5368" s="3" t="s">
        <v>183</v>
      </c>
      <c r="H5368" s="2" t="s">
        <v>148</v>
      </c>
      <c r="I5368" s="2" t="s">
        <v>13973</v>
      </c>
      <c r="J5368" s="3" t="str">
        <f>HYPERLINK("https://www.boe.es/gazeta/dias/1811/07/28/pdfs/GMD-1811-209.pdf#page=4","Abrir facsímil")</f>
        <v>Abrir facsímil</v>
      </c>
      <c r="K5368" s="3" t="s">
        <v>150</v>
      </c>
    </row>
    <row r="5369" spans="1:11" ht="42" customHeight="1">
      <c r="A5369" s="2" t="s">
        <v>13974</v>
      </c>
      <c r="B5369" s="2" t="s">
        <v>13975</v>
      </c>
      <c r="C5369" s="2" t="s">
        <v>26</v>
      </c>
      <c r="D5369" s="2" t="s">
        <v>18</v>
      </c>
      <c r="E5369" s="4">
        <v>-32209</v>
      </c>
      <c r="F5369" s="3" t="s">
        <v>9303</v>
      </c>
      <c r="G5369" s="3" t="s">
        <v>13976</v>
      </c>
      <c r="H5369" s="2" t="s">
        <v>148</v>
      </c>
      <c r="I5369" s="2" t="s">
        <v>13977</v>
      </c>
      <c r="J5369" s="3" t="str">
        <f>HYPERLINK("https://www.boe.es/gazeta/dias/1811/10/24/pdfs/GEI-1811-137.pdf#page=6","Abrir facsímil")</f>
        <v>Abrir facsímil</v>
      </c>
      <c r="K5369" s="3" t="s">
        <v>150</v>
      </c>
    </row>
    <row r="5370" spans="1:11" ht="42" customHeight="1">
      <c r="A5370" s="2" t="s">
        <v>13978</v>
      </c>
      <c r="B5370" s="2" t="s">
        <v>13979</v>
      </c>
      <c r="C5370" s="2" t="s">
        <v>17</v>
      </c>
      <c r="D5370" s="2" t="s">
        <v>18</v>
      </c>
      <c r="E5370" s="4">
        <v>-32209</v>
      </c>
      <c r="F5370" s="3" t="s">
        <v>9303</v>
      </c>
      <c r="G5370" s="3" t="s">
        <v>12312</v>
      </c>
      <c r="H5370" s="2" t="s">
        <v>148</v>
      </c>
      <c r="I5370" s="2" t="s">
        <v>13980</v>
      </c>
      <c r="J5370" s="3" t="str">
        <f>HYPERLINK("https://www.boe.es/gazeta/dias/1811/10/24/pdfs/GEI-1811-137.pdf#page=5","Abrir facsímil")</f>
        <v>Abrir facsímil</v>
      </c>
      <c r="K5370" s="3" t="s">
        <v>150</v>
      </c>
    </row>
    <row r="5371" spans="1:11" ht="42" customHeight="1">
      <c r="A5371" s="2" t="s">
        <v>13981</v>
      </c>
      <c r="B5371" s="2" t="s">
        <v>13982</v>
      </c>
      <c r="C5371" s="2" t="s">
        <v>26</v>
      </c>
      <c r="D5371" s="2" t="s">
        <v>18</v>
      </c>
      <c r="E5371" s="4">
        <v>-32344</v>
      </c>
      <c r="F5371" s="3" t="s">
        <v>761</v>
      </c>
      <c r="G5371" s="3" t="s">
        <v>762</v>
      </c>
      <c r="H5371" s="2" t="s">
        <v>148</v>
      </c>
      <c r="I5371" s="2" t="s">
        <v>13983</v>
      </c>
      <c r="J5371" s="3" t="str">
        <f>HYPERLINK("https://www.boe.es/gazeta/dias/1811/06/11/pdfs/GEI-1811-78.pdf#page=4","Abrir facsímil")</f>
        <v>Abrir facsímil</v>
      </c>
      <c r="K5371" s="3" t="s">
        <v>150</v>
      </c>
    </row>
    <row r="5372" spans="1:11" ht="42" customHeight="1">
      <c r="A5372" s="2" t="s">
        <v>13984</v>
      </c>
      <c r="B5372" s="2" t="s">
        <v>13985</v>
      </c>
      <c r="C5372" s="2" t="s">
        <v>26</v>
      </c>
      <c r="D5372" s="2" t="s">
        <v>18</v>
      </c>
      <c r="E5372" s="4">
        <v>-32242</v>
      </c>
      <c r="F5372" s="3" t="s">
        <v>1295</v>
      </c>
      <c r="G5372" s="3" t="s">
        <v>1296</v>
      </c>
      <c r="H5372" s="2" t="s">
        <v>148</v>
      </c>
      <c r="I5372" s="2" t="s">
        <v>13986</v>
      </c>
      <c r="J5372" s="3" t="str">
        <f>HYPERLINK("https://www.boe.es/gazeta/dias/1811/09/21/pdfs/GEI-1811-122.pdf#page=8","Abrir facsímil")</f>
        <v>Abrir facsímil</v>
      </c>
      <c r="K5372" s="3" t="s">
        <v>150</v>
      </c>
    </row>
    <row r="5373" spans="1:11" ht="42" customHeight="1">
      <c r="A5373" s="2" t="s">
        <v>13987</v>
      </c>
      <c r="B5373" s="2" t="s">
        <v>13988</v>
      </c>
      <c r="C5373" s="2" t="s">
        <v>26</v>
      </c>
      <c r="D5373" s="2" t="s">
        <v>18</v>
      </c>
      <c r="E5373" s="4">
        <v>-32242</v>
      </c>
      <c r="F5373" s="3" t="s">
        <v>1295</v>
      </c>
      <c r="G5373" s="3" t="s">
        <v>1296</v>
      </c>
      <c r="H5373" s="2" t="s">
        <v>148</v>
      </c>
      <c r="I5373" s="2" t="s">
        <v>13989</v>
      </c>
      <c r="J5373" s="3" t="str">
        <f>HYPERLINK("https://www.boe.es/gazeta/dias/1811/09/21/pdfs/GEI-1811-122.pdf#page=8","Abrir facsímil")</f>
        <v>Abrir facsímil</v>
      </c>
      <c r="K5373" s="3" t="s">
        <v>150</v>
      </c>
    </row>
    <row r="5374" spans="1:11" ht="42" customHeight="1">
      <c r="A5374" s="2" t="s">
        <v>13990</v>
      </c>
      <c r="B5374" s="2" t="s">
        <v>13991</v>
      </c>
      <c r="C5374" s="2" t="s">
        <v>26</v>
      </c>
      <c r="D5374" s="2" t="s">
        <v>18</v>
      </c>
      <c r="E5374" s="4">
        <v>-32242</v>
      </c>
      <c r="F5374" s="3" t="s">
        <v>1295</v>
      </c>
      <c r="G5374" s="3" t="s">
        <v>1296</v>
      </c>
      <c r="H5374" s="2" t="s">
        <v>148</v>
      </c>
      <c r="I5374" s="2" t="s">
        <v>13992</v>
      </c>
      <c r="J5374" s="3" t="str">
        <f>HYPERLINK("https://www.boe.es/gazeta/dias/1811/09/21/pdfs/GEI-1811-122.pdf#page=8","Abrir facsímil")</f>
        <v>Abrir facsímil</v>
      </c>
      <c r="K5374" s="3" t="s">
        <v>150</v>
      </c>
    </row>
    <row r="5375" spans="1:11" ht="42" customHeight="1">
      <c r="A5375" s="2" t="s">
        <v>13993</v>
      </c>
      <c r="B5375" s="2" t="s">
        <v>13994</v>
      </c>
      <c r="C5375" s="2" t="s">
        <v>84</v>
      </c>
      <c r="D5375" s="2" t="s">
        <v>18</v>
      </c>
      <c r="E5375" s="4">
        <v>-32471</v>
      </c>
      <c r="F5375" s="3" t="s">
        <v>1571</v>
      </c>
      <c r="G5375" s="3" t="s">
        <v>530</v>
      </c>
      <c r="H5375" s="2" t="s">
        <v>148</v>
      </c>
      <c r="I5375" s="2" t="s">
        <v>13995</v>
      </c>
      <c r="J5375" s="3" t="str">
        <f>HYPERLINK("https://www.boe.es/gazeta/dias/1811/02/04/pdfs/GMD-1811-35.pdf#page=3","Abrir facsímil")</f>
        <v>Abrir facsímil</v>
      </c>
      <c r="K5375" s="3" t="s">
        <v>150</v>
      </c>
    </row>
    <row r="5376" spans="1:11" ht="42" customHeight="1">
      <c r="A5376" s="2" t="s">
        <v>13996</v>
      </c>
      <c r="B5376" s="2" t="s">
        <v>13997</v>
      </c>
      <c r="C5376" s="2" t="s">
        <v>26</v>
      </c>
      <c r="D5376" s="2" t="s">
        <v>18</v>
      </c>
      <c r="E5376" s="4">
        <v>-32452</v>
      </c>
      <c r="F5376" s="3" t="s">
        <v>106</v>
      </c>
      <c r="G5376" s="3" t="s">
        <v>20</v>
      </c>
      <c r="H5376" s="2" t="s">
        <v>148</v>
      </c>
      <c r="I5376" s="2" t="s">
        <v>13998</v>
      </c>
      <c r="J5376" s="3" t="str">
        <f>HYPERLINK("https://www.boe.es/gazeta/dias/1811/02/23/pdfs/GEI-1811-24.pdf#page=8","Abrir facsímil")</f>
        <v>Abrir facsímil</v>
      </c>
      <c r="K5376" s="3" t="s">
        <v>150</v>
      </c>
    </row>
    <row r="5377" spans="1:11" ht="42" customHeight="1">
      <c r="A5377" s="2" t="s">
        <v>13999</v>
      </c>
      <c r="B5377" s="2" t="s">
        <v>14000</v>
      </c>
      <c r="C5377" s="2" t="s">
        <v>17</v>
      </c>
      <c r="D5377" s="2" t="s">
        <v>18</v>
      </c>
      <c r="E5377" s="4">
        <v>-32152</v>
      </c>
      <c r="F5377" s="3" t="s">
        <v>1673</v>
      </c>
      <c r="G5377" s="3" t="s">
        <v>183</v>
      </c>
      <c r="H5377" s="2" t="s">
        <v>148</v>
      </c>
      <c r="I5377" s="2" t="s">
        <v>14001</v>
      </c>
      <c r="J5377" s="3" t="str">
        <f>HYPERLINK("https://www.boe.es/gazeta/dias/1811/12/20/pdfs/GMD-1811-354.pdf#page=4","Abrir facsímil")</f>
        <v>Abrir facsímil</v>
      </c>
      <c r="K5377" s="3" t="s">
        <v>150</v>
      </c>
    </row>
    <row r="5378" spans="1:11" ht="42" customHeight="1">
      <c r="A5378" s="2" t="s">
        <v>14002</v>
      </c>
      <c r="B5378" s="2" t="s">
        <v>14003</v>
      </c>
      <c r="C5378" s="2" t="s">
        <v>37</v>
      </c>
      <c r="D5378" s="2" t="s">
        <v>18</v>
      </c>
      <c r="E5378" s="4">
        <v>-32416</v>
      </c>
      <c r="F5378" s="3" t="s">
        <v>954</v>
      </c>
      <c r="G5378" s="3" t="s">
        <v>183</v>
      </c>
      <c r="H5378" s="2" t="s">
        <v>148</v>
      </c>
      <c r="I5378" s="2" t="s">
        <v>14004</v>
      </c>
      <c r="J5378" s="3" t="str">
        <f>HYPERLINK("https://www.boe.es/gazeta/dias/1811/03/31/pdfs/GMD-1811-90.pdf#page=4","Abrir facsímil")</f>
        <v>Abrir facsímil</v>
      </c>
      <c r="K5378" s="3" t="s">
        <v>150</v>
      </c>
    </row>
    <row r="5379" spans="1:11" ht="42" customHeight="1">
      <c r="A5379" s="2" t="s">
        <v>14005</v>
      </c>
      <c r="B5379" s="2" t="s">
        <v>14006</v>
      </c>
      <c r="C5379" s="2" t="s">
        <v>104</v>
      </c>
      <c r="D5379" s="2" t="s">
        <v>18</v>
      </c>
      <c r="E5379" s="4">
        <v>-32230</v>
      </c>
      <c r="F5379" s="3" t="s">
        <v>625</v>
      </c>
      <c r="G5379" s="3" t="s">
        <v>162</v>
      </c>
      <c r="H5379" s="2" t="s">
        <v>148</v>
      </c>
      <c r="I5379" s="2" t="s">
        <v>14007</v>
      </c>
      <c r="J5379" s="3" t="str">
        <f>HYPERLINK("https://www.boe.es/gazeta/dias/1811/10/03/pdfs/GEI-1811-127.pdf#page=7","Abrir facsímil")</f>
        <v>Abrir facsímil</v>
      </c>
      <c r="K5379" s="3" t="s">
        <v>150</v>
      </c>
    </row>
    <row r="5380" spans="1:11" ht="42" customHeight="1">
      <c r="A5380" s="2" t="s">
        <v>14008</v>
      </c>
      <c r="B5380" s="2" t="s">
        <v>14009</v>
      </c>
      <c r="C5380" s="2" t="s">
        <v>26</v>
      </c>
      <c r="D5380" s="2" t="s">
        <v>18</v>
      </c>
      <c r="E5380" s="4">
        <v>-32242</v>
      </c>
      <c r="F5380" s="3" t="s">
        <v>1295</v>
      </c>
      <c r="G5380" s="3" t="s">
        <v>1296</v>
      </c>
      <c r="H5380" s="2" t="s">
        <v>148</v>
      </c>
      <c r="I5380" s="2" t="s">
        <v>14010</v>
      </c>
      <c r="J5380" s="3" t="str">
        <f>HYPERLINK("https://www.boe.es/gazeta/dias/1811/09/21/pdfs/GEI-1811-122.pdf#page=8","Abrir facsímil")</f>
        <v>Abrir facsímil</v>
      </c>
      <c r="K5380" s="3" t="s">
        <v>150</v>
      </c>
    </row>
    <row r="5381" spans="1:11" ht="42" customHeight="1">
      <c r="A5381" s="2" t="s">
        <v>14008</v>
      </c>
      <c r="B5381" s="2" t="s">
        <v>14009</v>
      </c>
      <c r="C5381" s="2" t="s">
        <v>26</v>
      </c>
      <c r="D5381" s="2" t="s">
        <v>105</v>
      </c>
      <c r="E5381" s="4">
        <v>-32200</v>
      </c>
      <c r="F5381" s="3" t="s">
        <v>109</v>
      </c>
      <c r="G5381" s="3" t="s">
        <v>268</v>
      </c>
      <c r="H5381" s="2" t="s">
        <v>148</v>
      </c>
      <c r="I5381" s="2" t="s">
        <v>14011</v>
      </c>
      <c r="J5381" s="3" t="str">
        <f>HYPERLINK("https://www.boe.es/gazeta/dias/1811/11/02/pdfs/GEI-1811-141.pdf#page=7","Abrir facsímil")</f>
        <v>Abrir facsímil</v>
      </c>
      <c r="K5381" s="3" t="s">
        <v>150</v>
      </c>
    </row>
    <row r="5382" spans="1:11" ht="42" customHeight="1">
      <c r="A5382" s="2" t="s">
        <v>14012</v>
      </c>
      <c r="B5382" s="2" t="s">
        <v>14013</v>
      </c>
      <c r="C5382" s="2" t="s">
        <v>17</v>
      </c>
      <c r="D5382" s="2" t="s">
        <v>18</v>
      </c>
      <c r="E5382" s="4">
        <v>-32187</v>
      </c>
      <c r="F5382" s="3" t="s">
        <v>1775</v>
      </c>
      <c r="G5382" s="3" t="s">
        <v>657</v>
      </c>
      <c r="H5382" s="2" t="s">
        <v>148</v>
      </c>
      <c r="I5382" s="2" t="s">
        <v>14014</v>
      </c>
      <c r="J5382" s="3" t="str">
        <f>HYPERLINK("https://www.boe.es/gazeta/dias/1811/11/15/pdfs/GMD-1811-319.pdf#page=4","Abrir facsímil")</f>
        <v>Abrir facsímil</v>
      </c>
      <c r="K5382" s="3" t="s">
        <v>150</v>
      </c>
    </row>
    <row r="5383" spans="1:11" ht="42" customHeight="1">
      <c r="A5383" s="2" t="s">
        <v>14015</v>
      </c>
      <c r="B5383" s="2" t="s">
        <v>14016</v>
      </c>
      <c r="C5383" s="2" t="s">
        <v>26</v>
      </c>
      <c r="D5383" s="2" t="s">
        <v>18</v>
      </c>
      <c r="E5383" s="4">
        <v>-32501</v>
      </c>
      <c r="F5383" s="3" t="s">
        <v>509</v>
      </c>
      <c r="G5383" s="3" t="s">
        <v>510</v>
      </c>
      <c r="H5383" s="2" t="s">
        <v>148</v>
      </c>
      <c r="I5383" s="2" t="s">
        <v>14017</v>
      </c>
      <c r="J5383" s="3" t="str">
        <f>HYPERLINK("https://www.boe.es/gazeta/dias/1811/01/05/pdfs/GEI-1811-3.pdf#page=8","Abrir facsímil")</f>
        <v>Abrir facsímil</v>
      </c>
      <c r="K5383" s="3" t="s">
        <v>150</v>
      </c>
    </row>
    <row r="5384" spans="1:11" ht="42" customHeight="1">
      <c r="A5384" s="2" t="s">
        <v>14018</v>
      </c>
      <c r="B5384" s="2" t="s">
        <v>14019</v>
      </c>
      <c r="C5384" s="2" t="s">
        <v>26</v>
      </c>
      <c r="D5384" s="2" t="s">
        <v>204</v>
      </c>
      <c r="E5384" s="4">
        <v>-32145</v>
      </c>
      <c r="F5384" s="3" t="s">
        <v>417</v>
      </c>
      <c r="G5384" s="3" t="s">
        <v>418</v>
      </c>
      <c r="H5384" s="2" t="s">
        <v>148</v>
      </c>
      <c r="I5384" s="2" t="s">
        <v>14020</v>
      </c>
      <c r="J5384" s="3" t="str">
        <f>HYPERLINK("https://www.boe.es/gazeta/dias/1811/12/27/pdfs/GMD-1811-361.pdf#page=4","Abrir facsímil")</f>
        <v>Abrir facsímil</v>
      </c>
      <c r="K5384" s="3" t="s">
        <v>150</v>
      </c>
    </row>
    <row r="5385" spans="1:11" ht="42" customHeight="1">
      <c r="A5385" s="2" t="s">
        <v>14021</v>
      </c>
      <c r="B5385" s="2" t="s">
        <v>14022</v>
      </c>
      <c r="C5385" s="2" t="s">
        <v>17</v>
      </c>
      <c r="D5385" s="2" t="s">
        <v>156</v>
      </c>
      <c r="E5385" s="4">
        <v>-32489</v>
      </c>
      <c r="F5385" s="3" t="s">
        <v>2073</v>
      </c>
      <c r="G5385" s="3" t="s">
        <v>44</v>
      </c>
      <c r="H5385" s="2" t="s">
        <v>148</v>
      </c>
      <c r="I5385" s="2" t="s">
        <v>14023</v>
      </c>
      <c r="J5385" s="3" t="str">
        <f>HYPERLINK("https://www.boe.es/gazeta/dias/1811/01/17/pdfs/GEI-1811-8.pdf#page=8","Abrir facsímil")</f>
        <v>Abrir facsímil</v>
      </c>
      <c r="K5385" s="3" t="s">
        <v>150</v>
      </c>
    </row>
    <row r="5386" spans="1:11" ht="42" customHeight="1">
      <c r="A5386" s="2" t="s">
        <v>14024</v>
      </c>
      <c r="B5386" s="2" t="s">
        <v>14025</v>
      </c>
      <c r="C5386" s="2" t="s">
        <v>26</v>
      </c>
      <c r="D5386" s="2" t="s">
        <v>18</v>
      </c>
      <c r="E5386" s="4">
        <v>-32153</v>
      </c>
      <c r="F5386" s="3" t="s">
        <v>123</v>
      </c>
      <c r="G5386" s="3" t="s">
        <v>288</v>
      </c>
      <c r="H5386" s="2" t="s">
        <v>148</v>
      </c>
      <c r="I5386" s="2" t="s">
        <v>14026</v>
      </c>
      <c r="J5386" s="3" t="str">
        <f>HYPERLINK("https://www.boe.es/gazeta/dias/1811/12/19/pdfs/GMD-1811-353.pdf#page=4","Abrir facsímil")</f>
        <v>Abrir facsímil</v>
      </c>
      <c r="K5386" s="3" t="s">
        <v>150</v>
      </c>
    </row>
    <row r="5387" spans="1:11" ht="42" customHeight="1">
      <c r="A5387" s="2" t="s">
        <v>14027</v>
      </c>
      <c r="B5387" s="2" t="s">
        <v>14028</v>
      </c>
      <c r="C5387" s="2" t="s">
        <v>17</v>
      </c>
      <c r="D5387" s="2" t="s">
        <v>156</v>
      </c>
      <c r="E5387" s="4">
        <v>-32183</v>
      </c>
      <c r="F5387" s="3" t="s">
        <v>3310</v>
      </c>
      <c r="G5387" s="3" t="s">
        <v>515</v>
      </c>
      <c r="H5387" s="2" t="s">
        <v>148</v>
      </c>
      <c r="I5387" s="2" t="s">
        <v>14029</v>
      </c>
      <c r="J5387" s="3" t="str">
        <f>HYPERLINK("https://www.boe.es/gazeta/dias/1811/11/19/pdfs/GEI-1811-151.pdf#page=5","Abrir facsímil")</f>
        <v>Abrir facsímil</v>
      </c>
      <c r="K5387" s="3" t="s">
        <v>150</v>
      </c>
    </row>
    <row r="5388" spans="1:11" ht="42" customHeight="1">
      <c r="A5388" s="2" t="s">
        <v>14030</v>
      </c>
      <c r="B5388" s="2" t="s">
        <v>14030</v>
      </c>
      <c r="C5388" s="2" t="s">
        <v>17</v>
      </c>
      <c r="D5388" s="2" t="s">
        <v>18</v>
      </c>
      <c r="E5388" s="4">
        <v>-32466</v>
      </c>
      <c r="F5388" s="3" t="s">
        <v>1514</v>
      </c>
      <c r="G5388" s="3" t="s">
        <v>846</v>
      </c>
      <c r="H5388" s="2" t="s">
        <v>148</v>
      </c>
      <c r="I5388" s="2" t="s">
        <v>14031</v>
      </c>
      <c r="J5388" s="3" t="str">
        <f>HYPERLINK("https://www.boe.es/gazeta/dias/1811/02/09/pdfs/GEI-1811-18.pdf#page=4","Abrir facsímil")</f>
        <v>Abrir facsímil</v>
      </c>
      <c r="K5388" s="3" t="s">
        <v>150</v>
      </c>
    </row>
    <row r="5389" spans="1:11" ht="42" customHeight="1">
      <c r="A5389" s="2" t="s">
        <v>14030</v>
      </c>
      <c r="B5389" s="2" t="s">
        <v>14030</v>
      </c>
      <c r="C5389" s="2" t="s">
        <v>17</v>
      </c>
      <c r="D5389" s="2" t="s">
        <v>18</v>
      </c>
      <c r="E5389" s="4">
        <v>-32461</v>
      </c>
      <c r="F5389" s="3" t="s">
        <v>2429</v>
      </c>
      <c r="G5389" s="3" t="s">
        <v>553</v>
      </c>
      <c r="H5389" s="2" t="s">
        <v>148</v>
      </c>
      <c r="I5389" s="2" t="s">
        <v>14032</v>
      </c>
      <c r="J5389" s="3" t="str">
        <f>HYPERLINK("https://www.boe.es/gazeta/dias/1811/02/14/pdfs/GEI-1811-20.pdf#page=1","Abrir facsímil")</f>
        <v>Abrir facsímil</v>
      </c>
      <c r="K5389" s="3" t="s">
        <v>150</v>
      </c>
    </row>
    <row r="5390" spans="1:11" ht="42" customHeight="1">
      <c r="A5390" s="2" t="s">
        <v>14030</v>
      </c>
      <c r="B5390" s="2" t="s">
        <v>14030</v>
      </c>
      <c r="C5390" s="2" t="s">
        <v>17</v>
      </c>
      <c r="D5390" s="2" t="s">
        <v>18</v>
      </c>
      <c r="E5390" s="4">
        <v>-32454</v>
      </c>
      <c r="F5390" s="3" t="s">
        <v>2268</v>
      </c>
      <c r="G5390" s="3" t="s">
        <v>39</v>
      </c>
      <c r="H5390" s="2" t="s">
        <v>148</v>
      </c>
      <c r="I5390" s="2" t="s">
        <v>14033</v>
      </c>
      <c r="J5390" s="3" t="str">
        <f>HYPERLINK("https://www.boe.es/gazeta/dias/1811/02/21/pdfs/GEI-1811-23.pdf#page=1","Abrir facsímil")</f>
        <v>Abrir facsímil</v>
      </c>
      <c r="K5390" s="3" t="s">
        <v>150</v>
      </c>
    </row>
    <row r="5391" spans="1:11" ht="42" customHeight="1">
      <c r="A5391" s="2" t="s">
        <v>14030</v>
      </c>
      <c r="B5391" s="2" t="s">
        <v>14030</v>
      </c>
      <c r="C5391" s="2" t="s">
        <v>17</v>
      </c>
      <c r="D5391" s="2" t="s">
        <v>156</v>
      </c>
      <c r="E5391" s="4">
        <v>-32398</v>
      </c>
      <c r="F5391" s="3" t="s">
        <v>946</v>
      </c>
      <c r="G5391" s="3" t="s">
        <v>947</v>
      </c>
      <c r="H5391" s="2" t="s">
        <v>148</v>
      </c>
      <c r="I5391" s="2" t="s">
        <v>14034</v>
      </c>
      <c r="J5391" s="3" t="str">
        <f>HYPERLINK("https://www.boe.es/gazeta/dias/1811/04/18/pdfs/GEI-1811-52.pdf#page=6","Abrir facsímil")</f>
        <v>Abrir facsímil</v>
      </c>
      <c r="K5391" s="3" t="s">
        <v>150</v>
      </c>
    </row>
    <row r="5392" spans="1:11" ht="42" customHeight="1">
      <c r="A5392" s="2" t="s">
        <v>14030</v>
      </c>
      <c r="B5392" s="2" t="s">
        <v>14030</v>
      </c>
      <c r="C5392" s="2" t="s">
        <v>17</v>
      </c>
      <c r="D5392" s="2" t="s">
        <v>156</v>
      </c>
      <c r="E5392" s="4">
        <v>-32330</v>
      </c>
      <c r="F5392" s="3" t="s">
        <v>1824</v>
      </c>
      <c r="G5392" s="3" t="s">
        <v>248</v>
      </c>
      <c r="H5392" s="2" t="s">
        <v>148</v>
      </c>
      <c r="I5392" s="2" t="s">
        <v>14035</v>
      </c>
      <c r="J5392" s="3" t="str">
        <f>HYPERLINK("https://www.boe.es/gazeta/dias/1811/06/25/pdfs/GEI-1811-84.pdf#page=1","Abrir facsímil")</f>
        <v>Abrir facsímil</v>
      </c>
      <c r="K5392" s="3" t="s">
        <v>150</v>
      </c>
    </row>
    <row r="5393" spans="1:11" ht="42" customHeight="1">
      <c r="A5393" s="2" t="s">
        <v>14030</v>
      </c>
      <c r="B5393" s="2" t="s">
        <v>14030</v>
      </c>
      <c r="C5393" s="2" t="s">
        <v>17</v>
      </c>
      <c r="D5393" s="2" t="s">
        <v>18</v>
      </c>
      <c r="E5393" s="4">
        <v>-32272</v>
      </c>
      <c r="F5393" s="3" t="s">
        <v>1121</v>
      </c>
      <c r="G5393" s="3" t="s">
        <v>468</v>
      </c>
      <c r="H5393" s="2" t="s">
        <v>148</v>
      </c>
      <c r="I5393" s="2" t="s">
        <v>14036</v>
      </c>
      <c r="J5393" s="3" t="str">
        <f>HYPERLINK("https://www.boe.es/gazeta/dias/1811/08/22/pdfs/GEI-1811-109.pdf#page=5","Abrir facsímil")</f>
        <v>Abrir facsímil</v>
      </c>
      <c r="K5393" s="3" t="s">
        <v>150</v>
      </c>
    </row>
    <row r="5394" spans="1:11" ht="42" customHeight="1">
      <c r="A5394" s="2" t="s">
        <v>14030</v>
      </c>
      <c r="B5394" s="2" t="s">
        <v>14030</v>
      </c>
      <c r="C5394" s="2" t="s">
        <v>17</v>
      </c>
      <c r="D5394" s="2" t="s">
        <v>18</v>
      </c>
      <c r="E5394" s="4">
        <v>-32160</v>
      </c>
      <c r="F5394" s="3" t="s">
        <v>1013</v>
      </c>
      <c r="G5394" s="3" t="s">
        <v>846</v>
      </c>
      <c r="H5394" s="2" t="s">
        <v>148</v>
      </c>
      <c r="I5394" s="2" t="s">
        <v>14037</v>
      </c>
      <c r="J5394" s="3" t="str">
        <f>HYPERLINK("https://www.boe.es/gazeta/dias/1811/12/12/pdfs/GEI-1811-161.pdf#page=2","Abrir facsímil")</f>
        <v>Abrir facsímil</v>
      </c>
      <c r="K5394" s="3" t="s">
        <v>150</v>
      </c>
    </row>
    <row r="5395" spans="1:11" ht="42" customHeight="1">
      <c r="A5395" s="2" t="s">
        <v>14030</v>
      </c>
      <c r="B5395" s="2" t="s">
        <v>14030</v>
      </c>
      <c r="C5395" s="2" t="s">
        <v>17</v>
      </c>
      <c r="D5395" s="2" t="s">
        <v>156</v>
      </c>
      <c r="E5395" s="4">
        <v>-32160</v>
      </c>
      <c r="F5395" s="3" t="s">
        <v>1013</v>
      </c>
      <c r="G5395" s="3" t="s">
        <v>3089</v>
      </c>
      <c r="H5395" s="2" t="s">
        <v>148</v>
      </c>
      <c r="I5395" s="2" t="s">
        <v>14038</v>
      </c>
      <c r="J5395" s="3" t="str">
        <f>HYPERLINK("https://www.boe.es/gazeta/dias/1811/12/12/pdfs/GEI-1811-161.pdf#page=3","Abrir facsímil")</f>
        <v>Abrir facsímil</v>
      </c>
      <c r="K5395" s="3" t="s">
        <v>150</v>
      </c>
    </row>
    <row r="5396" spans="1:11" ht="42" customHeight="1">
      <c r="A5396" s="2" t="s">
        <v>14030</v>
      </c>
      <c r="B5396" s="2" t="s">
        <v>14030</v>
      </c>
      <c r="C5396" s="2" t="s">
        <v>17</v>
      </c>
      <c r="D5396" s="2" t="s">
        <v>156</v>
      </c>
      <c r="E5396" s="4">
        <v>-32146</v>
      </c>
      <c r="F5396" s="3" t="s">
        <v>777</v>
      </c>
      <c r="G5396" s="3" t="s">
        <v>14039</v>
      </c>
      <c r="H5396" s="2" t="s">
        <v>148</v>
      </c>
      <c r="I5396" s="2" t="s">
        <v>14040</v>
      </c>
      <c r="J5396" s="3" t="str">
        <f>HYPERLINK("https://www.boe.es/gazeta/dias/1811/12/26/pdfs/GEI-1811-167.pdf#page=5","Abrir facsímil")</f>
        <v>Abrir facsímil</v>
      </c>
      <c r="K5396" s="3" t="s">
        <v>150</v>
      </c>
    </row>
    <row r="5397" spans="1:11" ht="42" customHeight="1">
      <c r="A5397" s="2" t="s">
        <v>14041</v>
      </c>
      <c r="B5397" s="2" t="s">
        <v>14042</v>
      </c>
      <c r="C5397" s="2" t="s">
        <v>17</v>
      </c>
      <c r="D5397" s="2" t="s">
        <v>156</v>
      </c>
      <c r="E5397" s="4">
        <v>-32160</v>
      </c>
      <c r="F5397" s="3" t="s">
        <v>1013</v>
      </c>
      <c r="G5397" s="3" t="s">
        <v>3089</v>
      </c>
      <c r="H5397" s="2" t="s">
        <v>148</v>
      </c>
      <c r="I5397" s="2" t="s">
        <v>14043</v>
      </c>
      <c r="J5397" s="3" t="str">
        <f>HYPERLINK("https://www.boe.es/gazeta/dias/1811/12/12/pdfs/GEI-1811-161.pdf#page=3","Abrir facsímil")</f>
        <v>Abrir facsímil</v>
      </c>
      <c r="K5397" s="3" t="s">
        <v>150</v>
      </c>
    </row>
    <row r="5398" spans="1:11" ht="42" customHeight="1">
      <c r="A5398" s="2" t="s">
        <v>14044</v>
      </c>
      <c r="B5398" s="2" t="s">
        <v>14044</v>
      </c>
      <c r="C5398" s="2" t="s">
        <v>17</v>
      </c>
      <c r="D5398" s="2" t="s">
        <v>18</v>
      </c>
      <c r="E5398" s="4">
        <v>-32264</v>
      </c>
      <c r="F5398" s="3" t="s">
        <v>3038</v>
      </c>
      <c r="G5398" s="3" t="s">
        <v>178</v>
      </c>
      <c r="H5398" s="2" t="s">
        <v>148</v>
      </c>
      <c r="I5398" s="2" t="s">
        <v>14045</v>
      </c>
      <c r="J5398" s="3" t="str">
        <f>HYPERLINK("https://www.boe.es/gazeta/dias/1811/08/30/pdfs/GMD-1811-242.pdf#page=2","Abrir facsímil")</f>
        <v>Abrir facsímil</v>
      </c>
      <c r="K5398" s="3" t="s">
        <v>150</v>
      </c>
    </row>
    <row r="5399" spans="1:11" ht="42" customHeight="1">
      <c r="A5399" s="2" t="s">
        <v>14046</v>
      </c>
      <c r="B5399" s="2" t="s">
        <v>14047</v>
      </c>
      <c r="C5399" s="2" t="s">
        <v>26</v>
      </c>
      <c r="D5399" s="2" t="s">
        <v>18</v>
      </c>
      <c r="E5399" s="4">
        <v>-32494</v>
      </c>
      <c r="F5399" s="3" t="s">
        <v>585</v>
      </c>
      <c r="G5399" s="3" t="s">
        <v>391</v>
      </c>
      <c r="H5399" s="2" t="s">
        <v>148</v>
      </c>
      <c r="I5399" s="2" t="s">
        <v>14048</v>
      </c>
      <c r="J5399" s="3" t="str">
        <f>HYPERLINK("https://www.boe.es/gazeta/dias/1811/01/12/pdfs/GMD-1811-12.pdf#page=3","Abrir facsímil")</f>
        <v>Abrir facsímil</v>
      </c>
      <c r="K5399" s="3" t="s">
        <v>150</v>
      </c>
    </row>
    <row r="5400" spans="1:11" ht="42" customHeight="1">
      <c r="A5400" s="2" t="s">
        <v>14049</v>
      </c>
      <c r="B5400" s="2" t="s">
        <v>14049</v>
      </c>
      <c r="C5400" s="2" t="s">
        <v>84</v>
      </c>
      <c r="D5400" s="2" t="s">
        <v>18</v>
      </c>
      <c r="E5400" s="4">
        <v>-32419</v>
      </c>
      <c r="F5400" s="3" t="s">
        <v>5133</v>
      </c>
      <c r="G5400" s="3" t="s">
        <v>91</v>
      </c>
      <c r="H5400" s="2" t="s">
        <v>148</v>
      </c>
      <c r="I5400" s="2" t="s">
        <v>14050</v>
      </c>
      <c r="J5400" s="3" t="str">
        <f>HYPERLINK("https://www.boe.es/gazeta/dias/1811/03/28/pdfs/GMD-1811-87.pdf#page=4","Abrir facsímil")</f>
        <v>Abrir facsímil</v>
      </c>
      <c r="K5400" s="3" t="s">
        <v>150</v>
      </c>
    </row>
    <row r="5401" spans="1:11" ht="42" customHeight="1">
      <c r="A5401" s="2" t="s">
        <v>14051</v>
      </c>
      <c r="B5401" s="2" t="s">
        <v>14051</v>
      </c>
      <c r="C5401" s="2" t="s">
        <v>26</v>
      </c>
      <c r="D5401" s="2" t="s">
        <v>18</v>
      </c>
      <c r="E5401" s="4">
        <v>-32246</v>
      </c>
      <c r="F5401" s="3" t="s">
        <v>19</v>
      </c>
      <c r="G5401" s="3" t="s">
        <v>3606</v>
      </c>
      <c r="H5401" s="2" t="s">
        <v>148</v>
      </c>
      <c r="I5401" s="2" t="s">
        <v>14052</v>
      </c>
      <c r="J5401" s="3" t="str">
        <f>HYPERLINK("https://www.boe.es/gazeta/dias/1811/09/17/pdfs/GEI-1811-120.pdf#page=8","Abrir facsímil")</f>
        <v>Abrir facsímil</v>
      </c>
      <c r="K5401" s="3" t="s">
        <v>150</v>
      </c>
    </row>
    <row r="5402" spans="1:11" ht="42" customHeight="1">
      <c r="A5402" s="2" t="s">
        <v>14053</v>
      </c>
      <c r="B5402" s="2" t="s">
        <v>14054</v>
      </c>
      <c r="C5402" s="2" t="s">
        <v>26</v>
      </c>
      <c r="D5402" s="2" t="s">
        <v>18</v>
      </c>
      <c r="E5402" s="4">
        <v>-32246</v>
      </c>
      <c r="F5402" s="3" t="s">
        <v>19</v>
      </c>
      <c r="G5402" s="3" t="s">
        <v>1006</v>
      </c>
      <c r="H5402" s="2" t="s">
        <v>148</v>
      </c>
      <c r="I5402" s="2" t="s">
        <v>14055</v>
      </c>
      <c r="J5402" s="3" t="str">
        <f>HYPERLINK("https://www.boe.es/gazeta/dias/1811/09/17/pdfs/GEI-1811-120.pdf#page=23","Abrir facsímil")</f>
        <v>Abrir facsímil</v>
      </c>
      <c r="K5402" s="3" t="s">
        <v>150</v>
      </c>
    </row>
    <row r="5403" spans="1:11" ht="42" customHeight="1">
      <c r="A5403" s="2" t="s">
        <v>14056</v>
      </c>
      <c r="B5403" s="2" t="s">
        <v>14057</v>
      </c>
      <c r="C5403" s="2" t="s">
        <v>84</v>
      </c>
      <c r="D5403" s="2" t="s">
        <v>105</v>
      </c>
      <c r="E5403" s="4">
        <v>-32225</v>
      </c>
      <c r="F5403" s="3" t="s">
        <v>390</v>
      </c>
      <c r="G5403" s="3" t="s">
        <v>1368</v>
      </c>
      <c r="H5403" s="2" t="s">
        <v>148</v>
      </c>
      <c r="I5403" s="2" t="s">
        <v>14058</v>
      </c>
      <c r="J5403" s="3" t="str">
        <f>HYPERLINK("https://www.boe.es/gazeta/dias/1811/10/08/pdfs/GEI-1811-129.pdf#page=8","Abrir facsímil")</f>
        <v>Abrir facsímil</v>
      </c>
      <c r="K5403" s="3" t="s">
        <v>150</v>
      </c>
    </row>
    <row r="5404" spans="1:11" ht="42" customHeight="1">
      <c r="A5404" s="2" t="s">
        <v>14059</v>
      </c>
      <c r="B5404" s="2" t="s">
        <v>14060</v>
      </c>
      <c r="C5404" s="2" t="s">
        <v>26</v>
      </c>
      <c r="D5404" s="2" t="s">
        <v>141</v>
      </c>
      <c r="E5404" s="4">
        <v>-32238</v>
      </c>
      <c r="F5404" s="3" t="s">
        <v>166</v>
      </c>
      <c r="G5404" s="3" t="s">
        <v>39</v>
      </c>
      <c r="H5404" s="2" t="s">
        <v>148</v>
      </c>
      <c r="I5404" s="2" t="s">
        <v>14061</v>
      </c>
      <c r="J5404" s="3" t="str">
        <f>HYPERLINK("https://www.boe.es/gazeta/dias/1811/09/25/pdfs/GMD-C-1811-268.pdf#page=2","Abrir facsímil")</f>
        <v>Abrir facsímil</v>
      </c>
      <c r="K5404" s="3" t="s">
        <v>150</v>
      </c>
    </row>
    <row r="5405" spans="1:11" ht="42" customHeight="1">
      <c r="A5405" s="2" t="s">
        <v>14062</v>
      </c>
      <c r="B5405" s="2" t="s">
        <v>14063</v>
      </c>
      <c r="C5405" s="2" t="s">
        <v>26</v>
      </c>
      <c r="D5405" s="2" t="s">
        <v>18</v>
      </c>
      <c r="E5405" s="4">
        <v>-32480</v>
      </c>
      <c r="F5405" s="3" t="s">
        <v>3061</v>
      </c>
      <c r="G5405" s="3" t="s">
        <v>669</v>
      </c>
      <c r="H5405" s="2" t="s">
        <v>148</v>
      </c>
      <c r="I5405" s="2" t="s">
        <v>14064</v>
      </c>
      <c r="J5405" s="3" t="str">
        <f>HYPERLINK("https://www.boe.es/gazeta/dias/1811/01/26/pdfs/GEI-1811-12.pdf#page=5","Abrir facsímil")</f>
        <v>Abrir facsímil</v>
      </c>
      <c r="K5405" s="3" t="s">
        <v>150</v>
      </c>
    </row>
    <row r="5406" spans="1:11" ht="42" customHeight="1">
      <c r="A5406" s="2" t="s">
        <v>14065</v>
      </c>
      <c r="B5406" s="2" t="s">
        <v>14066</v>
      </c>
      <c r="C5406" s="2" t="s">
        <v>17</v>
      </c>
      <c r="D5406" s="2" t="s">
        <v>18</v>
      </c>
      <c r="E5406" s="4">
        <v>-32244</v>
      </c>
      <c r="F5406" s="3" t="s">
        <v>4301</v>
      </c>
      <c r="G5406" s="3" t="s">
        <v>755</v>
      </c>
      <c r="H5406" s="2" t="s">
        <v>148</v>
      </c>
      <c r="I5406" s="2" t="s">
        <v>14067</v>
      </c>
      <c r="J5406" s="3" t="str">
        <f>HYPERLINK("https://www.boe.es/gazeta/dias/1811/09/19/pdfs/GEI-1811-121.pdf#page=6","Abrir facsímil")</f>
        <v>Abrir facsímil</v>
      </c>
      <c r="K5406" s="3" t="s">
        <v>150</v>
      </c>
    </row>
    <row r="5407" spans="1:11" ht="42" customHeight="1">
      <c r="A5407" s="2" t="s">
        <v>14065</v>
      </c>
      <c r="B5407" s="2" t="s">
        <v>14066</v>
      </c>
      <c r="C5407" s="2" t="s">
        <v>26</v>
      </c>
      <c r="D5407" s="2" t="s">
        <v>18</v>
      </c>
      <c r="E5407" s="4">
        <v>-32155</v>
      </c>
      <c r="F5407" s="3" t="s">
        <v>263</v>
      </c>
      <c r="G5407" s="3" t="s">
        <v>1800</v>
      </c>
      <c r="H5407" s="2" t="s">
        <v>148</v>
      </c>
      <c r="I5407" s="2" t="s">
        <v>14068</v>
      </c>
      <c r="J5407" s="3" t="str">
        <f>HYPERLINK("https://www.boe.es/gazeta/dias/1811/12/17/pdfs/GEI-1811-163.pdf#page=7","Abrir facsímil")</f>
        <v>Abrir facsímil</v>
      </c>
      <c r="K5407" s="3" t="s">
        <v>150</v>
      </c>
    </row>
    <row r="5408" spans="1:11" ht="42" customHeight="1">
      <c r="A5408" s="2" t="s">
        <v>14069</v>
      </c>
      <c r="B5408" s="2" t="s">
        <v>14070</v>
      </c>
      <c r="C5408" s="2" t="s">
        <v>104</v>
      </c>
      <c r="D5408" s="2" t="s">
        <v>18</v>
      </c>
      <c r="E5408" s="4">
        <v>-32248</v>
      </c>
      <c r="F5408" s="3" t="s">
        <v>622</v>
      </c>
      <c r="G5408" s="3" t="s">
        <v>115</v>
      </c>
      <c r="H5408" s="2" t="s">
        <v>148</v>
      </c>
      <c r="I5408" s="2" t="s">
        <v>14071</v>
      </c>
      <c r="J5408" s="3" t="str">
        <f>HYPERLINK("https://www.boe.es/gazeta/dias/1811/09/15/pdfs/GMD-1811-258.pdf#page=3","Abrir facsímil")</f>
        <v>Abrir facsímil</v>
      </c>
      <c r="K5408" s="3" t="s">
        <v>150</v>
      </c>
    </row>
    <row r="5409" spans="1:11" ht="42" customHeight="1">
      <c r="A5409" s="2" t="s">
        <v>14072</v>
      </c>
      <c r="B5409" s="2" t="s">
        <v>14073</v>
      </c>
      <c r="C5409" s="2" t="s">
        <v>17</v>
      </c>
      <c r="D5409" s="2" t="s">
        <v>156</v>
      </c>
      <c r="E5409" s="4">
        <v>-32179</v>
      </c>
      <c r="F5409" s="3" t="s">
        <v>3269</v>
      </c>
      <c r="G5409" s="3" t="s">
        <v>91</v>
      </c>
      <c r="H5409" s="2" t="s">
        <v>148</v>
      </c>
      <c r="I5409" s="2" t="s">
        <v>14074</v>
      </c>
      <c r="J5409" s="3" t="str">
        <f>HYPERLINK("https://www.boe.es/gazeta/dias/1811/11/23/pdfs/GMD-1811-327.pdf#page=4","Abrir facsímil")</f>
        <v>Abrir facsímil</v>
      </c>
      <c r="K5409" s="3" t="s">
        <v>150</v>
      </c>
    </row>
    <row r="5410" spans="1:11" ht="42" customHeight="1">
      <c r="A5410" s="2" t="s">
        <v>14075</v>
      </c>
      <c r="B5410" s="2" t="s">
        <v>14076</v>
      </c>
      <c r="C5410" s="2" t="s">
        <v>26</v>
      </c>
      <c r="D5410" s="2" t="s">
        <v>18</v>
      </c>
      <c r="E5410" s="4">
        <v>-32155</v>
      </c>
      <c r="F5410" s="3" t="s">
        <v>263</v>
      </c>
      <c r="G5410" s="3" t="s">
        <v>1800</v>
      </c>
      <c r="H5410" s="2" t="s">
        <v>148</v>
      </c>
      <c r="I5410" s="2" t="s">
        <v>14077</v>
      </c>
      <c r="J5410" s="3" t="str">
        <f>HYPERLINK("https://www.boe.es/gazeta/dias/1811/12/17/pdfs/GEI-1811-163.pdf#page=7","Abrir facsímil")</f>
        <v>Abrir facsímil</v>
      </c>
      <c r="K5410" s="3" t="s">
        <v>150</v>
      </c>
    </row>
    <row r="5411" spans="1:11" ht="42" customHeight="1">
      <c r="A5411" s="2" t="s">
        <v>14078</v>
      </c>
      <c r="B5411" s="2" t="s">
        <v>14078</v>
      </c>
      <c r="C5411" s="2" t="s">
        <v>17</v>
      </c>
      <c r="D5411" s="2" t="s">
        <v>204</v>
      </c>
      <c r="E5411" s="4">
        <v>-32319</v>
      </c>
      <c r="F5411" s="3" t="s">
        <v>975</v>
      </c>
      <c r="G5411" s="3" t="s">
        <v>8451</v>
      </c>
      <c r="H5411" s="2" t="s">
        <v>148</v>
      </c>
      <c r="I5411" s="2" t="s">
        <v>14079</v>
      </c>
      <c r="J5411" s="3" t="str">
        <f>HYPERLINK("https://www.boe.es/gazeta/dias/1811/07/06/pdfs/GEI-1811-89.pdf#page=1","Abrir facsímil")</f>
        <v>Abrir facsímil</v>
      </c>
      <c r="K5411" s="3" t="s">
        <v>150</v>
      </c>
    </row>
    <row r="5412" spans="1:11" ht="42" customHeight="1">
      <c r="A5412" s="2" t="s">
        <v>14080</v>
      </c>
      <c r="B5412" s="2" t="s">
        <v>14081</v>
      </c>
      <c r="C5412" s="2" t="s">
        <v>26</v>
      </c>
      <c r="D5412" s="2" t="s">
        <v>18</v>
      </c>
      <c r="E5412" s="4">
        <v>-32326</v>
      </c>
      <c r="F5412" s="3" t="s">
        <v>43</v>
      </c>
      <c r="G5412" s="3" t="s">
        <v>44</v>
      </c>
      <c r="H5412" s="2" t="s">
        <v>148</v>
      </c>
      <c r="I5412" s="2" t="s">
        <v>14082</v>
      </c>
      <c r="J5412" s="3" t="str">
        <f>HYPERLINK("https://www.boe.es/gazeta/dias/1811/06/29/pdfs/GEI-1811-86.pdf#page=6","Abrir facsímil")</f>
        <v>Abrir facsímil</v>
      </c>
      <c r="K5412" s="3" t="s">
        <v>150</v>
      </c>
    </row>
    <row r="5413" spans="1:11" ht="42" customHeight="1">
      <c r="A5413" s="2" t="s">
        <v>14083</v>
      </c>
      <c r="B5413" s="2" t="s">
        <v>14083</v>
      </c>
      <c r="C5413" s="2" t="s">
        <v>17</v>
      </c>
      <c r="D5413" s="2" t="s">
        <v>156</v>
      </c>
      <c r="E5413" s="4">
        <v>-32343</v>
      </c>
      <c r="F5413" s="3" t="s">
        <v>6073</v>
      </c>
      <c r="G5413" s="3" t="s">
        <v>44</v>
      </c>
      <c r="H5413" s="2" t="s">
        <v>148</v>
      </c>
      <c r="I5413" s="2" t="s">
        <v>14084</v>
      </c>
      <c r="J5413" s="3" t="str">
        <f>HYPERLINK("https://www.boe.es/gazeta/dias/1811/06/12/pdfs/GMD-1811-163.pdf#page=2","Abrir facsímil")</f>
        <v>Abrir facsímil</v>
      </c>
      <c r="K5413" s="3" t="s">
        <v>150</v>
      </c>
    </row>
    <row r="5414" spans="1:11" ht="42" customHeight="1">
      <c r="A5414" s="2" t="s">
        <v>14085</v>
      </c>
      <c r="B5414" s="2" t="s">
        <v>14085</v>
      </c>
      <c r="C5414" s="2" t="s">
        <v>17</v>
      </c>
      <c r="D5414" s="2" t="s">
        <v>18</v>
      </c>
      <c r="E5414" s="4">
        <v>-32309</v>
      </c>
      <c r="F5414" s="3" t="s">
        <v>2496</v>
      </c>
      <c r="G5414" s="3" t="s">
        <v>47</v>
      </c>
      <c r="H5414" s="2" t="s">
        <v>148</v>
      </c>
      <c r="I5414" s="2" t="s">
        <v>14086</v>
      </c>
      <c r="J5414" s="3" t="str">
        <f>HYPERLINK("https://www.boe.es/gazeta/dias/1811/07/16/pdfs/GEI-1811-93.pdf#page=8","Abrir facsímil")</f>
        <v>Abrir facsímil</v>
      </c>
      <c r="K5414" s="3" t="s">
        <v>150</v>
      </c>
    </row>
    <row r="5415" spans="1:11" ht="42" customHeight="1">
      <c r="A5415" s="2" t="s">
        <v>14087</v>
      </c>
      <c r="B5415" s="2" t="s">
        <v>14088</v>
      </c>
      <c r="C5415" s="2" t="s">
        <v>26</v>
      </c>
      <c r="D5415" s="2" t="s">
        <v>141</v>
      </c>
      <c r="E5415" s="4">
        <v>-32238</v>
      </c>
      <c r="F5415" s="3" t="s">
        <v>166</v>
      </c>
      <c r="G5415" s="3" t="s">
        <v>129</v>
      </c>
      <c r="H5415" s="2" t="s">
        <v>148</v>
      </c>
      <c r="I5415" s="2" t="s">
        <v>14089</v>
      </c>
      <c r="J5415" s="3" t="str">
        <f>HYPERLINK("https://www.boe.es/gazeta/dias/1811/09/25/pdfs/GMD-C-1811-268.pdf#page=1","Abrir facsímil")</f>
        <v>Abrir facsímil</v>
      </c>
      <c r="K5415" s="3" t="s">
        <v>150</v>
      </c>
    </row>
    <row r="5416" spans="1:11" ht="42" customHeight="1">
      <c r="A5416" s="2" t="s">
        <v>14090</v>
      </c>
      <c r="B5416" s="2" t="s">
        <v>14090</v>
      </c>
      <c r="C5416" s="2" t="s">
        <v>26</v>
      </c>
      <c r="D5416" s="2" t="s">
        <v>18</v>
      </c>
      <c r="E5416" s="4">
        <v>-32442</v>
      </c>
      <c r="F5416" s="3" t="s">
        <v>634</v>
      </c>
      <c r="G5416" s="3" t="s">
        <v>755</v>
      </c>
      <c r="H5416" s="2" t="s">
        <v>148</v>
      </c>
      <c r="I5416" s="2" t="s">
        <v>14091</v>
      </c>
      <c r="J5416" s="3" t="str">
        <f>HYPERLINK("https://www.boe.es/gazeta/dias/1811/03/05/pdfs/GEI-1811-29.pdf#page=6","Abrir facsímil")</f>
        <v>Abrir facsímil</v>
      </c>
      <c r="K5416" s="3" t="s">
        <v>150</v>
      </c>
    </row>
    <row r="5417" spans="1:11" ht="42" customHeight="1">
      <c r="A5417" s="2" t="s">
        <v>14092</v>
      </c>
      <c r="B5417" s="2" t="s">
        <v>14093</v>
      </c>
      <c r="C5417" s="2" t="s">
        <v>367</v>
      </c>
      <c r="D5417" s="2" t="s">
        <v>105</v>
      </c>
      <c r="E5417" s="4">
        <v>-32297</v>
      </c>
      <c r="F5417" s="3" t="s">
        <v>2174</v>
      </c>
      <c r="G5417" s="3" t="s">
        <v>183</v>
      </c>
      <c r="H5417" s="2" t="s">
        <v>148</v>
      </c>
      <c r="I5417" s="2" t="s">
        <v>14094</v>
      </c>
      <c r="J5417" s="3" t="str">
        <f>HYPERLINK("https://www.boe.es/gazeta/dias/1811/07/28/pdfs/GMD-1811-209.pdf#page=4","Abrir facsímil")</f>
        <v>Abrir facsímil</v>
      </c>
      <c r="K5417" s="3" t="s">
        <v>150</v>
      </c>
    </row>
    <row r="5418" spans="1:11" ht="42" customHeight="1">
      <c r="A5418" s="2" t="s">
        <v>14095</v>
      </c>
      <c r="B5418" s="2" t="s">
        <v>14095</v>
      </c>
      <c r="C5418" s="2" t="s">
        <v>17</v>
      </c>
      <c r="D5418" s="2" t="s">
        <v>156</v>
      </c>
      <c r="E5418" s="4">
        <v>-32489</v>
      </c>
      <c r="F5418" s="3" t="s">
        <v>2073</v>
      </c>
      <c r="G5418" s="3" t="s">
        <v>44</v>
      </c>
      <c r="H5418" s="2" t="s">
        <v>148</v>
      </c>
      <c r="I5418" s="2" t="s">
        <v>14096</v>
      </c>
      <c r="J5418" s="3" t="str">
        <f>HYPERLINK("https://www.boe.es/gazeta/dias/1811/01/17/pdfs/GEI-1811-8.pdf#page=8","Abrir facsímil")</f>
        <v>Abrir facsímil</v>
      </c>
      <c r="K5418" s="3" t="s">
        <v>150</v>
      </c>
    </row>
    <row r="5419" spans="1:11" ht="42" customHeight="1">
      <c r="A5419" s="2" t="s">
        <v>14097</v>
      </c>
      <c r="B5419" s="2" t="s">
        <v>14098</v>
      </c>
      <c r="C5419" s="2" t="s">
        <v>17</v>
      </c>
      <c r="D5419" s="2" t="s">
        <v>18</v>
      </c>
      <c r="E5419" s="4">
        <v>-32421</v>
      </c>
      <c r="F5419" s="3" t="s">
        <v>79</v>
      </c>
      <c r="G5419" s="3" t="s">
        <v>12177</v>
      </c>
      <c r="H5419" s="2" t="s">
        <v>148</v>
      </c>
      <c r="I5419" s="2" t="s">
        <v>14099</v>
      </c>
      <c r="J5419" s="3" t="str">
        <f>HYPERLINK("https://www.boe.es/gazeta/dias/1811/03/26/pdfs/GEI-1811-42.pdf#page=6","Abrir facsímil")</f>
        <v>Abrir facsímil</v>
      </c>
      <c r="K5419" s="3" t="s">
        <v>150</v>
      </c>
    </row>
    <row r="5420" spans="1:11" ht="42" customHeight="1">
      <c r="A5420" s="2" t="s">
        <v>14100</v>
      </c>
      <c r="B5420" s="2" t="s">
        <v>14101</v>
      </c>
      <c r="C5420" s="2" t="s">
        <v>26</v>
      </c>
      <c r="D5420" s="2" t="s">
        <v>18</v>
      </c>
      <c r="E5420" s="4">
        <v>-32433</v>
      </c>
      <c r="F5420" s="3" t="s">
        <v>209</v>
      </c>
      <c r="G5420" s="3" t="s">
        <v>488</v>
      </c>
      <c r="H5420" s="2" t="s">
        <v>148</v>
      </c>
      <c r="I5420" s="2" t="s">
        <v>14102</v>
      </c>
      <c r="J5420" s="3" t="str">
        <f>HYPERLINK("https://www.boe.es/gazeta/dias/1811/03/14/pdfs/GMD-1811-73.pdf#page=2","Abrir facsímil")</f>
        <v>Abrir facsímil</v>
      </c>
      <c r="K5420" s="3" t="s">
        <v>150</v>
      </c>
    </row>
    <row r="5421" spans="1:11" ht="42" customHeight="1">
      <c r="A5421" s="2" t="s">
        <v>14103</v>
      </c>
      <c r="B5421" s="2" t="s">
        <v>14103</v>
      </c>
      <c r="C5421" s="2" t="s">
        <v>26</v>
      </c>
      <c r="D5421" s="2" t="s">
        <v>18</v>
      </c>
      <c r="E5421" s="4">
        <v>-32172</v>
      </c>
      <c r="F5421" s="3" t="s">
        <v>300</v>
      </c>
      <c r="G5421" s="3" t="s">
        <v>305</v>
      </c>
      <c r="H5421" s="2" t="s">
        <v>148</v>
      </c>
      <c r="I5421" s="2" t="s">
        <v>14104</v>
      </c>
      <c r="J5421" s="3" t="str">
        <f>HYPERLINK("https://www.boe.es/gazeta/dias/1811/11/30/pdfs/GMD-1811-334.pdf#page=3","Abrir facsímil")</f>
        <v>Abrir facsímil</v>
      </c>
      <c r="K5421" s="3" t="s">
        <v>150</v>
      </c>
    </row>
    <row r="5422" spans="1:11" ht="42" customHeight="1">
      <c r="A5422" s="2" t="s">
        <v>14105</v>
      </c>
      <c r="B5422" s="2" t="s">
        <v>14105</v>
      </c>
      <c r="C5422" s="2" t="s">
        <v>17</v>
      </c>
      <c r="D5422" s="2" t="s">
        <v>18</v>
      </c>
      <c r="E5422" s="4">
        <v>-32298</v>
      </c>
      <c r="F5422" s="3" t="s">
        <v>133</v>
      </c>
      <c r="G5422" s="3" t="s">
        <v>515</v>
      </c>
      <c r="H5422" s="2" t="s">
        <v>148</v>
      </c>
      <c r="I5422" s="2" t="s">
        <v>14106</v>
      </c>
      <c r="J5422" s="3" t="str">
        <f>HYPERLINK("https://www.boe.es/gazeta/dias/1811/07/27/pdfs/GEI-1811-98.pdf#page=5","Abrir facsímil")</f>
        <v>Abrir facsímil</v>
      </c>
      <c r="K5422" s="3" t="s">
        <v>150</v>
      </c>
    </row>
    <row r="5423" spans="1:11" ht="42" customHeight="1">
      <c r="A5423" s="2" t="s">
        <v>14107</v>
      </c>
      <c r="B5423" s="2" t="s">
        <v>14107</v>
      </c>
      <c r="C5423" s="2" t="s">
        <v>17</v>
      </c>
      <c r="D5423" s="2" t="s">
        <v>156</v>
      </c>
      <c r="E5423" s="4">
        <v>-32428</v>
      </c>
      <c r="F5423" s="3" t="s">
        <v>351</v>
      </c>
      <c r="G5423" s="3" t="s">
        <v>57</v>
      </c>
      <c r="H5423" s="2" t="s">
        <v>148</v>
      </c>
      <c r="I5423" s="2" t="s">
        <v>14108</v>
      </c>
      <c r="J5423" s="3" t="str">
        <f>HYPERLINK("https://www.boe.es/gazeta/dias/1811/03/19/pdfs/GMD-1811-78.pdf#page=2","Abrir facsímil")</f>
        <v>Abrir facsímil</v>
      </c>
      <c r="K5423" s="3" t="s">
        <v>150</v>
      </c>
    </row>
    <row r="5424" spans="1:11" ht="42" customHeight="1">
      <c r="A5424" s="2" t="s">
        <v>14107</v>
      </c>
      <c r="B5424" s="2" t="s">
        <v>14107</v>
      </c>
      <c r="C5424" s="2" t="s">
        <v>17</v>
      </c>
      <c r="D5424" s="2" t="s">
        <v>156</v>
      </c>
      <c r="E5424" s="4">
        <v>-32428</v>
      </c>
      <c r="F5424" s="3" t="s">
        <v>351</v>
      </c>
      <c r="G5424" s="3" t="s">
        <v>115</v>
      </c>
      <c r="H5424" s="2" t="s">
        <v>148</v>
      </c>
      <c r="I5424" s="2" t="s">
        <v>14109</v>
      </c>
      <c r="J5424" s="3" t="str">
        <f>HYPERLINK("https://www.boe.es/gazeta/dias/1811/03/19/pdfs/GMD-1811-78.pdf#page=3","Abrir facsímil")</f>
        <v>Abrir facsímil</v>
      </c>
      <c r="K5424" s="3" t="s">
        <v>150</v>
      </c>
    </row>
    <row r="5425" spans="1:11" ht="42" customHeight="1">
      <c r="A5425" s="2" t="s">
        <v>14107</v>
      </c>
      <c r="B5425" s="2" t="s">
        <v>14107</v>
      </c>
      <c r="C5425" s="2" t="s">
        <v>122</v>
      </c>
      <c r="D5425" s="2" t="s">
        <v>105</v>
      </c>
      <c r="E5425" s="4">
        <v>-32428</v>
      </c>
      <c r="F5425" s="3" t="s">
        <v>351</v>
      </c>
      <c r="G5425" s="3" t="s">
        <v>352</v>
      </c>
      <c r="H5425" s="2" t="s">
        <v>148</v>
      </c>
      <c r="I5425" s="2" t="s">
        <v>14110</v>
      </c>
      <c r="J5425" s="3" t="str">
        <f>HYPERLINK("https://www.boe.es/gazeta/dias/1811/03/19/pdfs/GMD-1811-78.pdf#page=4","Abrir facsímil")</f>
        <v>Abrir facsímil</v>
      </c>
      <c r="K5425" s="3" t="s">
        <v>150</v>
      </c>
    </row>
    <row r="5426" spans="1:11" ht="42" customHeight="1">
      <c r="A5426" s="2" t="s">
        <v>14107</v>
      </c>
      <c r="B5426" s="2" t="s">
        <v>14107</v>
      </c>
      <c r="C5426" s="2" t="s">
        <v>17</v>
      </c>
      <c r="D5426" s="2" t="s">
        <v>156</v>
      </c>
      <c r="E5426" s="4">
        <v>-32400</v>
      </c>
      <c r="F5426" s="3" t="s">
        <v>3343</v>
      </c>
      <c r="G5426" s="3" t="s">
        <v>846</v>
      </c>
      <c r="H5426" s="2" t="s">
        <v>148</v>
      </c>
      <c r="I5426" s="2" t="s">
        <v>14111</v>
      </c>
      <c r="J5426" s="3" t="str">
        <f>HYPERLINK("https://www.boe.es/gazeta/dias/1811/04/16/pdfs/GMD-1811-106.pdf#page=3","Abrir facsímil")</f>
        <v>Abrir facsímil</v>
      </c>
      <c r="K5426" s="3" t="s">
        <v>150</v>
      </c>
    </row>
    <row r="5427" spans="1:11" ht="42" customHeight="1">
      <c r="A5427" s="2" t="s">
        <v>14107</v>
      </c>
      <c r="B5427" s="2" t="s">
        <v>14107</v>
      </c>
      <c r="C5427" s="2" t="s">
        <v>367</v>
      </c>
      <c r="D5427" s="2" t="s">
        <v>18</v>
      </c>
      <c r="E5427" s="4">
        <v>-32357</v>
      </c>
      <c r="F5427" s="3" t="s">
        <v>2775</v>
      </c>
      <c r="G5427" s="3" t="s">
        <v>57</v>
      </c>
      <c r="H5427" s="2" t="s">
        <v>148</v>
      </c>
      <c r="I5427" s="2" t="s">
        <v>14112</v>
      </c>
      <c r="J5427" s="3" t="str">
        <f>HYPERLINK("https://www.boe.es/gazeta/dias/1811/05/29/pdfs/GMD-1811-149.pdf#page=2","Abrir facsímil")</f>
        <v>Abrir facsímil</v>
      </c>
      <c r="K5427" s="3" t="s">
        <v>150</v>
      </c>
    </row>
    <row r="5428" spans="1:11" ht="42" customHeight="1">
      <c r="A5428" s="2" t="s">
        <v>14113</v>
      </c>
      <c r="B5428" s="2" t="s">
        <v>14113</v>
      </c>
      <c r="C5428" s="2" t="s">
        <v>17</v>
      </c>
      <c r="D5428" s="2" t="s">
        <v>156</v>
      </c>
      <c r="E5428" s="4">
        <v>-32319</v>
      </c>
      <c r="F5428" s="3" t="s">
        <v>2035</v>
      </c>
      <c r="G5428" s="3" t="s">
        <v>134</v>
      </c>
      <c r="H5428" s="2" t="s">
        <v>148</v>
      </c>
      <c r="I5428" s="2" t="s">
        <v>14114</v>
      </c>
      <c r="J5428" s="3" t="str">
        <f>HYPERLINK("https://www.boe.es/gazeta/dias/1811/07/06/pdfs/GMD-1811-187.pdf#page=2","Abrir facsímil")</f>
        <v>Abrir facsímil</v>
      </c>
      <c r="K5428" s="3" t="s">
        <v>150</v>
      </c>
    </row>
    <row r="5429" spans="1:11" ht="42" customHeight="1">
      <c r="A5429" s="2" t="s">
        <v>14107</v>
      </c>
      <c r="B5429" s="2" t="s">
        <v>14107</v>
      </c>
      <c r="C5429" s="2" t="s">
        <v>26</v>
      </c>
      <c r="D5429" s="2" t="s">
        <v>141</v>
      </c>
      <c r="E5429" s="4">
        <v>-32238</v>
      </c>
      <c r="F5429" s="3" t="s">
        <v>166</v>
      </c>
      <c r="G5429" s="3" t="s">
        <v>129</v>
      </c>
      <c r="H5429" s="2" t="s">
        <v>148</v>
      </c>
      <c r="I5429" s="2" t="s">
        <v>14115</v>
      </c>
      <c r="J5429" s="3" t="str">
        <f>HYPERLINK("https://www.boe.es/gazeta/dias/1811/09/25/pdfs/GMD-C-1811-268.pdf#page=1","Abrir facsímil")</f>
        <v>Abrir facsímil</v>
      </c>
      <c r="K5429" s="3" t="s">
        <v>150</v>
      </c>
    </row>
    <row r="5430" spans="1:11" ht="42" customHeight="1">
      <c r="A5430" s="2" t="s">
        <v>14107</v>
      </c>
      <c r="B5430" s="2" t="s">
        <v>14107</v>
      </c>
      <c r="C5430" s="2" t="s">
        <v>17</v>
      </c>
      <c r="D5430" s="2" t="s">
        <v>156</v>
      </c>
      <c r="E5430" s="4">
        <v>-32171</v>
      </c>
      <c r="F5430" s="3" t="s">
        <v>157</v>
      </c>
      <c r="G5430" s="3" t="s">
        <v>44</v>
      </c>
      <c r="H5430" s="2" t="s">
        <v>148</v>
      </c>
      <c r="I5430" s="2" t="s">
        <v>14116</v>
      </c>
      <c r="J5430" s="3" t="str">
        <f>HYPERLINK("https://www.boe.es/gazeta/dias/1811/12/01/pdfs/GMD-1811-335.pdf#page=4","Abrir facsímil")</f>
        <v>Abrir facsímil</v>
      </c>
      <c r="K5430" s="3" t="s">
        <v>150</v>
      </c>
    </row>
    <row r="5431" spans="1:11" ht="42" customHeight="1">
      <c r="A5431" s="2" t="s">
        <v>14117</v>
      </c>
      <c r="B5431" s="2" t="s">
        <v>14118</v>
      </c>
      <c r="C5431" s="2" t="s">
        <v>17</v>
      </c>
      <c r="D5431" s="2" t="s">
        <v>156</v>
      </c>
      <c r="E5431" s="4">
        <v>-32428</v>
      </c>
      <c r="F5431" s="3" t="s">
        <v>351</v>
      </c>
      <c r="G5431" s="3" t="s">
        <v>57</v>
      </c>
      <c r="H5431" s="2" t="s">
        <v>148</v>
      </c>
      <c r="I5431" s="2" t="s">
        <v>14119</v>
      </c>
      <c r="J5431" s="3" t="str">
        <f>HYPERLINK("https://www.boe.es/gazeta/dias/1811/03/19/pdfs/GMD-1811-78.pdf#page=2","Abrir facsímil")</f>
        <v>Abrir facsímil</v>
      </c>
      <c r="K5431" s="3" t="s">
        <v>150</v>
      </c>
    </row>
    <row r="5432" spans="1:11" ht="42" customHeight="1">
      <c r="A5432" s="2" t="s">
        <v>14120</v>
      </c>
      <c r="B5432" s="2" t="s">
        <v>14120</v>
      </c>
      <c r="C5432" s="2" t="s">
        <v>104</v>
      </c>
      <c r="D5432" s="2" t="s">
        <v>18</v>
      </c>
      <c r="E5432" s="4">
        <v>-32201</v>
      </c>
      <c r="F5432" s="3" t="s">
        <v>2643</v>
      </c>
      <c r="G5432" s="3" t="s">
        <v>440</v>
      </c>
      <c r="H5432" s="2" t="s">
        <v>148</v>
      </c>
      <c r="I5432" s="2" t="s">
        <v>14121</v>
      </c>
      <c r="J5432" s="3" t="str">
        <f>HYPERLINK("https://www.boe.es/gazeta/dias/1811/11/01/pdfs/GMD-1811-305.pdf#page=2","Abrir facsímil")</f>
        <v>Abrir facsímil</v>
      </c>
      <c r="K5432" s="3" t="s">
        <v>150</v>
      </c>
    </row>
    <row r="5433" spans="1:11" ht="42" customHeight="1">
      <c r="A5433" s="2" t="s">
        <v>14122</v>
      </c>
      <c r="B5433" s="2" t="s">
        <v>14123</v>
      </c>
      <c r="C5433" s="2" t="s">
        <v>26</v>
      </c>
      <c r="D5433" s="2" t="s">
        <v>18</v>
      </c>
      <c r="E5433" s="4">
        <v>-32501</v>
      </c>
      <c r="F5433" s="3" t="s">
        <v>1679</v>
      </c>
      <c r="G5433" s="3" t="s">
        <v>305</v>
      </c>
      <c r="H5433" s="2" t="s">
        <v>148</v>
      </c>
      <c r="I5433" s="2" t="s">
        <v>14124</v>
      </c>
      <c r="J5433" s="3" t="str">
        <f>HYPERLINK("https://www.boe.es/gazeta/dias/1811/01/05/pdfs/GMD-1811-5.pdf#page=2","Abrir facsímil")</f>
        <v>Abrir facsímil</v>
      </c>
      <c r="K5433" s="3" t="s">
        <v>150</v>
      </c>
    </row>
    <row r="5434" spans="1:11" ht="42" customHeight="1">
      <c r="A5434" s="2" t="s">
        <v>14122</v>
      </c>
      <c r="B5434" s="2" t="s">
        <v>14123</v>
      </c>
      <c r="C5434" s="2" t="s">
        <v>17</v>
      </c>
      <c r="D5434" s="2" t="s">
        <v>156</v>
      </c>
      <c r="E5434" s="4">
        <v>-32490</v>
      </c>
      <c r="F5434" s="3" t="s">
        <v>2407</v>
      </c>
      <c r="G5434" s="3" t="s">
        <v>178</v>
      </c>
      <c r="H5434" s="2" t="s">
        <v>148</v>
      </c>
      <c r="I5434" s="2" t="s">
        <v>14125</v>
      </c>
      <c r="J5434" s="3" t="str">
        <f>HYPERLINK("https://www.boe.es/gazeta/dias/1811/01/16/pdfs/GMD-1811-16.pdf#page=3","Abrir facsímil")</f>
        <v>Abrir facsímil</v>
      </c>
      <c r="K5434" s="3" t="s">
        <v>150</v>
      </c>
    </row>
    <row r="5435" spans="1:11" ht="42" customHeight="1">
      <c r="A5435" s="2" t="s">
        <v>14122</v>
      </c>
      <c r="B5435" s="2" t="s">
        <v>14123</v>
      </c>
      <c r="C5435" s="2" t="s">
        <v>17</v>
      </c>
      <c r="D5435" s="2" t="s">
        <v>18</v>
      </c>
      <c r="E5435" s="4">
        <v>-32396</v>
      </c>
      <c r="F5435" s="3" t="s">
        <v>1267</v>
      </c>
      <c r="G5435" s="3" t="s">
        <v>6010</v>
      </c>
      <c r="H5435" s="2" t="s">
        <v>148</v>
      </c>
      <c r="I5435" s="2" t="s">
        <v>14126</v>
      </c>
      <c r="J5435" s="3" t="str">
        <f>HYPERLINK("https://www.boe.es/gazeta/dias/1811/04/20/pdfs/GMD-1811-110.pdf#page=1","Abrir facsímil")</f>
        <v>Abrir facsímil</v>
      </c>
      <c r="K5435" s="3" t="s">
        <v>150</v>
      </c>
    </row>
    <row r="5436" spans="1:11" ht="42" customHeight="1">
      <c r="A5436" s="2" t="s">
        <v>14122</v>
      </c>
      <c r="B5436" s="2" t="s">
        <v>14123</v>
      </c>
      <c r="C5436" s="2" t="s">
        <v>17</v>
      </c>
      <c r="D5436" s="2" t="s">
        <v>204</v>
      </c>
      <c r="E5436" s="4">
        <v>-32383</v>
      </c>
      <c r="F5436" s="3" t="s">
        <v>4500</v>
      </c>
      <c r="G5436" s="3" t="s">
        <v>331</v>
      </c>
      <c r="H5436" s="2" t="s">
        <v>148</v>
      </c>
      <c r="I5436" s="2" t="s">
        <v>14127</v>
      </c>
      <c r="J5436" s="3" t="str">
        <f>HYPERLINK("https://www.boe.es/gazeta/dias/1811/05/03/pdfs/GMD-1811-123.pdf#page=3","Abrir facsímil")</f>
        <v>Abrir facsímil</v>
      </c>
      <c r="K5436" s="3" t="s">
        <v>150</v>
      </c>
    </row>
    <row r="5437" spans="1:11" ht="42" customHeight="1">
      <c r="A5437" s="2" t="s">
        <v>14122</v>
      </c>
      <c r="B5437" s="2" t="s">
        <v>14123</v>
      </c>
      <c r="C5437" s="2" t="s">
        <v>104</v>
      </c>
      <c r="D5437" s="2" t="s">
        <v>18</v>
      </c>
      <c r="E5437" s="4">
        <v>-32369</v>
      </c>
      <c r="F5437" s="3" t="s">
        <v>896</v>
      </c>
      <c r="G5437" s="3" t="s">
        <v>236</v>
      </c>
      <c r="H5437" s="2" t="s">
        <v>148</v>
      </c>
      <c r="I5437" s="2" t="s">
        <v>14128</v>
      </c>
      <c r="J5437" s="3" t="str">
        <f>HYPERLINK("https://www.boe.es/gazeta/dias/1811/05/17/pdfs/GMD-1811-137.pdf#page=1","Abrir facsímil")</f>
        <v>Abrir facsímil</v>
      </c>
      <c r="K5437" s="3" t="s">
        <v>150</v>
      </c>
    </row>
    <row r="5438" spans="1:11" ht="42" customHeight="1">
      <c r="A5438" s="2" t="s">
        <v>14129</v>
      </c>
      <c r="B5438" s="2" t="s">
        <v>14129</v>
      </c>
      <c r="C5438" s="2" t="s">
        <v>17</v>
      </c>
      <c r="D5438" s="2" t="s">
        <v>18</v>
      </c>
      <c r="E5438" s="4">
        <v>-32335</v>
      </c>
      <c r="F5438" s="3" t="s">
        <v>3776</v>
      </c>
      <c r="G5438" s="3" t="s">
        <v>9797</v>
      </c>
      <c r="H5438" s="2" t="s">
        <v>148</v>
      </c>
      <c r="I5438" s="2" t="s">
        <v>14130</v>
      </c>
      <c r="J5438" s="3" t="str">
        <f>HYPERLINK("https://www.boe.es/gazeta/dias/1811/06/20/pdfs/GEI-1811-82.pdf#page=1","Abrir facsímil")</f>
        <v>Abrir facsímil</v>
      </c>
      <c r="K5438" s="3" t="s">
        <v>150</v>
      </c>
    </row>
    <row r="5439" spans="1:11" ht="42" customHeight="1">
      <c r="A5439" s="2" t="s">
        <v>14131</v>
      </c>
      <c r="B5439" s="2" t="s">
        <v>14132</v>
      </c>
      <c r="C5439" s="2" t="s">
        <v>17</v>
      </c>
      <c r="D5439" s="2" t="s">
        <v>156</v>
      </c>
      <c r="E5439" s="4">
        <v>-32249</v>
      </c>
      <c r="F5439" s="3" t="s">
        <v>824</v>
      </c>
      <c r="G5439" s="3" t="s">
        <v>476</v>
      </c>
      <c r="H5439" s="2" t="s">
        <v>148</v>
      </c>
      <c r="I5439" s="2" t="s">
        <v>14133</v>
      </c>
      <c r="J5439" s="3" t="str">
        <f>HYPERLINK("https://www.boe.es/gazeta/dias/1811/09/14/pdfs/GEI-1811-119.pdf#page=7","Abrir facsímil")</f>
        <v>Abrir facsímil</v>
      </c>
      <c r="K5439" s="3" t="s">
        <v>150</v>
      </c>
    </row>
    <row r="5440" spans="1:11" ht="42" customHeight="1">
      <c r="A5440" s="2" t="s">
        <v>14134</v>
      </c>
      <c r="B5440" s="2" t="s">
        <v>14135</v>
      </c>
      <c r="C5440" s="2" t="s">
        <v>26</v>
      </c>
      <c r="D5440" s="2" t="s">
        <v>18</v>
      </c>
      <c r="E5440" s="4">
        <v>-32195</v>
      </c>
      <c r="F5440" s="3" t="s">
        <v>439</v>
      </c>
      <c r="G5440" s="3" t="s">
        <v>440</v>
      </c>
      <c r="H5440" s="2" t="s">
        <v>148</v>
      </c>
      <c r="I5440" s="2" t="s">
        <v>14136</v>
      </c>
      <c r="J5440" s="3" t="str">
        <f>HYPERLINK("https://www.boe.es/gazeta/dias/1811/11/07/pdfs/GEI-1811-144.pdf#page=8","Abrir facsímil")</f>
        <v>Abrir facsímil</v>
      </c>
      <c r="K5440" s="3" t="s">
        <v>150</v>
      </c>
    </row>
    <row r="5441" spans="1:11" ht="42" customHeight="1">
      <c r="A5441" s="2" t="s">
        <v>14137</v>
      </c>
      <c r="B5441" s="2" t="s">
        <v>14137</v>
      </c>
      <c r="C5441" s="2" t="s">
        <v>17</v>
      </c>
      <c r="D5441" s="2" t="s">
        <v>156</v>
      </c>
      <c r="E5441" s="4">
        <v>-32250</v>
      </c>
      <c r="F5441" s="3" t="s">
        <v>2823</v>
      </c>
      <c r="G5441" s="3" t="s">
        <v>11120</v>
      </c>
      <c r="H5441" s="2" t="s">
        <v>148</v>
      </c>
      <c r="I5441" s="2" t="s">
        <v>14138</v>
      </c>
      <c r="J5441" s="3" t="str">
        <f>HYPERLINK("https://www.boe.es/gazeta/dias/1811/09/13/pdfs/GMD-1811-256.pdf#page=1","Abrir facsímil")</f>
        <v>Abrir facsímil</v>
      </c>
      <c r="K5441" s="3" t="s">
        <v>150</v>
      </c>
    </row>
    <row r="5442" spans="1:11" ht="42" customHeight="1">
      <c r="A5442" s="2" t="s">
        <v>14139</v>
      </c>
      <c r="B5442" s="2" t="s">
        <v>14140</v>
      </c>
      <c r="C5442" s="2" t="s">
        <v>26</v>
      </c>
      <c r="D5442" s="2" t="s">
        <v>18</v>
      </c>
      <c r="E5442" s="4">
        <v>-32153</v>
      </c>
      <c r="F5442" s="3" t="s">
        <v>123</v>
      </c>
      <c r="G5442" s="3" t="s">
        <v>288</v>
      </c>
      <c r="H5442" s="2" t="s">
        <v>148</v>
      </c>
      <c r="I5442" s="2" t="s">
        <v>14141</v>
      </c>
      <c r="J5442" s="3" t="str">
        <f>HYPERLINK("https://www.boe.es/gazeta/dias/1811/12/19/pdfs/GMD-1811-353.pdf#page=4","Abrir facsímil")</f>
        <v>Abrir facsímil</v>
      </c>
      <c r="K5442" s="3" t="s">
        <v>150</v>
      </c>
    </row>
    <row r="5443" spans="1:11" ht="42" customHeight="1">
      <c r="A5443" s="2" t="s">
        <v>14142</v>
      </c>
      <c r="B5443" s="2" t="s">
        <v>14143</v>
      </c>
      <c r="C5443" s="2" t="s">
        <v>17</v>
      </c>
      <c r="D5443" s="2" t="s">
        <v>156</v>
      </c>
      <c r="E5443" s="4">
        <v>-32197</v>
      </c>
      <c r="F5443" s="3" t="s">
        <v>687</v>
      </c>
      <c r="G5443" s="3" t="s">
        <v>1240</v>
      </c>
      <c r="H5443" s="2" t="s">
        <v>148</v>
      </c>
      <c r="I5443" s="2" t="s">
        <v>14144</v>
      </c>
      <c r="J5443" s="3" t="str">
        <f>HYPERLINK("https://www.boe.es/gazeta/dias/1811/11/05/pdfs/GEI-1811-143.pdf#page=8","Abrir facsímil")</f>
        <v>Abrir facsímil</v>
      </c>
      <c r="K5443" s="3" t="s">
        <v>150</v>
      </c>
    </row>
    <row r="5444" spans="1:11" ht="42" customHeight="1">
      <c r="A5444" s="2" t="s">
        <v>14145</v>
      </c>
      <c r="B5444" s="2" t="s">
        <v>14146</v>
      </c>
      <c r="C5444" s="2" t="s">
        <v>84</v>
      </c>
      <c r="D5444" s="2" t="s">
        <v>18</v>
      </c>
      <c r="E5444" s="4">
        <v>-32182</v>
      </c>
      <c r="F5444" s="3" t="s">
        <v>653</v>
      </c>
      <c r="G5444" s="3" t="s">
        <v>44</v>
      </c>
      <c r="H5444" s="2" t="s">
        <v>148</v>
      </c>
      <c r="I5444" s="2" t="s">
        <v>14147</v>
      </c>
      <c r="J5444" s="3" t="str">
        <f>HYPERLINK("https://www.boe.es/gazeta/dias/1811/11/20/pdfs/GMD-1811-324.pdf#page=4","Abrir facsímil")</f>
        <v>Abrir facsímil</v>
      </c>
      <c r="K5444" s="3" t="s">
        <v>150</v>
      </c>
    </row>
    <row r="5445" spans="1:11" ht="42" customHeight="1">
      <c r="A5445" s="2" t="s">
        <v>14148</v>
      </c>
      <c r="B5445" s="2" t="s">
        <v>14148</v>
      </c>
      <c r="C5445" s="2" t="s">
        <v>17</v>
      </c>
      <c r="D5445" s="2" t="s">
        <v>18</v>
      </c>
      <c r="E5445" s="4">
        <v>-32361</v>
      </c>
      <c r="F5445" s="3" t="s">
        <v>1104</v>
      </c>
      <c r="G5445" s="3" t="s">
        <v>44</v>
      </c>
      <c r="H5445" s="2" t="s">
        <v>148</v>
      </c>
      <c r="I5445" s="2" t="s">
        <v>14149</v>
      </c>
      <c r="J5445" s="3" t="str">
        <f>HYPERLINK("https://www.boe.es/gazeta/dias/1811/05/25/pdfs/GEI-1811-71.pdf#page=4","Abrir facsímil")</f>
        <v>Abrir facsímil</v>
      </c>
      <c r="K5445" s="3" t="s">
        <v>150</v>
      </c>
    </row>
    <row r="5446" spans="1:11" ht="42" customHeight="1">
      <c r="A5446" s="2" t="s">
        <v>14150</v>
      </c>
      <c r="B5446" s="2" t="s">
        <v>14151</v>
      </c>
      <c r="C5446" s="2" t="s">
        <v>26</v>
      </c>
      <c r="D5446" s="2" t="s">
        <v>18</v>
      </c>
      <c r="E5446" s="4">
        <v>-32426</v>
      </c>
      <c r="F5446" s="3" t="s">
        <v>2729</v>
      </c>
      <c r="G5446" s="3" t="s">
        <v>4715</v>
      </c>
      <c r="H5446" s="2" t="s">
        <v>148</v>
      </c>
      <c r="I5446" s="2" t="s">
        <v>14152</v>
      </c>
      <c r="J5446" s="3" t="str">
        <f>HYPERLINK("https://www.boe.es/gazeta/dias/1811/03/21/pdfs/GEI-1811-40.pdf#page=5","Abrir facsímil")</f>
        <v>Abrir facsímil</v>
      </c>
      <c r="K5446" s="3" t="s">
        <v>150</v>
      </c>
    </row>
    <row r="5447" spans="1:11" ht="42" customHeight="1">
      <c r="A5447" s="2" t="s">
        <v>14153</v>
      </c>
      <c r="B5447" s="2" t="s">
        <v>14153</v>
      </c>
      <c r="C5447" s="2" t="s">
        <v>17</v>
      </c>
      <c r="D5447" s="2" t="s">
        <v>18</v>
      </c>
      <c r="E5447" s="4">
        <v>-32244</v>
      </c>
      <c r="F5447" s="3" t="s">
        <v>14154</v>
      </c>
      <c r="G5447" s="3" t="s">
        <v>14155</v>
      </c>
      <c r="H5447" s="2" t="s">
        <v>148</v>
      </c>
      <c r="I5447" s="2" t="s">
        <v>14156</v>
      </c>
      <c r="J5447" s="3" t="str">
        <f>HYPERLINK("https://www.boe.es/gazeta/dias/1811/09/19/pdfs/GMD-1811-262.pdf#page=1","Abrir facsímil")</f>
        <v>Abrir facsímil</v>
      </c>
      <c r="K5447" s="3" t="s">
        <v>150</v>
      </c>
    </row>
    <row r="5448" spans="1:11" ht="42" customHeight="1">
      <c r="A5448" s="2" t="s">
        <v>14157</v>
      </c>
      <c r="B5448" s="2" t="s">
        <v>14157</v>
      </c>
      <c r="C5448" s="2" t="s">
        <v>17</v>
      </c>
      <c r="D5448" s="2" t="s">
        <v>156</v>
      </c>
      <c r="E5448" s="4">
        <v>-32358</v>
      </c>
      <c r="F5448" s="3" t="s">
        <v>2971</v>
      </c>
      <c r="G5448" s="3" t="s">
        <v>44</v>
      </c>
      <c r="H5448" s="2" t="s">
        <v>148</v>
      </c>
      <c r="I5448" s="2" t="s">
        <v>14158</v>
      </c>
      <c r="J5448" s="3" t="str">
        <f>HYPERLINK("https://www.boe.es/gazeta/dias/1811/05/28/pdfs/GEI-1811-72.pdf#page=2","Abrir facsímil")</f>
        <v>Abrir facsímil</v>
      </c>
      <c r="K5448" s="3" t="s">
        <v>150</v>
      </c>
    </row>
    <row r="5449" spans="1:11" ht="42" customHeight="1">
      <c r="A5449" s="2" t="s">
        <v>14159</v>
      </c>
      <c r="B5449" s="2" t="s">
        <v>14160</v>
      </c>
      <c r="C5449" s="2" t="s">
        <v>17</v>
      </c>
      <c r="D5449" s="2" t="s">
        <v>156</v>
      </c>
      <c r="E5449" s="4">
        <v>-32309</v>
      </c>
      <c r="F5449" s="3" t="s">
        <v>2496</v>
      </c>
      <c r="G5449" s="3" t="s">
        <v>91</v>
      </c>
      <c r="H5449" s="2" t="s">
        <v>21</v>
      </c>
      <c r="I5449" s="2" t="s">
        <v>14161</v>
      </c>
      <c r="J5449" s="3" t="str">
        <f>HYPERLINK("https://www.boe.es/gazeta/dias/1811/07/16/pdfs/GEI-1811-93.pdf#page=7","Abrir facsímil")</f>
        <v>Abrir facsímil</v>
      </c>
      <c r="K5449" s="3" t="s">
        <v>23</v>
      </c>
    </row>
    <row r="5450" spans="1:11" ht="42" customHeight="1">
      <c r="A5450" s="2" t="s">
        <v>14162</v>
      </c>
      <c r="B5450" s="2" t="s">
        <v>14163</v>
      </c>
      <c r="C5450" s="2" t="s">
        <v>26</v>
      </c>
      <c r="D5450" s="2" t="s">
        <v>18</v>
      </c>
      <c r="E5450" s="4">
        <v>-32398</v>
      </c>
      <c r="F5450" s="3" t="s">
        <v>946</v>
      </c>
      <c r="G5450" s="3" t="s">
        <v>947</v>
      </c>
      <c r="H5450" s="2" t="s">
        <v>21</v>
      </c>
      <c r="I5450" s="2" t="s">
        <v>14164</v>
      </c>
      <c r="J5450" s="3" t="str">
        <f>HYPERLINK("https://www.boe.es/gazeta/dias/1811/04/18/pdfs/GEI-1811-52.pdf#page=6","Abrir facsímil")</f>
        <v>Abrir facsímil</v>
      </c>
      <c r="K5450" s="3" t="s">
        <v>23</v>
      </c>
    </row>
    <row r="5451" spans="1:11" ht="42" customHeight="1">
      <c r="A5451" s="2" t="s">
        <v>14165</v>
      </c>
      <c r="B5451" s="2" t="s">
        <v>14166</v>
      </c>
      <c r="C5451" s="2" t="s">
        <v>17</v>
      </c>
      <c r="D5451" s="2" t="s">
        <v>156</v>
      </c>
      <c r="E5451" s="4">
        <v>-32368</v>
      </c>
      <c r="F5451" s="3" t="s">
        <v>2511</v>
      </c>
      <c r="G5451" s="3" t="s">
        <v>14167</v>
      </c>
      <c r="H5451" s="2" t="s">
        <v>21</v>
      </c>
      <c r="I5451" s="2" t="s">
        <v>14168</v>
      </c>
      <c r="J5451" s="3" t="str">
        <f>HYPERLINK("https://www.boe.es/gazeta/dias/1811/05/18/pdfs/GEI-1811-65.pdf#page=5","Abrir facsímil")</f>
        <v>Abrir facsímil</v>
      </c>
      <c r="K5451" s="3" t="s">
        <v>23</v>
      </c>
    </row>
    <row r="5452" spans="1:11" ht="42" customHeight="1">
      <c r="A5452" s="2" t="s">
        <v>14165</v>
      </c>
      <c r="B5452" s="2" t="s">
        <v>14166</v>
      </c>
      <c r="C5452" s="2" t="s">
        <v>26</v>
      </c>
      <c r="D5452" s="2" t="s">
        <v>18</v>
      </c>
      <c r="E5452" s="4">
        <v>-32286</v>
      </c>
      <c r="F5452" s="3" t="s">
        <v>754</v>
      </c>
      <c r="G5452" s="3" t="s">
        <v>1728</v>
      </c>
      <c r="H5452" s="2" t="s">
        <v>21</v>
      </c>
      <c r="I5452" s="2" t="s">
        <v>14169</v>
      </c>
      <c r="J5452" s="3" t="str">
        <f>HYPERLINK("https://www.boe.es/gazeta/dias/1811/08/08/pdfs/GEI-1811-103.pdf#page=8","Abrir facsímil")</f>
        <v>Abrir facsímil</v>
      </c>
      <c r="K5452" s="3" t="s">
        <v>23</v>
      </c>
    </row>
    <row r="5453" spans="1:11" ht="42" customHeight="1">
      <c r="A5453" s="2" t="s">
        <v>14170</v>
      </c>
      <c r="B5453" s="2" t="s">
        <v>14171</v>
      </c>
      <c r="C5453" s="2" t="s">
        <v>26</v>
      </c>
      <c r="D5453" s="2" t="s">
        <v>105</v>
      </c>
      <c r="E5453" s="4">
        <v>-32339</v>
      </c>
      <c r="F5453" s="3" t="s">
        <v>1853</v>
      </c>
      <c r="G5453" s="3" t="s">
        <v>8857</v>
      </c>
      <c r="H5453" s="2" t="s">
        <v>21</v>
      </c>
      <c r="I5453" s="2" t="s">
        <v>14172</v>
      </c>
      <c r="J5453" s="3" t="str">
        <f>HYPERLINK("https://www.boe.es/gazeta/dias/1811/06/16/pdfs/GMD-1811-167.pdf#page=3","Abrir facsímil")</f>
        <v>Abrir facsímil</v>
      </c>
      <c r="K5453" s="3" t="s">
        <v>23</v>
      </c>
    </row>
    <row r="5454" spans="1:11" ht="42" customHeight="1">
      <c r="A5454" s="2" t="s">
        <v>14173</v>
      </c>
      <c r="B5454" s="2" t="s">
        <v>14174</v>
      </c>
      <c r="C5454" s="2" t="s">
        <v>17</v>
      </c>
      <c r="D5454" s="2" t="s">
        <v>156</v>
      </c>
      <c r="E5454" s="4">
        <v>-32216</v>
      </c>
      <c r="F5454" s="3" t="s">
        <v>2739</v>
      </c>
      <c r="G5454" s="3" t="s">
        <v>510</v>
      </c>
      <c r="H5454" s="2" t="s">
        <v>21</v>
      </c>
      <c r="I5454" s="2" t="s">
        <v>14175</v>
      </c>
      <c r="J5454" s="3" t="str">
        <f>HYPERLINK("https://www.boe.es/gazeta/dias/1811/10/17/pdfs/GEI-1811-134.pdf#page=8","Abrir facsímil")</f>
        <v>Abrir facsímil</v>
      </c>
      <c r="K5454" s="3" t="s">
        <v>23</v>
      </c>
    </row>
    <row r="5455" spans="1:11" ht="42" customHeight="1">
      <c r="A5455" s="2" t="s">
        <v>14176</v>
      </c>
      <c r="B5455" s="2" t="s">
        <v>14177</v>
      </c>
      <c r="C5455" s="2" t="s">
        <v>17</v>
      </c>
      <c r="D5455" s="2" t="s">
        <v>18</v>
      </c>
      <c r="E5455" s="4">
        <v>-32340</v>
      </c>
      <c r="F5455" s="3" t="s">
        <v>565</v>
      </c>
      <c r="G5455" s="3" t="s">
        <v>566</v>
      </c>
      <c r="H5455" s="2" t="s">
        <v>21</v>
      </c>
      <c r="I5455" s="2" t="s">
        <v>14178</v>
      </c>
      <c r="J5455" s="3" t="str">
        <f>HYPERLINK("https://www.boe.es/gazeta/dias/1811/06/15/pdfs/GEI-1811-80.pdf#page=5","Abrir facsímil")</f>
        <v>Abrir facsímil</v>
      </c>
      <c r="K5455" s="3" t="s">
        <v>23</v>
      </c>
    </row>
    <row r="5456" spans="1:11" ht="42" customHeight="1">
      <c r="A5456" s="2" t="s">
        <v>14179</v>
      </c>
      <c r="B5456" s="2" t="s">
        <v>14180</v>
      </c>
      <c r="C5456" s="2" t="s">
        <v>26</v>
      </c>
      <c r="D5456" s="2" t="s">
        <v>18</v>
      </c>
      <c r="E5456" s="4">
        <v>-32292</v>
      </c>
      <c r="F5456" s="3" t="s">
        <v>408</v>
      </c>
      <c r="G5456" s="3" t="s">
        <v>409</v>
      </c>
      <c r="H5456" s="2" t="s">
        <v>21</v>
      </c>
      <c r="I5456" s="2" t="s">
        <v>14181</v>
      </c>
      <c r="J5456" s="3" t="str">
        <f>HYPERLINK("https://www.boe.es/gazeta/dias/1811/08/02/pdfs/GMD-1811-214.pdf#page=4","Abrir facsímil")</f>
        <v>Abrir facsímil</v>
      </c>
      <c r="K5456" s="3" t="s">
        <v>23</v>
      </c>
    </row>
    <row r="5457" spans="1:11" ht="42" customHeight="1">
      <c r="A5457" s="2" t="s">
        <v>14182</v>
      </c>
      <c r="B5457" s="2" t="s">
        <v>14183</v>
      </c>
      <c r="C5457" s="2" t="s">
        <v>26</v>
      </c>
      <c r="D5457" s="2" t="s">
        <v>105</v>
      </c>
      <c r="E5457" s="4">
        <v>-32379</v>
      </c>
      <c r="F5457" s="3" t="s">
        <v>462</v>
      </c>
      <c r="G5457" s="3" t="s">
        <v>463</v>
      </c>
      <c r="H5457" s="2" t="s">
        <v>21</v>
      </c>
      <c r="I5457" s="2" t="s">
        <v>14184</v>
      </c>
      <c r="J5457" s="3" t="str">
        <f>HYPERLINK("https://www.boe.es/gazeta/dias/1811/05/07/pdfs/GEI-1811-60.pdf#page=8","Abrir facsímil")</f>
        <v>Abrir facsímil</v>
      </c>
      <c r="K5457" s="3" t="s">
        <v>23</v>
      </c>
    </row>
    <row r="5458" spans="1:11" ht="42" customHeight="1">
      <c r="A5458" s="2" t="s">
        <v>14185</v>
      </c>
      <c r="B5458" s="2" t="s">
        <v>14186</v>
      </c>
      <c r="C5458" s="2" t="s">
        <v>37</v>
      </c>
      <c r="D5458" s="2" t="s">
        <v>18</v>
      </c>
      <c r="E5458" s="4">
        <v>-32361</v>
      </c>
      <c r="F5458" s="3" t="s">
        <v>1104</v>
      </c>
      <c r="G5458" s="3" t="s">
        <v>2213</v>
      </c>
      <c r="H5458" s="2" t="s">
        <v>21</v>
      </c>
      <c r="I5458" s="2" t="s">
        <v>14187</v>
      </c>
      <c r="J5458" s="3" t="str">
        <f>HYPERLINK("https://www.boe.es/gazeta/dias/1811/05/25/pdfs/GEI-1811-71.pdf#page=8","Abrir facsímil")</f>
        <v>Abrir facsímil</v>
      </c>
      <c r="K5458" s="3" t="s">
        <v>23</v>
      </c>
    </row>
    <row r="5459" spans="1:11" ht="42" customHeight="1">
      <c r="A5459" s="2" t="s">
        <v>14188</v>
      </c>
      <c r="B5459" s="2" t="s">
        <v>14189</v>
      </c>
      <c r="C5459" s="2" t="s">
        <v>17</v>
      </c>
      <c r="D5459" s="2" t="s">
        <v>18</v>
      </c>
      <c r="E5459" s="4">
        <v>-32279</v>
      </c>
      <c r="F5459" s="3" t="s">
        <v>540</v>
      </c>
      <c r="G5459" s="3" t="s">
        <v>20</v>
      </c>
      <c r="H5459" s="2" t="s">
        <v>21</v>
      </c>
      <c r="I5459" s="2" t="s">
        <v>14190</v>
      </c>
      <c r="J5459" s="3" t="str">
        <f>HYPERLINK("https://www.boe.es/gazeta/dias/1811/08/15/pdfs/GMD-1811-227.pdf#page=4","Abrir facsímil")</f>
        <v>Abrir facsímil</v>
      </c>
      <c r="K5459" s="3" t="s">
        <v>23</v>
      </c>
    </row>
    <row r="5460" spans="1:11" ht="42" customHeight="1">
      <c r="A5460" s="2" t="s">
        <v>14188</v>
      </c>
      <c r="B5460" s="2" t="s">
        <v>14189</v>
      </c>
      <c r="C5460" s="2" t="s">
        <v>37</v>
      </c>
      <c r="D5460" s="2" t="s">
        <v>18</v>
      </c>
      <c r="E5460" s="4">
        <v>-32158</v>
      </c>
      <c r="F5460" s="3" t="s">
        <v>46</v>
      </c>
      <c r="G5460" s="3" t="s">
        <v>47</v>
      </c>
      <c r="H5460" s="2" t="s">
        <v>21</v>
      </c>
      <c r="I5460" s="2" t="s">
        <v>14191</v>
      </c>
      <c r="J5460" s="3" t="str">
        <f>HYPERLINK("https://www.boe.es/gazeta/dias/1811/12/14/pdfs/GEI-1811-162.pdf#page=7","Abrir facsímil")</f>
        <v>Abrir facsímil</v>
      </c>
      <c r="K5460" s="3" t="s">
        <v>23</v>
      </c>
    </row>
    <row r="5461" spans="1:11" ht="42" customHeight="1">
      <c r="A5461" s="2" t="s">
        <v>14192</v>
      </c>
      <c r="B5461" s="2" t="s">
        <v>14193</v>
      </c>
      <c r="C5461" s="2" t="s">
        <v>17</v>
      </c>
      <c r="D5461" s="2" t="s">
        <v>18</v>
      </c>
      <c r="E5461" s="4">
        <v>-32325</v>
      </c>
      <c r="F5461" s="3" t="s">
        <v>552</v>
      </c>
      <c r="G5461" s="3" t="s">
        <v>515</v>
      </c>
      <c r="H5461" s="2" t="s">
        <v>21</v>
      </c>
      <c r="I5461" s="2" t="s">
        <v>14194</v>
      </c>
      <c r="J5461" s="3" t="str">
        <f>HYPERLINK("https://www.boe.es/gazeta/dias/1811/06/30/pdfs/GMD-1811-181.pdf#page=2","Abrir facsímil")</f>
        <v>Abrir facsímil</v>
      </c>
      <c r="K5461" s="3" t="s">
        <v>23</v>
      </c>
    </row>
    <row r="5462" spans="1:11" ht="42" customHeight="1">
      <c r="A5462" s="2" t="s">
        <v>14195</v>
      </c>
      <c r="B5462" s="2" t="s">
        <v>14196</v>
      </c>
      <c r="C5462" s="2" t="s">
        <v>17</v>
      </c>
      <c r="D5462" s="2" t="s">
        <v>156</v>
      </c>
      <c r="E5462" s="4">
        <v>-32179</v>
      </c>
      <c r="F5462" s="3" t="s">
        <v>2924</v>
      </c>
      <c r="G5462" s="3" t="s">
        <v>1433</v>
      </c>
      <c r="H5462" s="2" t="s">
        <v>21</v>
      </c>
      <c r="I5462" s="2" t="s">
        <v>14197</v>
      </c>
      <c r="J5462" s="3" t="str">
        <f>HYPERLINK("https://www.boe.es/gazeta/dias/1811/11/23/pdfs/GEI-D-1811-153.pdf#page=3","Abrir facsímil")</f>
        <v>Abrir facsímil</v>
      </c>
      <c r="K5462" s="3" t="s">
        <v>23</v>
      </c>
    </row>
    <row r="5463" spans="1:11" ht="42" customHeight="1">
      <c r="A5463" s="2" t="s">
        <v>14198</v>
      </c>
      <c r="B5463" s="2" t="s">
        <v>14199</v>
      </c>
      <c r="C5463" s="2" t="s">
        <v>37</v>
      </c>
      <c r="D5463" s="2" t="s">
        <v>18</v>
      </c>
      <c r="E5463" s="4">
        <v>-32361</v>
      </c>
      <c r="F5463" s="3" t="s">
        <v>1104</v>
      </c>
      <c r="G5463" s="3" t="s">
        <v>2213</v>
      </c>
      <c r="H5463" s="2" t="s">
        <v>21</v>
      </c>
      <c r="I5463" s="2" t="s">
        <v>14200</v>
      </c>
      <c r="J5463" s="3" t="str">
        <f>HYPERLINK("https://www.boe.es/gazeta/dias/1811/05/25/pdfs/GEI-1811-71.pdf#page=8","Abrir facsímil")</f>
        <v>Abrir facsímil</v>
      </c>
      <c r="K5463" s="3" t="s">
        <v>23</v>
      </c>
    </row>
    <row r="5464" spans="1:11" ht="42" customHeight="1">
      <c r="A5464" s="2" t="s">
        <v>14201</v>
      </c>
      <c r="B5464" s="2" t="s">
        <v>14202</v>
      </c>
      <c r="C5464" s="2" t="s">
        <v>17</v>
      </c>
      <c r="D5464" s="2" t="s">
        <v>156</v>
      </c>
      <c r="E5464" s="4">
        <v>-32183</v>
      </c>
      <c r="F5464" s="3" t="s">
        <v>3310</v>
      </c>
      <c r="G5464" s="3" t="s">
        <v>14203</v>
      </c>
      <c r="H5464" s="2" t="s">
        <v>21</v>
      </c>
      <c r="I5464" s="2" t="s">
        <v>14204</v>
      </c>
      <c r="J5464" s="3" t="str">
        <f>HYPERLINK("https://www.boe.es/gazeta/dias/1811/11/19/pdfs/GEI-1811-151.pdf#page=4","Abrir facsímil")</f>
        <v>Abrir facsímil</v>
      </c>
      <c r="K5464" s="3" t="s">
        <v>23</v>
      </c>
    </row>
    <row r="5465" spans="1:11" ht="42" customHeight="1">
      <c r="A5465" s="2" t="s">
        <v>14205</v>
      </c>
      <c r="B5465" s="2" t="s">
        <v>14206</v>
      </c>
      <c r="C5465" s="2" t="s">
        <v>26</v>
      </c>
      <c r="D5465" s="2" t="s">
        <v>18</v>
      </c>
      <c r="E5465" s="4">
        <v>-32204</v>
      </c>
      <c r="F5465" s="3" t="s">
        <v>1053</v>
      </c>
      <c r="G5465" s="3" t="s">
        <v>6161</v>
      </c>
      <c r="H5465" s="2" t="s">
        <v>21</v>
      </c>
      <c r="I5465" s="2" t="s">
        <v>14207</v>
      </c>
      <c r="J5465" s="3" t="str">
        <f>HYPERLINK("https://www.boe.es/gazeta/dias/1811/10/29/pdfs/GEI-1811-139.pdf#page=8","Abrir facsímil")</f>
        <v>Abrir facsímil</v>
      </c>
      <c r="K5465" s="3" t="s">
        <v>23</v>
      </c>
    </row>
    <row r="5466" spans="1:11" ht="42" customHeight="1">
      <c r="A5466" s="2" t="s">
        <v>14208</v>
      </c>
      <c r="B5466" s="2" t="s">
        <v>14209</v>
      </c>
      <c r="C5466" s="2" t="s">
        <v>84</v>
      </c>
      <c r="D5466" s="2" t="s">
        <v>18</v>
      </c>
      <c r="E5466" s="4">
        <v>-32368</v>
      </c>
      <c r="F5466" s="3" t="s">
        <v>1561</v>
      </c>
      <c r="G5466" s="3" t="s">
        <v>57</v>
      </c>
      <c r="H5466" s="2" t="s">
        <v>21</v>
      </c>
      <c r="I5466" s="2" t="s">
        <v>14210</v>
      </c>
      <c r="J5466" s="3" t="str">
        <f>HYPERLINK("https://www.boe.es/gazeta/dias/1811/05/18/pdfs/GMD-1811-138.pdf#page=2","Abrir facsímil")</f>
        <v>Abrir facsímil</v>
      </c>
      <c r="K5466" s="3" t="s">
        <v>23</v>
      </c>
    </row>
    <row r="5467" spans="1:11" ht="42" customHeight="1">
      <c r="A5467" s="2" t="s">
        <v>14211</v>
      </c>
      <c r="B5467" s="2" t="s">
        <v>14212</v>
      </c>
      <c r="C5467" s="2" t="s">
        <v>26</v>
      </c>
      <c r="D5467" s="2" t="s">
        <v>18</v>
      </c>
      <c r="E5467" s="4">
        <v>-32293</v>
      </c>
      <c r="F5467" s="3" t="s">
        <v>3064</v>
      </c>
      <c r="G5467" s="3" t="s">
        <v>2318</v>
      </c>
      <c r="H5467" s="2" t="s">
        <v>21</v>
      </c>
      <c r="I5467" s="2" t="s">
        <v>14213</v>
      </c>
      <c r="J5467" s="3" t="str">
        <f>HYPERLINK("https://www.boe.es/gazeta/dias/1811/08/01/pdfs/GEI-1811-100.pdf#page=5","Abrir facsímil")</f>
        <v>Abrir facsímil</v>
      </c>
      <c r="K5467" s="3" t="s">
        <v>23</v>
      </c>
    </row>
    <row r="5468" spans="1:11" ht="42" customHeight="1">
      <c r="A5468" s="2" t="s">
        <v>14214</v>
      </c>
      <c r="B5468" s="2" t="s">
        <v>14215</v>
      </c>
      <c r="C5468" s="2" t="s">
        <v>37</v>
      </c>
      <c r="D5468" s="2" t="s">
        <v>18</v>
      </c>
      <c r="E5468" s="4">
        <v>-32493</v>
      </c>
      <c r="F5468" s="3" t="s">
        <v>4085</v>
      </c>
      <c r="G5468" s="3" t="s">
        <v>515</v>
      </c>
      <c r="H5468" s="2" t="s">
        <v>21</v>
      </c>
      <c r="I5468" s="2" t="s">
        <v>14216</v>
      </c>
      <c r="J5468" s="3" t="str">
        <f>HYPERLINK("https://www.boe.es/gazeta/dias/1811/01/13/pdfs/GMD-1811-13.pdf#page=2","Abrir facsímil")</f>
        <v>Abrir facsímil</v>
      </c>
      <c r="K5468" s="3" t="s">
        <v>23</v>
      </c>
    </row>
    <row r="5469" spans="1:11" ht="42" customHeight="1">
      <c r="A5469" s="2" t="s">
        <v>14217</v>
      </c>
      <c r="B5469" s="2" t="s">
        <v>14217</v>
      </c>
      <c r="C5469" s="2" t="s">
        <v>17</v>
      </c>
      <c r="D5469" s="2" t="s">
        <v>156</v>
      </c>
      <c r="E5469" s="4">
        <v>-32309</v>
      </c>
      <c r="F5469" s="3" t="s">
        <v>2496</v>
      </c>
      <c r="G5469" s="3" t="s">
        <v>3169</v>
      </c>
      <c r="H5469" s="2" t="s">
        <v>148</v>
      </c>
      <c r="I5469" s="2" t="s">
        <v>14218</v>
      </c>
      <c r="J5469" s="3" t="str">
        <f>HYPERLINK("https://www.boe.es/gazeta/dias/1811/07/16/pdfs/GEI-1811-93.pdf#page=1","Abrir facsímil")</f>
        <v>Abrir facsímil</v>
      </c>
      <c r="K5469" s="3" t="s">
        <v>150</v>
      </c>
    </row>
    <row r="5470" spans="1:11" ht="42" customHeight="1">
      <c r="A5470" s="2" t="s">
        <v>14219</v>
      </c>
      <c r="B5470" s="2" t="s">
        <v>14219</v>
      </c>
      <c r="C5470" s="2" t="s">
        <v>26</v>
      </c>
      <c r="D5470" s="2" t="s">
        <v>18</v>
      </c>
      <c r="E5470" s="4">
        <v>-32272</v>
      </c>
      <c r="F5470" s="3" t="s">
        <v>1121</v>
      </c>
      <c r="G5470" s="3" t="s">
        <v>343</v>
      </c>
      <c r="H5470" s="2" t="s">
        <v>148</v>
      </c>
      <c r="I5470" s="2" t="s">
        <v>14220</v>
      </c>
      <c r="J5470" s="3" t="str">
        <f>HYPERLINK("https://www.boe.es/gazeta/dias/1811/08/22/pdfs/GEI-1811-109.pdf#page=2","Abrir facsímil")</f>
        <v>Abrir facsímil</v>
      </c>
      <c r="K5470" s="3" t="s">
        <v>150</v>
      </c>
    </row>
    <row r="5471" spans="1:11" ht="42" customHeight="1">
      <c r="A5471" s="2" t="s">
        <v>14221</v>
      </c>
      <c r="B5471" s="2" t="s">
        <v>14222</v>
      </c>
      <c r="C5471" s="2" t="s">
        <v>17</v>
      </c>
      <c r="D5471" s="2" t="s">
        <v>18</v>
      </c>
      <c r="E5471" s="4">
        <v>-32300</v>
      </c>
      <c r="F5471" s="3" t="s">
        <v>61</v>
      </c>
      <c r="G5471" s="3" t="s">
        <v>62</v>
      </c>
      <c r="H5471" s="2" t="s">
        <v>148</v>
      </c>
      <c r="I5471" s="2" t="s">
        <v>14223</v>
      </c>
      <c r="J5471" s="3" t="str">
        <f>HYPERLINK("https://www.boe.es/gazeta/dias/1811/07/25/pdfs/GEI-1811-97.pdf#page=5","Abrir facsímil")</f>
        <v>Abrir facsímil</v>
      </c>
      <c r="K5471" s="3" t="s">
        <v>150</v>
      </c>
    </row>
    <row r="5472" spans="1:11" ht="42" customHeight="1">
      <c r="A5472" s="2" t="s">
        <v>14224</v>
      </c>
      <c r="B5472" s="2" t="s">
        <v>14224</v>
      </c>
      <c r="C5472" s="2" t="s">
        <v>17</v>
      </c>
      <c r="D5472" s="2" t="s">
        <v>156</v>
      </c>
      <c r="E5472" s="4">
        <v>-32400</v>
      </c>
      <c r="F5472" s="3" t="s">
        <v>3343</v>
      </c>
      <c r="G5472" s="3" t="s">
        <v>846</v>
      </c>
      <c r="H5472" s="2" t="s">
        <v>148</v>
      </c>
      <c r="I5472" s="2" t="s">
        <v>14225</v>
      </c>
      <c r="J5472" s="3" t="str">
        <f>HYPERLINK("https://www.boe.es/gazeta/dias/1811/04/16/pdfs/GMD-1811-106.pdf#page=3","Abrir facsímil")</f>
        <v>Abrir facsímil</v>
      </c>
      <c r="K5472" s="3" t="s">
        <v>150</v>
      </c>
    </row>
    <row r="5473" spans="1:11" ht="42" customHeight="1">
      <c r="A5473" s="2" t="s">
        <v>14226</v>
      </c>
      <c r="B5473" s="2" t="s">
        <v>14227</v>
      </c>
      <c r="C5473" s="2" t="s">
        <v>26</v>
      </c>
      <c r="D5473" s="2" t="s">
        <v>18</v>
      </c>
      <c r="E5473" s="4">
        <v>-32155</v>
      </c>
      <c r="F5473" s="3" t="s">
        <v>263</v>
      </c>
      <c r="G5473" s="3" t="s">
        <v>1800</v>
      </c>
      <c r="H5473" s="2" t="s">
        <v>148</v>
      </c>
      <c r="I5473" s="2" t="s">
        <v>14228</v>
      </c>
      <c r="J5473" s="3" t="str">
        <f>HYPERLINK("https://www.boe.es/gazeta/dias/1811/12/17/pdfs/GEI-1811-163.pdf#page=7","Abrir facsímil")</f>
        <v>Abrir facsímil</v>
      </c>
      <c r="K5473" s="3" t="s">
        <v>150</v>
      </c>
    </row>
    <row r="5474" spans="1:11" ht="42" customHeight="1">
      <c r="A5474" s="2" t="s">
        <v>14229</v>
      </c>
      <c r="B5474" s="2" t="s">
        <v>14230</v>
      </c>
      <c r="C5474" s="2" t="s">
        <v>66</v>
      </c>
      <c r="D5474" s="2" t="s">
        <v>18</v>
      </c>
      <c r="E5474" s="4">
        <v>-32222</v>
      </c>
      <c r="F5474" s="3" t="s">
        <v>4460</v>
      </c>
      <c r="G5474" s="3" t="s">
        <v>178</v>
      </c>
      <c r="H5474" s="2" t="s">
        <v>148</v>
      </c>
      <c r="I5474" s="2" t="s">
        <v>14231</v>
      </c>
      <c r="J5474" s="3" t="str">
        <f>HYPERLINK("https://www.boe.es/gazeta/dias/1811/10/11/pdfs/GMD-1811-284.pdf#page=4","Abrir facsímil")</f>
        <v>Abrir facsímil</v>
      </c>
      <c r="K5474" s="3" t="s">
        <v>150</v>
      </c>
    </row>
    <row r="5475" spans="1:11" ht="42" customHeight="1">
      <c r="A5475" s="2" t="s">
        <v>14232</v>
      </c>
      <c r="B5475" s="2" t="s">
        <v>14233</v>
      </c>
      <c r="C5475" s="2" t="s">
        <v>26</v>
      </c>
      <c r="D5475" s="2" t="s">
        <v>18</v>
      </c>
      <c r="E5475" s="4">
        <v>-32195</v>
      </c>
      <c r="F5475" s="3" t="s">
        <v>439</v>
      </c>
      <c r="G5475" s="3" t="s">
        <v>2092</v>
      </c>
      <c r="H5475" s="2" t="s">
        <v>148</v>
      </c>
      <c r="I5475" s="2" t="s">
        <v>14234</v>
      </c>
      <c r="J5475" s="3" t="str">
        <f>HYPERLINK("https://www.boe.es/gazeta/dias/1811/11/07/pdfs/GEI-1811-144.pdf#page=7","Abrir facsímil")</f>
        <v>Abrir facsímil</v>
      </c>
      <c r="K5475" s="3" t="s">
        <v>150</v>
      </c>
    </row>
    <row r="5476" spans="1:11" ht="42" customHeight="1">
      <c r="A5476" s="2" t="s">
        <v>14235</v>
      </c>
      <c r="B5476" s="2" t="s">
        <v>14236</v>
      </c>
      <c r="C5476" s="2" t="s">
        <v>17</v>
      </c>
      <c r="D5476" s="2" t="s">
        <v>156</v>
      </c>
      <c r="E5476" s="4">
        <v>-32300</v>
      </c>
      <c r="F5476" s="3" t="s">
        <v>61</v>
      </c>
      <c r="G5476" s="3" t="s">
        <v>9808</v>
      </c>
      <c r="H5476" s="2" t="s">
        <v>148</v>
      </c>
      <c r="I5476" s="2" t="s">
        <v>14237</v>
      </c>
      <c r="J5476" s="3" t="str">
        <f>HYPERLINK("https://www.boe.es/gazeta/dias/1811/07/25/pdfs/GEI-1811-97.pdf#page=6","Abrir facsímil")</f>
        <v>Abrir facsímil</v>
      </c>
      <c r="K5476" s="3" t="s">
        <v>150</v>
      </c>
    </row>
    <row r="5477" spans="1:11" ht="42" customHeight="1">
      <c r="A5477" s="2" t="s">
        <v>14238</v>
      </c>
      <c r="B5477" s="2" t="s">
        <v>14239</v>
      </c>
      <c r="C5477" s="2" t="s">
        <v>26</v>
      </c>
      <c r="D5477" s="2" t="s">
        <v>18</v>
      </c>
      <c r="E5477" s="4">
        <v>-32452</v>
      </c>
      <c r="F5477" s="3" t="s">
        <v>106</v>
      </c>
      <c r="G5477" s="3" t="s">
        <v>20</v>
      </c>
      <c r="H5477" s="2" t="s">
        <v>21</v>
      </c>
      <c r="I5477" s="2" t="s">
        <v>14240</v>
      </c>
      <c r="J5477" s="3" t="str">
        <f>HYPERLINK("https://www.boe.es/gazeta/dias/1811/02/23/pdfs/GEI-1811-24.pdf#page=8","Abrir facsímil")</f>
        <v>Abrir facsímil</v>
      </c>
      <c r="K5477" s="3" t="s">
        <v>23</v>
      </c>
    </row>
    <row r="5478" spans="1:11" ht="42" customHeight="1">
      <c r="A5478" s="2" t="s">
        <v>14241</v>
      </c>
      <c r="B5478" s="2" t="s">
        <v>14242</v>
      </c>
      <c r="C5478" s="2" t="s">
        <v>17</v>
      </c>
      <c r="D5478" s="2" t="s">
        <v>18</v>
      </c>
      <c r="E5478" s="4">
        <v>-32340</v>
      </c>
      <c r="F5478" s="3" t="s">
        <v>565</v>
      </c>
      <c r="G5478" s="3" t="s">
        <v>91</v>
      </c>
      <c r="H5478" s="2" t="s">
        <v>148</v>
      </c>
      <c r="I5478" s="2" t="s">
        <v>14243</v>
      </c>
      <c r="J5478" s="3" t="str">
        <f>HYPERLINK("https://www.boe.es/gazeta/dias/1811/06/15/pdfs/GEI-1811-80.pdf#page=8","Abrir facsímil")</f>
        <v>Abrir facsímil</v>
      </c>
      <c r="K5478" s="3" t="s">
        <v>150</v>
      </c>
    </row>
    <row r="5479" spans="1:11" ht="42" customHeight="1">
      <c r="A5479" s="2" t="s">
        <v>14241</v>
      </c>
      <c r="B5479" s="2" t="s">
        <v>14242</v>
      </c>
      <c r="C5479" s="2" t="s">
        <v>17</v>
      </c>
      <c r="D5479" s="2" t="s">
        <v>156</v>
      </c>
      <c r="E5479" s="4">
        <v>-32270</v>
      </c>
      <c r="F5479" s="3" t="s">
        <v>431</v>
      </c>
      <c r="G5479" s="3" t="s">
        <v>2080</v>
      </c>
      <c r="H5479" s="2" t="s">
        <v>148</v>
      </c>
      <c r="I5479" s="2" t="s">
        <v>14244</v>
      </c>
      <c r="J5479" s="3" t="str">
        <f>HYPERLINK("https://www.boe.es/gazeta/dias/1811/08/24/pdfs/GEI-1811-110.pdf#page=5","Abrir facsímil")</f>
        <v>Abrir facsímil</v>
      </c>
      <c r="K5479" s="3" t="s">
        <v>150</v>
      </c>
    </row>
    <row r="5480" spans="1:11" ht="42" customHeight="1">
      <c r="A5480" s="2" t="s">
        <v>14245</v>
      </c>
      <c r="B5480" s="2" t="s">
        <v>14246</v>
      </c>
      <c r="C5480" s="2" t="s">
        <v>17</v>
      </c>
      <c r="D5480" s="2" t="s">
        <v>18</v>
      </c>
      <c r="E5480" s="4">
        <v>-32323</v>
      </c>
      <c r="F5480" s="3" t="s">
        <v>322</v>
      </c>
      <c r="G5480" s="3" t="s">
        <v>323</v>
      </c>
      <c r="H5480" s="2" t="s">
        <v>21</v>
      </c>
      <c r="I5480" s="2" t="s">
        <v>14247</v>
      </c>
      <c r="J5480" s="3" t="str">
        <f>HYPERLINK("https://www.boe.es/gazeta/dias/1811/07/02/pdfs/GEI-1811-87.pdf#page=8","Abrir facsímil")</f>
        <v>Abrir facsímil</v>
      </c>
      <c r="K5480" s="3" t="s">
        <v>23</v>
      </c>
    </row>
    <row r="5481" spans="1:11" ht="42" customHeight="1">
      <c r="A5481" s="2" t="s">
        <v>14248</v>
      </c>
      <c r="B5481" s="2" t="s">
        <v>14249</v>
      </c>
      <c r="C5481" s="2" t="s">
        <v>37</v>
      </c>
      <c r="D5481" s="2" t="s">
        <v>156</v>
      </c>
      <c r="E5481" s="4">
        <v>-32365</v>
      </c>
      <c r="F5481" s="3" t="s">
        <v>1304</v>
      </c>
      <c r="G5481" s="3" t="s">
        <v>120</v>
      </c>
      <c r="H5481" s="2" t="s">
        <v>148</v>
      </c>
      <c r="I5481" s="2" t="s">
        <v>14250</v>
      </c>
      <c r="J5481" s="3" t="str">
        <f>HYPERLINK("https://www.boe.es/gazeta/dias/1811/05/21/pdfs/GEI-D-1811-67.pdf#page=4","Abrir facsímil")</f>
        <v>Abrir facsímil</v>
      </c>
      <c r="K5481" s="3" t="s">
        <v>150</v>
      </c>
    </row>
    <row r="5482" spans="1:11" ht="42" customHeight="1">
      <c r="A5482" s="2" t="s">
        <v>14251</v>
      </c>
      <c r="B5482" s="2" t="s">
        <v>14252</v>
      </c>
      <c r="C5482" s="2" t="s">
        <v>26</v>
      </c>
      <c r="D5482" s="2" t="s">
        <v>18</v>
      </c>
      <c r="E5482" s="4">
        <v>-32200</v>
      </c>
      <c r="F5482" s="3" t="s">
        <v>109</v>
      </c>
      <c r="G5482" s="3" t="s">
        <v>268</v>
      </c>
      <c r="H5482" s="2" t="s">
        <v>148</v>
      </c>
      <c r="I5482" s="2" t="s">
        <v>14253</v>
      </c>
      <c r="J5482" s="3" t="str">
        <f>HYPERLINK("https://www.boe.es/gazeta/dias/1811/11/02/pdfs/GEI-1811-141.pdf#page=7","Abrir facsímil")</f>
        <v>Abrir facsímil</v>
      </c>
      <c r="K5482" s="3" t="s">
        <v>150</v>
      </c>
    </row>
    <row r="5483" spans="1:11" ht="42" customHeight="1">
      <c r="A5483" s="2" t="s">
        <v>14254</v>
      </c>
      <c r="B5483" s="2" t="s">
        <v>14255</v>
      </c>
      <c r="C5483" s="2" t="s">
        <v>26</v>
      </c>
      <c r="D5483" s="2" t="s">
        <v>18</v>
      </c>
      <c r="E5483" s="4">
        <v>-32274</v>
      </c>
      <c r="F5483" s="3" t="s">
        <v>5081</v>
      </c>
      <c r="G5483" s="3" t="s">
        <v>14256</v>
      </c>
      <c r="H5483" s="2" t="s">
        <v>148</v>
      </c>
      <c r="I5483" s="2" t="s">
        <v>14257</v>
      </c>
      <c r="J5483" s="3" t="str">
        <f>HYPERLINK("https://www.boe.es/gazeta/dias/1811/08/20/pdfs/GEI-1811-108.pdf#page=8","Abrir facsímil")</f>
        <v>Abrir facsímil</v>
      </c>
      <c r="K5483" s="3" t="s">
        <v>150</v>
      </c>
    </row>
    <row r="5484" spans="1:11" ht="42" customHeight="1">
      <c r="A5484" s="2" t="s">
        <v>14258</v>
      </c>
      <c r="B5484" s="2" t="s">
        <v>14259</v>
      </c>
      <c r="C5484" s="2" t="s">
        <v>26</v>
      </c>
      <c r="D5484" s="2" t="s">
        <v>141</v>
      </c>
      <c r="E5484" s="4">
        <v>-32188</v>
      </c>
      <c r="F5484" s="3" t="s">
        <v>505</v>
      </c>
      <c r="G5484" s="3" t="s">
        <v>47</v>
      </c>
      <c r="H5484" s="2" t="s">
        <v>148</v>
      </c>
      <c r="I5484" s="2" t="s">
        <v>14260</v>
      </c>
      <c r="J5484" s="3" t="str">
        <f>HYPERLINK("https://www.boe.es/gazeta/dias/1811/11/14/pdfs/GEI-D-1811-149.pdf#page=3","Abrir facsímil")</f>
        <v>Abrir facsímil</v>
      </c>
      <c r="K5484" s="3" t="s">
        <v>150</v>
      </c>
    </row>
    <row r="5485" spans="1:11" ht="42" customHeight="1">
      <c r="A5485" s="2" t="s">
        <v>14261</v>
      </c>
      <c r="B5485" s="2" t="s">
        <v>14262</v>
      </c>
      <c r="C5485" s="2" t="s">
        <v>37</v>
      </c>
      <c r="D5485" s="2" t="s">
        <v>18</v>
      </c>
      <c r="E5485" s="4">
        <v>-32407</v>
      </c>
      <c r="F5485" s="3" t="s">
        <v>38</v>
      </c>
      <c r="G5485" s="3" t="s">
        <v>480</v>
      </c>
      <c r="H5485" s="2" t="s">
        <v>148</v>
      </c>
      <c r="I5485" s="2" t="s">
        <v>14263</v>
      </c>
      <c r="J5485" s="3" t="str">
        <f>HYPERLINK("https://www.boe.es/gazeta/dias/1811/04/09/pdfs/GEI-1811-48.pdf#page=4","Abrir facsímil")</f>
        <v>Abrir facsímil</v>
      </c>
      <c r="K5485" s="3" t="s">
        <v>150</v>
      </c>
    </row>
    <row r="5486" spans="1:11" ht="42" customHeight="1">
      <c r="A5486" s="2" t="s">
        <v>14261</v>
      </c>
      <c r="B5486" s="2" t="s">
        <v>14262</v>
      </c>
      <c r="C5486" s="2" t="s">
        <v>37</v>
      </c>
      <c r="D5486" s="2" t="s">
        <v>141</v>
      </c>
      <c r="E5486" s="4">
        <v>-32389</v>
      </c>
      <c r="F5486" s="3" t="s">
        <v>524</v>
      </c>
      <c r="G5486" s="3" t="s">
        <v>525</v>
      </c>
      <c r="H5486" s="2" t="s">
        <v>148</v>
      </c>
      <c r="I5486" s="2" t="s">
        <v>14264</v>
      </c>
      <c r="J5486" s="3" t="str">
        <f>HYPERLINK("https://www.boe.es/gazeta/dias/1811/04/27/pdfs/GEI-D-1811-56.pdf#page=4","Abrir facsímil")</f>
        <v>Abrir facsímil</v>
      </c>
      <c r="K5486" s="3" t="s">
        <v>150</v>
      </c>
    </row>
    <row r="5487" spans="1:11" ht="42" customHeight="1">
      <c r="A5487" s="2" t="s">
        <v>14265</v>
      </c>
      <c r="B5487" s="2" t="s">
        <v>14266</v>
      </c>
      <c r="C5487" s="2" t="s">
        <v>17</v>
      </c>
      <c r="D5487" s="2" t="s">
        <v>18</v>
      </c>
      <c r="E5487" s="4">
        <v>-32461</v>
      </c>
      <c r="F5487" s="3" t="s">
        <v>2429</v>
      </c>
      <c r="G5487" s="3" t="s">
        <v>2101</v>
      </c>
      <c r="H5487" s="2" t="s">
        <v>148</v>
      </c>
      <c r="I5487" s="2" t="s">
        <v>14267</v>
      </c>
      <c r="J5487" s="3" t="str">
        <f>HYPERLINK("https://www.boe.es/gazeta/dias/1811/02/14/pdfs/GEI-1811-20.pdf#page=2","Abrir facsímil")</f>
        <v>Abrir facsímil</v>
      </c>
      <c r="K5487" s="3" t="s">
        <v>150</v>
      </c>
    </row>
    <row r="5488" spans="1:11" ht="42" customHeight="1">
      <c r="A5488" s="2" t="s">
        <v>14268</v>
      </c>
      <c r="B5488" s="2" t="s">
        <v>14269</v>
      </c>
      <c r="C5488" s="2" t="s">
        <v>104</v>
      </c>
      <c r="D5488" s="2" t="s">
        <v>18</v>
      </c>
      <c r="E5488" s="4">
        <v>-32384</v>
      </c>
      <c r="F5488" s="3" t="s">
        <v>338</v>
      </c>
      <c r="G5488" s="3" t="s">
        <v>339</v>
      </c>
      <c r="H5488" s="2" t="s">
        <v>148</v>
      </c>
      <c r="I5488" s="2" t="s">
        <v>14270</v>
      </c>
      <c r="J5488" s="3" t="str">
        <f>HYPERLINK("https://www.boe.es/gazeta/dias/1811/05/02/pdfs/GEI-1811-58.pdf#page=8","Abrir facsímil")</f>
        <v>Abrir facsímil</v>
      </c>
      <c r="K5488" s="3" t="s">
        <v>150</v>
      </c>
    </row>
    <row r="5489" spans="1:11" ht="42" customHeight="1">
      <c r="A5489" s="2" t="s">
        <v>14271</v>
      </c>
      <c r="B5489" s="2" t="s">
        <v>14272</v>
      </c>
      <c r="C5489" s="2" t="s">
        <v>37</v>
      </c>
      <c r="D5489" s="2" t="s">
        <v>156</v>
      </c>
      <c r="E5489" s="4">
        <v>-32249</v>
      </c>
      <c r="F5489" s="3" t="s">
        <v>824</v>
      </c>
      <c r="G5489" s="3" t="s">
        <v>900</v>
      </c>
      <c r="H5489" s="2" t="s">
        <v>148</v>
      </c>
      <c r="I5489" s="2" t="s">
        <v>14273</v>
      </c>
      <c r="J5489" s="3" t="str">
        <f>HYPERLINK("https://www.boe.es/gazeta/dias/1811/09/14/pdfs/GEI-1811-119.pdf#page=8","Abrir facsímil")</f>
        <v>Abrir facsímil</v>
      </c>
      <c r="K5489" s="3" t="s">
        <v>150</v>
      </c>
    </row>
    <row r="5490" spans="1:11" ht="42" customHeight="1">
      <c r="A5490" s="2" t="s">
        <v>14274</v>
      </c>
      <c r="B5490" s="2" t="s">
        <v>14275</v>
      </c>
      <c r="C5490" s="2" t="s">
        <v>26</v>
      </c>
      <c r="D5490" s="2" t="s">
        <v>18</v>
      </c>
      <c r="E5490" s="4">
        <v>-32342</v>
      </c>
      <c r="F5490" s="3" t="s">
        <v>1474</v>
      </c>
      <c r="G5490" s="3" t="s">
        <v>44</v>
      </c>
      <c r="H5490" s="2" t="s">
        <v>148</v>
      </c>
      <c r="I5490" s="2" t="s">
        <v>14276</v>
      </c>
      <c r="J5490" s="3" t="str">
        <f>HYPERLINK("https://www.boe.es/gazeta/dias/1811/06/13/pdfs/GEI-1811-79.pdf#page=8","Abrir facsímil")</f>
        <v>Abrir facsímil</v>
      </c>
      <c r="K5490" s="3" t="s">
        <v>150</v>
      </c>
    </row>
    <row r="5491" spans="1:11" ht="42" customHeight="1">
      <c r="A5491" s="2" t="s">
        <v>14277</v>
      </c>
      <c r="B5491" s="2" t="s">
        <v>14277</v>
      </c>
      <c r="C5491" s="2" t="s">
        <v>17</v>
      </c>
      <c r="D5491" s="2" t="s">
        <v>18</v>
      </c>
      <c r="E5491" s="4">
        <v>-32169</v>
      </c>
      <c r="F5491" s="3" t="s">
        <v>1702</v>
      </c>
      <c r="G5491" s="3" t="s">
        <v>9754</v>
      </c>
      <c r="H5491" s="2" t="s">
        <v>148</v>
      </c>
      <c r="I5491" s="2" t="s">
        <v>14278</v>
      </c>
      <c r="J5491" s="3" t="str">
        <f>HYPERLINK("https://www.boe.es/gazeta/dias/1811/12/03/pdfs/GEI-1811-157.pdf#page=3","Abrir facsímil")</f>
        <v>Abrir facsímil</v>
      </c>
      <c r="K5491" s="3" t="s">
        <v>150</v>
      </c>
    </row>
    <row r="5492" spans="1:11" ht="42" customHeight="1">
      <c r="A5492" s="2" t="s">
        <v>14279</v>
      </c>
      <c r="B5492" s="2" t="s">
        <v>14279</v>
      </c>
      <c r="C5492" s="2" t="s">
        <v>17</v>
      </c>
      <c r="D5492" s="2" t="s">
        <v>18</v>
      </c>
      <c r="E5492" s="4">
        <v>-32477</v>
      </c>
      <c r="F5492" s="3" t="s">
        <v>6777</v>
      </c>
      <c r="G5492" s="3" t="s">
        <v>488</v>
      </c>
      <c r="H5492" s="2" t="s">
        <v>148</v>
      </c>
      <c r="I5492" s="2" t="s">
        <v>14280</v>
      </c>
      <c r="J5492" s="3" t="str">
        <f>HYPERLINK("https://www.boe.es/gazeta/dias/1811/01/29/pdfs/GEI-1811-13.pdf#page=7","Abrir facsímil")</f>
        <v>Abrir facsímil</v>
      </c>
      <c r="K5492" s="3" t="s">
        <v>150</v>
      </c>
    </row>
    <row r="5493" spans="1:11" ht="42" customHeight="1">
      <c r="A5493" s="2" t="s">
        <v>14279</v>
      </c>
      <c r="B5493" s="2" t="s">
        <v>14279</v>
      </c>
      <c r="C5493" s="2" t="s">
        <v>17</v>
      </c>
      <c r="D5493" s="2" t="s">
        <v>156</v>
      </c>
      <c r="E5493" s="4">
        <v>-32370</v>
      </c>
      <c r="F5493" s="3" t="s">
        <v>146</v>
      </c>
      <c r="G5493" s="3" t="s">
        <v>20</v>
      </c>
      <c r="H5493" s="2" t="s">
        <v>148</v>
      </c>
      <c r="I5493" s="2" t="s">
        <v>14281</v>
      </c>
      <c r="J5493" s="3" t="str">
        <f>HYPERLINK("https://www.boe.es/gazeta/dias/1811/05/16/pdfs/GEI-1811-64.pdf#page=6","Abrir facsímil")</f>
        <v>Abrir facsímil</v>
      </c>
      <c r="K5493" s="3" t="s">
        <v>150</v>
      </c>
    </row>
    <row r="5494" spans="1:11" ht="42" customHeight="1">
      <c r="A5494" s="2" t="s">
        <v>14279</v>
      </c>
      <c r="B5494" s="2" t="s">
        <v>14279</v>
      </c>
      <c r="C5494" s="2" t="s">
        <v>84</v>
      </c>
      <c r="D5494" s="2" t="s">
        <v>204</v>
      </c>
      <c r="E5494" s="4">
        <v>-32169</v>
      </c>
      <c r="F5494" s="3" t="s">
        <v>1702</v>
      </c>
      <c r="G5494" s="3" t="s">
        <v>1951</v>
      </c>
      <c r="H5494" s="2" t="s">
        <v>148</v>
      </c>
      <c r="I5494" s="2" t="s">
        <v>14282</v>
      </c>
      <c r="J5494" s="3" t="str">
        <f>HYPERLINK("https://www.boe.es/gazeta/dias/1811/12/03/pdfs/GEI-1811-157.pdf#page=7","Abrir facsímil")</f>
        <v>Abrir facsímil</v>
      </c>
      <c r="K5494" s="3" t="s">
        <v>150</v>
      </c>
    </row>
    <row r="5495" spans="1:11" ht="42" customHeight="1">
      <c r="A5495" s="2" t="s">
        <v>14283</v>
      </c>
      <c r="B5495" s="2" t="s">
        <v>14283</v>
      </c>
      <c r="C5495" s="2" t="s">
        <v>26</v>
      </c>
      <c r="D5495" s="2" t="s">
        <v>18</v>
      </c>
      <c r="E5495" s="4">
        <v>-32505</v>
      </c>
      <c r="F5495" s="3" t="s">
        <v>475</v>
      </c>
      <c r="G5495" s="3" t="s">
        <v>476</v>
      </c>
      <c r="H5495" s="2" t="s">
        <v>148</v>
      </c>
      <c r="I5495" s="2" t="s">
        <v>14284</v>
      </c>
      <c r="J5495" s="3" t="str">
        <f>HYPERLINK("https://www.boe.es/gazeta/dias/1811/01/01/pdfs/GEI-1811-1.pdf#page=7","Abrir facsímil")</f>
        <v>Abrir facsímil</v>
      </c>
      <c r="K5495" s="3" t="s">
        <v>150</v>
      </c>
    </row>
    <row r="5496" spans="1:11" ht="42" customHeight="1">
      <c r="A5496" s="2" t="s">
        <v>14283</v>
      </c>
      <c r="B5496" s="2" t="s">
        <v>14283</v>
      </c>
      <c r="C5496" s="2" t="s">
        <v>17</v>
      </c>
      <c r="D5496" s="2" t="s">
        <v>156</v>
      </c>
      <c r="E5496" s="4">
        <v>-32503</v>
      </c>
      <c r="F5496" s="3" t="s">
        <v>487</v>
      </c>
      <c r="G5496" s="3" t="s">
        <v>440</v>
      </c>
      <c r="H5496" s="2" t="s">
        <v>148</v>
      </c>
      <c r="I5496" s="2" t="s">
        <v>14285</v>
      </c>
      <c r="J5496" s="3" t="str">
        <f>HYPERLINK("https://www.boe.es/gazeta/dias/1811/01/03/pdfs/GEI-1811-2.pdf#page=4","Abrir facsímil")</f>
        <v>Abrir facsímil</v>
      </c>
      <c r="K5496" s="3" t="s">
        <v>150</v>
      </c>
    </row>
    <row r="5497" spans="1:11" ht="42" customHeight="1">
      <c r="A5497" s="2" t="s">
        <v>14283</v>
      </c>
      <c r="B5497" s="2" t="s">
        <v>14283</v>
      </c>
      <c r="C5497" s="2" t="s">
        <v>17</v>
      </c>
      <c r="D5497" s="2" t="s">
        <v>18</v>
      </c>
      <c r="E5497" s="4">
        <v>-32302</v>
      </c>
      <c r="F5497" s="3" t="s">
        <v>864</v>
      </c>
      <c r="G5497" s="3" t="s">
        <v>9313</v>
      </c>
      <c r="H5497" s="2" t="s">
        <v>148</v>
      </c>
      <c r="I5497" s="2" t="s">
        <v>14286</v>
      </c>
      <c r="J5497" s="3" t="str">
        <f>HYPERLINK("https://www.boe.es/gazeta/dias/1811/07/23/pdfs/GEI-1811-96.pdf#page=6","Abrir facsímil")</f>
        <v>Abrir facsímil</v>
      </c>
      <c r="K5497" s="3" t="s">
        <v>150</v>
      </c>
    </row>
    <row r="5498" spans="1:11" ht="42" customHeight="1">
      <c r="A5498" s="2" t="s">
        <v>14283</v>
      </c>
      <c r="B5498" s="2" t="s">
        <v>14283</v>
      </c>
      <c r="C5498" s="2" t="s">
        <v>26</v>
      </c>
      <c r="D5498" s="2" t="s">
        <v>18</v>
      </c>
      <c r="E5498" s="4">
        <v>-32148</v>
      </c>
      <c r="F5498" s="3" t="s">
        <v>1616</v>
      </c>
      <c r="G5498" s="3" t="s">
        <v>91</v>
      </c>
      <c r="H5498" s="2" t="s">
        <v>148</v>
      </c>
      <c r="I5498" s="2" t="s">
        <v>14287</v>
      </c>
      <c r="J5498" s="3" t="str">
        <f>HYPERLINK("https://www.boe.es/gazeta/dias/1811/12/24/pdfs/GEI-1811-166.pdf#page=6","Abrir facsímil")</f>
        <v>Abrir facsímil</v>
      </c>
      <c r="K5498" s="3" t="s">
        <v>150</v>
      </c>
    </row>
    <row r="5499" spans="1:11" ht="42" customHeight="1">
      <c r="A5499" s="2" t="s">
        <v>14288</v>
      </c>
      <c r="B5499" s="2" t="s">
        <v>14289</v>
      </c>
      <c r="C5499" s="2" t="s">
        <v>26</v>
      </c>
      <c r="D5499" s="2" t="s">
        <v>18</v>
      </c>
      <c r="E5499" s="4">
        <v>-32188</v>
      </c>
      <c r="F5499" s="3" t="s">
        <v>356</v>
      </c>
      <c r="G5499" s="3" t="s">
        <v>248</v>
      </c>
      <c r="H5499" s="2" t="s">
        <v>148</v>
      </c>
      <c r="I5499" s="2" t="s">
        <v>14290</v>
      </c>
      <c r="J5499" s="3" t="str">
        <f>HYPERLINK("https://www.boe.es/gazeta/dias/1811/11/14/pdfs/GMD-1811-318.pdf#page=5","Abrir facsímil")</f>
        <v>Abrir facsímil</v>
      </c>
      <c r="K5499" s="3" t="s">
        <v>150</v>
      </c>
    </row>
    <row r="5500" spans="1:11" ht="42" customHeight="1">
      <c r="A5500" s="2" t="s">
        <v>14291</v>
      </c>
      <c r="B5500" s="2" t="s">
        <v>14291</v>
      </c>
      <c r="C5500" s="2" t="s">
        <v>26</v>
      </c>
      <c r="D5500" s="2" t="s">
        <v>18</v>
      </c>
      <c r="E5500" s="4">
        <v>-32223</v>
      </c>
      <c r="F5500" s="3" t="s">
        <v>1788</v>
      </c>
      <c r="G5500" s="3" t="s">
        <v>1789</v>
      </c>
      <c r="H5500" s="2" t="s">
        <v>148</v>
      </c>
      <c r="I5500" s="2" t="s">
        <v>14292</v>
      </c>
      <c r="J5500" s="3" t="str">
        <f>HYPERLINK("https://www.boe.es/gazeta/dias/1811/10/10/pdfs/GEI-1811-130.pdf#page=8","Abrir facsímil")</f>
        <v>Abrir facsímil</v>
      </c>
      <c r="K5500" s="3" t="s">
        <v>150</v>
      </c>
    </row>
    <row r="5501" spans="1:11" ht="42" customHeight="1">
      <c r="A5501" s="2" t="s">
        <v>14293</v>
      </c>
      <c r="B5501" s="2" t="s">
        <v>14294</v>
      </c>
      <c r="C5501" s="2" t="s">
        <v>37</v>
      </c>
      <c r="D5501" s="2" t="s">
        <v>156</v>
      </c>
      <c r="E5501" s="4">
        <v>-32178</v>
      </c>
      <c r="F5501" s="3" t="s">
        <v>14295</v>
      </c>
      <c r="G5501" s="3" t="s">
        <v>1930</v>
      </c>
      <c r="H5501" s="2" t="s">
        <v>148</v>
      </c>
      <c r="I5501" s="2" t="s">
        <v>14296</v>
      </c>
      <c r="J5501" s="3" t="str">
        <f>HYPERLINK("https://www.boe.es/gazeta/dias/1811/11/24/pdfs/GMD-1811-328.pdf#page=2","Abrir facsímil")</f>
        <v>Abrir facsímil</v>
      </c>
      <c r="K5501" s="3" t="s">
        <v>150</v>
      </c>
    </row>
    <row r="5502" spans="1:11" ht="42" customHeight="1">
      <c r="A5502" s="2" t="s">
        <v>14297</v>
      </c>
      <c r="B5502" s="2" t="s">
        <v>14297</v>
      </c>
      <c r="C5502" s="2" t="s">
        <v>17</v>
      </c>
      <c r="D5502" s="2" t="s">
        <v>156</v>
      </c>
      <c r="E5502" s="4">
        <v>-32256</v>
      </c>
      <c r="F5502" s="3" t="s">
        <v>161</v>
      </c>
      <c r="G5502" s="3" t="s">
        <v>115</v>
      </c>
      <c r="H5502" s="2" t="s">
        <v>148</v>
      </c>
      <c r="I5502" s="2" t="s">
        <v>14298</v>
      </c>
      <c r="J5502" s="3" t="str">
        <f>HYPERLINK("https://www.boe.es/gazeta/dias/1811/09/07/pdfs/GEI-1811-116.pdf#page=3","Abrir facsímil")</f>
        <v>Abrir facsímil</v>
      </c>
      <c r="K5502" s="3" t="s">
        <v>150</v>
      </c>
    </row>
    <row r="5503" spans="1:11" ht="42" customHeight="1">
      <c r="A5503" s="2" t="s">
        <v>14299</v>
      </c>
      <c r="B5503" s="2" t="s">
        <v>14300</v>
      </c>
      <c r="C5503" s="2" t="s">
        <v>26</v>
      </c>
      <c r="D5503" s="2" t="s">
        <v>141</v>
      </c>
      <c r="E5503" s="4">
        <v>-32396</v>
      </c>
      <c r="F5503" s="3" t="s">
        <v>804</v>
      </c>
      <c r="G5503" s="3" t="s">
        <v>805</v>
      </c>
      <c r="H5503" s="2" t="s">
        <v>148</v>
      </c>
      <c r="I5503" s="2" t="s">
        <v>14301</v>
      </c>
      <c r="J5503" s="3" t="str">
        <f>HYPERLINK("https://www.boe.es/gazeta/dias/1811/04/20/pdfs/GEI-D-1811-53.pdf#page=4","Abrir facsímil")</f>
        <v>Abrir facsímil</v>
      </c>
      <c r="K5503" s="3" t="s">
        <v>150</v>
      </c>
    </row>
    <row r="5504" spans="1:11" ht="42" customHeight="1">
      <c r="A5504" s="2" t="s">
        <v>14302</v>
      </c>
      <c r="B5504" s="2" t="s">
        <v>14303</v>
      </c>
      <c r="C5504" s="2" t="s">
        <v>26</v>
      </c>
      <c r="D5504" s="2" t="s">
        <v>18</v>
      </c>
      <c r="E5504" s="4">
        <v>-32484</v>
      </c>
      <c r="F5504" s="3" t="s">
        <v>467</v>
      </c>
      <c r="G5504" s="3" t="s">
        <v>875</v>
      </c>
      <c r="H5504" s="2" t="s">
        <v>148</v>
      </c>
      <c r="I5504" s="2" t="s">
        <v>14304</v>
      </c>
      <c r="J5504" s="3" t="str">
        <f>HYPERLINK("https://www.boe.es/gazeta/dias/1811/01/22/pdfs/GEI-1811-10.pdf#page=4","Abrir facsímil")</f>
        <v>Abrir facsímil</v>
      </c>
      <c r="K5504" s="3" t="s">
        <v>150</v>
      </c>
    </row>
    <row r="5505" spans="1:11" ht="42" customHeight="1">
      <c r="A5505" s="2" t="s">
        <v>14305</v>
      </c>
      <c r="B5505" s="2" t="s">
        <v>14305</v>
      </c>
      <c r="C5505" s="2" t="s">
        <v>17</v>
      </c>
      <c r="D5505" s="2" t="s">
        <v>204</v>
      </c>
      <c r="E5505" s="4">
        <v>-32354</v>
      </c>
      <c r="F5505" s="3" t="s">
        <v>2914</v>
      </c>
      <c r="G5505" s="3" t="s">
        <v>2594</v>
      </c>
      <c r="H5505" s="2" t="s">
        <v>148</v>
      </c>
      <c r="I5505" s="2" t="s">
        <v>14306</v>
      </c>
      <c r="J5505" s="3" t="str">
        <f>HYPERLINK("https://www.boe.es/gazeta/dias/1811/06/01/pdfs/GEI-1811-74.pdf#page=4","Abrir facsímil")</f>
        <v>Abrir facsímil</v>
      </c>
      <c r="K5505" s="3" t="s">
        <v>150</v>
      </c>
    </row>
    <row r="5506" spans="1:11" ht="42" customHeight="1">
      <c r="A5506" s="2" t="s">
        <v>14307</v>
      </c>
      <c r="B5506" s="2" t="s">
        <v>14307</v>
      </c>
      <c r="C5506" s="2" t="s">
        <v>17</v>
      </c>
      <c r="D5506" s="2" t="s">
        <v>156</v>
      </c>
      <c r="E5506" s="4">
        <v>-32346</v>
      </c>
      <c r="F5506" s="3" t="s">
        <v>3180</v>
      </c>
      <c r="G5506" s="3" t="s">
        <v>20</v>
      </c>
      <c r="H5506" s="2" t="s">
        <v>148</v>
      </c>
      <c r="I5506" s="2" t="s">
        <v>14308</v>
      </c>
      <c r="J5506" s="3" t="str">
        <f>HYPERLINK("https://www.boe.es/gazeta/dias/1811/06/09/pdfs/GMD-1811-160.pdf#page=2","Abrir facsímil")</f>
        <v>Abrir facsímil</v>
      </c>
      <c r="K5506" s="3" t="s">
        <v>150</v>
      </c>
    </row>
    <row r="5507" spans="1:11" ht="42" customHeight="1">
      <c r="A5507" s="2" t="s">
        <v>14309</v>
      </c>
      <c r="B5507" s="2" t="s">
        <v>14310</v>
      </c>
      <c r="C5507" s="2" t="s">
        <v>26</v>
      </c>
      <c r="D5507" s="2" t="s">
        <v>18</v>
      </c>
      <c r="E5507" s="4">
        <v>-32147</v>
      </c>
      <c r="F5507" s="3" t="s">
        <v>1922</v>
      </c>
      <c r="G5507" s="3" t="s">
        <v>1923</v>
      </c>
      <c r="H5507" s="2" t="s">
        <v>148</v>
      </c>
      <c r="I5507" s="2" t="s">
        <v>14311</v>
      </c>
      <c r="J5507" s="3" t="str">
        <f>HYPERLINK("https://www.boe.es/gazeta/dias/1811/12/25/pdfs/GMD-1811-359.pdf#page=4","Abrir facsímil")</f>
        <v>Abrir facsímil</v>
      </c>
      <c r="K5507" s="3" t="s">
        <v>150</v>
      </c>
    </row>
    <row r="5508" spans="1:11" ht="42" customHeight="1">
      <c r="A5508" s="2" t="s">
        <v>14312</v>
      </c>
      <c r="B5508" s="2" t="s">
        <v>14312</v>
      </c>
      <c r="C5508" s="2" t="s">
        <v>17</v>
      </c>
      <c r="D5508" s="2" t="s">
        <v>18</v>
      </c>
      <c r="E5508" s="4">
        <v>-32361</v>
      </c>
      <c r="F5508" s="3" t="s">
        <v>1104</v>
      </c>
      <c r="G5508" s="3" t="s">
        <v>5253</v>
      </c>
      <c r="H5508" s="2" t="s">
        <v>148</v>
      </c>
      <c r="I5508" s="2" t="s">
        <v>14313</v>
      </c>
      <c r="J5508" s="3" t="str">
        <f>HYPERLINK("https://www.boe.es/gazeta/dias/1811/05/25/pdfs/GEI-1811-71.pdf#page=1","Abrir facsímil")</f>
        <v>Abrir facsímil</v>
      </c>
      <c r="K5508" s="3" t="s">
        <v>150</v>
      </c>
    </row>
    <row r="5509" spans="1:11" ht="42" customHeight="1">
      <c r="A5509" s="2" t="s">
        <v>14314</v>
      </c>
      <c r="B5509" s="2" t="s">
        <v>14315</v>
      </c>
      <c r="C5509" s="2" t="s">
        <v>17</v>
      </c>
      <c r="D5509" s="2" t="s">
        <v>156</v>
      </c>
      <c r="E5509" s="4">
        <v>-32202</v>
      </c>
      <c r="F5509" s="3" t="s">
        <v>2194</v>
      </c>
      <c r="G5509" s="3" t="s">
        <v>14316</v>
      </c>
      <c r="H5509" s="2" t="s">
        <v>148</v>
      </c>
      <c r="I5509" s="2" t="s">
        <v>14317</v>
      </c>
      <c r="J5509" s="3" t="str">
        <f>HYPERLINK("https://www.boe.es/gazeta/dias/1811/10/31/pdfs/GEI-1811-140.pdf#page=2","Abrir facsímil")</f>
        <v>Abrir facsímil</v>
      </c>
      <c r="K5509" s="3" t="s">
        <v>150</v>
      </c>
    </row>
    <row r="5510" spans="1:11" ht="42" customHeight="1">
      <c r="A5510" s="2" t="s">
        <v>14318</v>
      </c>
      <c r="B5510" s="2" t="s">
        <v>14318</v>
      </c>
      <c r="C5510" s="2" t="s">
        <v>17</v>
      </c>
      <c r="D5510" s="2" t="s">
        <v>156</v>
      </c>
      <c r="E5510" s="4">
        <v>-32401</v>
      </c>
      <c r="F5510" s="3" t="s">
        <v>1084</v>
      </c>
      <c r="G5510" s="3" t="s">
        <v>44</v>
      </c>
      <c r="H5510" s="2" t="s">
        <v>148</v>
      </c>
      <c r="I5510" s="2" t="s">
        <v>14319</v>
      </c>
      <c r="J5510" s="3" t="str">
        <f>HYPERLINK("https://www.boe.es/gazeta/dias/1811/04/15/pdfs/GMD-1811-105.pdf#page=3","Abrir facsímil")</f>
        <v>Abrir facsímil</v>
      </c>
      <c r="K5510" s="3" t="s">
        <v>150</v>
      </c>
    </row>
    <row r="5511" spans="1:11" ht="42" customHeight="1">
      <c r="A5511" s="2" t="s">
        <v>14320</v>
      </c>
      <c r="B5511" s="2" t="s">
        <v>14320</v>
      </c>
      <c r="C5511" s="2" t="s">
        <v>17</v>
      </c>
      <c r="D5511" s="2" t="s">
        <v>18</v>
      </c>
      <c r="E5511" s="4">
        <v>-32153</v>
      </c>
      <c r="F5511" s="3" t="s">
        <v>235</v>
      </c>
      <c r="G5511" s="3" t="s">
        <v>1315</v>
      </c>
      <c r="H5511" s="2" t="s">
        <v>148</v>
      </c>
      <c r="I5511" s="2" t="s">
        <v>14321</v>
      </c>
      <c r="J5511" s="3" t="str">
        <f>HYPERLINK("https://www.boe.es/gazeta/dias/1811/12/19/pdfs/GEI-1811-164.pdf#page=2","Abrir facsímil")</f>
        <v>Abrir facsímil</v>
      </c>
      <c r="K5511" s="3" t="s">
        <v>150</v>
      </c>
    </row>
    <row r="5512" spans="1:11" ht="42" customHeight="1">
      <c r="A5512" s="2" t="s">
        <v>14322</v>
      </c>
      <c r="B5512" s="2" t="s">
        <v>14323</v>
      </c>
      <c r="C5512" s="2" t="s">
        <v>26</v>
      </c>
      <c r="D5512" s="2" t="s">
        <v>18</v>
      </c>
      <c r="E5512" s="4">
        <v>-32153</v>
      </c>
      <c r="F5512" s="3" t="s">
        <v>235</v>
      </c>
      <c r="G5512" s="3" t="s">
        <v>14324</v>
      </c>
      <c r="H5512" s="2" t="s">
        <v>148</v>
      </c>
      <c r="I5512" s="2" t="s">
        <v>14325</v>
      </c>
      <c r="J5512" s="3" t="str">
        <f>HYPERLINK("https://www.boe.es/gazeta/dias/1811/12/19/pdfs/GEI-1811-164.pdf#page=3","Abrir facsímil")</f>
        <v>Abrir facsímil</v>
      </c>
      <c r="K5512" s="3" t="s">
        <v>150</v>
      </c>
    </row>
    <row r="5513" spans="1:11" ht="42" customHeight="1">
      <c r="A5513" s="2" t="s">
        <v>14326</v>
      </c>
      <c r="B5513" s="2" t="s">
        <v>14327</v>
      </c>
      <c r="C5513" s="2" t="s">
        <v>84</v>
      </c>
      <c r="D5513" s="2" t="s">
        <v>105</v>
      </c>
      <c r="E5513" s="4">
        <v>-32197</v>
      </c>
      <c r="F5513" s="3" t="s">
        <v>687</v>
      </c>
      <c r="G5513" s="3" t="s">
        <v>1240</v>
      </c>
      <c r="H5513" s="2" t="s">
        <v>148</v>
      </c>
      <c r="I5513" s="2" t="s">
        <v>14328</v>
      </c>
      <c r="J5513" s="3" t="str">
        <f>HYPERLINK("https://www.boe.es/gazeta/dias/1811/11/05/pdfs/GEI-1811-143.pdf#page=8","Abrir facsímil")</f>
        <v>Abrir facsímil</v>
      </c>
      <c r="K5513" s="3" t="s">
        <v>150</v>
      </c>
    </row>
    <row r="5514" spans="1:11" ht="42" customHeight="1">
      <c r="A5514" s="2" t="s">
        <v>14329</v>
      </c>
      <c r="B5514" s="2" t="s">
        <v>14330</v>
      </c>
      <c r="C5514" s="2" t="s">
        <v>17</v>
      </c>
      <c r="D5514" s="2" t="s">
        <v>156</v>
      </c>
      <c r="E5514" s="4">
        <v>-32435</v>
      </c>
      <c r="F5514" s="3" t="s">
        <v>11833</v>
      </c>
      <c r="G5514" s="3" t="s">
        <v>178</v>
      </c>
      <c r="H5514" s="2" t="s">
        <v>148</v>
      </c>
      <c r="I5514" s="2" t="s">
        <v>14331</v>
      </c>
      <c r="J5514" s="3" t="str">
        <f>HYPERLINK("https://www.boe.es/gazeta/dias/1811/03/12/pdfs/GEI-1811-36E.pdf#page=3","Abrir facsímil")</f>
        <v>Abrir facsímil</v>
      </c>
      <c r="K5514" s="3" t="s">
        <v>150</v>
      </c>
    </row>
    <row r="5515" spans="1:11" ht="42" customHeight="1">
      <c r="A5515" s="2" t="s">
        <v>14332</v>
      </c>
      <c r="B5515" s="2" t="s">
        <v>14333</v>
      </c>
      <c r="C5515" s="2" t="s">
        <v>104</v>
      </c>
      <c r="D5515" s="2" t="s">
        <v>18</v>
      </c>
      <c r="E5515" s="4">
        <v>-32141</v>
      </c>
      <c r="F5515" s="3" t="s">
        <v>327</v>
      </c>
      <c r="G5515" s="3" t="s">
        <v>20</v>
      </c>
      <c r="H5515" s="2" t="s">
        <v>148</v>
      </c>
      <c r="I5515" s="2" t="s">
        <v>14334</v>
      </c>
      <c r="J5515" s="3" t="str">
        <f>HYPERLINK("https://www.boe.es/gazeta/dias/1811/12/31/pdfs/GMD-1811-365.pdf#page=4","Abrir facsímil")</f>
        <v>Abrir facsímil</v>
      </c>
      <c r="K5515" s="3" t="s">
        <v>150</v>
      </c>
    </row>
    <row r="5516" spans="1:11" ht="42" customHeight="1">
      <c r="A5516" s="2" t="s">
        <v>14335</v>
      </c>
      <c r="B5516" s="2" t="s">
        <v>14336</v>
      </c>
      <c r="C5516" s="2" t="s">
        <v>26</v>
      </c>
      <c r="D5516" s="2" t="s">
        <v>105</v>
      </c>
      <c r="E5516" s="4">
        <v>-32195</v>
      </c>
      <c r="F5516" s="3" t="s">
        <v>439</v>
      </c>
      <c r="G5516" s="3" t="s">
        <v>2092</v>
      </c>
      <c r="H5516" s="2" t="s">
        <v>148</v>
      </c>
      <c r="I5516" s="2" t="s">
        <v>14337</v>
      </c>
      <c r="J5516" s="3" t="str">
        <f>HYPERLINK("https://www.boe.es/gazeta/dias/1811/11/07/pdfs/GEI-1811-144.pdf#page=7","Abrir facsímil")</f>
        <v>Abrir facsímil</v>
      </c>
      <c r="K5516" s="3" t="s">
        <v>150</v>
      </c>
    </row>
    <row r="5517" spans="1:11" ht="42" customHeight="1">
      <c r="A5517" s="2" t="s">
        <v>14338</v>
      </c>
      <c r="B5517" s="2" t="s">
        <v>14339</v>
      </c>
      <c r="C5517" s="2" t="s">
        <v>17</v>
      </c>
      <c r="D5517" s="2" t="s">
        <v>18</v>
      </c>
      <c r="E5517" s="4">
        <v>-32463</v>
      </c>
      <c r="F5517" s="3" t="s">
        <v>734</v>
      </c>
      <c r="G5517" s="3" t="s">
        <v>515</v>
      </c>
      <c r="H5517" s="2" t="s">
        <v>148</v>
      </c>
      <c r="I5517" s="2" t="s">
        <v>14340</v>
      </c>
      <c r="J5517" s="3" t="str">
        <f>HYPERLINK("https://www.boe.es/gazeta/dias/1811/02/12/pdfs/GEI-1811-19.pdf#page=7","Abrir facsímil")</f>
        <v>Abrir facsímil</v>
      </c>
      <c r="K5517" s="3" t="s">
        <v>150</v>
      </c>
    </row>
    <row r="5518" spans="1:11" ht="42" customHeight="1">
      <c r="A5518" s="2" t="s">
        <v>14341</v>
      </c>
      <c r="B5518" s="2" t="s">
        <v>14341</v>
      </c>
      <c r="C5518" s="2" t="s">
        <v>17</v>
      </c>
      <c r="D5518" s="2" t="s">
        <v>18</v>
      </c>
      <c r="E5518" s="4">
        <v>-32354</v>
      </c>
      <c r="F5518" s="3" t="s">
        <v>2914</v>
      </c>
      <c r="G5518" s="3" t="s">
        <v>8743</v>
      </c>
      <c r="H5518" s="2" t="s">
        <v>148</v>
      </c>
      <c r="I5518" s="2" t="s">
        <v>14342</v>
      </c>
      <c r="J5518" s="3" t="str">
        <f>HYPERLINK("https://www.boe.es/gazeta/dias/1811/06/01/pdfs/GEI-1811-74.pdf#page=5","Abrir facsímil")</f>
        <v>Abrir facsímil</v>
      </c>
      <c r="K5518" s="3" t="s">
        <v>150</v>
      </c>
    </row>
    <row r="5519" spans="1:11" ht="42" customHeight="1">
      <c r="A5519" s="2" t="s">
        <v>14343</v>
      </c>
      <c r="B5519" s="2" t="s">
        <v>14343</v>
      </c>
      <c r="C5519" s="2" t="s">
        <v>17</v>
      </c>
      <c r="D5519" s="2" t="s">
        <v>18</v>
      </c>
      <c r="E5519" s="4">
        <v>-32330</v>
      </c>
      <c r="F5519" s="3" t="s">
        <v>1997</v>
      </c>
      <c r="G5519" s="3" t="s">
        <v>1463</v>
      </c>
      <c r="H5519" s="2" t="s">
        <v>148</v>
      </c>
      <c r="I5519" s="2" t="s">
        <v>14344</v>
      </c>
      <c r="J5519" s="3" t="str">
        <f>HYPERLINK("https://www.boe.es/gazeta/dias/1811/06/25/pdfs/GMD-1811-176.pdf#page=3","Abrir facsímil")</f>
        <v>Abrir facsímil</v>
      </c>
      <c r="K5519" s="3" t="s">
        <v>150</v>
      </c>
    </row>
    <row r="5520" spans="1:11" ht="42" customHeight="1">
      <c r="A5520" s="2" t="s">
        <v>14345</v>
      </c>
      <c r="B5520" s="2" t="s">
        <v>14346</v>
      </c>
      <c r="C5520" s="2" t="s">
        <v>17</v>
      </c>
      <c r="D5520" s="2" t="s">
        <v>156</v>
      </c>
      <c r="E5520" s="4">
        <v>-32218</v>
      </c>
      <c r="F5520" s="3" t="s">
        <v>938</v>
      </c>
      <c r="G5520" s="3" t="s">
        <v>9559</v>
      </c>
      <c r="H5520" s="2" t="s">
        <v>148</v>
      </c>
      <c r="I5520" s="2" t="s">
        <v>14347</v>
      </c>
      <c r="J5520" s="3" t="str">
        <f>HYPERLINK("https://www.boe.es/gazeta/dias/1811/10/15/pdfs/GEI-1811-133.pdf#page=2","Abrir facsímil")</f>
        <v>Abrir facsímil</v>
      </c>
      <c r="K5520" s="3" t="s">
        <v>150</v>
      </c>
    </row>
    <row r="5521" spans="1:11" ht="42" customHeight="1">
      <c r="A5521" s="2" t="s">
        <v>14348</v>
      </c>
      <c r="B5521" s="2" t="s">
        <v>14348</v>
      </c>
      <c r="C5521" s="2" t="s">
        <v>17</v>
      </c>
      <c r="D5521" s="2" t="s">
        <v>18</v>
      </c>
      <c r="E5521" s="4">
        <v>-32171</v>
      </c>
      <c r="F5521" s="3" t="s">
        <v>157</v>
      </c>
      <c r="G5521" s="3" t="s">
        <v>44</v>
      </c>
      <c r="H5521" s="2" t="s">
        <v>148</v>
      </c>
      <c r="I5521" s="2" t="s">
        <v>14349</v>
      </c>
      <c r="J5521" s="3" t="str">
        <f>HYPERLINK("https://www.boe.es/gazeta/dias/1811/12/01/pdfs/GMD-1811-335.pdf#page=4","Abrir facsímil")</f>
        <v>Abrir facsímil</v>
      </c>
      <c r="K5521" s="3" t="s">
        <v>150</v>
      </c>
    </row>
    <row r="5522" spans="1:11" ht="42" customHeight="1">
      <c r="A5522" s="2" t="s">
        <v>14350</v>
      </c>
      <c r="B5522" s="2" t="s">
        <v>14350</v>
      </c>
      <c r="C5522" s="2" t="s">
        <v>26</v>
      </c>
      <c r="D5522" s="2" t="s">
        <v>18</v>
      </c>
      <c r="E5522" s="4">
        <v>-32358</v>
      </c>
      <c r="F5522" s="3" t="s">
        <v>3186</v>
      </c>
      <c r="G5522" s="3" t="s">
        <v>162</v>
      </c>
      <c r="H5522" s="2" t="s">
        <v>148</v>
      </c>
      <c r="I5522" s="2" t="s">
        <v>14351</v>
      </c>
      <c r="J5522" s="3" t="str">
        <f>HYPERLINK("https://www.boe.es/gazeta/dias/1811/05/28/pdfs/GMD-1811-148.pdf#page=1","Abrir facsímil")</f>
        <v>Abrir facsímil</v>
      </c>
      <c r="K5522" s="3" t="s">
        <v>150</v>
      </c>
    </row>
    <row r="5523" spans="1:11" ht="42" customHeight="1">
      <c r="A5523" s="2" t="s">
        <v>14352</v>
      </c>
      <c r="B5523" s="2" t="s">
        <v>14352</v>
      </c>
      <c r="C5523" s="2" t="s">
        <v>17</v>
      </c>
      <c r="D5523" s="2" t="s">
        <v>105</v>
      </c>
      <c r="E5523" s="4">
        <v>-32195</v>
      </c>
      <c r="F5523" s="3" t="s">
        <v>8457</v>
      </c>
      <c r="G5523" s="3" t="s">
        <v>468</v>
      </c>
      <c r="H5523" s="2" t="s">
        <v>148</v>
      </c>
      <c r="I5523" s="2" t="s">
        <v>14353</v>
      </c>
      <c r="J5523" s="3" t="str">
        <f>HYPERLINK("https://www.boe.es/gazeta/dias/1811/11/07/pdfs/GMD-1811-311.pdf#page=4","Abrir facsímil")</f>
        <v>Abrir facsímil</v>
      </c>
      <c r="K5523" s="3" t="s">
        <v>150</v>
      </c>
    </row>
    <row r="5524" spans="1:11" ht="42" customHeight="1">
      <c r="A5524" s="2" t="s">
        <v>14354</v>
      </c>
      <c r="B5524" s="2" t="s">
        <v>14354</v>
      </c>
      <c r="C5524" s="2" t="s">
        <v>17</v>
      </c>
      <c r="D5524" s="2" t="s">
        <v>156</v>
      </c>
      <c r="E5524" s="4">
        <v>-32190</v>
      </c>
      <c r="F5524" s="3" t="s">
        <v>85</v>
      </c>
      <c r="G5524" s="3" t="s">
        <v>498</v>
      </c>
      <c r="H5524" s="2" t="s">
        <v>148</v>
      </c>
      <c r="I5524" s="2" t="s">
        <v>14355</v>
      </c>
      <c r="J5524" s="3" t="str">
        <f>HYPERLINK("https://www.boe.es/gazeta/dias/1811/11/12/pdfs/GEI-1811-148.pdf#page=7","Abrir facsímil")</f>
        <v>Abrir facsímil</v>
      </c>
      <c r="K5524" s="3" t="s">
        <v>150</v>
      </c>
    </row>
    <row r="5525" spans="1:11" ht="42" customHeight="1">
      <c r="A5525" s="2" t="s">
        <v>14356</v>
      </c>
      <c r="B5525" s="2" t="s">
        <v>14356</v>
      </c>
      <c r="C5525" s="2" t="s">
        <v>104</v>
      </c>
      <c r="D5525" s="2" t="s">
        <v>18</v>
      </c>
      <c r="E5525" s="4">
        <v>-32468</v>
      </c>
      <c r="F5525" s="3" t="s">
        <v>11973</v>
      </c>
      <c r="G5525" s="3" t="s">
        <v>47</v>
      </c>
      <c r="H5525" s="2" t="s">
        <v>148</v>
      </c>
      <c r="I5525" s="2" t="s">
        <v>14357</v>
      </c>
      <c r="J5525" s="3" t="str">
        <f>HYPERLINK("https://www.boe.es/gazeta/dias/1811/02/07/pdfs/GMD-1811-38.pdf#page=2","Abrir facsímil")</f>
        <v>Abrir facsímil</v>
      </c>
      <c r="K5525" s="3" t="s">
        <v>150</v>
      </c>
    </row>
    <row r="5526" spans="1:11" ht="42" customHeight="1">
      <c r="A5526" s="2" t="s">
        <v>14358</v>
      </c>
      <c r="B5526" s="2" t="s">
        <v>14358</v>
      </c>
      <c r="C5526" s="2" t="s">
        <v>37</v>
      </c>
      <c r="D5526" s="2" t="s">
        <v>18</v>
      </c>
      <c r="E5526" s="4">
        <v>-32354</v>
      </c>
      <c r="F5526" s="3" t="s">
        <v>2914</v>
      </c>
      <c r="G5526" s="3" t="s">
        <v>91</v>
      </c>
      <c r="H5526" s="2" t="s">
        <v>148</v>
      </c>
      <c r="I5526" s="2" t="s">
        <v>14359</v>
      </c>
      <c r="J5526" s="3" t="str">
        <f>HYPERLINK("https://www.boe.es/gazeta/dias/1811/06/01/pdfs/GEI-1811-74.pdf#page=7","Abrir facsímil")</f>
        <v>Abrir facsímil</v>
      </c>
      <c r="K5526" s="3" t="s">
        <v>150</v>
      </c>
    </row>
    <row r="5527" spans="1:11" ht="42" customHeight="1">
      <c r="A5527" s="2" t="s">
        <v>14358</v>
      </c>
      <c r="B5527" s="2" t="s">
        <v>14358</v>
      </c>
      <c r="C5527" s="2" t="s">
        <v>17</v>
      </c>
      <c r="D5527" s="2" t="s">
        <v>18</v>
      </c>
      <c r="E5527" s="4">
        <v>-32188</v>
      </c>
      <c r="F5527" s="3" t="s">
        <v>74</v>
      </c>
      <c r="G5527" s="3" t="s">
        <v>13208</v>
      </c>
      <c r="H5527" s="2" t="s">
        <v>148</v>
      </c>
      <c r="I5527" s="2" t="s">
        <v>14360</v>
      </c>
      <c r="J5527" s="3" t="str">
        <f>HYPERLINK("https://www.boe.es/gazeta/dias/1811/11/14/pdfs/GEI-1811-149.pdf#page=5","Abrir facsímil")</f>
        <v>Abrir facsímil</v>
      </c>
      <c r="K5527" s="3" t="s">
        <v>150</v>
      </c>
    </row>
    <row r="5528" spans="1:11" ht="42" customHeight="1">
      <c r="A5528" s="2" t="s">
        <v>14361</v>
      </c>
      <c r="B5528" s="2" t="s">
        <v>14362</v>
      </c>
      <c r="C5528" s="2" t="s">
        <v>17</v>
      </c>
      <c r="D5528" s="2" t="s">
        <v>18</v>
      </c>
      <c r="E5528" s="4">
        <v>-32484</v>
      </c>
      <c r="F5528" s="3" t="s">
        <v>467</v>
      </c>
      <c r="G5528" s="3" t="s">
        <v>1957</v>
      </c>
      <c r="H5528" s="2" t="s">
        <v>148</v>
      </c>
      <c r="I5528" s="2" t="s">
        <v>14363</v>
      </c>
      <c r="J5528" s="3" t="str">
        <f>HYPERLINK("https://www.boe.es/gazeta/dias/1811/01/22/pdfs/GEI-1811-10.pdf#page=6","Abrir facsímil")</f>
        <v>Abrir facsímil</v>
      </c>
      <c r="K5528" s="3" t="s">
        <v>150</v>
      </c>
    </row>
    <row r="5529" spans="1:11" ht="42" customHeight="1">
      <c r="A5529" s="2" t="s">
        <v>14361</v>
      </c>
      <c r="B5529" s="2" t="s">
        <v>14362</v>
      </c>
      <c r="C5529" s="2" t="s">
        <v>17</v>
      </c>
      <c r="D5529" s="2" t="s">
        <v>18</v>
      </c>
      <c r="E5529" s="4">
        <v>-32470</v>
      </c>
      <c r="F5529" s="3" t="s">
        <v>1432</v>
      </c>
      <c r="G5529" s="3" t="s">
        <v>1433</v>
      </c>
      <c r="H5529" s="2" t="s">
        <v>148</v>
      </c>
      <c r="I5529" s="2" t="s">
        <v>14364</v>
      </c>
      <c r="J5529" s="3" t="str">
        <f>HYPERLINK("https://www.boe.es/gazeta/dias/1811/02/05/pdfs/GEI-1811-16.pdf#page=4","Abrir facsímil")</f>
        <v>Abrir facsímil</v>
      </c>
      <c r="K5529" s="3" t="s">
        <v>150</v>
      </c>
    </row>
    <row r="5530" spans="1:11" ht="42" customHeight="1">
      <c r="A5530" s="2" t="s">
        <v>14361</v>
      </c>
      <c r="B5530" s="2" t="s">
        <v>14362</v>
      </c>
      <c r="C5530" s="2" t="s">
        <v>17</v>
      </c>
      <c r="D5530" s="2" t="s">
        <v>18</v>
      </c>
      <c r="E5530" s="4">
        <v>-32461</v>
      </c>
      <c r="F5530" s="3" t="s">
        <v>2429</v>
      </c>
      <c r="G5530" s="3" t="s">
        <v>553</v>
      </c>
      <c r="H5530" s="2" t="s">
        <v>148</v>
      </c>
      <c r="I5530" s="2" t="s">
        <v>14365</v>
      </c>
      <c r="J5530" s="3" t="str">
        <f>HYPERLINK("https://www.boe.es/gazeta/dias/1811/02/14/pdfs/GEI-1811-20.pdf#page=1","Abrir facsímil")</f>
        <v>Abrir facsímil</v>
      </c>
      <c r="K5530" s="3" t="s">
        <v>150</v>
      </c>
    </row>
    <row r="5531" spans="1:11" ht="42" customHeight="1">
      <c r="A5531" s="2" t="s">
        <v>14361</v>
      </c>
      <c r="B5531" s="2" t="s">
        <v>14362</v>
      </c>
      <c r="C5531" s="2" t="s">
        <v>26</v>
      </c>
      <c r="D5531" s="2" t="s">
        <v>105</v>
      </c>
      <c r="E5531" s="4">
        <v>-32407</v>
      </c>
      <c r="F5531" s="3" t="s">
        <v>38</v>
      </c>
      <c r="G5531" s="3" t="s">
        <v>39</v>
      </c>
      <c r="H5531" s="2" t="s">
        <v>148</v>
      </c>
      <c r="I5531" s="2" t="s">
        <v>14366</v>
      </c>
      <c r="J5531" s="3" t="str">
        <f>HYPERLINK("https://www.boe.es/gazeta/dias/1811/04/09/pdfs/GEI-1811-48.pdf#page=3","Abrir facsímil")</f>
        <v>Abrir facsímil</v>
      </c>
      <c r="K5531" s="3" t="s">
        <v>150</v>
      </c>
    </row>
    <row r="5532" spans="1:11" ht="42" customHeight="1">
      <c r="A5532" s="2" t="s">
        <v>14367</v>
      </c>
      <c r="B5532" s="2" t="s">
        <v>14367</v>
      </c>
      <c r="C5532" s="2" t="s">
        <v>17</v>
      </c>
      <c r="D5532" s="2" t="s">
        <v>18</v>
      </c>
      <c r="E5532" s="4">
        <v>-32436</v>
      </c>
      <c r="F5532" s="3" t="s">
        <v>1972</v>
      </c>
      <c r="G5532" s="3" t="s">
        <v>178</v>
      </c>
      <c r="H5532" s="2" t="s">
        <v>148</v>
      </c>
      <c r="I5532" s="2" t="s">
        <v>14368</v>
      </c>
      <c r="J5532" s="3" t="str">
        <f>HYPERLINK("https://www.boe.es/gazeta/dias/1811/03/11/pdfs/GMD-1811-70.pdf#page=3","Abrir facsímil")</f>
        <v>Abrir facsímil</v>
      </c>
      <c r="K5532" s="3" t="s">
        <v>150</v>
      </c>
    </row>
    <row r="5533" spans="1:11" ht="42" customHeight="1">
      <c r="A5533" s="2" t="s">
        <v>14369</v>
      </c>
      <c r="B5533" s="2" t="s">
        <v>14370</v>
      </c>
      <c r="C5533" s="2" t="s">
        <v>17</v>
      </c>
      <c r="D5533" s="2" t="s">
        <v>18</v>
      </c>
      <c r="E5533" s="4">
        <v>-32375</v>
      </c>
      <c r="F5533" s="3" t="s">
        <v>1209</v>
      </c>
      <c r="G5533" s="3" t="s">
        <v>440</v>
      </c>
      <c r="H5533" s="2" t="s">
        <v>148</v>
      </c>
      <c r="I5533" s="2" t="s">
        <v>14371</v>
      </c>
      <c r="J5533" s="3" t="str">
        <f>HYPERLINK("https://www.boe.es/gazeta/dias/1811/05/11/pdfs/GEI-1811-62.pdf#page=6","Abrir facsímil")</f>
        <v>Abrir facsímil</v>
      </c>
      <c r="K5533" s="3" t="s">
        <v>150</v>
      </c>
    </row>
    <row r="5534" spans="1:11" ht="42" customHeight="1">
      <c r="A5534" s="2" t="s">
        <v>14372</v>
      </c>
      <c r="B5534" s="2" t="s">
        <v>14373</v>
      </c>
      <c r="C5534" s="2" t="s">
        <v>37</v>
      </c>
      <c r="D5534" s="2" t="s">
        <v>18</v>
      </c>
      <c r="E5534" s="4">
        <v>-32410</v>
      </c>
      <c r="F5534" s="3" t="s">
        <v>6080</v>
      </c>
      <c r="G5534" s="3" t="s">
        <v>47</v>
      </c>
      <c r="H5534" s="2" t="s">
        <v>148</v>
      </c>
      <c r="I5534" s="2" t="s">
        <v>14374</v>
      </c>
      <c r="J5534" s="3" t="str">
        <f>HYPERLINK("https://www.boe.es/gazeta/dias/1811/04/06/pdfs/GMD-1811-96.pdf#page=2","Abrir facsímil")</f>
        <v>Abrir facsímil</v>
      </c>
      <c r="K5534" s="3" t="s">
        <v>150</v>
      </c>
    </row>
    <row r="5535" spans="1:11" ht="42" customHeight="1">
      <c r="A5535" s="2" t="s">
        <v>14375</v>
      </c>
      <c r="B5535" s="2" t="s">
        <v>14375</v>
      </c>
      <c r="C5535" s="2" t="s">
        <v>17</v>
      </c>
      <c r="D5535" s="2" t="s">
        <v>18</v>
      </c>
      <c r="E5535" s="4">
        <v>-32181</v>
      </c>
      <c r="F5535" s="3" t="s">
        <v>368</v>
      </c>
      <c r="G5535" s="3" t="s">
        <v>2644</v>
      </c>
      <c r="H5535" s="2" t="s">
        <v>148</v>
      </c>
      <c r="I5535" s="2" t="s">
        <v>14376</v>
      </c>
      <c r="J5535" s="3" t="str">
        <f>HYPERLINK("https://www.boe.es/gazeta/dias/1811/11/21/pdfs/GEI-1811-152.pdf#page=1","Abrir facsímil")</f>
        <v>Abrir facsímil</v>
      </c>
      <c r="K5535" s="3" t="s">
        <v>150</v>
      </c>
    </row>
    <row r="5536" spans="1:11" ht="42" customHeight="1">
      <c r="A5536" s="2" t="s">
        <v>14377</v>
      </c>
      <c r="B5536" s="2" t="s">
        <v>14377</v>
      </c>
      <c r="C5536" s="2" t="s">
        <v>17</v>
      </c>
      <c r="D5536" s="2" t="s">
        <v>18</v>
      </c>
      <c r="E5536" s="4">
        <v>-32143</v>
      </c>
      <c r="F5536" s="3" t="s">
        <v>1455</v>
      </c>
      <c r="G5536" s="3" t="s">
        <v>284</v>
      </c>
      <c r="H5536" s="2" t="s">
        <v>148</v>
      </c>
      <c r="I5536" s="2" t="s">
        <v>14378</v>
      </c>
      <c r="J5536" s="3" t="str">
        <f>HYPERLINK("https://www.boe.es/gazeta/dias/1811/12/29/pdfs/GMD-1811-363.pdf#page=3","Abrir facsímil")</f>
        <v>Abrir facsímil</v>
      </c>
      <c r="K5536" s="3" t="s">
        <v>150</v>
      </c>
    </row>
    <row r="5537" spans="1:11" ht="42" customHeight="1">
      <c r="A5537" s="2" t="s">
        <v>14379</v>
      </c>
      <c r="B5537" s="2" t="s">
        <v>14379</v>
      </c>
      <c r="C5537" s="2" t="s">
        <v>17</v>
      </c>
      <c r="D5537" s="2" t="s">
        <v>204</v>
      </c>
      <c r="E5537" s="4">
        <v>-32168</v>
      </c>
      <c r="F5537" s="3" t="s">
        <v>14380</v>
      </c>
      <c r="G5537" s="3" t="s">
        <v>14381</v>
      </c>
      <c r="H5537" s="2" t="s">
        <v>148</v>
      </c>
      <c r="I5537" s="2" t="s">
        <v>14382</v>
      </c>
      <c r="J5537" s="3" t="str">
        <f>HYPERLINK("https://www.boe.es/gazeta/dias/1811/12/04/pdfs/GMD-1811-338.pdf#page=4","Abrir facsímil")</f>
        <v>Abrir facsímil</v>
      </c>
      <c r="K5537" s="3" t="s">
        <v>150</v>
      </c>
    </row>
    <row r="5538" spans="1:11" ht="42" customHeight="1">
      <c r="A5538" s="2" t="s">
        <v>14383</v>
      </c>
      <c r="B5538" s="2" t="s">
        <v>14383</v>
      </c>
      <c r="C5538" s="2" t="s">
        <v>17</v>
      </c>
      <c r="D5538" s="2" t="s">
        <v>18</v>
      </c>
      <c r="E5538" s="4">
        <v>-32149</v>
      </c>
      <c r="F5538" s="3" t="s">
        <v>2292</v>
      </c>
      <c r="G5538" s="3" t="s">
        <v>91</v>
      </c>
      <c r="H5538" s="2" t="s">
        <v>148</v>
      </c>
      <c r="I5538" s="2" t="s">
        <v>14384</v>
      </c>
      <c r="J5538" s="3" t="str">
        <f>HYPERLINK("https://www.boe.es/gazeta/dias/1811/12/23/pdfs/GMD-1811-357.pdf#page=3","Abrir facsímil")</f>
        <v>Abrir facsímil</v>
      </c>
      <c r="K5538" s="3" t="s">
        <v>150</v>
      </c>
    </row>
    <row r="5539" spans="1:11" ht="42" customHeight="1">
      <c r="A5539" s="2" t="s">
        <v>14385</v>
      </c>
      <c r="B5539" s="2" t="s">
        <v>14386</v>
      </c>
      <c r="C5539" s="2" t="s">
        <v>26</v>
      </c>
      <c r="D5539" s="2" t="s">
        <v>141</v>
      </c>
      <c r="E5539" s="4">
        <v>-32179</v>
      </c>
      <c r="F5539" s="3" t="s">
        <v>2924</v>
      </c>
      <c r="G5539" s="3" t="s">
        <v>2931</v>
      </c>
      <c r="H5539" s="2" t="s">
        <v>148</v>
      </c>
      <c r="I5539" s="2" t="s">
        <v>14387</v>
      </c>
      <c r="J5539" s="3" t="str">
        <f>HYPERLINK("https://www.boe.es/gazeta/dias/1811/11/23/pdfs/GEI-D-1811-153.pdf#page=4","Abrir facsímil")</f>
        <v>Abrir facsímil</v>
      </c>
      <c r="K5539" s="3" t="s">
        <v>150</v>
      </c>
    </row>
    <row r="5540" spans="1:11" ht="42" customHeight="1">
      <c r="A5540" s="2" t="s">
        <v>14388</v>
      </c>
      <c r="B5540" s="2" t="s">
        <v>14389</v>
      </c>
      <c r="C5540" s="2" t="s">
        <v>17</v>
      </c>
      <c r="D5540" s="2" t="s">
        <v>18</v>
      </c>
      <c r="E5540" s="4">
        <v>-32309</v>
      </c>
      <c r="F5540" s="3" t="s">
        <v>2496</v>
      </c>
      <c r="G5540" s="3" t="s">
        <v>47</v>
      </c>
      <c r="H5540" s="2" t="s">
        <v>148</v>
      </c>
      <c r="I5540" s="2" t="s">
        <v>14390</v>
      </c>
      <c r="J5540" s="3" t="str">
        <f>HYPERLINK("https://www.boe.es/gazeta/dias/1811/07/16/pdfs/GEI-1811-93.pdf#page=8","Abrir facsímil")</f>
        <v>Abrir facsímil</v>
      </c>
      <c r="K5540" s="3" t="s">
        <v>150</v>
      </c>
    </row>
    <row r="5541" spans="1:11" ht="42" customHeight="1">
      <c r="A5541" s="2" t="s">
        <v>14391</v>
      </c>
      <c r="B5541" s="2" t="s">
        <v>14391</v>
      </c>
      <c r="C5541" s="2" t="s">
        <v>17</v>
      </c>
      <c r="D5541" s="2" t="s">
        <v>156</v>
      </c>
      <c r="E5541" s="4">
        <v>-32494</v>
      </c>
      <c r="F5541" s="3" t="s">
        <v>3050</v>
      </c>
      <c r="G5541" s="3" t="s">
        <v>1646</v>
      </c>
      <c r="H5541" s="2" t="s">
        <v>148</v>
      </c>
      <c r="I5541" s="2" t="s">
        <v>14392</v>
      </c>
      <c r="J5541" s="3" t="str">
        <f>HYPERLINK("https://www.boe.es/gazeta/dias/1811/01/12/pdfs/GEI-1811-6.pdf#page=6","Abrir facsímil")</f>
        <v>Abrir facsímil</v>
      </c>
      <c r="K5541" s="3" t="s">
        <v>150</v>
      </c>
    </row>
    <row r="5542" spans="1:11" ht="42" customHeight="1">
      <c r="A5542" s="2" t="s">
        <v>14393</v>
      </c>
      <c r="B5542" s="2" t="s">
        <v>14394</v>
      </c>
      <c r="C5542" s="2" t="s">
        <v>26</v>
      </c>
      <c r="D5542" s="2" t="s">
        <v>18</v>
      </c>
      <c r="E5542" s="4">
        <v>-32379</v>
      </c>
      <c r="F5542" s="3" t="s">
        <v>462</v>
      </c>
      <c r="G5542" s="3" t="s">
        <v>463</v>
      </c>
      <c r="H5542" s="2" t="s">
        <v>148</v>
      </c>
      <c r="I5542" s="2" t="s">
        <v>14395</v>
      </c>
      <c r="J5542" s="3" t="str">
        <f>HYPERLINK("https://www.boe.es/gazeta/dias/1811/05/07/pdfs/GEI-1811-60.pdf#page=8","Abrir facsímil")</f>
        <v>Abrir facsímil</v>
      </c>
      <c r="K5542" s="3" t="s">
        <v>150</v>
      </c>
    </row>
    <row r="5543" spans="1:11" ht="42" customHeight="1">
      <c r="A5543" s="2" t="s">
        <v>14396</v>
      </c>
      <c r="B5543" s="2" t="s">
        <v>14396</v>
      </c>
      <c r="C5543" s="2" t="s">
        <v>17</v>
      </c>
      <c r="D5543" s="2" t="s">
        <v>156</v>
      </c>
      <c r="E5543" s="4">
        <v>-32375</v>
      </c>
      <c r="F5543" s="3" t="s">
        <v>1516</v>
      </c>
      <c r="G5543" s="3" t="s">
        <v>468</v>
      </c>
      <c r="H5543" s="2" t="s">
        <v>148</v>
      </c>
      <c r="I5543" s="2" t="s">
        <v>14397</v>
      </c>
      <c r="J5543" s="3" t="str">
        <f>HYPERLINK("https://www.boe.es/gazeta/dias/1811/05/11/pdfs/GMD-1811-131.pdf#page=2","Abrir facsímil")</f>
        <v>Abrir facsímil</v>
      </c>
      <c r="K5543" s="3" t="s">
        <v>150</v>
      </c>
    </row>
    <row r="5544" spans="1:11" ht="42" customHeight="1">
      <c r="A5544" s="2" t="s">
        <v>14398</v>
      </c>
      <c r="B5544" s="2" t="s">
        <v>14399</v>
      </c>
      <c r="C5544" s="2" t="s">
        <v>17</v>
      </c>
      <c r="D5544" s="2" t="s">
        <v>18</v>
      </c>
      <c r="E5544" s="4">
        <v>-32491</v>
      </c>
      <c r="F5544" s="3" t="s">
        <v>533</v>
      </c>
      <c r="G5544" s="3" t="s">
        <v>510</v>
      </c>
      <c r="H5544" s="2" t="s">
        <v>148</v>
      </c>
      <c r="I5544" s="2" t="s">
        <v>14400</v>
      </c>
      <c r="J5544" s="3" t="str">
        <f>HYPERLINK("https://www.boe.es/gazeta/dias/1811/01/15/pdfs/GEI-1811-7.pdf#page=8","Abrir facsímil")</f>
        <v>Abrir facsímil</v>
      </c>
      <c r="K5544" s="3" t="s">
        <v>150</v>
      </c>
    </row>
    <row r="5545" spans="1:11" ht="42" customHeight="1">
      <c r="A5545" s="2" t="s">
        <v>14398</v>
      </c>
      <c r="B5545" s="2" t="s">
        <v>14399</v>
      </c>
      <c r="C5545" s="2" t="s">
        <v>17</v>
      </c>
      <c r="D5545" s="2" t="s">
        <v>156</v>
      </c>
      <c r="E5545" s="4">
        <v>-32491</v>
      </c>
      <c r="F5545" s="3" t="s">
        <v>533</v>
      </c>
      <c r="G5545" s="3" t="s">
        <v>1928</v>
      </c>
      <c r="H5545" s="2" t="s">
        <v>148</v>
      </c>
      <c r="I5545" s="2" t="s">
        <v>14401</v>
      </c>
      <c r="J5545" s="3" t="str">
        <f>HYPERLINK("https://www.boe.es/gazeta/dias/1811/01/15/pdfs/GEI-1811-7.pdf#page=10","Abrir facsímil")</f>
        <v>Abrir facsímil</v>
      </c>
      <c r="K5545" s="3" t="s">
        <v>150</v>
      </c>
    </row>
    <row r="5546" spans="1:11" ht="42" customHeight="1">
      <c r="A5546" s="2" t="s">
        <v>14402</v>
      </c>
      <c r="B5546" s="2" t="s">
        <v>14403</v>
      </c>
      <c r="C5546" s="2" t="s">
        <v>26</v>
      </c>
      <c r="D5546" s="2" t="s">
        <v>18</v>
      </c>
      <c r="E5546" s="4">
        <v>-32496</v>
      </c>
      <c r="F5546" s="3" t="s">
        <v>1927</v>
      </c>
      <c r="G5546" s="3" t="s">
        <v>1184</v>
      </c>
      <c r="H5546" s="2" t="s">
        <v>148</v>
      </c>
      <c r="I5546" s="2" t="s">
        <v>14404</v>
      </c>
      <c r="J5546" s="3" t="str">
        <f>HYPERLINK("https://www.boe.es/gazeta/dias/1811/01/10/pdfs/GEI-1811-5.pdf#page=5","Abrir facsímil")</f>
        <v>Abrir facsímil</v>
      </c>
      <c r="K5546" s="3" t="s">
        <v>150</v>
      </c>
    </row>
    <row r="5547" spans="1:11" ht="42" customHeight="1">
      <c r="A5547" s="2" t="s">
        <v>14405</v>
      </c>
      <c r="B5547" s="2" t="s">
        <v>14406</v>
      </c>
      <c r="C5547" s="2" t="s">
        <v>26</v>
      </c>
      <c r="D5547" s="2" t="s">
        <v>18</v>
      </c>
      <c r="E5547" s="4">
        <v>-32235</v>
      </c>
      <c r="F5547" s="3" t="s">
        <v>190</v>
      </c>
      <c r="G5547" s="3" t="s">
        <v>188</v>
      </c>
      <c r="H5547" s="2" t="s">
        <v>148</v>
      </c>
      <c r="I5547" s="2" t="s">
        <v>14407</v>
      </c>
      <c r="J5547" s="3" t="str">
        <f>HYPERLINK("https://www.boe.es/gazeta/dias/1811/09/28/pdfs/GEI-1811-125.pdf#page=8","Abrir facsímil")</f>
        <v>Abrir facsímil</v>
      </c>
      <c r="K5547" s="3" t="s">
        <v>150</v>
      </c>
    </row>
    <row r="5548" spans="1:11" ht="42" customHeight="1">
      <c r="A5548" s="2" t="s">
        <v>14408</v>
      </c>
      <c r="B5548" s="2" t="s">
        <v>14409</v>
      </c>
      <c r="C5548" s="2" t="s">
        <v>17</v>
      </c>
      <c r="D5548" s="2" t="s">
        <v>18</v>
      </c>
      <c r="E5548" s="4">
        <v>-32300</v>
      </c>
      <c r="F5548" s="3" t="s">
        <v>61</v>
      </c>
      <c r="G5548" s="3" t="s">
        <v>62</v>
      </c>
      <c r="H5548" s="2" t="s">
        <v>148</v>
      </c>
      <c r="I5548" s="2" t="s">
        <v>14410</v>
      </c>
      <c r="J5548" s="3" t="str">
        <f>HYPERLINK("https://www.boe.es/gazeta/dias/1811/07/25/pdfs/GEI-1811-97.pdf#page=5","Abrir facsímil")</f>
        <v>Abrir facsímil</v>
      </c>
      <c r="K5548" s="3" t="s">
        <v>150</v>
      </c>
    </row>
    <row r="5549" spans="1:11" ht="42" customHeight="1">
      <c r="A5549" s="2" t="s">
        <v>14411</v>
      </c>
      <c r="B5549" s="2" t="s">
        <v>14412</v>
      </c>
      <c r="C5549" s="2" t="s">
        <v>26</v>
      </c>
      <c r="D5549" s="2" t="s">
        <v>18</v>
      </c>
      <c r="E5549" s="4">
        <v>-32288</v>
      </c>
      <c r="F5549" s="3" t="s">
        <v>95</v>
      </c>
      <c r="G5549" s="3" t="s">
        <v>47</v>
      </c>
      <c r="H5549" s="2" t="s">
        <v>148</v>
      </c>
      <c r="I5549" s="2" t="s">
        <v>14413</v>
      </c>
      <c r="J5549" s="3" t="str">
        <f>HYPERLINK("https://www.boe.es/gazeta/dias/1811/08/06/pdfs/GEI-1811-102.pdf#page=8","Abrir facsímil")</f>
        <v>Abrir facsímil</v>
      </c>
      <c r="K5549" s="3" t="s">
        <v>150</v>
      </c>
    </row>
    <row r="5550" spans="1:11" ht="42" customHeight="1">
      <c r="A5550" s="2" t="s">
        <v>14414</v>
      </c>
      <c r="B5550" s="2" t="s">
        <v>14415</v>
      </c>
      <c r="C5550" s="2" t="s">
        <v>84</v>
      </c>
      <c r="D5550" s="2" t="s">
        <v>105</v>
      </c>
      <c r="E5550" s="4">
        <v>-32242</v>
      </c>
      <c r="F5550" s="3" t="s">
        <v>1295</v>
      </c>
      <c r="G5550" s="3" t="s">
        <v>1296</v>
      </c>
      <c r="H5550" s="2" t="s">
        <v>148</v>
      </c>
      <c r="I5550" s="2" t="s">
        <v>14416</v>
      </c>
      <c r="J5550" s="3" t="str">
        <f>HYPERLINK("https://www.boe.es/gazeta/dias/1811/09/21/pdfs/GEI-1811-122.pdf#page=8","Abrir facsímil")</f>
        <v>Abrir facsímil</v>
      </c>
      <c r="K5550" s="3" t="s">
        <v>150</v>
      </c>
    </row>
    <row r="5551" spans="1:11" ht="42" customHeight="1">
      <c r="A5551" s="2" t="s">
        <v>14417</v>
      </c>
      <c r="B5551" s="2" t="s">
        <v>14418</v>
      </c>
      <c r="C5551" s="2" t="s">
        <v>26</v>
      </c>
      <c r="D5551" s="2" t="s">
        <v>105</v>
      </c>
      <c r="E5551" s="4">
        <v>-32200</v>
      </c>
      <c r="F5551" s="3" t="s">
        <v>109</v>
      </c>
      <c r="G5551" s="3" t="s">
        <v>268</v>
      </c>
      <c r="H5551" s="2" t="s">
        <v>148</v>
      </c>
      <c r="I5551" s="2" t="s">
        <v>14419</v>
      </c>
      <c r="J5551" s="3" t="str">
        <f>HYPERLINK("https://www.boe.es/gazeta/dias/1811/11/02/pdfs/GEI-1811-141.pdf#page=7","Abrir facsímil")</f>
        <v>Abrir facsímil</v>
      </c>
      <c r="K5551" s="3" t="s">
        <v>150</v>
      </c>
    </row>
    <row r="5552" spans="1:11" ht="42" customHeight="1">
      <c r="A5552" s="2" t="s">
        <v>14420</v>
      </c>
      <c r="B5552" s="2" t="s">
        <v>14420</v>
      </c>
      <c r="C5552" s="2" t="s">
        <v>26</v>
      </c>
      <c r="D5552" s="2" t="s">
        <v>18</v>
      </c>
      <c r="E5552" s="4">
        <v>-32188</v>
      </c>
      <c r="F5552" s="3" t="s">
        <v>356</v>
      </c>
      <c r="G5552" s="3" t="s">
        <v>468</v>
      </c>
      <c r="H5552" s="2" t="s">
        <v>148</v>
      </c>
      <c r="I5552" s="2" t="s">
        <v>14421</v>
      </c>
      <c r="J5552" s="3" t="str">
        <f>HYPERLINK("https://www.boe.es/gazeta/dias/1811/11/14/pdfs/GMD-1811-318.pdf#page=6","Abrir facsímil")</f>
        <v>Abrir facsímil</v>
      </c>
      <c r="K5552" s="3" t="s">
        <v>150</v>
      </c>
    </row>
    <row r="5553" spans="1:11" ht="42" customHeight="1">
      <c r="A5553" s="2" t="s">
        <v>14422</v>
      </c>
      <c r="B5553" s="2" t="s">
        <v>14423</v>
      </c>
      <c r="C5553" s="2" t="s">
        <v>17</v>
      </c>
      <c r="D5553" s="2" t="s">
        <v>18</v>
      </c>
      <c r="E5553" s="4">
        <v>-32487</v>
      </c>
      <c r="F5553" s="3" t="s">
        <v>842</v>
      </c>
      <c r="G5553" s="3" t="s">
        <v>440</v>
      </c>
      <c r="H5553" s="2" t="s">
        <v>148</v>
      </c>
      <c r="I5553" s="2" t="s">
        <v>14424</v>
      </c>
      <c r="J5553" s="3" t="str">
        <f>HYPERLINK("https://www.boe.es/gazeta/dias/1811/01/19/pdfs/GEI-1811-9.pdf#page=2","Abrir facsímil")</f>
        <v>Abrir facsímil</v>
      </c>
      <c r="K5553" s="3" t="s">
        <v>150</v>
      </c>
    </row>
    <row r="5554" spans="1:11" ht="42" customHeight="1">
      <c r="A5554" s="2" t="s">
        <v>14425</v>
      </c>
      <c r="B5554" s="2" t="s">
        <v>14425</v>
      </c>
      <c r="C5554" s="2" t="s">
        <v>26</v>
      </c>
      <c r="D5554" s="2" t="s">
        <v>204</v>
      </c>
      <c r="E5554" s="4">
        <v>-32181</v>
      </c>
      <c r="F5554" s="3" t="s">
        <v>1169</v>
      </c>
      <c r="G5554" s="3" t="s">
        <v>6114</v>
      </c>
      <c r="H5554" s="2" t="s">
        <v>148</v>
      </c>
      <c r="I5554" s="2" t="s">
        <v>14426</v>
      </c>
      <c r="J5554" s="3" t="str">
        <f>HYPERLINK("https://www.boe.es/gazeta/dias/1811/11/21/pdfs/GMD-1811-325.pdf#page=1","Abrir facsímil")</f>
        <v>Abrir facsímil</v>
      </c>
      <c r="K5554" s="3" t="s">
        <v>150</v>
      </c>
    </row>
    <row r="5555" spans="1:11" ht="42" customHeight="1">
      <c r="A5555" s="2" t="s">
        <v>14427</v>
      </c>
      <c r="B5555" s="2" t="s">
        <v>14427</v>
      </c>
      <c r="C5555" s="2" t="s">
        <v>17</v>
      </c>
      <c r="D5555" s="2" t="s">
        <v>18</v>
      </c>
      <c r="E5555" s="4">
        <v>-32288</v>
      </c>
      <c r="F5555" s="3" t="s">
        <v>14428</v>
      </c>
      <c r="G5555" s="3" t="s">
        <v>162</v>
      </c>
      <c r="H5555" s="2" t="s">
        <v>148</v>
      </c>
      <c r="I5555" s="2" t="s">
        <v>14429</v>
      </c>
      <c r="J5555" s="3" t="str">
        <f>HYPERLINK("https://www.boe.es/gazeta/dias/1811/08/06/pdfs/GMD-1811-218.pdf#page=4","Abrir facsímil")</f>
        <v>Abrir facsímil</v>
      </c>
      <c r="K5555" s="3" t="s">
        <v>150</v>
      </c>
    </row>
    <row r="5556" spans="1:11" ht="42" customHeight="1">
      <c r="A5556" s="2" t="s">
        <v>14430</v>
      </c>
      <c r="B5556" s="2" t="s">
        <v>14431</v>
      </c>
      <c r="C5556" s="2" t="s">
        <v>26</v>
      </c>
      <c r="D5556" s="2" t="s">
        <v>18</v>
      </c>
      <c r="E5556" s="4">
        <v>-32200</v>
      </c>
      <c r="F5556" s="3" t="s">
        <v>109</v>
      </c>
      <c r="G5556" s="3" t="s">
        <v>268</v>
      </c>
      <c r="H5556" s="2" t="s">
        <v>148</v>
      </c>
      <c r="I5556" s="2" t="s">
        <v>14432</v>
      </c>
      <c r="J5556" s="3" t="str">
        <f>HYPERLINK("https://www.boe.es/gazeta/dias/1811/11/02/pdfs/GEI-1811-141.pdf#page=7","Abrir facsímil")</f>
        <v>Abrir facsímil</v>
      </c>
      <c r="K5556" s="3" t="s">
        <v>150</v>
      </c>
    </row>
    <row r="5557" spans="1:11" ht="42" customHeight="1">
      <c r="A5557" s="2" t="s">
        <v>14433</v>
      </c>
      <c r="B5557" s="2" t="s">
        <v>14434</v>
      </c>
      <c r="C5557" s="2" t="s">
        <v>17</v>
      </c>
      <c r="D5557" s="2" t="s">
        <v>18</v>
      </c>
      <c r="E5557" s="4">
        <v>-32309</v>
      </c>
      <c r="F5557" s="3" t="s">
        <v>2496</v>
      </c>
      <c r="G5557" s="3" t="s">
        <v>47</v>
      </c>
      <c r="H5557" s="2" t="s">
        <v>148</v>
      </c>
      <c r="I5557" s="2" t="s">
        <v>14435</v>
      </c>
      <c r="J5557" s="3" t="str">
        <f>HYPERLINK("https://www.boe.es/gazeta/dias/1811/07/16/pdfs/GEI-1811-93.pdf#page=8","Abrir facsímil")</f>
        <v>Abrir facsímil</v>
      </c>
      <c r="K5557" s="3" t="s">
        <v>150</v>
      </c>
    </row>
    <row r="5558" spans="1:11" ht="42" customHeight="1">
      <c r="A5558" s="2" t="s">
        <v>14436</v>
      </c>
      <c r="B5558" s="2" t="s">
        <v>14437</v>
      </c>
      <c r="C5558" s="2" t="s">
        <v>26</v>
      </c>
      <c r="D5558" s="2" t="s">
        <v>18</v>
      </c>
      <c r="E5558" s="4">
        <v>-32141</v>
      </c>
      <c r="F5558" s="3" t="s">
        <v>327</v>
      </c>
      <c r="G5558" s="3" t="s">
        <v>20</v>
      </c>
      <c r="H5558" s="2" t="s">
        <v>148</v>
      </c>
      <c r="I5558" s="2" t="s">
        <v>14438</v>
      </c>
      <c r="J5558" s="3" t="str">
        <f>HYPERLINK("https://www.boe.es/gazeta/dias/1811/12/31/pdfs/GMD-1811-365.pdf#page=4","Abrir facsímil")</f>
        <v>Abrir facsímil</v>
      </c>
      <c r="K5558" s="3" t="s">
        <v>150</v>
      </c>
    </row>
    <row r="5559" spans="1:11" ht="42" customHeight="1">
      <c r="A5559" s="2" t="s">
        <v>14439</v>
      </c>
      <c r="B5559" s="2" t="s">
        <v>14439</v>
      </c>
      <c r="C5559" s="2" t="s">
        <v>17</v>
      </c>
      <c r="D5559" s="2" t="s">
        <v>18</v>
      </c>
      <c r="E5559" s="4">
        <v>-32265</v>
      </c>
      <c r="F5559" s="3" t="s">
        <v>2375</v>
      </c>
      <c r="G5559" s="3" t="s">
        <v>20</v>
      </c>
      <c r="H5559" s="2" t="s">
        <v>148</v>
      </c>
      <c r="I5559" s="2" t="s">
        <v>14440</v>
      </c>
      <c r="J5559" s="3" t="str">
        <f>HYPERLINK("https://www.boe.es/gazeta/dias/1811/08/29/pdfs/GEI-1811-112.pdf#page=2","Abrir facsímil")</f>
        <v>Abrir facsímil</v>
      </c>
      <c r="K5559" s="3" t="s">
        <v>150</v>
      </c>
    </row>
    <row r="5560" spans="1:11" ht="42" customHeight="1">
      <c r="A5560" s="2" t="s">
        <v>14441</v>
      </c>
      <c r="B5560" s="2" t="s">
        <v>14442</v>
      </c>
      <c r="C5560" s="2" t="s">
        <v>17</v>
      </c>
      <c r="D5560" s="2" t="s">
        <v>18</v>
      </c>
      <c r="E5560" s="4">
        <v>-32426</v>
      </c>
      <c r="F5560" s="3" t="s">
        <v>2729</v>
      </c>
      <c r="G5560" s="3" t="s">
        <v>20</v>
      </c>
      <c r="H5560" s="2" t="s">
        <v>21</v>
      </c>
      <c r="I5560" s="2" t="s">
        <v>14443</v>
      </c>
      <c r="J5560" s="3" t="str">
        <f>HYPERLINK("https://www.boe.es/gazeta/dias/1811/03/21/pdfs/GEI-1811-40.pdf#page=3","Abrir facsímil")</f>
        <v>Abrir facsímil</v>
      </c>
      <c r="K5560" s="3" t="s">
        <v>23</v>
      </c>
    </row>
    <row r="5561" spans="1:11" ht="42" customHeight="1">
      <c r="A5561" s="2" t="s">
        <v>14441</v>
      </c>
      <c r="B5561" s="2" t="s">
        <v>14442</v>
      </c>
      <c r="C5561" s="2" t="s">
        <v>17</v>
      </c>
      <c r="D5561" s="2" t="s">
        <v>18</v>
      </c>
      <c r="E5561" s="4">
        <v>-32176</v>
      </c>
      <c r="F5561" s="3" t="s">
        <v>638</v>
      </c>
      <c r="G5561" s="3" t="s">
        <v>47</v>
      </c>
      <c r="H5561" s="2" t="s">
        <v>21</v>
      </c>
      <c r="I5561" s="2" t="s">
        <v>14444</v>
      </c>
      <c r="J5561" s="3" t="str">
        <f>HYPERLINK("https://www.boe.es/gazeta/dias/1811/11/26/pdfs/GEI-1811-154.pdf#page=5","Abrir facsímil")</f>
        <v>Abrir facsímil</v>
      </c>
      <c r="K5561" s="3" t="s">
        <v>23</v>
      </c>
    </row>
    <row r="5562" spans="1:11" ht="42" customHeight="1">
      <c r="A5562" s="2" t="s">
        <v>14445</v>
      </c>
      <c r="B5562" s="2" t="s">
        <v>14446</v>
      </c>
      <c r="C5562" s="2" t="s">
        <v>17</v>
      </c>
      <c r="D5562" s="2" t="s">
        <v>18</v>
      </c>
      <c r="E5562" s="4">
        <v>-32188</v>
      </c>
      <c r="F5562" s="3" t="s">
        <v>74</v>
      </c>
      <c r="G5562" s="3" t="s">
        <v>530</v>
      </c>
      <c r="H5562" s="2" t="s">
        <v>148</v>
      </c>
      <c r="I5562" s="2" t="s">
        <v>14447</v>
      </c>
      <c r="J5562" s="3" t="str">
        <f>HYPERLINK("https://www.boe.es/gazeta/dias/1811/11/14/pdfs/GEI-1811-149.pdf#page=6","Abrir facsímil")</f>
        <v>Abrir facsímil</v>
      </c>
      <c r="K5562" s="3" t="s">
        <v>150</v>
      </c>
    </row>
    <row r="5563" spans="1:11" ht="42" customHeight="1">
      <c r="A5563" s="2" t="s">
        <v>14448</v>
      </c>
      <c r="B5563" s="2" t="s">
        <v>14449</v>
      </c>
      <c r="C5563" s="2" t="s">
        <v>17</v>
      </c>
      <c r="D5563" s="2" t="s">
        <v>18</v>
      </c>
      <c r="E5563" s="4">
        <v>-32344</v>
      </c>
      <c r="F5563" s="3" t="s">
        <v>761</v>
      </c>
      <c r="G5563" s="3" t="s">
        <v>762</v>
      </c>
      <c r="H5563" s="2" t="s">
        <v>148</v>
      </c>
      <c r="I5563" s="2" t="s">
        <v>14450</v>
      </c>
      <c r="J5563" s="3" t="str">
        <f>HYPERLINK("https://www.boe.es/gazeta/dias/1811/06/11/pdfs/GEI-1811-78.pdf#page=4","Abrir facsímil")</f>
        <v>Abrir facsímil</v>
      </c>
      <c r="K5563" s="3" t="s">
        <v>150</v>
      </c>
    </row>
    <row r="5564" spans="1:11" ht="42" customHeight="1">
      <c r="A5564" s="2" t="s">
        <v>14448</v>
      </c>
      <c r="B5564" s="2" t="s">
        <v>14449</v>
      </c>
      <c r="C5564" s="2" t="s">
        <v>17</v>
      </c>
      <c r="D5564" s="2" t="s">
        <v>18</v>
      </c>
      <c r="E5564" s="4">
        <v>-32300</v>
      </c>
      <c r="F5564" s="3" t="s">
        <v>61</v>
      </c>
      <c r="G5564" s="3" t="s">
        <v>14451</v>
      </c>
      <c r="H5564" s="2" t="s">
        <v>148</v>
      </c>
      <c r="I5564" s="2" t="s">
        <v>14452</v>
      </c>
      <c r="J5564" s="3" t="str">
        <f>HYPERLINK("https://www.boe.es/gazeta/dias/1811/07/25/pdfs/GEI-1811-97.pdf#page=7","Abrir facsímil")</f>
        <v>Abrir facsímil</v>
      </c>
      <c r="K5564" s="3" t="s">
        <v>150</v>
      </c>
    </row>
    <row r="5565" spans="1:11" ht="42" customHeight="1">
      <c r="A5565" s="2" t="s">
        <v>14453</v>
      </c>
      <c r="B5565" s="2" t="s">
        <v>14454</v>
      </c>
      <c r="C5565" s="2" t="s">
        <v>26</v>
      </c>
      <c r="D5565" s="2" t="s">
        <v>18</v>
      </c>
      <c r="E5565" s="4">
        <v>-32155</v>
      </c>
      <c r="F5565" s="3" t="s">
        <v>263</v>
      </c>
      <c r="G5565" s="3" t="s">
        <v>1800</v>
      </c>
      <c r="H5565" s="2" t="s">
        <v>148</v>
      </c>
      <c r="I5565" s="2" t="s">
        <v>14455</v>
      </c>
      <c r="J5565" s="3" t="str">
        <f>HYPERLINK("https://www.boe.es/gazeta/dias/1811/12/17/pdfs/GEI-1811-163.pdf#page=7","Abrir facsímil")</f>
        <v>Abrir facsímil</v>
      </c>
      <c r="K5565" s="3" t="s">
        <v>150</v>
      </c>
    </row>
    <row r="5566" spans="1:11" ht="42" customHeight="1">
      <c r="A5566" s="2" t="s">
        <v>14456</v>
      </c>
      <c r="B5566" s="2" t="s">
        <v>14457</v>
      </c>
      <c r="C5566" s="2" t="s">
        <v>26</v>
      </c>
      <c r="D5566" s="2" t="s">
        <v>18</v>
      </c>
      <c r="E5566" s="4">
        <v>-32326</v>
      </c>
      <c r="F5566" s="3" t="s">
        <v>43</v>
      </c>
      <c r="G5566" s="3" t="s">
        <v>44</v>
      </c>
      <c r="H5566" s="2" t="s">
        <v>148</v>
      </c>
      <c r="I5566" s="2" t="s">
        <v>14458</v>
      </c>
      <c r="J5566" s="3" t="str">
        <f>HYPERLINK("https://www.boe.es/gazeta/dias/1811/06/29/pdfs/GEI-1811-86.pdf#page=6","Abrir facsímil")</f>
        <v>Abrir facsímil</v>
      </c>
      <c r="K5566" s="3" t="s">
        <v>150</v>
      </c>
    </row>
    <row r="5567" spans="1:11" ht="42" customHeight="1">
      <c r="A5567" s="2" t="s">
        <v>14459</v>
      </c>
      <c r="B5567" s="2" t="s">
        <v>14460</v>
      </c>
      <c r="C5567" s="2" t="s">
        <v>17</v>
      </c>
      <c r="D5567" s="2" t="s">
        <v>18</v>
      </c>
      <c r="E5567" s="4">
        <v>-32363</v>
      </c>
      <c r="F5567" s="3" t="s">
        <v>1645</v>
      </c>
      <c r="G5567" s="3" t="s">
        <v>1646</v>
      </c>
      <c r="H5567" s="2" t="s">
        <v>148</v>
      </c>
      <c r="I5567" s="2" t="s">
        <v>14461</v>
      </c>
      <c r="J5567" s="3" t="str">
        <f>HYPERLINK("https://www.boe.es/gazeta/dias/1811/05/23/pdfs/GEI-1811-68.pdf#page=8","Abrir facsímil")</f>
        <v>Abrir facsímil</v>
      </c>
      <c r="K5567" s="3" t="s">
        <v>150</v>
      </c>
    </row>
    <row r="5568" spans="1:11" ht="42" customHeight="1">
      <c r="A5568" s="2" t="s">
        <v>14462</v>
      </c>
      <c r="B5568" s="2" t="s">
        <v>14463</v>
      </c>
      <c r="C5568" s="2" t="s">
        <v>26</v>
      </c>
      <c r="D5568" s="2" t="s">
        <v>18</v>
      </c>
      <c r="E5568" s="4">
        <v>-32188</v>
      </c>
      <c r="F5568" s="3" t="s">
        <v>356</v>
      </c>
      <c r="G5568" s="3" t="s">
        <v>248</v>
      </c>
      <c r="H5568" s="2" t="s">
        <v>21</v>
      </c>
      <c r="I5568" s="2" t="s">
        <v>14464</v>
      </c>
      <c r="J5568" s="3" t="str">
        <f>HYPERLINK("https://www.boe.es/gazeta/dias/1811/11/14/pdfs/GMD-1811-318.pdf#page=5","Abrir facsímil")</f>
        <v>Abrir facsímil</v>
      </c>
      <c r="K5568" s="3" t="s">
        <v>23</v>
      </c>
    </row>
    <row r="5569" spans="1:11" ht="42" customHeight="1">
      <c r="A5569" s="2" t="s">
        <v>14465</v>
      </c>
      <c r="B5569" s="2" t="s">
        <v>14465</v>
      </c>
      <c r="C5569" s="2" t="s">
        <v>26</v>
      </c>
      <c r="D5569" s="2" t="s">
        <v>18</v>
      </c>
      <c r="E5569" s="4">
        <v>-32484</v>
      </c>
      <c r="F5569" s="3" t="s">
        <v>467</v>
      </c>
      <c r="G5569" s="3" t="s">
        <v>875</v>
      </c>
      <c r="H5569" s="2" t="s">
        <v>148</v>
      </c>
      <c r="I5569" s="2" t="s">
        <v>14466</v>
      </c>
      <c r="J5569" s="3" t="str">
        <f>HYPERLINK("https://www.boe.es/gazeta/dias/1811/01/22/pdfs/GEI-1811-10.pdf#page=4","Abrir facsímil")</f>
        <v>Abrir facsímil</v>
      </c>
      <c r="K5569" s="3" t="s">
        <v>150</v>
      </c>
    </row>
    <row r="5570" spans="1:11" ht="42" customHeight="1">
      <c r="A5570" s="2" t="s">
        <v>14465</v>
      </c>
      <c r="B5570" s="2" t="s">
        <v>14465</v>
      </c>
      <c r="C5570" s="2" t="s">
        <v>37</v>
      </c>
      <c r="D5570" s="2" t="s">
        <v>18</v>
      </c>
      <c r="E5570" s="4">
        <v>-32433</v>
      </c>
      <c r="F5570" s="3" t="s">
        <v>209</v>
      </c>
      <c r="G5570" s="3" t="s">
        <v>488</v>
      </c>
      <c r="H5570" s="2" t="s">
        <v>148</v>
      </c>
      <c r="I5570" s="2" t="s">
        <v>14467</v>
      </c>
      <c r="J5570" s="3" t="str">
        <f>HYPERLINK("https://www.boe.es/gazeta/dias/1811/03/14/pdfs/GMD-1811-73.pdf#page=2","Abrir facsímil")</f>
        <v>Abrir facsímil</v>
      </c>
      <c r="K5570" s="3" t="s">
        <v>150</v>
      </c>
    </row>
    <row r="5571" spans="1:11" ht="42" customHeight="1">
      <c r="A5571" s="2" t="s">
        <v>14465</v>
      </c>
      <c r="B5571" s="2" t="s">
        <v>14465</v>
      </c>
      <c r="C5571" s="2" t="s">
        <v>17</v>
      </c>
      <c r="D5571" s="2" t="s">
        <v>156</v>
      </c>
      <c r="E5571" s="4">
        <v>-32428</v>
      </c>
      <c r="F5571" s="3" t="s">
        <v>351</v>
      </c>
      <c r="G5571" s="3" t="s">
        <v>57</v>
      </c>
      <c r="H5571" s="2" t="s">
        <v>148</v>
      </c>
      <c r="I5571" s="2" t="s">
        <v>14468</v>
      </c>
      <c r="J5571" s="3" t="str">
        <f>HYPERLINK("https://www.boe.es/gazeta/dias/1811/03/19/pdfs/GMD-1811-78.pdf#page=2","Abrir facsímil")</f>
        <v>Abrir facsímil</v>
      </c>
      <c r="K5571" s="3" t="s">
        <v>150</v>
      </c>
    </row>
    <row r="5572" spans="1:11" ht="42" customHeight="1">
      <c r="A5572" s="2" t="s">
        <v>14465</v>
      </c>
      <c r="B5572" s="2" t="s">
        <v>14465</v>
      </c>
      <c r="C5572" s="2" t="s">
        <v>17</v>
      </c>
      <c r="D5572" s="2" t="s">
        <v>156</v>
      </c>
      <c r="E5572" s="4">
        <v>-32428</v>
      </c>
      <c r="F5572" s="3" t="s">
        <v>351</v>
      </c>
      <c r="G5572" s="3" t="s">
        <v>115</v>
      </c>
      <c r="H5572" s="2" t="s">
        <v>148</v>
      </c>
      <c r="I5572" s="2" t="s">
        <v>14469</v>
      </c>
      <c r="J5572" s="3" t="str">
        <f>HYPERLINK("https://www.boe.es/gazeta/dias/1811/03/19/pdfs/GMD-1811-78.pdf#page=3","Abrir facsímil")</f>
        <v>Abrir facsímil</v>
      </c>
      <c r="K5572" s="3" t="s">
        <v>150</v>
      </c>
    </row>
    <row r="5573" spans="1:11" ht="42" customHeight="1">
      <c r="A5573" s="2" t="s">
        <v>14465</v>
      </c>
      <c r="B5573" s="2" t="s">
        <v>14465</v>
      </c>
      <c r="C5573" s="2" t="s">
        <v>17</v>
      </c>
      <c r="D5573" s="2" t="s">
        <v>156</v>
      </c>
      <c r="E5573" s="4">
        <v>-32428</v>
      </c>
      <c r="F5573" s="3" t="s">
        <v>351</v>
      </c>
      <c r="G5573" s="3" t="s">
        <v>352</v>
      </c>
      <c r="H5573" s="2" t="s">
        <v>148</v>
      </c>
      <c r="I5573" s="2" t="s">
        <v>14470</v>
      </c>
      <c r="J5573" s="3" t="str">
        <f>HYPERLINK("https://www.boe.es/gazeta/dias/1811/03/19/pdfs/GMD-1811-78.pdf#page=4","Abrir facsímil")</f>
        <v>Abrir facsímil</v>
      </c>
      <c r="K5573" s="3" t="s">
        <v>150</v>
      </c>
    </row>
    <row r="5574" spans="1:11" ht="42" customHeight="1">
      <c r="A5574" s="2" t="s">
        <v>14465</v>
      </c>
      <c r="B5574" s="2" t="s">
        <v>14465</v>
      </c>
      <c r="C5574" s="2" t="s">
        <v>26</v>
      </c>
      <c r="D5574" s="2" t="s">
        <v>141</v>
      </c>
      <c r="E5574" s="4">
        <v>-32355</v>
      </c>
      <c r="F5574" s="3" t="s">
        <v>537</v>
      </c>
      <c r="G5574" s="3" t="s">
        <v>2225</v>
      </c>
      <c r="H5574" s="2" t="s">
        <v>148</v>
      </c>
      <c r="I5574" s="2" t="s">
        <v>14471</v>
      </c>
      <c r="J5574" s="3" t="str">
        <f>HYPERLINK("https://www.boe.es/gazeta/dias/1811/05/31/pdfs/GMD-C-1811-151.pdf#page=5","Abrir facsímil")</f>
        <v>Abrir facsímil</v>
      </c>
      <c r="K5574" s="3" t="s">
        <v>150</v>
      </c>
    </row>
    <row r="5575" spans="1:11" ht="42" customHeight="1">
      <c r="A5575" s="2" t="s">
        <v>14465</v>
      </c>
      <c r="B5575" s="2" t="s">
        <v>14465</v>
      </c>
      <c r="C5575" s="2" t="s">
        <v>17</v>
      </c>
      <c r="D5575" s="2" t="s">
        <v>156</v>
      </c>
      <c r="E5575" s="4">
        <v>-32305</v>
      </c>
      <c r="F5575" s="3" t="s">
        <v>1575</v>
      </c>
      <c r="G5575" s="3" t="s">
        <v>1054</v>
      </c>
      <c r="H5575" s="2" t="s">
        <v>148</v>
      </c>
      <c r="I5575" s="2" t="s">
        <v>14472</v>
      </c>
      <c r="J5575" s="3" t="str">
        <f>HYPERLINK("https://www.boe.es/gazeta/dias/1811/07/20/pdfs/GEI-1811-95.pdf#page=3","Abrir facsímil")</f>
        <v>Abrir facsímil</v>
      </c>
      <c r="K5575" s="3" t="s">
        <v>150</v>
      </c>
    </row>
    <row r="5576" spans="1:11" ht="42" customHeight="1">
      <c r="A5576" s="2" t="s">
        <v>14465</v>
      </c>
      <c r="B5576" s="2" t="s">
        <v>14465</v>
      </c>
      <c r="C5576" s="2" t="s">
        <v>841</v>
      </c>
      <c r="D5576" s="2" t="s">
        <v>18</v>
      </c>
      <c r="E5576" s="4">
        <v>-32288</v>
      </c>
      <c r="F5576" s="3" t="s">
        <v>95</v>
      </c>
      <c r="G5576" s="3" t="s">
        <v>476</v>
      </c>
      <c r="H5576" s="2" t="s">
        <v>148</v>
      </c>
      <c r="I5576" s="2" t="s">
        <v>14473</v>
      </c>
      <c r="J5576" s="3" t="str">
        <f>HYPERLINK("https://www.boe.es/gazeta/dias/1811/08/06/pdfs/GEI-1811-102.pdf#page=7","Abrir facsímil")</f>
        <v>Abrir facsímil</v>
      </c>
      <c r="K5576" s="3" t="s">
        <v>150</v>
      </c>
    </row>
    <row r="5577" spans="1:11" ht="42" customHeight="1">
      <c r="A5577" s="2" t="s">
        <v>14465</v>
      </c>
      <c r="B5577" s="2" t="s">
        <v>14465</v>
      </c>
      <c r="C5577" s="2" t="s">
        <v>17</v>
      </c>
      <c r="D5577" s="2" t="s">
        <v>156</v>
      </c>
      <c r="E5577" s="4">
        <v>-32279</v>
      </c>
      <c r="F5577" s="3" t="s">
        <v>540</v>
      </c>
      <c r="G5577" s="3" t="s">
        <v>20</v>
      </c>
      <c r="H5577" s="2" t="s">
        <v>148</v>
      </c>
      <c r="I5577" s="2" t="s">
        <v>14474</v>
      </c>
      <c r="J5577" s="3" t="str">
        <f>HYPERLINK("https://www.boe.es/gazeta/dias/1811/08/15/pdfs/GMD-1811-227.pdf#page=4","Abrir facsímil")</f>
        <v>Abrir facsímil</v>
      </c>
      <c r="K5577" s="3" t="s">
        <v>150</v>
      </c>
    </row>
    <row r="5578" spans="1:11" ht="42" customHeight="1">
      <c r="A5578" s="2" t="s">
        <v>14465</v>
      </c>
      <c r="B5578" s="2" t="s">
        <v>14465</v>
      </c>
      <c r="C5578" s="2" t="s">
        <v>841</v>
      </c>
      <c r="D5578" s="2" t="s">
        <v>18</v>
      </c>
      <c r="E5578" s="4">
        <v>-32272</v>
      </c>
      <c r="F5578" s="3" t="s">
        <v>1121</v>
      </c>
      <c r="G5578" s="3" t="s">
        <v>510</v>
      </c>
      <c r="H5578" s="2" t="s">
        <v>148</v>
      </c>
      <c r="I5578" s="2" t="s">
        <v>14475</v>
      </c>
      <c r="J5578" s="3" t="str">
        <f>HYPERLINK("https://www.boe.es/gazeta/dias/1811/08/22/pdfs/GEI-1811-109.pdf#page=8","Abrir facsímil")</f>
        <v>Abrir facsímil</v>
      </c>
      <c r="K5578" s="3" t="s">
        <v>150</v>
      </c>
    </row>
    <row r="5579" spans="1:11" ht="42" customHeight="1">
      <c r="A5579" s="2" t="s">
        <v>14465</v>
      </c>
      <c r="B5579" s="2" t="s">
        <v>14465</v>
      </c>
      <c r="C5579" s="2" t="s">
        <v>17</v>
      </c>
      <c r="D5579" s="2" t="s">
        <v>141</v>
      </c>
      <c r="E5579" s="4">
        <v>-32250</v>
      </c>
      <c r="F5579" s="3" t="s">
        <v>1178</v>
      </c>
      <c r="G5579" s="3" t="s">
        <v>1179</v>
      </c>
      <c r="H5579" s="2" t="s">
        <v>148</v>
      </c>
      <c r="I5579" s="2" t="s">
        <v>14476</v>
      </c>
      <c r="J5579" s="3" t="str">
        <f>HYPERLINK("https://www.boe.es/gazeta/dias/1811/09/13/pdfs/GMD-C-1811-256.pdf#page=1","Abrir facsímil")</f>
        <v>Abrir facsímil</v>
      </c>
      <c r="K5579" s="3" t="s">
        <v>150</v>
      </c>
    </row>
    <row r="5580" spans="1:11" ht="42" customHeight="1">
      <c r="A5580" s="2" t="s">
        <v>14465</v>
      </c>
      <c r="B5580" s="2" t="s">
        <v>14465</v>
      </c>
      <c r="C5580" s="2" t="s">
        <v>26</v>
      </c>
      <c r="D5580" s="2" t="s">
        <v>18</v>
      </c>
      <c r="E5580" s="4">
        <v>-32249</v>
      </c>
      <c r="F5580" s="3" t="s">
        <v>182</v>
      </c>
      <c r="G5580" s="3" t="s">
        <v>44</v>
      </c>
      <c r="H5580" s="2" t="s">
        <v>148</v>
      </c>
      <c r="I5580" s="2" t="s">
        <v>14477</v>
      </c>
      <c r="J5580" s="3" t="str">
        <f>HYPERLINK("https://www.boe.es/gazeta/dias/1811/09/14/pdfs/GMD-1811-257.pdf#page=3","Abrir facsímil")</f>
        <v>Abrir facsímil</v>
      </c>
      <c r="K5580" s="3" t="s">
        <v>150</v>
      </c>
    </row>
    <row r="5581" spans="1:11" ht="42" customHeight="1">
      <c r="A5581" s="2" t="s">
        <v>14465</v>
      </c>
      <c r="B5581" s="2" t="s">
        <v>14465</v>
      </c>
      <c r="C5581" s="2" t="s">
        <v>26</v>
      </c>
      <c r="D5581" s="2" t="s">
        <v>141</v>
      </c>
      <c r="E5581" s="4">
        <v>-32249</v>
      </c>
      <c r="F5581" s="3" t="s">
        <v>743</v>
      </c>
      <c r="G5581" s="3" t="s">
        <v>1021</v>
      </c>
      <c r="H5581" s="2" t="s">
        <v>148</v>
      </c>
      <c r="I5581" s="2" t="s">
        <v>14478</v>
      </c>
      <c r="J5581" s="3" t="str">
        <f>HYPERLINK("https://www.boe.es/gazeta/dias/1811/09/14/pdfs/GMD-C-1811-257.pdf#page=2","Abrir facsímil")</f>
        <v>Abrir facsímil</v>
      </c>
      <c r="K5581" s="3" t="s">
        <v>150</v>
      </c>
    </row>
    <row r="5582" spans="1:11" ht="42" customHeight="1">
      <c r="A5582" s="2" t="s">
        <v>14465</v>
      </c>
      <c r="B5582" s="2" t="s">
        <v>14465</v>
      </c>
      <c r="C5582" s="2" t="s">
        <v>17</v>
      </c>
      <c r="D5582" s="2" t="s">
        <v>156</v>
      </c>
      <c r="E5582" s="4">
        <v>-32235</v>
      </c>
      <c r="F5582" s="3" t="s">
        <v>190</v>
      </c>
      <c r="G5582" s="3" t="s">
        <v>188</v>
      </c>
      <c r="H5582" s="2" t="s">
        <v>148</v>
      </c>
      <c r="I5582" s="2" t="s">
        <v>14479</v>
      </c>
      <c r="J5582" s="3" t="str">
        <f>HYPERLINK("https://www.boe.es/gazeta/dias/1811/09/28/pdfs/GEI-1811-125.pdf#page=8","Abrir facsímil")</f>
        <v>Abrir facsímil</v>
      </c>
      <c r="K5582" s="3" t="s">
        <v>150</v>
      </c>
    </row>
    <row r="5583" spans="1:11" ht="42" customHeight="1">
      <c r="A5583" s="2" t="s">
        <v>14465</v>
      </c>
      <c r="B5583" s="2" t="s">
        <v>14465</v>
      </c>
      <c r="C5583" s="2" t="s">
        <v>84</v>
      </c>
      <c r="D5583" s="2" t="s">
        <v>18</v>
      </c>
      <c r="E5583" s="4">
        <v>-32204</v>
      </c>
      <c r="F5583" s="3" t="s">
        <v>177</v>
      </c>
      <c r="G5583" s="3" t="s">
        <v>178</v>
      </c>
      <c r="H5583" s="2" t="s">
        <v>148</v>
      </c>
      <c r="I5583" s="2" t="s">
        <v>14480</v>
      </c>
      <c r="J5583" s="3" t="str">
        <f>HYPERLINK("https://www.boe.es/gazeta/dias/1811/10/29/pdfs/GMD-1811-302.pdf#page=4","Abrir facsímil")</f>
        <v>Abrir facsímil</v>
      </c>
      <c r="K5583" s="3" t="s">
        <v>150</v>
      </c>
    </row>
    <row r="5584" spans="1:11" ht="42" customHeight="1">
      <c r="A5584" s="2" t="s">
        <v>14465</v>
      </c>
      <c r="B5584" s="2" t="s">
        <v>14465</v>
      </c>
      <c r="C5584" s="2" t="s">
        <v>84</v>
      </c>
      <c r="D5584" s="2" t="s">
        <v>18</v>
      </c>
      <c r="E5584" s="4">
        <v>-32189</v>
      </c>
      <c r="F5584" s="3" t="s">
        <v>8935</v>
      </c>
      <c r="G5584" s="3" t="s">
        <v>14481</v>
      </c>
      <c r="H5584" s="2" t="s">
        <v>148</v>
      </c>
      <c r="I5584" s="2" t="s">
        <v>14482</v>
      </c>
      <c r="J5584" s="3" t="str">
        <f>HYPERLINK("https://www.boe.es/gazeta/dias/1811/11/13/pdfs/GMD-1811-317.pdf#page=4","Abrir facsímil")</f>
        <v>Abrir facsímil</v>
      </c>
      <c r="K5584" s="3" t="s">
        <v>150</v>
      </c>
    </row>
    <row r="5585" spans="1:11" ht="42" customHeight="1">
      <c r="A5585" s="2" t="s">
        <v>14465</v>
      </c>
      <c r="B5585" s="2" t="s">
        <v>14465</v>
      </c>
      <c r="C5585" s="2" t="s">
        <v>367</v>
      </c>
      <c r="D5585" s="2" t="s">
        <v>18</v>
      </c>
      <c r="E5585" s="4">
        <v>-32188</v>
      </c>
      <c r="F5585" s="3" t="s">
        <v>356</v>
      </c>
      <c r="G5585" s="3" t="s">
        <v>468</v>
      </c>
      <c r="H5585" s="2" t="s">
        <v>148</v>
      </c>
      <c r="I5585" s="2" t="s">
        <v>14483</v>
      </c>
      <c r="J5585" s="3" t="str">
        <f>HYPERLINK("https://www.boe.es/gazeta/dias/1811/11/14/pdfs/GMD-1811-318.pdf#page=6","Abrir facsímil")</f>
        <v>Abrir facsímil</v>
      </c>
      <c r="K5585" s="3" t="s">
        <v>150</v>
      </c>
    </row>
    <row r="5586" spans="1:11" ht="42" customHeight="1">
      <c r="A5586" s="2" t="s">
        <v>14465</v>
      </c>
      <c r="B5586" s="2" t="s">
        <v>14465</v>
      </c>
      <c r="C5586" s="2" t="s">
        <v>367</v>
      </c>
      <c r="D5586" s="2" t="s">
        <v>18</v>
      </c>
      <c r="E5586" s="4">
        <v>-32173</v>
      </c>
      <c r="F5586" s="3" t="s">
        <v>2701</v>
      </c>
      <c r="G5586" s="3" t="s">
        <v>178</v>
      </c>
      <c r="H5586" s="2" t="s">
        <v>148</v>
      </c>
      <c r="I5586" s="2" t="s">
        <v>14484</v>
      </c>
      <c r="J5586" s="3" t="str">
        <f>HYPERLINK("https://www.boe.es/gazeta/dias/1811/11/29/pdfs/GMD-1811-333.pdf#page=4","Abrir facsímil")</f>
        <v>Abrir facsímil</v>
      </c>
      <c r="K5586" s="3" t="s">
        <v>150</v>
      </c>
    </row>
    <row r="5587" spans="1:11" ht="42" customHeight="1">
      <c r="A5587" s="2" t="s">
        <v>14465</v>
      </c>
      <c r="B5587" s="2" t="s">
        <v>14465</v>
      </c>
      <c r="C5587" s="2" t="s">
        <v>17</v>
      </c>
      <c r="D5587" s="2" t="s">
        <v>105</v>
      </c>
      <c r="E5587" s="4">
        <v>-32171</v>
      </c>
      <c r="F5587" s="3" t="s">
        <v>157</v>
      </c>
      <c r="G5587" s="3" t="s">
        <v>44</v>
      </c>
      <c r="H5587" s="2" t="s">
        <v>148</v>
      </c>
      <c r="I5587" s="2" t="s">
        <v>14485</v>
      </c>
      <c r="J5587" s="3" t="str">
        <f>HYPERLINK("https://www.boe.es/gazeta/dias/1811/12/01/pdfs/GMD-1811-335.pdf#page=4","Abrir facsímil")</f>
        <v>Abrir facsímil</v>
      </c>
      <c r="K5587" s="3" t="s">
        <v>150</v>
      </c>
    </row>
    <row r="5588" spans="1:11" ht="42" customHeight="1">
      <c r="A5588" s="2" t="s">
        <v>14465</v>
      </c>
      <c r="B5588" s="2" t="s">
        <v>14465</v>
      </c>
      <c r="C5588" s="2" t="s">
        <v>104</v>
      </c>
      <c r="D5588" s="2" t="s">
        <v>105</v>
      </c>
      <c r="E5588" s="4">
        <v>-32155</v>
      </c>
      <c r="F5588" s="3" t="s">
        <v>99</v>
      </c>
      <c r="G5588" s="3" t="s">
        <v>100</v>
      </c>
      <c r="H5588" s="2" t="s">
        <v>148</v>
      </c>
      <c r="I5588" s="2" t="s">
        <v>14486</v>
      </c>
      <c r="J5588" s="3" t="str">
        <f>HYPERLINK("https://www.boe.es/gazeta/dias/1811/12/17/pdfs/GMD-1811-351.pdf#page=4","Abrir facsímil")</f>
        <v>Abrir facsímil</v>
      </c>
      <c r="K5588" s="3" t="s">
        <v>150</v>
      </c>
    </row>
    <row r="5589" spans="1:11" ht="42" customHeight="1">
      <c r="A5589" s="2" t="s">
        <v>14465</v>
      </c>
      <c r="B5589" s="2" t="s">
        <v>14465</v>
      </c>
      <c r="C5589" s="2" t="s">
        <v>26</v>
      </c>
      <c r="D5589" s="2" t="s">
        <v>18</v>
      </c>
      <c r="E5589" s="4">
        <v>-32155</v>
      </c>
      <c r="F5589" s="3" t="s">
        <v>263</v>
      </c>
      <c r="G5589" s="3" t="s">
        <v>264</v>
      </c>
      <c r="H5589" s="2" t="s">
        <v>148</v>
      </c>
      <c r="I5589" s="2" t="s">
        <v>14487</v>
      </c>
      <c r="J5589" s="3" t="str">
        <f>HYPERLINK("https://www.boe.es/gazeta/dias/1811/12/17/pdfs/GEI-1811-163.pdf#page=8","Abrir facsímil")</f>
        <v>Abrir facsímil</v>
      </c>
      <c r="K5589" s="3" t="s">
        <v>150</v>
      </c>
    </row>
    <row r="5590" spans="1:11" ht="42" customHeight="1">
      <c r="A5590" s="2" t="s">
        <v>14465</v>
      </c>
      <c r="B5590" s="2" t="s">
        <v>14465</v>
      </c>
      <c r="C5590" s="2" t="s">
        <v>66</v>
      </c>
      <c r="D5590" s="2" t="s">
        <v>18</v>
      </c>
      <c r="E5590" s="4">
        <v>-32153</v>
      </c>
      <c r="F5590" s="3" t="s">
        <v>123</v>
      </c>
      <c r="G5590" s="3" t="s">
        <v>288</v>
      </c>
      <c r="H5590" s="2" t="s">
        <v>148</v>
      </c>
      <c r="I5590" s="2" t="s">
        <v>14488</v>
      </c>
      <c r="J5590" s="3" t="str">
        <f>HYPERLINK("https://www.boe.es/gazeta/dias/1811/12/19/pdfs/GMD-1811-353.pdf#page=4","Abrir facsímil")</f>
        <v>Abrir facsímil</v>
      </c>
      <c r="K5590" s="3" t="s">
        <v>150</v>
      </c>
    </row>
    <row r="5591" spans="1:11" ht="42" customHeight="1">
      <c r="A5591" s="2" t="s">
        <v>14489</v>
      </c>
      <c r="B5591" s="2" t="s">
        <v>14490</v>
      </c>
      <c r="C5591" s="2" t="s">
        <v>104</v>
      </c>
      <c r="D5591" s="2" t="s">
        <v>18</v>
      </c>
      <c r="E5591" s="4">
        <v>-32335</v>
      </c>
      <c r="F5591" s="3" t="s">
        <v>3776</v>
      </c>
      <c r="G5591" s="3" t="s">
        <v>1179</v>
      </c>
      <c r="H5591" s="2" t="s">
        <v>148</v>
      </c>
      <c r="I5591" s="2" t="s">
        <v>14491</v>
      </c>
      <c r="J5591" s="3" t="str">
        <f>HYPERLINK("https://www.boe.es/gazeta/dias/1811/06/20/pdfs/GEI-1811-82.pdf#page=7","Abrir facsímil")</f>
        <v>Abrir facsímil</v>
      </c>
      <c r="K5591" s="3" t="s">
        <v>150</v>
      </c>
    </row>
    <row r="5592" spans="1:11" ht="42" customHeight="1">
      <c r="A5592" s="2" t="s">
        <v>14492</v>
      </c>
      <c r="B5592" s="2" t="s">
        <v>14493</v>
      </c>
      <c r="C5592" s="2" t="s">
        <v>26</v>
      </c>
      <c r="D5592" s="2" t="s">
        <v>18</v>
      </c>
      <c r="E5592" s="4">
        <v>-32459</v>
      </c>
      <c r="F5592" s="3" t="s">
        <v>1034</v>
      </c>
      <c r="G5592" s="3" t="s">
        <v>510</v>
      </c>
      <c r="H5592" s="2" t="s">
        <v>21</v>
      </c>
      <c r="I5592" s="2" t="s">
        <v>14494</v>
      </c>
      <c r="J5592" s="3" t="str">
        <f>HYPERLINK("https://www.boe.es/gazeta/dias/1811/02/16/pdfs/GEI-1811-21.pdf#page=8","Abrir facsímil")</f>
        <v>Abrir facsímil</v>
      </c>
      <c r="K5592" s="3" t="s">
        <v>23</v>
      </c>
    </row>
    <row r="5593" spans="1:11" ht="42" customHeight="1">
      <c r="A5593" s="2" t="s">
        <v>14495</v>
      </c>
      <c r="B5593" s="2" t="s">
        <v>14496</v>
      </c>
      <c r="C5593" s="2" t="s">
        <v>26</v>
      </c>
      <c r="D5593" s="2" t="s">
        <v>18</v>
      </c>
      <c r="E5593" s="4">
        <v>-32258</v>
      </c>
      <c r="F5593" s="3" t="s">
        <v>7467</v>
      </c>
      <c r="G5593" s="3" t="s">
        <v>20</v>
      </c>
      <c r="H5593" s="2" t="s">
        <v>148</v>
      </c>
      <c r="I5593" s="2" t="s">
        <v>14497</v>
      </c>
      <c r="J5593" s="3" t="str">
        <f>HYPERLINK("https://www.boe.es/gazeta/dias/1811/09/05/pdfs/GMD-1811-248.pdf#page=4","Abrir facsímil")</f>
        <v>Abrir facsímil</v>
      </c>
      <c r="K5593" s="3" t="s">
        <v>150</v>
      </c>
    </row>
    <row r="5594" spans="1:11" ht="42" customHeight="1">
      <c r="A5594" s="2" t="s">
        <v>14498</v>
      </c>
      <c r="B5594" s="2" t="s">
        <v>14499</v>
      </c>
      <c r="C5594" s="2" t="s">
        <v>26</v>
      </c>
      <c r="D5594" s="2" t="s">
        <v>18</v>
      </c>
      <c r="E5594" s="4">
        <v>-32151</v>
      </c>
      <c r="F5594" s="3" t="s">
        <v>313</v>
      </c>
      <c r="G5594" s="3" t="s">
        <v>44</v>
      </c>
      <c r="H5594" s="2" t="s">
        <v>148</v>
      </c>
      <c r="I5594" s="2" t="s">
        <v>14500</v>
      </c>
      <c r="J5594" s="3" t="str">
        <f>HYPERLINK("https://www.boe.es/gazeta/dias/1811/12/21/pdfs/GEI-1811-165.pdf#page=7","Abrir facsímil")</f>
        <v>Abrir facsímil</v>
      </c>
      <c r="K5594" s="3" t="s">
        <v>150</v>
      </c>
    </row>
    <row r="5595" spans="1:11" ht="42" customHeight="1">
      <c r="A5595" s="2" t="s">
        <v>14501</v>
      </c>
      <c r="B5595" s="2" t="s">
        <v>14502</v>
      </c>
      <c r="C5595" s="2" t="s">
        <v>104</v>
      </c>
      <c r="D5595" s="2" t="s">
        <v>18</v>
      </c>
      <c r="E5595" s="4">
        <v>-32389</v>
      </c>
      <c r="F5595" s="3" t="s">
        <v>5334</v>
      </c>
      <c r="G5595" s="3" t="s">
        <v>4049</v>
      </c>
      <c r="H5595" s="2" t="s">
        <v>148</v>
      </c>
      <c r="I5595" s="2" t="s">
        <v>14503</v>
      </c>
      <c r="J5595" s="3" t="str">
        <f>HYPERLINK("https://www.boe.es/gazeta/dias/1811/04/27/pdfs/GEI-1811-56.pdf#page=7","Abrir facsímil")</f>
        <v>Abrir facsímil</v>
      </c>
      <c r="K5595" s="3" t="s">
        <v>150</v>
      </c>
    </row>
    <row r="5596" spans="1:11" ht="42" customHeight="1">
      <c r="A5596" s="2" t="s">
        <v>14504</v>
      </c>
      <c r="B5596" s="2" t="s">
        <v>14504</v>
      </c>
      <c r="C5596" s="2" t="s">
        <v>26</v>
      </c>
      <c r="D5596" s="2" t="s">
        <v>18</v>
      </c>
      <c r="E5596" s="4">
        <v>-32449</v>
      </c>
      <c r="F5596" s="3" t="s">
        <v>381</v>
      </c>
      <c r="G5596" s="3" t="s">
        <v>382</v>
      </c>
      <c r="H5596" s="2" t="s">
        <v>148</v>
      </c>
      <c r="I5596" s="2" t="s">
        <v>14505</v>
      </c>
      <c r="J5596" s="3" t="str">
        <f>HYPERLINK("https://www.boe.es/gazeta/dias/1811/02/26/pdfs/GEI-1811-25.pdf#page=8","Abrir facsímil")</f>
        <v>Abrir facsímil</v>
      </c>
      <c r="K5596" s="3" t="s">
        <v>150</v>
      </c>
    </row>
    <row r="5597" spans="1:11" ht="42" customHeight="1">
      <c r="A5597" s="2" t="s">
        <v>14506</v>
      </c>
      <c r="B5597" s="2" t="s">
        <v>14506</v>
      </c>
      <c r="C5597" s="2" t="s">
        <v>17</v>
      </c>
      <c r="D5597" s="2" t="s">
        <v>18</v>
      </c>
      <c r="E5597" s="4">
        <v>-32505</v>
      </c>
      <c r="F5597" s="3" t="s">
        <v>661</v>
      </c>
      <c r="G5597" s="3" t="s">
        <v>91</v>
      </c>
      <c r="H5597" s="2" t="s">
        <v>148</v>
      </c>
      <c r="I5597" s="2" t="s">
        <v>14507</v>
      </c>
      <c r="J5597" s="3" t="str">
        <f>HYPERLINK("https://www.boe.es/gazeta/dias/1811/01/01/pdfs/GMD-1811-1.pdf#page=2","Abrir facsímil")</f>
        <v>Abrir facsímil</v>
      </c>
      <c r="K5597" s="3" t="s">
        <v>150</v>
      </c>
    </row>
    <row r="5598" spans="1:11" ht="42" customHeight="1">
      <c r="A5598" s="2" t="s">
        <v>14508</v>
      </c>
      <c r="B5598" s="2" t="s">
        <v>14509</v>
      </c>
      <c r="C5598" s="2" t="s">
        <v>26</v>
      </c>
      <c r="D5598" s="2" t="s">
        <v>18</v>
      </c>
      <c r="E5598" s="4">
        <v>-32284</v>
      </c>
      <c r="F5598" s="3" t="s">
        <v>170</v>
      </c>
      <c r="G5598" s="3" t="s">
        <v>1388</v>
      </c>
      <c r="H5598" s="2" t="s">
        <v>148</v>
      </c>
      <c r="I5598" s="2" t="s">
        <v>14510</v>
      </c>
      <c r="J5598" s="3" t="str">
        <f>HYPERLINK("https://www.boe.es/gazeta/dias/1811/08/10/pdfs/GEI-1811-104.pdf#page=8","Abrir facsímil")</f>
        <v>Abrir facsímil</v>
      </c>
      <c r="K5598" s="3" t="s">
        <v>150</v>
      </c>
    </row>
    <row r="5599" spans="1:11" ht="42" customHeight="1">
      <c r="A5599" s="2" t="s">
        <v>14511</v>
      </c>
      <c r="B5599" s="2" t="s">
        <v>14512</v>
      </c>
      <c r="C5599" s="2" t="s">
        <v>26</v>
      </c>
      <c r="D5599" s="2" t="s">
        <v>18</v>
      </c>
      <c r="E5599" s="4">
        <v>-32230</v>
      </c>
      <c r="F5599" s="3" t="s">
        <v>625</v>
      </c>
      <c r="G5599" s="3" t="s">
        <v>162</v>
      </c>
      <c r="H5599" s="2" t="s">
        <v>148</v>
      </c>
      <c r="I5599" s="2" t="s">
        <v>14513</v>
      </c>
      <c r="J5599" s="3" t="str">
        <f>HYPERLINK("https://www.boe.es/gazeta/dias/1811/10/03/pdfs/GEI-1811-127.pdf#page=7","Abrir facsímil")</f>
        <v>Abrir facsímil</v>
      </c>
      <c r="K5599" s="3" t="s">
        <v>150</v>
      </c>
    </row>
    <row r="5600" spans="1:11" ht="42" customHeight="1">
      <c r="A5600" s="2" t="s">
        <v>14514</v>
      </c>
      <c r="B5600" s="2" t="s">
        <v>14515</v>
      </c>
      <c r="C5600" s="2" t="s">
        <v>26</v>
      </c>
      <c r="D5600" s="2" t="s">
        <v>141</v>
      </c>
      <c r="E5600" s="4">
        <v>-32396</v>
      </c>
      <c r="F5600" s="3" t="s">
        <v>804</v>
      </c>
      <c r="G5600" s="3" t="s">
        <v>805</v>
      </c>
      <c r="H5600" s="2" t="s">
        <v>148</v>
      </c>
      <c r="I5600" s="2" t="s">
        <v>14516</v>
      </c>
      <c r="J5600" s="3" t="str">
        <f>HYPERLINK("https://www.boe.es/gazeta/dias/1811/04/20/pdfs/GEI-D-1811-53.pdf#page=4","Abrir facsímil")</f>
        <v>Abrir facsímil</v>
      </c>
      <c r="K5600" s="3" t="s">
        <v>150</v>
      </c>
    </row>
    <row r="5601" spans="1:11" ht="42" customHeight="1">
      <c r="A5601" s="2" t="s">
        <v>14517</v>
      </c>
      <c r="B5601" s="2" t="s">
        <v>14518</v>
      </c>
      <c r="C5601" s="2" t="s">
        <v>37</v>
      </c>
      <c r="D5601" s="2" t="s">
        <v>18</v>
      </c>
      <c r="E5601" s="4">
        <v>-32187</v>
      </c>
      <c r="F5601" s="3" t="s">
        <v>1775</v>
      </c>
      <c r="G5601" s="3" t="s">
        <v>657</v>
      </c>
      <c r="H5601" s="2" t="s">
        <v>148</v>
      </c>
      <c r="I5601" s="2" t="s">
        <v>14519</v>
      </c>
      <c r="J5601" s="3" t="str">
        <f>HYPERLINK("https://www.boe.es/gazeta/dias/1811/11/15/pdfs/GMD-1811-319.pdf#page=4","Abrir facsímil")</f>
        <v>Abrir facsímil</v>
      </c>
      <c r="K5601" s="3" t="s">
        <v>150</v>
      </c>
    </row>
    <row r="5602" spans="1:11" ht="42" customHeight="1">
      <c r="A5602" s="2" t="s">
        <v>14520</v>
      </c>
      <c r="B5602" s="2" t="s">
        <v>14520</v>
      </c>
      <c r="C5602" s="2" t="s">
        <v>17</v>
      </c>
      <c r="D5602" s="2" t="s">
        <v>156</v>
      </c>
      <c r="E5602" s="4">
        <v>-32452</v>
      </c>
      <c r="F5602" s="3" t="s">
        <v>106</v>
      </c>
      <c r="G5602" s="3" t="s">
        <v>20</v>
      </c>
      <c r="H5602" s="2" t="s">
        <v>148</v>
      </c>
      <c r="I5602" s="2" t="s">
        <v>14521</v>
      </c>
      <c r="J5602" s="3" t="str">
        <f>HYPERLINK("https://www.boe.es/gazeta/dias/1811/02/23/pdfs/GEI-1811-24.pdf#page=8","Abrir facsímil")</f>
        <v>Abrir facsímil</v>
      </c>
      <c r="K5602" s="3" t="s">
        <v>150</v>
      </c>
    </row>
    <row r="5603" spans="1:11" ht="42" customHeight="1">
      <c r="A5603" s="2" t="s">
        <v>14520</v>
      </c>
      <c r="B5603" s="2" t="s">
        <v>14520</v>
      </c>
      <c r="C5603" s="2" t="s">
        <v>26</v>
      </c>
      <c r="D5603" s="2" t="s">
        <v>18</v>
      </c>
      <c r="E5603" s="4">
        <v>-32394</v>
      </c>
      <c r="F5603" s="3" t="s">
        <v>1709</v>
      </c>
      <c r="G5603" s="3" t="s">
        <v>115</v>
      </c>
      <c r="H5603" s="2" t="s">
        <v>148</v>
      </c>
      <c r="I5603" s="2" t="s">
        <v>14522</v>
      </c>
      <c r="J5603" s="3" t="str">
        <f>HYPERLINK("https://www.boe.es/gazeta/dias/1811/04/22/pdfs/GMD-1811-112.pdf#page=3","Abrir facsímil")</f>
        <v>Abrir facsímil</v>
      </c>
      <c r="K5603" s="3" t="s">
        <v>150</v>
      </c>
    </row>
    <row r="5604" spans="1:11" ht="42" customHeight="1">
      <c r="A5604" s="2" t="s">
        <v>14520</v>
      </c>
      <c r="B5604" s="2" t="s">
        <v>14520</v>
      </c>
      <c r="C5604" s="2" t="s">
        <v>841</v>
      </c>
      <c r="D5604" s="2" t="s">
        <v>18</v>
      </c>
      <c r="E5604" s="4">
        <v>-32300</v>
      </c>
      <c r="F5604" s="3" t="s">
        <v>61</v>
      </c>
      <c r="G5604" s="3" t="s">
        <v>14451</v>
      </c>
      <c r="H5604" s="2" t="s">
        <v>148</v>
      </c>
      <c r="I5604" s="2" t="s">
        <v>14523</v>
      </c>
      <c r="J5604" s="3" t="str">
        <f>HYPERLINK("https://www.boe.es/gazeta/dias/1811/07/25/pdfs/GEI-1811-97.pdf#page=7","Abrir facsímil")</f>
        <v>Abrir facsímil</v>
      </c>
      <c r="K5604" s="3" t="s">
        <v>150</v>
      </c>
    </row>
    <row r="5605" spans="1:11" ht="42" customHeight="1">
      <c r="A5605" s="2" t="s">
        <v>14520</v>
      </c>
      <c r="B5605" s="2" t="s">
        <v>14520</v>
      </c>
      <c r="C5605" s="2" t="s">
        <v>26</v>
      </c>
      <c r="D5605" s="2" t="s">
        <v>18</v>
      </c>
      <c r="E5605" s="4">
        <v>-32183</v>
      </c>
      <c r="F5605" s="3" t="s">
        <v>3310</v>
      </c>
      <c r="G5605" s="3" t="s">
        <v>44</v>
      </c>
      <c r="H5605" s="2" t="s">
        <v>148</v>
      </c>
      <c r="I5605" s="2" t="s">
        <v>14524</v>
      </c>
      <c r="J5605" s="3" t="str">
        <f>HYPERLINK("https://www.boe.es/gazeta/dias/1811/11/19/pdfs/GEI-1811-151.pdf#page=6","Abrir facsímil")</f>
        <v>Abrir facsímil</v>
      </c>
      <c r="K5605" s="3" t="s">
        <v>150</v>
      </c>
    </row>
    <row r="5606" spans="1:11" ht="42" customHeight="1">
      <c r="A5606" s="2" t="s">
        <v>14520</v>
      </c>
      <c r="B5606" s="2" t="s">
        <v>14520</v>
      </c>
      <c r="C5606" s="2" t="s">
        <v>17</v>
      </c>
      <c r="D5606" s="2" t="s">
        <v>156</v>
      </c>
      <c r="E5606" s="4">
        <v>-32144</v>
      </c>
      <c r="F5606" s="3" t="s">
        <v>10241</v>
      </c>
      <c r="G5606" s="3" t="s">
        <v>10242</v>
      </c>
      <c r="H5606" s="2" t="s">
        <v>148</v>
      </c>
      <c r="I5606" s="2" t="s">
        <v>14525</v>
      </c>
      <c r="J5606" s="3" t="str">
        <f>HYPERLINK("https://www.boe.es/gazeta/dias/1811/12/28/pdfs/GMD-1811-362.pdf#page=1","Abrir facsímil")</f>
        <v>Abrir facsímil</v>
      </c>
      <c r="K5606" s="3" t="s">
        <v>150</v>
      </c>
    </row>
    <row r="5607" spans="1:11" ht="42" customHeight="1">
      <c r="A5607" s="2" t="s">
        <v>14526</v>
      </c>
      <c r="B5607" s="2" t="s">
        <v>14527</v>
      </c>
      <c r="C5607" s="2" t="s">
        <v>17</v>
      </c>
      <c r="D5607" s="2" t="s">
        <v>18</v>
      </c>
      <c r="E5607" s="4">
        <v>-32202</v>
      </c>
      <c r="F5607" s="3" t="s">
        <v>2194</v>
      </c>
      <c r="G5607" s="3" t="s">
        <v>7693</v>
      </c>
      <c r="H5607" s="2" t="s">
        <v>148</v>
      </c>
      <c r="I5607" s="2" t="s">
        <v>14528</v>
      </c>
      <c r="J5607" s="3" t="str">
        <f>HYPERLINK("https://www.boe.es/gazeta/dias/1811/10/31/pdfs/GEI-1811-140.pdf#page=3","Abrir facsímil")</f>
        <v>Abrir facsímil</v>
      </c>
      <c r="K5607" s="3" t="s">
        <v>150</v>
      </c>
    </row>
    <row r="5608" spans="1:11" ht="42" customHeight="1">
      <c r="A5608" s="2" t="s">
        <v>14529</v>
      </c>
      <c r="B5608" s="2" t="s">
        <v>14530</v>
      </c>
      <c r="C5608" s="2" t="s">
        <v>26</v>
      </c>
      <c r="D5608" s="2" t="s">
        <v>18</v>
      </c>
      <c r="E5608" s="4">
        <v>-32284</v>
      </c>
      <c r="F5608" s="3" t="s">
        <v>170</v>
      </c>
      <c r="G5608" s="3" t="s">
        <v>1388</v>
      </c>
      <c r="H5608" s="2" t="s">
        <v>148</v>
      </c>
      <c r="I5608" s="2" t="s">
        <v>14531</v>
      </c>
      <c r="J5608" s="3" t="str">
        <f>HYPERLINK("https://www.boe.es/gazeta/dias/1811/08/10/pdfs/GEI-1811-104.pdf#page=8","Abrir facsímil")</f>
        <v>Abrir facsímil</v>
      </c>
      <c r="K5608" s="3" t="s">
        <v>150</v>
      </c>
    </row>
    <row r="5609" spans="1:11" ht="42" customHeight="1">
      <c r="A5609" s="2" t="s">
        <v>14532</v>
      </c>
      <c r="B5609" s="2" t="s">
        <v>14533</v>
      </c>
      <c r="C5609" s="2" t="s">
        <v>37</v>
      </c>
      <c r="D5609" s="2" t="s">
        <v>18</v>
      </c>
      <c r="E5609" s="4">
        <v>-32433</v>
      </c>
      <c r="F5609" s="3" t="s">
        <v>209</v>
      </c>
      <c r="G5609" s="3" t="s">
        <v>488</v>
      </c>
      <c r="H5609" s="2" t="s">
        <v>148</v>
      </c>
      <c r="I5609" s="2" t="s">
        <v>14534</v>
      </c>
      <c r="J5609" s="3" t="str">
        <f>HYPERLINK("https://www.boe.es/gazeta/dias/1811/03/14/pdfs/GMD-1811-73.pdf#page=2","Abrir facsímil")</f>
        <v>Abrir facsímil</v>
      </c>
      <c r="K5609" s="3" t="s">
        <v>150</v>
      </c>
    </row>
    <row r="5610" spans="1:11" ht="42" customHeight="1">
      <c r="A5610" s="2" t="s">
        <v>14535</v>
      </c>
      <c r="B5610" s="2" t="s">
        <v>14535</v>
      </c>
      <c r="C5610" s="2" t="s">
        <v>17</v>
      </c>
      <c r="D5610" s="2" t="s">
        <v>105</v>
      </c>
      <c r="E5610" s="4">
        <v>-32169</v>
      </c>
      <c r="F5610" s="3" t="s">
        <v>1702</v>
      </c>
      <c r="G5610" s="3" t="s">
        <v>47</v>
      </c>
      <c r="H5610" s="2" t="s">
        <v>148</v>
      </c>
      <c r="I5610" s="2" t="s">
        <v>14536</v>
      </c>
      <c r="J5610" s="3" t="str">
        <f>HYPERLINK("https://www.boe.es/gazeta/dias/1811/12/03/pdfs/GEI-1811-157.pdf#page=5","Abrir facsímil")</f>
        <v>Abrir facsímil</v>
      </c>
      <c r="K5610" s="3" t="s">
        <v>150</v>
      </c>
    </row>
    <row r="5611" spans="1:11" ht="42" customHeight="1">
      <c r="A5611" s="2" t="s">
        <v>14537</v>
      </c>
      <c r="B5611" s="2" t="s">
        <v>14538</v>
      </c>
      <c r="C5611" s="2" t="s">
        <v>17</v>
      </c>
      <c r="D5611" s="2" t="s">
        <v>18</v>
      </c>
      <c r="E5611" s="4">
        <v>-32463</v>
      </c>
      <c r="F5611" s="3" t="s">
        <v>734</v>
      </c>
      <c r="G5611" s="3" t="s">
        <v>515</v>
      </c>
      <c r="H5611" s="2" t="s">
        <v>148</v>
      </c>
      <c r="I5611" s="2" t="s">
        <v>14539</v>
      </c>
      <c r="J5611" s="3" t="str">
        <f>HYPERLINK("https://www.boe.es/gazeta/dias/1811/02/12/pdfs/GEI-1811-19.pdf#page=7","Abrir facsímil")</f>
        <v>Abrir facsímil</v>
      </c>
      <c r="K5611" s="3" t="s">
        <v>150</v>
      </c>
    </row>
    <row r="5612" spans="1:11" ht="42" customHeight="1">
      <c r="A5612" s="2" t="s">
        <v>14540</v>
      </c>
      <c r="B5612" s="2" t="s">
        <v>14540</v>
      </c>
      <c r="C5612" s="2" t="s">
        <v>17</v>
      </c>
      <c r="D5612" s="2" t="s">
        <v>156</v>
      </c>
      <c r="E5612" s="4">
        <v>-32365</v>
      </c>
      <c r="F5612" s="3" t="s">
        <v>1304</v>
      </c>
      <c r="G5612" s="3" t="s">
        <v>331</v>
      </c>
      <c r="H5612" s="2" t="s">
        <v>148</v>
      </c>
      <c r="I5612" s="2" t="s">
        <v>14541</v>
      </c>
      <c r="J5612" s="3" t="str">
        <f>HYPERLINK("https://www.boe.es/gazeta/dias/1811/05/21/pdfs/GEI-D-1811-67.pdf#page=2","Abrir facsímil")</f>
        <v>Abrir facsímil</v>
      </c>
      <c r="K5612" s="3" t="s">
        <v>150</v>
      </c>
    </row>
    <row r="5613" spans="1:11" ht="42" customHeight="1">
      <c r="A5613" s="2" t="s">
        <v>14542</v>
      </c>
      <c r="B5613" s="2" t="s">
        <v>14543</v>
      </c>
      <c r="C5613" s="2" t="s">
        <v>26</v>
      </c>
      <c r="D5613" s="2" t="s">
        <v>18</v>
      </c>
      <c r="E5613" s="4">
        <v>-32340</v>
      </c>
      <c r="F5613" s="3" t="s">
        <v>565</v>
      </c>
      <c r="G5613" s="3" t="s">
        <v>91</v>
      </c>
      <c r="H5613" s="2" t="s">
        <v>148</v>
      </c>
      <c r="I5613" s="2" t="s">
        <v>14544</v>
      </c>
      <c r="J5613" s="3" t="str">
        <f>HYPERLINK("https://www.boe.es/gazeta/dias/1811/06/15/pdfs/GEI-1811-80.pdf#page=8","Abrir facsímil")</f>
        <v>Abrir facsímil</v>
      </c>
      <c r="K5613" s="3" t="s">
        <v>150</v>
      </c>
    </row>
    <row r="5614" spans="1:11" ht="42" customHeight="1">
      <c r="A5614" s="2" t="s">
        <v>14545</v>
      </c>
      <c r="B5614" s="2" t="s">
        <v>14546</v>
      </c>
      <c r="C5614" s="2" t="s">
        <v>84</v>
      </c>
      <c r="D5614" s="2" t="s">
        <v>18</v>
      </c>
      <c r="E5614" s="4">
        <v>-32473</v>
      </c>
      <c r="F5614" s="3" t="s">
        <v>1109</v>
      </c>
      <c r="G5614" s="3" t="s">
        <v>162</v>
      </c>
      <c r="H5614" s="2" t="s">
        <v>148</v>
      </c>
      <c r="I5614" s="2" t="s">
        <v>14547</v>
      </c>
      <c r="J5614" s="3" t="str">
        <f>HYPERLINK("https://www.boe.es/gazeta/dias/1811/02/02/pdfs/GMD-1811-33.pdf#page=3","Abrir facsímil")</f>
        <v>Abrir facsímil</v>
      </c>
      <c r="K5614" s="3" t="s">
        <v>150</v>
      </c>
    </row>
    <row r="5615" spans="1:11" ht="42" customHeight="1">
      <c r="A5615" s="2" t="s">
        <v>14548</v>
      </c>
      <c r="B5615" s="2" t="s">
        <v>14548</v>
      </c>
      <c r="C5615" s="2" t="s">
        <v>37</v>
      </c>
      <c r="D5615" s="2" t="s">
        <v>18</v>
      </c>
      <c r="E5615" s="4">
        <v>-32158</v>
      </c>
      <c r="F5615" s="3" t="s">
        <v>46</v>
      </c>
      <c r="G5615" s="3" t="s">
        <v>47</v>
      </c>
      <c r="H5615" s="2" t="s">
        <v>148</v>
      </c>
      <c r="I5615" s="2" t="s">
        <v>14549</v>
      </c>
      <c r="J5615" s="3" t="str">
        <f>HYPERLINK("https://www.boe.es/gazeta/dias/1811/12/14/pdfs/GEI-1811-162.pdf#page=7","Abrir facsímil")</f>
        <v>Abrir facsímil</v>
      </c>
      <c r="K5615" s="3" t="s">
        <v>150</v>
      </c>
    </row>
    <row r="5616" spans="1:11" ht="42" customHeight="1">
      <c r="A5616" s="2" t="s">
        <v>14550</v>
      </c>
      <c r="B5616" s="2" t="s">
        <v>14551</v>
      </c>
      <c r="C5616" s="2" t="s">
        <v>37</v>
      </c>
      <c r="D5616" s="2" t="s">
        <v>156</v>
      </c>
      <c r="E5616" s="4">
        <v>-32235</v>
      </c>
      <c r="F5616" s="3" t="s">
        <v>190</v>
      </c>
      <c r="G5616" s="3" t="s">
        <v>188</v>
      </c>
      <c r="H5616" s="2" t="s">
        <v>148</v>
      </c>
      <c r="I5616" s="2" t="s">
        <v>14552</v>
      </c>
      <c r="J5616" s="3" t="str">
        <f>HYPERLINK("https://www.boe.es/gazeta/dias/1811/09/28/pdfs/GEI-1811-125.pdf#page=8","Abrir facsímil")</f>
        <v>Abrir facsímil</v>
      </c>
      <c r="K5616" s="3" t="s">
        <v>150</v>
      </c>
    </row>
    <row r="5617" spans="1:11" ht="42" customHeight="1">
      <c r="A5617" s="2" t="s">
        <v>14553</v>
      </c>
      <c r="B5617" s="2" t="s">
        <v>14554</v>
      </c>
      <c r="C5617" s="2" t="s">
        <v>17</v>
      </c>
      <c r="D5617" s="2" t="s">
        <v>156</v>
      </c>
      <c r="E5617" s="4">
        <v>-32200</v>
      </c>
      <c r="F5617" s="3" t="s">
        <v>109</v>
      </c>
      <c r="G5617" s="3" t="s">
        <v>110</v>
      </c>
      <c r="H5617" s="2" t="s">
        <v>148</v>
      </c>
      <c r="I5617" s="2" t="s">
        <v>14555</v>
      </c>
      <c r="J5617" s="3" t="str">
        <f>HYPERLINK("https://www.boe.es/gazeta/dias/1811/11/02/pdfs/GEI-1811-141.pdf#page=6","Abrir facsímil")</f>
        <v>Abrir facsímil</v>
      </c>
      <c r="K5617" s="3" t="s">
        <v>150</v>
      </c>
    </row>
    <row r="5618" spans="1:11" ht="42" customHeight="1">
      <c r="A5618" s="2" t="s">
        <v>14556</v>
      </c>
      <c r="B5618" s="2" t="s">
        <v>14557</v>
      </c>
      <c r="C5618" s="2" t="s">
        <v>122</v>
      </c>
      <c r="D5618" s="2" t="s">
        <v>141</v>
      </c>
      <c r="E5618" s="4">
        <v>-32238</v>
      </c>
      <c r="F5618" s="3" t="s">
        <v>166</v>
      </c>
      <c r="G5618" s="3" t="s">
        <v>129</v>
      </c>
      <c r="H5618" s="2" t="s">
        <v>148</v>
      </c>
      <c r="I5618" s="2" t="s">
        <v>14558</v>
      </c>
      <c r="J5618" s="3" t="str">
        <f>HYPERLINK("https://www.boe.es/gazeta/dias/1811/09/25/pdfs/GMD-C-1811-268.pdf#page=1","Abrir facsímil")</f>
        <v>Abrir facsímil</v>
      </c>
      <c r="K5618" s="3" t="s">
        <v>150</v>
      </c>
    </row>
    <row r="5619" spans="1:11" ht="42" customHeight="1">
      <c r="A5619" s="2" t="s">
        <v>14559</v>
      </c>
      <c r="B5619" s="2" t="s">
        <v>14560</v>
      </c>
      <c r="C5619" s="2" t="s">
        <v>104</v>
      </c>
      <c r="D5619" s="2" t="s">
        <v>18</v>
      </c>
      <c r="E5619" s="4">
        <v>-32279</v>
      </c>
      <c r="F5619" s="3" t="s">
        <v>540</v>
      </c>
      <c r="G5619" s="3" t="s">
        <v>20</v>
      </c>
      <c r="H5619" s="2" t="s">
        <v>148</v>
      </c>
      <c r="I5619" s="2" t="s">
        <v>14561</v>
      </c>
      <c r="J5619" s="3" t="str">
        <f>HYPERLINK("https://www.boe.es/gazeta/dias/1811/08/15/pdfs/GMD-1811-227.pdf#page=4","Abrir facsímil")</f>
        <v>Abrir facsímil</v>
      </c>
      <c r="K5619" s="3" t="s">
        <v>150</v>
      </c>
    </row>
    <row r="5620" spans="1:11" ht="42" customHeight="1">
      <c r="A5620" s="2" t="s">
        <v>14562</v>
      </c>
      <c r="B5620" s="2" t="s">
        <v>14563</v>
      </c>
      <c r="C5620" s="2" t="s">
        <v>26</v>
      </c>
      <c r="D5620" s="2" t="s">
        <v>18</v>
      </c>
      <c r="E5620" s="4">
        <v>-32379</v>
      </c>
      <c r="F5620" s="3" t="s">
        <v>462</v>
      </c>
      <c r="G5620" s="3" t="s">
        <v>463</v>
      </c>
      <c r="H5620" s="2" t="s">
        <v>148</v>
      </c>
      <c r="I5620" s="2" t="s">
        <v>14564</v>
      </c>
      <c r="J5620" s="3" t="str">
        <f>HYPERLINK("https://www.boe.es/gazeta/dias/1811/05/07/pdfs/GEI-1811-60.pdf#page=8","Abrir facsímil")</f>
        <v>Abrir facsímil</v>
      </c>
      <c r="K5620" s="3" t="s">
        <v>150</v>
      </c>
    </row>
    <row r="5621" spans="1:11" ht="42" customHeight="1">
      <c r="A5621" s="2" t="s">
        <v>14565</v>
      </c>
      <c r="B5621" s="2" t="s">
        <v>14565</v>
      </c>
      <c r="C5621" s="2" t="s">
        <v>17</v>
      </c>
      <c r="D5621" s="2" t="s">
        <v>204</v>
      </c>
      <c r="E5621" s="4">
        <v>-32161</v>
      </c>
      <c r="F5621" s="3" t="s">
        <v>2826</v>
      </c>
      <c r="G5621" s="3" t="s">
        <v>47</v>
      </c>
      <c r="H5621" s="2" t="s">
        <v>148</v>
      </c>
      <c r="I5621" s="2" t="s">
        <v>14566</v>
      </c>
      <c r="J5621" s="3" t="str">
        <f>HYPERLINK("https://www.boe.es/gazeta/dias/1811/12/11/pdfs/GMD-1811-345.pdf#page=1","Abrir facsímil")</f>
        <v>Abrir facsímil</v>
      </c>
      <c r="K5621" s="3" t="s">
        <v>150</v>
      </c>
    </row>
    <row r="5622" spans="1:11" ht="42" customHeight="1">
      <c r="A5622" s="2" t="s">
        <v>14567</v>
      </c>
      <c r="B5622" s="2" t="s">
        <v>14567</v>
      </c>
      <c r="C5622" s="2" t="s">
        <v>26</v>
      </c>
      <c r="D5622" s="2" t="s">
        <v>18</v>
      </c>
      <c r="E5622" s="4">
        <v>-32393</v>
      </c>
      <c r="F5622" s="3" t="s">
        <v>32</v>
      </c>
      <c r="G5622" s="3" t="s">
        <v>5014</v>
      </c>
      <c r="H5622" s="2" t="s">
        <v>148</v>
      </c>
      <c r="I5622" s="2" t="s">
        <v>14568</v>
      </c>
      <c r="J5622" s="3" t="str">
        <f>HYPERLINK("https://www.boe.es/gazeta/dias/1811/04/23/pdfs/GEI-1811-54.pdf#page=2","Abrir facsímil")</f>
        <v>Abrir facsímil</v>
      </c>
      <c r="K5622" s="3" t="s">
        <v>150</v>
      </c>
    </row>
    <row r="5623" spans="1:11" ht="42" customHeight="1">
      <c r="A5623" s="2" t="s">
        <v>14567</v>
      </c>
      <c r="B5623" s="2" t="s">
        <v>14567</v>
      </c>
      <c r="C5623" s="2" t="s">
        <v>17</v>
      </c>
      <c r="D5623" s="2" t="s">
        <v>18</v>
      </c>
      <c r="E5623" s="4">
        <v>-32146</v>
      </c>
      <c r="F5623" s="3" t="s">
        <v>3210</v>
      </c>
      <c r="G5623" s="3" t="s">
        <v>3849</v>
      </c>
      <c r="H5623" s="2" t="s">
        <v>148</v>
      </c>
      <c r="I5623" s="2" t="s">
        <v>14569</v>
      </c>
      <c r="J5623" s="3" t="str">
        <f>HYPERLINK("https://www.boe.es/gazeta/dias/1811/12/26/pdfs/GMD-1811-360.pdf#page=3","Abrir facsímil")</f>
        <v>Abrir facsímil</v>
      </c>
      <c r="K5623" s="3" t="s">
        <v>150</v>
      </c>
    </row>
    <row r="5624" spans="1:11" ht="42" customHeight="1">
      <c r="A5624" s="2" t="s">
        <v>14570</v>
      </c>
      <c r="B5624" s="2" t="s">
        <v>14571</v>
      </c>
      <c r="C5624" s="2" t="s">
        <v>122</v>
      </c>
      <c r="D5624" s="2" t="s">
        <v>105</v>
      </c>
      <c r="E5624" s="4">
        <v>-32279</v>
      </c>
      <c r="F5624" s="3" t="s">
        <v>540</v>
      </c>
      <c r="G5624" s="3" t="s">
        <v>91</v>
      </c>
      <c r="H5624" s="2" t="s">
        <v>148</v>
      </c>
      <c r="I5624" s="2" t="s">
        <v>14572</v>
      </c>
      <c r="J5624" s="3" t="str">
        <f>HYPERLINK("https://www.boe.es/gazeta/dias/1811/08/15/pdfs/GMD-1811-227.pdf#page=3","Abrir facsímil")</f>
        <v>Abrir facsímil</v>
      </c>
      <c r="K5624" s="3" t="s">
        <v>150</v>
      </c>
    </row>
    <row r="5625" spans="1:11" ht="42" customHeight="1">
      <c r="A5625" s="2" t="s">
        <v>14573</v>
      </c>
      <c r="B5625" s="2" t="s">
        <v>14574</v>
      </c>
      <c r="C5625" s="2" t="s">
        <v>26</v>
      </c>
      <c r="D5625" s="2" t="s">
        <v>105</v>
      </c>
      <c r="E5625" s="4">
        <v>-32280</v>
      </c>
      <c r="F5625" s="3" t="s">
        <v>142</v>
      </c>
      <c r="G5625" s="3" t="s">
        <v>597</v>
      </c>
      <c r="H5625" s="2" t="s">
        <v>148</v>
      </c>
      <c r="I5625" s="2" t="s">
        <v>14575</v>
      </c>
      <c r="J5625" s="3" t="str">
        <f>HYPERLINK("https://www.boe.es/gazeta/dias/1811/08/14/pdfs/GMD-C-1811-226.pdf#page=2","Abrir facsímil")</f>
        <v>Abrir facsímil</v>
      </c>
      <c r="K5625" s="3" t="s">
        <v>150</v>
      </c>
    </row>
    <row r="5626" spans="1:11" ht="42" customHeight="1">
      <c r="A5626" s="2" t="s">
        <v>14576</v>
      </c>
      <c r="B5626" s="2" t="s">
        <v>14576</v>
      </c>
      <c r="C5626" s="2" t="s">
        <v>17</v>
      </c>
      <c r="D5626" s="2" t="s">
        <v>18</v>
      </c>
      <c r="E5626" s="4">
        <v>-32151</v>
      </c>
      <c r="F5626" s="3" t="s">
        <v>313</v>
      </c>
      <c r="G5626" s="3" t="s">
        <v>57</v>
      </c>
      <c r="H5626" s="2" t="s">
        <v>148</v>
      </c>
      <c r="I5626" s="2" t="s">
        <v>14577</v>
      </c>
      <c r="J5626" s="3" t="str">
        <f>HYPERLINK("https://www.boe.es/gazeta/dias/1811/12/21/pdfs/GEI-1811-165.pdf#page=2","Abrir facsímil")</f>
        <v>Abrir facsímil</v>
      </c>
      <c r="K5626" s="3" t="s">
        <v>150</v>
      </c>
    </row>
    <row r="5627" spans="1:11" ht="42" customHeight="1">
      <c r="A5627" s="2" t="s">
        <v>14576</v>
      </c>
      <c r="B5627" s="2" t="s">
        <v>14576</v>
      </c>
      <c r="C5627" s="2" t="s">
        <v>17</v>
      </c>
      <c r="D5627" s="2" t="s">
        <v>156</v>
      </c>
      <c r="E5627" s="4">
        <v>-32144</v>
      </c>
      <c r="F5627" s="3" t="s">
        <v>10241</v>
      </c>
      <c r="G5627" s="3" t="s">
        <v>10242</v>
      </c>
      <c r="H5627" s="2" t="s">
        <v>148</v>
      </c>
      <c r="I5627" s="2" t="s">
        <v>14578</v>
      </c>
      <c r="J5627" s="3" t="str">
        <f>HYPERLINK("https://www.boe.es/gazeta/dias/1811/12/28/pdfs/GMD-1811-362.pdf#page=1","Abrir facsímil")</f>
        <v>Abrir facsímil</v>
      </c>
      <c r="K5627" s="3" t="s">
        <v>150</v>
      </c>
    </row>
    <row r="5628" spans="1:11" ht="42" customHeight="1">
      <c r="A5628" s="2" t="s">
        <v>14579</v>
      </c>
      <c r="B5628" s="2" t="s">
        <v>14580</v>
      </c>
      <c r="C5628" s="2" t="s">
        <v>26</v>
      </c>
      <c r="D5628" s="2" t="s">
        <v>141</v>
      </c>
      <c r="E5628" s="4">
        <v>-32238</v>
      </c>
      <c r="F5628" s="3" t="s">
        <v>166</v>
      </c>
      <c r="G5628" s="3" t="s">
        <v>39</v>
      </c>
      <c r="H5628" s="2" t="s">
        <v>148</v>
      </c>
      <c r="I5628" s="2" t="s">
        <v>14581</v>
      </c>
      <c r="J5628" s="3" t="str">
        <f>HYPERLINK("https://www.boe.es/gazeta/dias/1811/09/25/pdfs/GMD-C-1811-268.pdf#page=2","Abrir facsímil")</f>
        <v>Abrir facsímil</v>
      </c>
      <c r="K5628" s="3" t="s">
        <v>150</v>
      </c>
    </row>
    <row r="5629" spans="1:11" ht="42" customHeight="1">
      <c r="A5629" s="2" t="s">
        <v>14582</v>
      </c>
      <c r="B5629" s="2" t="s">
        <v>14583</v>
      </c>
      <c r="C5629" s="2" t="s">
        <v>26</v>
      </c>
      <c r="D5629" s="2" t="s">
        <v>18</v>
      </c>
      <c r="E5629" s="4">
        <v>-32379</v>
      </c>
      <c r="F5629" s="3" t="s">
        <v>462</v>
      </c>
      <c r="G5629" s="3" t="s">
        <v>463</v>
      </c>
      <c r="H5629" s="2" t="s">
        <v>148</v>
      </c>
      <c r="I5629" s="2" t="s">
        <v>14584</v>
      </c>
      <c r="J5629" s="3" t="str">
        <f>HYPERLINK("https://www.boe.es/gazeta/dias/1811/05/07/pdfs/GEI-1811-60.pdf#page=8","Abrir facsímil")</f>
        <v>Abrir facsímil</v>
      </c>
      <c r="K5629" s="3" t="s">
        <v>150</v>
      </c>
    </row>
    <row r="5630" spans="1:11" ht="42" customHeight="1">
      <c r="A5630" s="2" t="s">
        <v>14585</v>
      </c>
      <c r="B5630" s="2" t="s">
        <v>14585</v>
      </c>
      <c r="C5630" s="2" t="s">
        <v>26</v>
      </c>
      <c r="D5630" s="2" t="s">
        <v>18</v>
      </c>
      <c r="E5630" s="4">
        <v>-32403</v>
      </c>
      <c r="F5630" s="3" t="s">
        <v>4861</v>
      </c>
      <c r="G5630" s="3" t="s">
        <v>91</v>
      </c>
      <c r="H5630" s="2" t="s">
        <v>148</v>
      </c>
      <c r="I5630" s="2" t="s">
        <v>14586</v>
      </c>
      <c r="J5630" s="3" t="str">
        <f>HYPERLINK("https://www.boe.es/gazeta/dias/1811/04/13/pdfs/GMD-1811-103.pdf#page=3","Abrir facsímil")</f>
        <v>Abrir facsímil</v>
      </c>
      <c r="K5630" s="3" t="s">
        <v>150</v>
      </c>
    </row>
    <row r="5631" spans="1:11" ht="42" customHeight="1">
      <c r="A5631" s="2" t="s">
        <v>14587</v>
      </c>
      <c r="B5631" s="2" t="s">
        <v>14588</v>
      </c>
      <c r="C5631" s="2" t="s">
        <v>367</v>
      </c>
      <c r="D5631" s="2" t="s">
        <v>18</v>
      </c>
      <c r="E5631" s="4">
        <v>-32396</v>
      </c>
      <c r="F5631" s="3" t="s">
        <v>1267</v>
      </c>
      <c r="G5631" s="3" t="s">
        <v>6010</v>
      </c>
      <c r="H5631" s="2" t="s">
        <v>148</v>
      </c>
      <c r="I5631" s="2" t="s">
        <v>14589</v>
      </c>
      <c r="J5631" s="3" t="str">
        <f>HYPERLINK("https://www.boe.es/gazeta/dias/1811/04/20/pdfs/GMD-1811-110.pdf#page=1","Abrir facsímil")</f>
        <v>Abrir facsímil</v>
      </c>
      <c r="K5631" s="3" t="s">
        <v>150</v>
      </c>
    </row>
    <row r="5632" spans="1:11" ht="42" customHeight="1">
      <c r="A5632" s="2" t="s">
        <v>14590</v>
      </c>
      <c r="B5632" s="2" t="s">
        <v>14591</v>
      </c>
      <c r="C5632" s="2" t="s">
        <v>26</v>
      </c>
      <c r="D5632" s="2" t="s">
        <v>18</v>
      </c>
      <c r="E5632" s="4">
        <v>-32379</v>
      </c>
      <c r="F5632" s="3" t="s">
        <v>462</v>
      </c>
      <c r="G5632" s="3" t="s">
        <v>463</v>
      </c>
      <c r="H5632" s="2" t="s">
        <v>148</v>
      </c>
      <c r="I5632" s="2" t="s">
        <v>14592</v>
      </c>
      <c r="J5632" s="3" t="str">
        <f>HYPERLINK("https://www.boe.es/gazeta/dias/1811/05/07/pdfs/GEI-1811-60.pdf#page=8","Abrir facsímil")</f>
        <v>Abrir facsímil</v>
      </c>
      <c r="K5632" s="3" t="s">
        <v>150</v>
      </c>
    </row>
    <row r="5633" spans="1:11" ht="42" customHeight="1">
      <c r="A5633" s="2" t="s">
        <v>14593</v>
      </c>
      <c r="B5633" s="2" t="s">
        <v>14593</v>
      </c>
      <c r="C5633" s="2" t="s">
        <v>26</v>
      </c>
      <c r="D5633" s="2" t="s">
        <v>18</v>
      </c>
      <c r="E5633" s="4">
        <v>-32153</v>
      </c>
      <c r="F5633" s="3" t="s">
        <v>123</v>
      </c>
      <c r="G5633" s="3" t="s">
        <v>124</v>
      </c>
      <c r="H5633" s="2" t="s">
        <v>148</v>
      </c>
      <c r="I5633" s="2" t="s">
        <v>14594</v>
      </c>
      <c r="J5633" s="3" t="str">
        <f>HYPERLINK("https://www.boe.es/gazeta/dias/1811/12/19/pdfs/GMD-1811-353.pdf#page=6","Abrir facsímil")</f>
        <v>Abrir facsímil</v>
      </c>
      <c r="K5633" s="3" t="s">
        <v>150</v>
      </c>
    </row>
    <row r="5634" spans="1:11" ht="42" customHeight="1">
      <c r="A5634" s="2" t="s">
        <v>14595</v>
      </c>
      <c r="B5634" s="2" t="s">
        <v>14595</v>
      </c>
      <c r="C5634" s="2" t="s">
        <v>26</v>
      </c>
      <c r="D5634" s="2" t="s">
        <v>18</v>
      </c>
      <c r="E5634" s="4">
        <v>-32468</v>
      </c>
      <c r="F5634" s="3" t="s">
        <v>11973</v>
      </c>
      <c r="G5634" s="3" t="s">
        <v>553</v>
      </c>
      <c r="H5634" s="2" t="s">
        <v>148</v>
      </c>
      <c r="I5634" s="2" t="s">
        <v>14596</v>
      </c>
      <c r="J5634" s="3" t="str">
        <f>HYPERLINK("https://www.boe.es/gazeta/dias/1811/02/07/pdfs/GMD-1811-38.pdf#page=3","Abrir facsímil")</f>
        <v>Abrir facsímil</v>
      </c>
      <c r="K5634" s="3" t="s">
        <v>150</v>
      </c>
    </row>
    <row r="5635" spans="1:11" ht="42" customHeight="1">
      <c r="A5635" s="2" t="s">
        <v>14597</v>
      </c>
      <c r="B5635" s="2" t="s">
        <v>14598</v>
      </c>
      <c r="C5635" s="2" t="s">
        <v>26</v>
      </c>
      <c r="D5635" s="2" t="s">
        <v>18</v>
      </c>
      <c r="E5635" s="4">
        <v>-32243</v>
      </c>
      <c r="F5635" s="3" t="s">
        <v>51</v>
      </c>
      <c r="G5635" s="3" t="s">
        <v>52</v>
      </c>
      <c r="H5635" s="2" t="s">
        <v>148</v>
      </c>
      <c r="I5635" s="2" t="s">
        <v>14599</v>
      </c>
      <c r="J5635" s="3" t="str">
        <f>HYPERLINK("https://www.boe.es/gazeta/dias/1811/09/20/pdfs/GMD-1811-263.pdf#page=4","Abrir facsímil")</f>
        <v>Abrir facsímil</v>
      </c>
      <c r="K5635" s="3" t="s">
        <v>150</v>
      </c>
    </row>
    <row r="5636" spans="1:11" ht="42" customHeight="1">
      <c r="A5636" s="2" t="s">
        <v>14600</v>
      </c>
      <c r="B5636" s="2" t="s">
        <v>14601</v>
      </c>
      <c r="C5636" s="2" t="s">
        <v>26</v>
      </c>
      <c r="D5636" s="2" t="s">
        <v>18</v>
      </c>
      <c r="E5636" s="4">
        <v>-32153</v>
      </c>
      <c r="F5636" s="3" t="s">
        <v>123</v>
      </c>
      <c r="G5636" s="3" t="s">
        <v>124</v>
      </c>
      <c r="H5636" s="2" t="s">
        <v>148</v>
      </c>
      <c r="I5636" s="2" t="s">
        <v>14602</v>
      </c>
      <c r="J5636" s="3" t="str">
        <f>HYPERLINK("https://www.boe.es/gazeta/dias/1811/12/19/pdfs/GMD-1811-353.pdf#page=6","Abrir facsímil")</f>
        <v>Abrir facsímil</v>
      </c>
      <c r="K5636" s="3" t="s">
        <v>150</v>
      </c>
    </row>
    <row r="5637" spans="1:11" ht="42" customHeight="1">
      <c r="A5637" s="2" t="s">
        <v>14603</v>
      </c>
      <c r="B5637" s="2" t="s">
        <v>14603</v>
      </c>
      <c r="C5637" s="2" t="s">
        <v>26</v>
      </c>
      <c r="D5637" s="2" t="s">
        <v>18</v>
      </c>
      <c r="E5637" s="4">
        <v>-32501</v>
      </c>
      <c r="F5637" s="3" t="s">
        <v>1679</v>
      </c>
      <c r="G5637" s="3" t="s">
        <v>248</v>
      </c>
      <c r="H5637" s="2" t="s">
        <v>148</v>
      </c>
      <c r="I5637" s="2" t="s">
        <v>14604</v>
      </c>
      <c r="J5637" s="3" t="str">
        <f>HYPERLINK("https://www.boe.es/gazeta/dias/1811/01/05/pdfs/GMD-1811-5.pdf#page=1","Abrir facsímil")</f>
        <v>Abrir facsímil</v>
      </c>
      <c r="K5637" s="3" t="s">
        <v>150</v>
      </c>
    </row>
    <row r="5638" spans="1:11" ht="42" customHeight="1">
      <c r="A5638" s="2" t="s">
        <v>14603</v>
      </c>
      <c r="B5638" s="2" t="s">
        <v>14603</v>
      </c>
      <c r="C5638" s="2" t="s">
        <v>17</v>
      </c>
      <c r="D5638" s="2" t="s">
        <v>156</v>
      </c>
      <c r="E5638" s="4">
        <v>-32465</v>
      </c>
      <c r="F5638" s="3" t="s">
        <v>4414</v>
      </c>
      <c r="G5638" s="3" t="s">
        <v>515</v>
      </c>
      <c r="H5638" s="2" t="s">
        <v>148</v>
      </c>
      <c r="I5638" s="2" t="s">
        <v>14605</v>
      </c>
      <c r="J5638" s="3" t="str">
        <f>HYPERLINK("https://www.boe.es/gazeta/dias/1811/02/10/pdfs/GMD-1811-41.pdf#page=1","Abrir facsímil")</f>
        <v>Abrir facsímil</v>
      </c>
      <c r="K5638" s="3" t="s">
        <v>150</v>
      </c>
    </row>
    <row r="5639" spans="1:11" ht="42" customHeight="1">
      <c r="A5639" s="2" t="s">
        <v>14603</v>
      </c>
      <c r="B5639" s="2" t="s">
        <v>14603</v>
      </c>
      <c r="C5639" s="2" t="s">
        <v>104</v>
      </c>
      <c r="D5639" s="2" t="s">
        <v>204</v>
      </c>
      <c r="E5639" s="4">
        <v>-32379</v>
      </c>
      <c r="F5639" s="3" t="s">
        <v>2357</v>
      </c>
      <c r="G5639" s="3" t="s">
        <v>468</v>
      </c>
      <c r="H5639" s="2" t="s">
        <v>148</v>
      </c>
      <c r="I5639" s="2" t="s">
        <v>14606</v>
      </c>
      <c r="J5639" s="3" t="str">
        <f>HYPERLINK("https://www.boe.es/gazeta/dias/1811/05/07/pdfs/GMD-1811-127.pdf#page=1","Abrir facsímil")</f>
        <v>Abrir facsímil</v>
      </c>
      <c r="K5639" s="3" t="s">
        <v>150</v>
      </c>
    </row>
    <row r="5640" spans="1:11" ht="42" customHeight="1">
      <c r="A5640" s="2" t="s">
        <v>14603</v>
      </c>
      <c r="B5640" s="2" t="s">
        <v>14603</v>
      </c>
      <c r="C5640" s="2" t="s">
        <v>26</v>
      </c>
      <c r="D5640" s="2" t="s">
        <v>18</v>
      </c>
      <c r="E5640" s="4">
        <v>-32352</v>
      </c>
      <c r="F5640" s="3" t="s">
        <v>834</v>
      </c>
      <c r="G5640" s="3" t="s">
        <v>183</v>
      </c>
      <c r="H5640" s="2" t="s">
        <v>148</v>
      </c>
      <c r="I5640" s="2" t="s">
        <v>14607</v>
      </c>
      <c r="J5640" s="3" t="str">
        <f>HYPERLINK("https://www.boe.es/gazeta/dias/1811/06/03/pdfs/GMD-1811-154.pdf#page=4","Abrir facsímil")</f>
        <v>Abrir facsímil</v>
      </c>
      <c r="K5640" s="3" t="s">
        <v>150</v>
      </c>
    </row>
    <row r="5641" spans="1:11" ht="42" customHeight="1">
      <c r="A5641" s="2" t="s">
        <v>14603</v>
      </c>
      <c r="B5641" s="2" t="s">
        <v>14603</v>
      </c>
      <c r="C5641" s="2" t="s">
        <v>26</v>
      </c>
      <c r="D5641" s="2" t="s">
        <v>141</v>
      </c>
      <c r="E5641" s="4">
        <v>-32238</v>
      </c>
      <c r="F5641" s="3" t="s">
        <v>166</v>
      </c>
      <c r="G5641" s="3" t="s">
        <v>178</v>
      </c>
      <c r="H5641" s="2" t="s">
        <v>148</v>
      </c>
      <c r="I5641" s="2" t="s">
        <v>14608</v>
      </c>
      <c r="J5641" s="3" t="str">
        <f>HYPERLINK("https://www.boe.es/gazeta/dias/1811/09/25/pdfs/GMD-C-1811-268.pdf#page=4","Abrir facsímil")</f>
        <v>Abrir facsímil</v>
      </c>
      <c r="K5641" s="3" t="s">
        <v>150</v>
      </c>
    </row>
    <row r="5642" spans="1:11" ht="42" customHeight="1">
      <c r="A5642" s="2" t="s">
        <v>14603</v>
      </c>
      <c r="B5642" s="2" t="s">
        <v>14603</v>
      </c>
      <c r="C5642" s="2" t="s">
        <v>26</v>
      </c>
      <c r="D5642" s="2" t="s">
        <v>18</v>
      </c>
      <c r="E5642" s="4">
        <v>-32189</v>
      </c>
      <c r="F5642" s="3" t="s">
        <v>8935</v>
      </c>
      <c r="G5642" s="3" t="s">
        <v>14481</v>
      </c>
      <c r="H5642" s="2" t="s">
        <v>148</v>
      </c>
      <c r="I5642" s="2" t="s">
        <v>14609</v>
      </c>
      <c r="J5642" s="3" t="str">
        <f>HYPERLINK("https://www.boe.es/gazeta/dias/1811/11/13/pdfs/GMD-1811-317.pdf#page=4","Abrir facsímil")</f>
        <v>Abrir facsímil</v>
      </c>
      <c r="K5642" s="3" t="s">
        <v>150</v>
      </c>
    </row>
    <row r="5643" spans="1:11" ht="42" customHeight="1">
      <c r="A5643" s="2" t="s">
        <v>14610</v>
      </c>
      <c r="B5643" s="2" t="s">
        <v>14610</v>
      </c>
      <c r="C5643" s="2" t="s">
        <v>84</v>
      </c>
      <c r="D5643" s="2" t="s">
        <v>18</v>
      </c>
      <c r="E5643" s="4">
        <v>-32159</v>
      </c>
      <c r="F5643" s="3" t="s">
        <v>7260</v>
      </c>
      <c r="G5643" s="3" t="s">
        <v>20</v>
      </c>
      <c r="H5643" s="2" t="s">
        <v>148</v>
      </c>
      <c r="I5643" s="2" t="s">
        <v>14611</v>
      </c>
      <c r="J5643" s="3" t="str">
        <f>HYPERLINK("https://www.boe.es/gazeta/dias/1811/12/13/pdfs/GMD-1811-347.pdf#page=4","Abrir facsímil")</f>
        <v>Abrir facsímil</v>
      </c>
      <c r="K5643" s="3" t="s">
        <v>150</v>
      </c>
    </row>
    <row r="5644" spans="1:11" ht="42" customHeight="1">
      <c r="A5644" s="2" t="s">
        <v>14610</v>
      </c>
      <c r="B5644" s="2" t="s">
        <v>14610</v>
      </c>
      <c r="C5644" s="2" t="s">
        <v>26</v>
      </c>
      <c r="D5644" s="2" t="s">
        <v>18</v>
      </c>
      <c r="E5644" s="4">
        <v>-32155</v>
      </c>
      <c r="F5644" s="3" t="s">
        <v>263</v>
      </c>
      <c r="G5644" s="3" t="s">
        <v>264</v>
      </c>
      <c r="H5644" s="2" t="s">
        <v>148</v>
      </c>
      <c r="I5644" s="2" t="s">
        <v>14612</v>
      </c>
      <c r="J5644" s="3" t="str">
        <f>HYPERLINK("https://www.boe.es/gazeta/dias/1811/12/17/pdfs/GEI-1811-163.pdf#page=8","Abrir facsímil")</f>
        <v>Abrir facsímil</v>
      </c>
      <c r="K5644" s="3" t="s">
        <v>150</v>
      </c>
    </row>
    <row r="5645" spans="1:11" ht="42" customHeight="1">
      <c r="A5645" s="2" t="s">
        <v>14603</v>
      </c>
      <c r="B5645" s="2" t="s">
        <v>14603</v>
      </c>
      <c r="C5645" s="2" t="s">
        <v>66</v>
      </c>
      <c r="D5645" s="2" t="s">
        <v>18</v>
      </c>
      <c r="E5645" s="4">
        <v>-32153</v>
      </c>
      <c r="F5645" s="3" t="s">
        <v>123</v>
      </c>
      <c r="G5645" s="3" t="s">
        <v>124</v>
      </c>
      <c r="H5645" s="2" t="s">
        <v>148</v>
      </c>
      <c r="I5645" s="2" t="s">
        <v>14613</v>
      </c>
      <c r="J5645" s="3" t="str">
        <f>HYPERLINK("https://www.boe.es/gazeta/dias/1811/12/19/pdfs/GMD-1811-353.pdf#page=6","Abrir facsímil")</f>
        <v>Abrir facsímil</v>
      </c>
      <c r="K5645" s="3" t="s">
        <v>150</v>
      </c>
    </row>
    <row r="5646" spans="1:11" ht="42" customHeight="1">
      <c r="A5646" s="2" t="s">
        <v>14614</v>
      </c>
      <c r="B5646" s="2" t="s">
        <v>14615</v>
      </c>
      <c r="C5646" s="2" t="s">
        <v>26</v>
      </c>
      <c r="D5646" s="2" t="s">
        <v>18</v>
      </c>
      <c r="E5646" s="4">
        <v>-32321</v>
      </c>
      <c r="F5646" s="3" t="s">
        <v>2344</v>
      </c>
      <c r="G5646" s="3" t="s">
        <v>178</v>
      </c>
      <c r="H5646" s="2" t="s">
        <v>148</v>
      </c>
      <c r="I5646" s="2" t="s">
        <v>14616</v>
      </c>
      <c r="J5646" s="3" t="str">
        <f>HYPERLINK("https://www.boe.es/gazeta/dias/1811/07/04/pdfs/GMD-1811-185.pdf#page=4","Abrir facsímil")</f>
        <v>Abrir facsímil</v>
      </c>
      <c r="K5646" s="3" t="s">
        <v>150</v>
      </c>
    </row>
    <row r="5647" spans="1:11" ht="42" customHeight="1">
      <c r="A5647" s="2" t="s">
        <v>14617</v>
      </c>
      <c r="B5647" s="2" t="s">
        <v>14618</v>
      </c>
      <c r="C5647" s="2" t="s">
        <v>26</v>
      </c>
      <c r="D5647" s="2" t="s">
        <v>18</v>
      </c>
      <c r="E5647" s="4">
        <v>-32452</v>
      </c>
      <c r="F5647" s="3" t="s">
        <v>106</v>
      </c>
      <c r="G5647" s="3" t="s">
        <v>20</v>
      </c>
      <c r="H5647" s="2" t="s">
        <v>21</v>
      </c>
      <c r="I5647" s="2" t="s">
        <v>14619</v>
      </c>
      <c r="J5647" s="3" t="str">
        <f>HYPERLINK("https://www.boe.es/gazeta/dias/1811/02/23/pdfs/GEI-1811-24.pdf#page=8","Abrir facsímil")</f>
        <v>Abrir facsímil</v>
      </c>
      <c r="K5647" s="3" t="s">
        <v>23</v>
      </c>
    </row>
    <row r="5648" spans="1:11" ht="42" customHeight="1">
      <c r="A5648" s="2" t="s">
        <v>14620</v>
      </c>
      <c r="B5648" s="2" t="s">
        <v>14621</v>
      </c>
      <c r="C5648" s="2" t="s">
        <v>26</v>
      </c>
      <c r="D5648" s="2" t="s">
        <v>18</v>
      </c>
      <c r="E5648" s="4">
        <v>-32155</v>
      </c>
      <c r="F5648" s="3" t="s">
        <v>263</v>
      </c>
      <c r="G5648" s="3" t="s">
        <v>264</v>
      </c>
      <c r="H5648" s="2" t="s">
        <v>148</v>
      </c>
      <c r="I5648" s="2" t="s">
        <v>14622</v>
      </c>
      <c r="J5648" s="3" t="str">
        <f>HYPERLINK("https://www.boe.es/gazeta/dias/1811/12/17/pdfs/GEI-1811-163.pdf#page=8","Abrir facsímil")</f>
        <v>Abrir facsímil</v>
      </c>
      <c r="K5648" s="3" t="s">
        <v>150</v>
      </c>
    </row>
    <row r="5649" spans="1:11" ht="42" customHeight="1">
      <c r="A5649" s="2" t="s">
        <v>14623</v>
      </c>
      <c r="B5649" s="2" t="s">
        <v>14624</v>
      </c>
      <c r="C5649" s="2" t="s">
        <v>26</v>
      </c>
      <c r="D5649" s="2" t="s">
        <v>18</v>
      </c>
      <c r="E5649" s="4">
        <v>-32157</v>
      </c>
      <c r="F5649" s="3" t="s">
        <v>200</v>
      </c>
      <c r="G5649" s="3" t="s">
        <v>6869</v>
      </c>
      <c r="H5649" s="2" t="s">
        <v>148</v>
      </c>
      <c r="I5649" s="2" t="s">
        <v>14625</v>
      </c>
      <c r="J5649" s="3" t="str">
        <f>HYPERLINK("https://www.boe.es/gazeta/dias/1811/12/15/pdfs/GMD-1811-349.pdf#page=2","Abrir facsímil")</f>
        <v>Abrir facsímil</v>
      </c>
      <c r="K5649" s="3" t="s">
        <v>150</v>
      </c>
    </row>
    <row r="5650" spans="1:11" ht="42" customHeight="1">
      <c r="A5650" s="2" t="s">
        <v>14626</v>
      </c>
      <c r="B5650" s="2" t="s">
        <v>14627</v>
      </c>
      <c r="C5650" s="2" t="s">
        <v>17</v>
      </c>
      <c r="D5650" s="2" t="s">
        <v>18</v>
      </c>
      <c r="E5650" s="4">
        <v>-32239</v>
      </c>
      <c r="F5650" s="3" t="s">
        <v>1225</v>
      </c>
      <c r="G5650" s="3" t="s">
        <v>1601</v>
      </c>
      <c r="H5650" s="2" t="s">
        <v>148</v>
      </c>
      <c r="I5650" s="2" t="s">
        <v>14628</v>
      </c>
      <c r="J5650" s="3" t="str">
        <f>HYPERLINK("https://www.boe.es/gazeta/dias/1811/09/24/pdfs/GEI-1811-123.pdf#page=8","Abrir facsímil")</f>
        <v>Abrir facsímil</v>
      </c>
      <c r="K5650" s="3" t="s">
        <v>150</v>
      </c>
    </row>
    <row r="5651" spans="1:11" ht="42" customHeight="1">
      <c r="A5651" s="2" t="s">
        <v>14629</v>
      </c>
      <c r="B5651" s="2" t="s">
        <v>14630</v>
      </c>
      <c r="C5651" s="2" t="s">
        <v>26</v>
      </c>
      <c r="D5651" s="2" t="s">
        <v>105</v>
      </c>
      <c r="E5651" s="4">
        <v>-32428</v>
      </c>
      <c r="F5651" s="3" t="s">
        <v>351</v>
      </c>
      <c r="G5651" s="3" t="s">
        <v>352</v>
      </c>
      <c r="H5651" s="2" t="s">
        <v>148</v>
      </c>
      <c r="I5651" s="2" t="s">
        <v>14631</v>
      </c>
      <c r="J5651" s="3" t="str">
        <f>HYPERLINK("https://www.boe.es/gazeta/dias/1811/03/19/pdfs/GMD-1811-78.pdf#page=4","Abrir facsímil")</f>
        <v>Abrir facsímil</v>
      </c>
      <c r="K5651" s="3" t="s">
        <v>150</v>
      </c>
    </row>
    <row r="5652" spans="1:11" ht="42" customHeight="1">
      <c r="A5652" s="2" t="s">
        <v>14629</v>
      </c>
      <c r="B5652" s="2" t="s">
        <v>14630</v>
      </c>
      <c r="C5652" s="2" t="s">
        <v>37</v>
      </c>
      <c r="D5652" s="2" t="s">
        <v>18</v>
      </c>
      <c r="E5652" s="4">
        <v>-32368</v>
      </c>
      <c r="F5652" s="3" t="s">
        <v>1561</v>
      </c>
      <c r="G5652" s="3" t="s">
        <v>57</v>
      </c>
      <c r="H5652" s="2" t="s">
        <v>148</v>
      </c>
      <c r="I5652" s="2" t="s">
        <v>14632</v>
      </c>
      <c r="J5652" s="3" t="str">
        <f>HYPERLINK("https://www.boe.es/gazeta/dias/1811/05/18/pdfs/GMD-1811-138.pdf#page=2","Abrir facsímil")</f>
        <v>Abrir facsímil</v>
      </c>
      <c r="K5652" s="3" t="s">
        <v>150</v>
      </c>
    </row>
    <row r="5653" spans="1:11" ht="42" customHeight="1">
      <c r="A5653" s="2" t="s">
        <v>14629</v>
      </c>
      <c r="B5653" s="2" t="s">
        <v>14630</v>
      </c>
      <c r="C5653" s="2" t="s">
        <v>17</v>
      </c>
      <c r="D5653" s="2" t="s">
        <v>156</v>
      </c>
      <c r="E5653" s="4">
        <v>-32279</v>
      </c>
      <c r="F5653" s="3" t="s">
        <v>540</v>
      </c>
      <c r="G5653" s="3" t="s">
        <v>91</v>
      </c>
      <c r="H5653" s="2" t="s">
        <v>148</v>
      </c>
      <c r="I5653" s="2" t="s">
        <v>14633</v>
      </c>
      <c r="J5653" s="3" t="str">
        <f>HYPERLINK("https://www.boe.es/gazeta/dias/1811/08/15/pdfs/GMD-1811-227.pdf#page=3","Abrir facsímil")</f>
        <v>Abrir facsímil</v>
      </c>
      <c r="K5653" s="3" t="s">
        <v>150</v>
      </c>
    </row>
    <row r="5654" spans="1:11" ht="42" customHeight="1">
      <c r="A5654" s="2" t="s">
        <v>14629</v>
      </c>
      <c r="B5654" s="2" t="s">
        <v>14630</v>
      </c>
      <c r="C5654" s="2" t="s">
        <v>17</v>
      </c>
      <c r="D5654" s="2" t="s">
        <v>18</v>
      </c>
      <c r="E5654" s="4">
        <v>-32171</v>
      </c>
      <c r="F5654" s="3" t="s">
        <v>157</v>
      </c>
      <c r="G5654" s="3" t="s">
        <v>44</v>
      </c>
      <c r="H5654" s="2" t="s">
        <v>148</v>
      </c>
      <c r="I5654" s="2" t="s">
        <v>14634</v>
      </c>
      <c r="J5654" s="3" t="str">
        <f>HYPERLINK("https://www.boe.es/gazeta/dias/1811/12/01/pdfs/GMD-1811-335.pdf#page=4","Abrir facsímil")</f>
        <v>Abrir facsímil</v>
      </c>
      <c r="K5654" s="3" t="s">
        <v>150</v>
      </c>
    </row>
    <row r="5655" spans="1:11" ht="42" customHeight="1">
      <c r="A5655" s="2" t="s">
        <v>14635</v>
      </c>
      <c r="B5655" s="2" t="s">
        <v>14636</v>
      </c>
      <c r="C5655" s="2" t="s">
        <v>104</v>
      </c>
      <c r="D5655" s="2" t="s">
        <v>18</v>
      </c>
      <c r="E5655" s="4">
        <v>-32487</v>
      </c>
      <c r="F5655" s="3" t="s">
        <v>842</v>
      </c>
      <c r="G5655" s="3" t="s">
        <v>440</v>
      </c>
      <c r="H5655" s="2" t="s">
        <v>148</v>
      </c>
      <c r="I5655" s="2" t="s">
        <v>14637</v>
      </c>
      <c r="J5655" s="3" t="str">
        <f>HYPERLINK("https://www.boe.es/gazeta/dias/1811/01/19/pdfs/GEI-1811-9.pdf#page=2","Abrir facsímil")</f>
        <v>Abrir facsímil</v>
      </c>
      <c r="K5655" s="3" t="s">
        <v>150</v>
      </c>
    </row>
    <row r="5656" spans="1:11" ht="42" customHeight="1">
      <c r="A5656" s="2" t="s">
        <v>14638</v>
      </c>
      <c r="B5656" s="2" t="s">
        <v>14639</v>
      </c>
      <c r="C5656" s="2" t="s">
        <v>17</v>
      </c>
      <c r="D5656" s="2" t="s">
        <v>18</v>
      </c>
      <c r="E5656" s="4">
        <v>-32148</v>
      </c>
      <c r="F5656" s="3" t="s">
        <v>1616</v>
      </c>
      <c r="G5656" s="3" t="s">
        <v>1617</v>
      </c>
      <c r="H5656" s="2" t="s">
        <v>148</v>
      </c>
      <c r="I5656" s="2" t="s">
        <v>14640</v>
      </c>
      <c r="J5656" s="3" t="str">
        <f>HYPERLINK("https://www.boe.es/gazeta/dias/1811/12/24/pdfs/GEI-1811-166.pdf#page=8","Abrir facsímil")</f>
        <v>Abrir facsímil</v>
      </c>
      <c r="K5656" s="3" t="s">
        <v>150</v>
      </c>
    </row>
    <row r="5657" spans="1:11" ht="42" customHeight="1">
      <c r="A5657" s="2" t="s">
        <v>14641</v>
      </c>
      <c r="B5657" s="2" t="s">
        <v>14642</v>
      </c>
      <c r="C5657" s="2" t="s">
        <v>84</v>
      </c>
      <c r="D5657" s="2" t="s">
        <v>18</v>
      </c>
      <c r="E5657" s="4">
        <v>-32292</v>
      </c>
      <c r="F5657" s="3" t="s">
        <v>408</v>
      </c>
      <c r="G5657" s="3" t="s">
        <v>409</v>
      </c>
      <c r="H5657" s="2" t="s">
        <v>148</v>
      </c>
      <c r="I5657" s="2" t="s">
        <v>14643</v>
      </c>
      <c r="J5657" s="3" t="str">
        <f>HYPERLINK("https://www.boe.es/gazeta/dias/1811/08/02/pdfs/GMD-1811-214.pdf#page=4","Abrir facsímil")</f>
        <v>Abrir facsímil</v>
      </c>
      <c r="K5657" s="3" t="s">
        <v>150</v>
      </c>
    </row>
    <row r="5658" spans="1:11" ht="42" customHeight="1">
      <c r="A5658" s="2" t="s">
        <v>14644</v>
      </c>
      <c r="B5658" s="2" t="s">
        <v>14644</v>
      </c>
      <c r="C5658" s="2" t="s">
        <v>17</v>
      </c>
      <c r="D5658" s="2" t="s">
        <v>156</v>
      </c>
      <c r="E5658" s="4">
        <v>-32292</v>
      </c>
      <c r="F5658" s="3" t="s">
        <v>408</v>
      </c>
      <c r="G5658" s="3" t="s">
        <v>409</v>
      </c>
      <c r="H5658" s="2" t="s">
        <v>148</v>
      </c>
      <c r="I5658" s="2" t="s">
        <v>14645</v>
      </c>
      <c r="J5658" s="3" t="str">
        <f>HYPERLINK("https://www.boe.es/gazeta/dias/1811/08/02/pdfs/GMD-1811-214.pdf#page=4","Abrir facsímil")</f>
        <v>Abrir facsímil</v>
      </c>
      <c r="K5658" s="3" t="s">
        <v>150</v>
      </c>
    </row>
    <row r="5659" spans="1:11" ht="42" customHeight="1">
      <c r="A5659" s="2" t="s">
        <v>14646</v>
      </c>
      <c r="B5659" s="2" t="s">
        <v>14646</v>
      </c>
      <c r="C5659" s="2" t="s">
        <v>17</v>
      </c>
      <c r="D5659" s="2" t="s">
        <v>156</v>
      </c>
      <c r="E5659" s="4">
        <v>-32428</v>
      </c>
      <c r="F5659" s="3" t="s">
        <v>351</v>
      </c>
      <c r="G5659" s="3" t="s">
        <v>57</v>
      </c>
      <c r="H5659" s="2" t="s">
        <v>148</v>
      </c>
      <c r="I5659" s="2" t="s">
        <v>14647</v>
      </c>
      <c r="J5659" s="3" t="str">
        <f>HYPERLINK("https://www.boe.es/gazeta/dias/1811/03/19/pdfs/GMD-1811-78.pdf#page=2","Abrir facsímil")</f>
        <v>Abrir facsímil</v>
      </c>
      <c r="K5659" s="3" t="s">
        <v>150</v>
      </c>
    </row>
    <row r="5660" spans="1:11" ht="42" customHeight="1">
      <c r="A5660" s="2" t="s">
        <v>14646</v>
      </c>
      <c r="B5660" s="2" t="s">
        <v>14646</v>
      </c>
      <c r="C5660" s="2" t="s">
        <v>17</v>
      </c>
      <c r="D5660" s="2" t="s">
        <v>156</v>
      </c>
      <c r="E5660" s="4">
        <v>-32428</v>
      </c>
      <c r="F5660" s="3" t="s">
        <v>351</v>
      </c>
      <c r="G5660" s="3" t="s">
        <v>115</v>
      </c>
      <c r="H5660" s="2" t="s">
        <v>148</v>
      </c>
      <c r="I5660" s="2" t="s">
        <v>14648</v>
      </c>
      <c r="J5660" s="3" t="str">
        <f>HYPERLINK("https://www.boe.es/gazeta/dias/1811/03/19/pdfs/GMD-1811-78.pdf#page=3","Abrir facsímil")</f>
        <v>Abrir facsímil</v>
      </c>
      <c r="K5660" s="3" t="s">
        <v>150</v>
      </c>
    </row>
    <row r="5661" spans="1:11" ht="42" customHeight="1">
      <c r="A5661" s="2" t="s">
        <v>14646</v>
      </c>
      <c r="B5661" s="2" t="s">
        <v>14646</v>
      </c>
      <c r="C5661" s="2" t="s">
        <v>26</v>
      </c>
      <c r="D5661" s="2" t="s">
        <v>18</v>
      </c>
      <c r="E5661" s="4">
        <v>-32428</v>
      </c>
      <c r="F5661" s="3" t="s">
        <v>351</v>
      </c>
      <c r="G5661" s="3" t="s">
        <v>352</v>
      </c>
      <c r="H5661" s="2" t="s">
        <v>148</v>
      </c>
      <c r="I5661" s="2" t="s">
        <v>14649</v>
      </c>
      <c r="J5661" s="3" t="str">
        <f>HYPERLINK("https://www.boe.es/gazeta/dias/1811/03/19/pdfs/GMD-1811-78.pdf#page=4","Abrir facsímil")</f>
        <v>Abrir facsímil</v>
      </c>
      <c r="K5661" s="3" t="s">
        <v>150</v>
      </c>
    </row>
    <row r="5662" spans="1:11" ht="42" customHeight="1">
      <c r="A5662" s="2" t="s">
        <v>14646</v>
      </c>
      <c r="B5662" s="2" t="s">
        <v>14646</v>
      </c>
      <c r="C5662" s="2" t="s">
        <v>122</v>
      </c>
      <c r="D5662" s="2" t="s">
        <v>18</v>
      </c>
      <c r="E5662" s="4">
        <v>-32421</v>
      </c>
      <c r="F5662" s="3" t="s">
        <v>79</v>
      </c>
      <c r="G5662" s="3" t="s">
        <v>80</v>
      </c>
      <c r="H5662" s="2" t="s">
        <v>148</v>
      </c>
      <c r="I5662" s="2" t="s">
        <v>14650</v>
      </c>
      <c r="J5662" s="3" t="str">
        <f>HYPERLINK("https://www.boe.es/gazeta/dias/1811/03/26/pdfs/GEI-1811-42.pdf#page=7","Abrir facsímil")</f>
        <v>Abrir facsímil</v>
      </c>
      <c r="K5662" s="3" t="s">
        <v>150</v>
      </c>
    </row>
    <row r="5663" spans="1:11" ht="42" customHeight="1">
      <c r="A5663" s="2" t="s">
        <v>14646</v>
      </c>
      <c r="B5663" s="2" t="s">
        <v>14646</v>
      </c>
      <c r="C5663" s="2" t="s">
        <v>26</v>
      </c>
      <c r="D5663" s="2" t="s">
        <v>18</v>
      </c>
      <c r="E5663" s="4">
        <v>-32400</v>
      </c>
      <c r="F5663" s="3" t="s">
        <v>3343</v>
      </c>
      <c r="G5663" s="3" t="s">
        <v>846</v>
      </c>
      <c r="H5663" s="2" t="s">
        <v>148</v>
      </c>
      <c r="I5663" s="2" t="s">
        <v>14651</v>
      </c>
      <c r="J5663" s="3" t="str">
        <f>HYPERLINK("https://www.boe.es/gazeta/dias/1811/04/16/pdfs/GMD-1811-106.pdf#page=3","Abrir facsímil")</f>
        <v>Abrir facsímil</v>
      </c>
      <c r="K5663" s="3" t="s">
        <v>150</v>
      </c>
    </row>
    <row r="5664" spans="1:11" ht="42" customHeight="1">
      <c r="A5664" s="2" t="s">
        <v>14646</v>
      </c>
      <c r="B5664" s="2" t="s">
        <v>14646</v>
      </c>
      <c r="C5664" s="2" t="s">
        <v>17</v>
      </c>
      <c r="D5664" s="2" t="s">
        <v>156</v>
      </c>
      <c r="E5664" s="4">
        <v>-32279</v>
      </c>
      <c r="F5664" s="3" t="s">
        <v>540</v>
      </c>
      <c r="G5664" s="3" t="s">
        <v>91</v>
      </c>
      <c r="H5664" s="2" t="s">
        <v>148</v>
      </c>
      <c r="I5664" s="2" t="s">
        <v>14652</v>
      </c>
      <c r="J5664" s="3" t="str">
        <f>HYPERLINK("https://www.boe.es/gazeta/dias/1811/08/15/pdfs/GMD-1811-227.pdf#page=3","Abrir facsímil")</f>
        <v>Abrir facsímil</v>
      </c>
      <c r="K5664" s="3" t="s">
        <v>150</v>
      </c>
    </row>
    <row r="5665" spans="1:11" ht="42" customHeight="1">
      <c r="A5665" s="2" t="s">
        <v>14646</v>
      </c>
      <c r="B5665" s="2" t="s">
        <v>14646</v>
      </c>
      <c r="C5665" s="2" t="s">
        <v>26</v>
      </c>
      <c r="D5665" s="2" t="s">
        <v>18</v>
      </c>
      <c r="E5665" s="4">
        <v>-32239</v>
      </c>
      <c r="F5665" s="3" t="s">
        <v>1225</v>
      </c>
      <c r="G5665" s="3" t="s">
        <v>1601</v>
      </c>
      <c r="H5665" s="2" t="s">
        <v>148</v>
      </c>
      <c r="I5665" s="2" t="s">
        <v>14653</v>
      </c>
      <c r="J5665" s="3" t="str">
        <f>HYPERLINK("https://www.boe.es/gazeta/dias/1811/09/24/pdfs/GEI-1811-123.pdf#page=8","Abrir facsímil")</f>
        <v>Abrir facsímil</v>
      </c>
      <c r="K5665" s="3" t="s">
        <v>150</v>
      </c>
    </row>
    <row r="5666" spans="1:11" ht="42" customHeight="1">
      <c r="A5666" s="2" t="s">
        <v>14646</v>
      </c>
      <c r="B5666" s="2" t="s">
        <v>14646</v>
      </c>
      <c r="C5666" s="2" t="s">
        <v>122</v>
      </c>
      <c r="D5666" s="2" t="s">
        <v>18</v>
      </c>
      <c r="E5666" s="4">
        <v>-32202</v>
      </c>
      <c r="F5666" s="3" t="s">
        <v>1634</v>
      </c>
      <c r="G5666" s="3" t="s">
        <v>178</v>
      </c>
      <c r="H5666" s="2" t="s">
        <v>148</v>
      </c>
      <c r="I5666" s="2" t="s">
        <v>14654</v>
      </c>
      <c r="J5666" s="3" t="str">
        <f>HYPERLINK("https://www.boe.es/gazeta/dias/1811/10/31/pdfs/GMD-1811-304.pdf#page=4","Abrir facsímil")</f>
        <v>Abrir facsímil</v>
      </c>
      <c r="K5666" s="3" t="s">
        <v>150</v>
      </c>
    </row>
    <row r="5667" spans="1:11" ht="42" customHeight="1">
      <c r="A5667" s="2" t="s">
        <v>14646</v>
      </c>
      <c r="B5667" s="2" t="s">
        <v>14646</v>
      </c>
      <c r="C5667" s="2" t="s">
        <v>17</v>
      </c>
      <c r="D5667" s="2" t="s">
        <v>156</v>
      </c>
      <c r="E5667" s="4">
        <v>-32171</v>
      </c>
      <c r="F5667" s="3" t="s">
        <v>157</v>
      </c>
      <c r="G5667" s="3" t="s">
        <v>44</v>
      </c>
      <c r="H5667" s="2" t="s">
        <v>148</v>
      </c>
      <c r="I5667" s="2" t="s">
        <v>14655</v>
      </c>
      <c r="J5667" s="3" t="str">
        <f>HYPERLINK("https://www.boe.es/gazeta/dias/1811/12/01/pdfs/GMD-1811-335.pdf#page=4","Abrir facsímil")</f>
        <v>Abrir facsímil</v>
      </c>
      <c r="K5667" s="3" t="s">
        <v>150</v>
      </c>
    </row>
    <row r="5668" spans="1:11" ht="42" customHeight="1">
      <c r="A5668" s="2" t="s">
        <v>14656</v>
      </c>
      <c r="B5668" s="2" t="s">
        <v>14657</v>
      </c>
      <c r="C5668" s="2" t="s">
        <v>26</v>
      </c>
      <c r="D5668" s="2" t="s">
        <v>141</v>
      </c>
      <c r="E5668" s="4">
        <v>-32238</v>
      </c>
      <c r="F5668" s="3" t="s">
        <v>166</v>
      </c>
      <c r="G5668" s="3" t="s">
        <v>178</v>
      </c>
      <c r="H5668" s="2" t="s">
        <v>148</v>
      </c>
      <c r="I5668" s="2" t="s">
        <v>14658</v>
      </c>
      <c r="J5668" s="3" t="str">
        <f>HYPERLINK("https://www.boe.es/gazeta/dias/1811/09/25/pdfs/GMD-C-1811-268.pdf#page=4","Abrir facsímil")</f>
        <v>Abrir facsímil</v>
      </c>
      <c r="K5668" s="3" t="s">
        <v>150</v>
      </c>
    </row>
    <row r="5669" spans="1:11" ht="42" customHeight="1">
      <c r="A5669" s="2" t="s">
        <v>14659</v>
      </c>
      <c r="B5669" s="2" t="s">
        <v>14660</v>
      </c>
      <c r="C5669" s="2" t="s">
        <v>17</v>
      </c>
      <c r="D5669" s="2" t="s">
        <v>105</v>
      </c>
      <c r="E5669" s="4">
        <v>-32445</v>
      </c>
      <c r="F5669" s="3" t="s">
        <v>2032</v>
      </c>
      <c r="G5669" s="3" t="s">
        <v>178</v>
      </c>
      <c r="H5669" s="2" t="s">
        <v>148</v>
      </c>
      <c r="I5669" s="2" t="s">
        <v>14661</v>
      </c>
      <c r="J5669" s="3" t="str">
        <f>HYPERLINK("https://www.boe.es/gazeta/dias/1811/03/02/pdfs/GEI-1811-27.pdf#page=3","Abrir facsímil")</f>
        <v>Abrir facsímil</v>
      </c>
      <c r="K5669" s="3" t="s">
        <v>150</v>
      </c>
    </row>
    <row r="5670" spans="1:11" ht="42" customHeight="1">
      <c r="A5670" s="2" t="s">
        <v>14662</v>
      </c>
      <c r="B5670" s="2" t="s">
        <v>14663</v>
      </c>
      <c r="C5670" s="2" t="s">
        <v>17</v>
      </c>
      <c r="D5670" s="2" t="s">
        <v>156</v>
      </c>
      <c r="E5670" s="4">
        <v>-32473</v>
      </c>
      <c r="F5670" s="3" t="s">
        <v>3399</v>
      </c>
      <c r="G5670" s="3" t="s">
        <v>6799</v>
      </c>
      <c r="H5670" s="2" t="s">
        <v>148</v>
      </c>
      <c r="I5670" s="2" t="s">
        <v>14664</v>
      </c>
      <c r="J5670" s="3" t="str">
        <f>HYPERLINK("https://www.boe.es/gazeta/dias/1811/02/02/pdfs/GEI-1811-15.pdf#page=7","Abrir facsímil")</f>
        <v>Abrir facsímil</v>
      </c>
      <c r="K5670" s="3" t="s">
        <v>150</v>
      </c>
    </row>
    <row r="5671" spans="1:11" ht="42" customHeight="1">
      <c r="A5671" s="2" t="s">
        <v>14665</v>
      </c>
      <c r="B5671" s="2" t="s">
        <v>14665</v>
      </c>
      <c r="C5671" s="2" t="s">
        <v>104</v>
      </c>
      <c r="D5671" s="2" t="s">
        <v>105</v>
      </c>
      <c r="E5671" s="4">
        <v>-32449</v>
      </c>
      <c r="F5671" s="3" t="s">
        <v>381</v>
      </c>
      <c r="G5671" s="3" t="s">
        <v>14666</v>
      </c>
      <c r="H5671" s="2" t="s">
        <v>148</v>
      </c>
      <c r="I5671" s="2" t="s">
        <v>14667</v>
      </c>
      <c r="J5671" s="3" t="str">
        <f>HYPERLINK("https://www.boe.es/gazeta/dias/1811/02/26/pdfs/GEI-1811-25.pdf#page=7","Abrir facsímil")</f>
        <v>Abrir facsímil</v>
      </c>
      <c r="K5671" s="3" t="s">
        <v>150</v>
      </c>
    </row>
    <row r="5672" spans="1:11" ht="42" customHeight="1">
      <c r="A5672" s="2" t="s">
        <v>14668</v>
      </c>
      <c r="B5672" s="2" t="s">
        <v>14668</v>
      </c>
      <c r="C5672" s="2" t="s">
        <v>17</v>
      </c>
      <c r="D5672" s="2" t="s">
        <v>156</v>
      </c>
      <c r="E5672" s="4">
        <v>-32315</v>
      </c>
      <c r="F5672" s="3" t="s">
        <v>3189</v>
      </c>
      <c r="G5672" s="3" t="s">
        <v>57</v>
      </c>
      <c r="H5672" s="2" t="s">
        <v>148</v>
      </c>
      <c r="I5672" s="2" t="s">
        <v>14669</v>
      </c>
      <c r="J5672" s="3" t="str">
        <f>HYPERLINK("https://www.boe.es/gazeta/dias/1811/07/10/pdfs/GMD-1811-191.pdf#page=2","Abrir facsímil")</f>
        <v>Abrir facsímil</v>
      </c>
      <c r="K5672" s="3" t="s">
        <v>150</v>
      </c>
    </row>
    <row r="5673" spans="1:11" ht="42" customHeight="1">
      <c r="A5673" s="2" t="s">
        <v>14670</v>
      </c>
      <c r="B5673" s="2" t="s">
        <v>14671</v>
      </c>
      <c r="C5673" s="2" t="s">
        <v>26</v>
      </c>
      <c r="D5673" s="2" t="s">
        <v>204</v>
      </c>
      <c r="E5673" s="4">
        <v>-32141</v>
      </c>
      <c r="F5673" s="3" t="s">
        <v>327</v>
      </c>
      <c r="G5673" s="3" t="s">
        <v>115</v>
      </c>
      <c r="H5673" s="2" t="s">
        <v>148</v>
      </c>
      <c r="I5673" s="2" t="s">
        <v>14672</v>
      </c>
      <c r="J5673" s="3" t="str">
        <f>HYPERLINK("https://www.boe.es/gazeta/dias/1811/12/31/pdfs/GMD-1811-365.pdf#page=3","Abrir facsímil")</f>
        <v>Abrir facsímil</v>
      </c>
      <c r="K5673" s="3" t="s">
        <v>150</v>
      </c>
    </row>
    <row r="5674" spans="1:11" ht="42" customHeight="1">
      <c r="A5674" s="2" t="s">
        <v>14673</v>
      </c>
      <c r="B5674" s="2" t="s">
        <v>14674</v>
      </c>
      <c r="C5674" s="2" t="s">
        <v>26</v>
      </c>
      <c r="D5674" s="2" t="s">
        <v>105</v>
      </c>
      <c r="E5674" s="4">
        <v>-32238</v>
      </c>
      <c r="F5674" s="3" t="s">
        <v>166</v>
      </c>
      <c r="G5674" s="3" t="s">
        <v>657</v>
      </c>
      <c r="H5674" s="2" t="s">
        <v>148</v>
      </c>
      <c r="I5674" s="2" t="s">
        <v>14675</v>
      </c>
      <c r="J5674" s="3" t="str">
        <f>HYPERLINK("https://www.boe.es/gazeta/dias/1811/09/25/pdfs/GMD-C-1811-268.pdf#page=3","Abrir facsímil")</f>
        <v>Abrir facsímil</v>
      </c>
      <c r="K5674" s="3" t="s">
        <v>150</v>
      </c>
    </row>
    <row r="5675" spans="1:11" ht="42" customHeight="1">
      <c r="A5675" s="2" t="s">
        <v>14676</v>
      </c>
      <c r="B5675" s="2" t="s">
        <v>14677</v>
      </c>
      <c r="C5675" s="2" t="s">
        <v>104</v>
      </c>
      <c r="D5675" s="2" t="s">
        <v>18</v>
      </c>
      <c r="E5675" s="4">
        <v>-32403</v>
      </c>
      <c r="F5675" s="3" t="s">
        <v>1915</v>
      </c>
      <c r="G5675" s="3" t="s">
        <v>4126</v>
      </c>
      <c r="H5675" s="2" t="s">
        <v>148</v>
      </c>
      <c r="I5675" s="2" t="s">
        <v>14678</v>
      </c>
      <c r="J5675" s="3" t="str">
        <f>HYPERLINK("https://www.boe.es/gazeta/dias/1811/04/13/pdfs/GEI-1811-50.pdf#page=8","Abrir facsímil")</f>
        <v>Abrir facsímil</v>
      </c>
      <c r="K5675" s="3" t="s">
        <v>150</v>
      </c>
    </row>
    <row r="5676" spans="1:11" ht="42" customHeight="1">
      <c r="A5676" s="2" t="s">
        <v>14679</v>
      </c>
      <c r="B5676" s="2" t="s">
        <v>14680</v>
      </c>
      <c r="C5676" s="2" t="s">
        <v>17</v>
      </c>
      <c r="D5676" s="2" t="s">
        <v>18</v>
      </c>
      <c r="E5676" s="4">
        <v>-32375</v>
      </c>
      <c r="F5676" s="3" t="s">
        <v>1209</v>
      </c>
      <c r="G5676" s="3" t="s">
        <v>440</v>
      </c>
      <c r="H5676" s="2" t="s">
        <v>148</v>
      </c>
      <c r="I5676" s="2" t="s">
        <v>14681</v>
      </c>
      <c r="J5676" s="3" t="str">
        <f>HYPERLINK("https://www.boe.es/gazeta/dias/1811/05/11/pdfs/GEI-1811-62.pdf#page=6","Abrir facsímil")</f>
        <v>Abrir facsímil</v>
      </c>
      <c r="K5676" s="3" t="s">
        <v>150</v>
      </c>
    </row>
    <row r="5677" spans="1:11" ht="42" customHeight="1">
      <c r="A5677" s="2" t="s">
        <v>14682</v>
      </c>
      <c r="B5677" s="2" t="s">
        <v>14683</v>
      </c>
      <c r="C5677" s="2" t="s">
        <v>26</v>
      </c>
      <c r="D5677" s="2" t="s">
        <v>18</v>
      </c>
      <c r="E5677" s="4">
        <v>-32155</v>
      </c>
      <c r="F5677" s="3" t="s">
        <v>263</v>
      </c>
      <c r="G5677" s="3" t="s">
        <v>264</v>
      </c>
      <c r="H5677" s="2" t="s">
        <v>148</v>
      </c>
      <c r="I5677" s="2" t="s">
        <v>14684</v>
      </c>
      <c r="J5677" s="3" t="str">
        <f>HYPERLINK("https://www.boe.es/gazeta/dias/1811/12/17/pdfs/GEI-1811-163.pdf#page=8","Abrir facsímil")</f>
        <v>Abrir facsímil</v>
      </c>
      <c r="K5677" s="3" t="s">
        <v>150</v>
      </c>
    </row>
    <row r="5678" spans="1:11" ht="42" customHeight="1">
      <c r="A5678" s="2" t="s">
        <v>14685</v>
      </c>
      <c r="B5678" s="2" t="s">
        <v>14686</v>
      </c>
      <c r="C5678" s="2" t="s">
        <v>17</v>
      </c>
      <c r="D5678" s="2" t="s">
        <v>18</v>
      </c>
      <c r="E5678" s="4">
        <v>-32155</v>
      </c>
      <c r="F5678" s="3" t="s">
        <v>263</v>
      </c>
      <c r="G5678" s="3" t="s">
        <v>264</v>
      </c>
      <c r="H5678" s="2" t="s">
        <v>148</v>
      </c>
      <c r="I5678" s="2" t="s">
        <v>14687</v>
      </c>
      <c r="J5678" s="3" t="str">
        <f>HYPERLINK("https://www.boe.es/gazeta/dias/1811/12/17/pdfs/GEI-1811-163.pdf#page=8","Abrir facsímil")</f>
        <v>Abrir facsímil</v>
      </c>
      <c r="K5678" s="3" t="s">
        <v>150</v>
      </c>
    </row>
    <row r="5679" spans="1:11" ht="42" customHeight="1">
      <c r="A5679" s="2" t="s">
        <v>14688</v>
      </c>
      <c r="B5679" s="2" t="s">
        <v>14689</v>
      </c>
      <c r="C5679" s="2" t="s">
        <v>26</v>
      </c>
      <c r="D5679" s="2" t="s">
        <v>18</v>
      </c>
      <c r="E5679" s="4">
        <v>-32242</v>
      </c>
      <c r="F5679" s="3" t="s">
        <v>1295</v>
      </c>
      <c r="G5679" s="3" t="s">
        <v>1296</v>
      </c>
      <c r="H5679" s="2" t="s">
        <v>148</v>
      </c>
      <c r="I5679" s="2" t="s">
        <v>14690</v>
      </c>
      <c r="J5679" s="3" t="str">
        <f>HYPERLINK("https://www.boe.es/gazeta/dias/1811/09/21/pdfs/GEI-1811-122.pdf#page=8","Abrir facsímil")</f>
        <v>Abrir facsímil</v>
      </c>
      <c r="K5679" s="3" t="s">
        <v>150</v>
      </c>
    </row>
    <row r="5680" spans="1:11" ht="42" customHeight="1">
      <c r="A5680" s="2" t="s">
        <v>14691</v>
      </c>
      <c r="B5680" s="2" t="s">
        <v>14692</v>
      </c>
      <c r="C5680" s="2" t="s">
        <v>26</v>
      </c>
      <c r="D5680" s="2" t="s">
        <v>18</v>
      </c>
      <c r="E5680" s="4">
        <v>-32473</v>
      </c>
      <c r="F5680" s="3" t="s">
        <v>1109</v>
      </c>
      <c r="G5680" s="3" t="s">
        <v>162</v>
      </c>
      <c r="H5680" s="2" t="s">
        <v>148</v>
      </c>
      <c r="I5680" s="2" t="s">
        <v>14693</v>
      </c>
      <c r="J5680" s="3" t="str">
        <f>HYPERLINK("https://www.boe.es/gazeta/dias/1811/02/02/pdfs/GMD-1811-33.pdf#page=3","Abrir facsímil")</f>
        <v>Abrir facsímil</v>
      </c>
      <c r="K5680" s="3" t="s">
        <v>150</v>
      </c>
    </row>
    <row r="5681" spans="1:11" ht="42" customHeight="1">
      <c r="A5681" s="2" t="s">
        <v>14694</v>
      </c>
      <c r="B5681" s="2" t="s">
        <v>14695</v>
      </c>
      <c r="C5681" s="2" t="s">
        <v>26</v>
      </c>
      <c r="D5681" s="2" t="s">
        <v>18</v>
      </c>
      <c r="E5681" s="4">
        <v>-32163</v>
      </c>
      <c r="F5681" s="3" t="s">
        <v>497</v>
      </c>
      <c r="G5681" s="3" t="s">
        <v>498</v>
      </c>
      <c r="H5681" s="2" t="s">
        <v>148</v>
      </c>
      <c r="I5681" s="2" t="s">
        <v>14696</v>
      </c>
      <c r="J5681" s="3" t="str">
        <f>HYPERLINK("https://www.boe.es/gazeta/dias/1811/12/09/pdfs/GMD-1811-343.pdf#page=4","Abrir facsímil")</f>
        <v>Abrir facsímil</v>
      </c>
      <c r="K5681" s="3" t="s">
        <v>150</v>
      </c>
    </row>
    <row r="5682" spans="1:11" ht="42" customHeight="1">
      <c r="A5682" s="2" t="s">
        <v>14697</v>
      </c>
      <c r="B5682" s="2" t="s">
        <v>14698</v>
      </c>
      <c r="C5682" s="2" t="s">
        <v>104</v>
      </c>
      <c r="D5682" s="2" t="s">
        <v>18</v>
      </c>
      <c r="E5682" s="4">
        <v>-32200</v>
      </c>
      <c r="F5682" s="3" t="s">
        <v>109</v>
      </c>
      <c r="G5682" s="3" t="s">
        <v>110</v>
      </c>
      <c r="H5682" s="2" t="s">
        <v>148</v>
      </c>
      <c r="I5682" s="2" t="s">
        <v>14699</v>
      </c>
      <c r="J5682" s="3" t="str">
        <f>HYPERLINK("https://www.boe.es/gazeta/dias/1811/11/02/pdfs/GEI-1811-141.pdf#page=6","Abrir facsímil")</f>
        <v>Abrir facsímil</v>
      </c>
      <c r="K5682" s="3" t="s">
        <v>150</v>
      </c>
    </row>
    <row r="5683" spans="1:11" ht="42" customHeight="1">
      <c r="A5683" s="2" t="s">
        <v>14700</v>
      </c>
      <c r="B5683" s="2" t="s">
        <v>14700</v>
      </c>
      <c r="C5683" s="2" t="s">
        <v>17</v>
      </c>
      <c r="D5683" s="2" t="s">
        <v>156</v>
      </c>
      <c r="E5683" s="4">
        <v>-32195</v>
      </c>
      <c r="F5683" s="3" t="s">
        <v>439</v>
      </c>
      <c r="G5683" s="3" t="s">
        <v>8553</v>
      </c>
      <c r="H5683" s="2" t="s">
        <v>148</v>
      </c>
      <c r="I5683" s="2" t="s">
        <v>14701</v>
      </c>
      <c r="J5683" s="3" t="str">
        <f>HYPERLINK("https://www.boe.es/gazeta/dias/1811/11/07/pdfs/GEI-1811-144.pdf#page=6","Abrir facsímil")</f>
        <v>Abrir facsímil</v>
      </c>
      <c r="K5683" s="3" t="s">
        <v>150</v>
      </c>
    </row>
    <row r="5684" spans="1:11" ht="42" customHeight="1">
      <c r="A5684" s="2" t="s">
        <v>14702</v>
      </c>
      <c r="B5684" s="2" t="s">
        <v>14703</v>
      </c>
      <c r="C5684" s="2" t="s">
        <v>26</v>
      </c>
      <c r="D5684" s="2" t="s">
        <v>18</v>
      </c>
      <c r="E5684" s="4">
        <v>-32379</v>
      </c>
      <c r="F5684" s="3" t="s">
        <v>462</v>
      </c>
      <c r="G5684" s="3" t="s">
        <v>463</v>
      </c>
      <c r="H5684" s="2" t="s">
        <v>148</v>
      </c>
      <c r="I5684" s="2" t="s">
        <v>14704</v>
      </c>
      <c r="J5684" s="3" t="str">
        <f>HYPERLINK("https://www.boe.es/gazeta/dias/1811/05/07/pdfs/GEI-1811-60.pdf#page=8","Abrir facsímil")</f>
        <v>Abrir facsímil</v>
      </c>
      <c r="K5684" s="3" t="s">
        <v>150</v>
      </c>
    </row>
    <row r="5685" spans="1:11" ht="42" customHeight="1">
      <c r="A5685" s="2" t="s">
        <v>14705</v>
      </c>
      <c r="B5685" s="2" t="s">
        <v>14706</v>
      </c>
      <c r="C5685" s="2" t="s">
        <v>17</v>
      </c>
      <c r="D5685" s="2" t="s">
        <v>141</v>
      </c>
      <c r="E5685" s="4">
        <v>-32314</v>
      </c>
      <c r="F5685" s="3" t="s">
        <v>2051</v>
      </c>
      <c r="G5685" s="3" t="s">
        <v>468</v>
      </c>
      <c r="H5685" s="2" t="s">
        <v>148</v>
      </c>
      <c r="I5685" s="2" t="s">
        <v>14707</v>
      </c>
      <c r="J5685" s="3" t="str">
        <f>HYPERLINK("https://www.boe.es/gazeta/dias/1811/07/11/pdfs/GMD-C-1811-192.pdf#page=1","Abrir facsímil")</f>
        <v>Abrir facsímil</v>
      </c>
      <c r="K5685" s="3" t="s">
        <v>150</v>
      </c>
    </row>
    <row r="5686" spans="1:11" ht="42" customHeight="1">
      <c r="A5686" s="2" t="s">
        <v>14708</v>
      </c>
      <c r="B5686" s="2" t="s">
        <v>14708</v>
      </c>
      <c r="C5686" s="2" t="s">
        <v>17</v>
      </c>
      <c r="D5686" s="2" t="s">
        <v>18</v>
      </c>
      <c r="E5686" s="4">
        <v>-32502</v>
      </c>
      <c r="F5686" s="3" t="s">
        <v>6190</v>
      </c>
      <c r="G5686" s="3" t="s">
        <v>248</v>
      </c>
      <c r="H5686" s="2" t="s">
        <v>148</v>
      </c>
      <c r="I5686" s="2" t="s">
        <v>14709</v>
      </c>
      <c r="J5686" s="3" t="str">
        <f>HYPERLINK("https://www.boe.es/gazeta/dias/1811/01/04/pdfs/GMD-1811-4.pdf#page=3","Abrir facsímil")</f>
        <v>Abrir facsímil</v>
      </c>
      <c r="K5686" s="3" t="s">
        <v>150</v>
      </c>
    </row>
    <row r="5687" spans="1:11" ht="42" customHeight="1">
      <c r="A5687" s="2" t="s">
        <v>14710</v>
      </c>
      <c r="B5687" s="2" t="s">
        <v>14710</v>
      </c>
      <c r="C5687" s="2" t="s">
        <v>17</v>
      </c>
      <c r="D5687" s="2" t="s">
        <v>18</v>
      </c>
      <c r="E5687" s="4">
        <v>-32205</v>
      </c>
      <c r="F5687" s="3" t="s">
        <v>7179</v>
      </c>
      <c r="G5687" s="3" t="s">
        <v>4049</v>
      </c>
      <c r="H5687" s="2" t="s">
        <v>148</v>
      </c>
      <c r="I5687" s="2" t="s">
        <v>14711</v>
      </c>
      <c r="J5687" s="3" t="str">
        <f>HYPERLINK("https://www.boe.es/gazeta/dias/1811/10/28/pdfs/GMD-1811-301.pdf#page=1","Abrir facsímil")</f>
        <v>Abrir facsímil</v>
      </c>
      <c r="K5687" s="3" t="s">
        <v>150</v>
      </c>
    </row>
    <row r="5688" spans="1:11" ht="42" customHeight="1">
      <c r="A5688" s="2" t="s">
        <v>14712</v>
      </c>
      <c r="B5688" s="2" t="s">
        <v>14712</v>
      </c>
      <c r="C5688" s="2" t="s">
        <v>17</v>
      </c>
      <c r="D5688" s="2" t="s">
        <v>18</v>
      </c>
      <c r="E5688" s="4">
        <v>-32386</v>
      </c>
      <c r="F5688" s="3" t="s">
        <v>6053</v>
      </c>
      <c r="G5688" s="3" t="s">
        <v>6054</v>
      </c>
      <c r="H5688" s="2" t="s">
        <v>148</v>
      </c>
      <c r="I5688" s="2" t="s">
        <v>14713</v>
      </c>
      <c r="J5688" s="3" t="str">
        <f>HYPERLINK("https://www.boe.es/gazeta/dias/1811/04/30/pdfs/GMD-1811-120.pdf#page=2","Abrir facsímil")</f>
        <v>Abrir facsímil</v>
      </c>
      <c r="K5688" s="3" t="s">
        <v>150</v>
      </c>
    </row>
    <row r="5689" spans="1:11" ht="42" customHeight="1">
      <c r="A5689" s="2" t="s">
        <v>14714</v>
      </c>
      <c r="B5689" s="2" t="s">
        <v>14714</v>
      </c>
      <c r="C5689" s="2" t="s">
        <v>17</v>
      </c>
      <c r="D5689" s="2" t="s">
        <v>156</v>
      </c>
      <c r="E5689" s="4">
        <v>-32272</v>
      </c>
      <c r="F5689" s="3" t="s">
        <v>1121</v>
      </c>
      <c r="G5689" s="3" t="s">
        <v>12540</v>
      </c>
      <c r="H5689" s="2" t="s">
        <v>148</v>
      </c>
      <c r="I5689" s="2" t="s">
        <v>14715</v>
      </c>
      <c r="J5689" s="3" t="str">
        <f>HYPERLINK("https://www.boe.es/gazeta/dias/1811/08/22/pdfs/GEI-1811-109.pdf#page=6","Abrir facsímil")</f>
        <v>Abrir facsímil</v>
      </c>
      <c r="K5689" s="3" t="s">
        <v>150</v>
      </c>
    </row>
    <row r="5690" spans="1:11" ht="42" customHeight="1">
      <c r="A5690" s="2" t="s">
        <v>14716</v>
      </c>
      <c r="B5690" s="2" t="s">
        <v>14716</v>
      </c>
      <c r="C5690" s="2" t="s">
        <v>26</v>
      </c>
      <c r="D5690" s="2" t="s">
        <v>18</v>
      </c>
      <c r="E5690" s="4">
        <v>-32468</v>
      </c>
      <c r="F5690" s="3" t="s">
        <v>11973</v>
      </c>
      <c r="G5690" s="3" t="s">
        <v>14717</v>
      </c>
      <c r="H5690" s="2" t="s">
        <v>148</v>
      </c>
      <c r="I5690" s="2" t="s">
        <v>14718</v>
      </c>
      <c r="J5690" s="3" t="str">
        <f>HYPERLINK("https://www.boe.es/gazeta/dias/1811/02/07/pdfs/GMD-1811-38.pdf#page=1","Abrir facsímil")</f>
        <v>Abrir facsímil</v>
      </c>
      <c r="K5690" s="3" t="s">
        <v>150</v>
      </c>
    </row>
    <row r="5691" spans="1:11" ht="42" customHeight="1">
      <c r="A5691" s="2" t="s">
        <v>14716</v>
      </c>
      <c r="B5691" s="2" t="s">
        <v>14716</v>
      </c>
      <c r="C5691" s="2" t="s">
        <v>26</v>
      </c>
      <c r="D5691" s="2" t="s">
        <v>18</v>
      </c>
      <c r="E5691" s="4">
        <v>-32358</v>
      </c>
      <c r="F5691" s="3" t="s">
        <v>2971</v>
      </c>
      <c r="G5691" s="3" t="s">
        <v>4789</v>
      </c>
      <c r="H5691" s="2" t="s">
        <v>148</v>
      </c>
      <c r="I5691" s="2" t="s">
        <v>14719</v>
      </c>
      <c r="J5691" s="3" t="str">
        <f>HYPERLINK("https://www.boe.es/gazeta/dias/1811/05/28/pdfs/GEI-1811-72.pdf#page=5","Abrir facsímil")</f>
        <v>Abrir facsímil</v>
      </c>
      <c r="K5691" s="3" t="s">
        <v>150</v>
      </c>
    </row>
    <row r="5692" spans="1:11" ht="42" customHeight="1">
      <c r="A5692" s="2" t="s">
        <v>14716</v>
      </c>
      <c r="B5692" s="2" t="s">
        <v>14716</v>
      </c>
      <c r="C5692" s="2" t="s">
        <v>17</v>
      </c>
      <c r="D5692" s="2" t="s">
        <v>156</v>
      </c>
      <c r="E5692" s="4">
        <v>-32340</v>
      </c>
      <c r="F5692" s="3" t="s">
        <v>565</v>
      </c>
      <c r="G5692" s="3" t="s">
        <v>1489</v>
      </c>
      <c r="H5692" s="2" t="s">
        <v>148</v>
      </c>
      <c r="I5692" s="2" t="s">
        <v>14720</v>
      </c>
      <c r="J5692" s="3" t="str">
        <f>HYPERLINK("https://www.boe.es/gazeta/dias/1811/06/15/pdfs/GEI-1811-80.pdf#page=4","Abrir facsímil")</f>
        <v>Abrir facsímil</v>
      </c>
      <c r="K5692" s="3" t="s">
        <v>150</v>
      </c>
    </row>
    <row r="5693" spans="1:11" ht="42" customHeight="1">
      <c r="A5693" s="2" t="s">
        <v>14716</v>
      </c>
      <c r="B5693" s="2" t="s">
        <v>14716</v>
      </c>
      <c r="C5693" s="2" t="s">
        <v>26</v>
      </c>
      <c r="D5693" s="2" t="s">
        <v>204</v>
      </c>
      <c r="E5693" s="4">
        <v>-32276</v>
      </c>
      <c r="F5693" s="3" t="s">
        <v>1361</v>
      </c>
      <c r="G5693" s="3" t="s">
        <v>44</v>
      </c>
      <c r="H5693" s="2" t="s">
        <v>148</v>
      </c>
      <c r="I5693" s="2" t="s">
        <v>14721</v>
      </c>
      <c r="J5693" s="3" t="str">
        <f>HYPERLINK("https://www.boe.es/gazeta/dias/1811/08/18/pdfs/GMD-1811-230.pdf#page=2","Abrir facsímil")</f>
        <v>Abrir facsímil</v>
      </c>
      <c r="K5693" s="3" t="s">
        <v>150</v>
      </c>
    </row>
    <row r="5694" spans="1:11" ht="42" customHeight="1">
      <c r="A5694" s="2" t="s">
        <v>14716</v>
      </c>
      <c r="B5694" s="2" t="s">
        <v>14716</v>
      </c>
      <c r="C5694" s="2" t="s">
        <v>17</v>
      </c>
      <c r="D5694" s="2" t="s">
        <v>18</v>
      </c>
      <c r="E5694" s="4">
        <v>-32263</v>
      </c>
      <c r="F5694" s="3" t="s">
        <v>128</v>
      </c>
      <c r="G5694" s="3" t="s">
        <v>129</v>
      </c>
      <c r="H5694" s="2" t="s">
        <v>148</v>
      </c>
      <c r="I5694" s="2" t="s">
        <v>14722</v>
      </c>
      <c r="J5694" s="3" t="str">
        <f>HYPERLINK("https://www.boe.es/gazeta/dias/1811/08/31/pdfs/GEI-1811-113.pdf#page=5","Abrir facsímil")</f>
        <v>Abrir facsímil</v>
      </c>
      <c r="K5694" s="3" t="s">
        <v>150</v>
      </c>
    </row>
    <row r="5695" spans="1:11" ht="42" customHeight="1">
      <c r="A5695" s="2" t="s">
        <v>14716</v>
      </c>
      <c r="B5695" s="2" t="s">
        <v>14716</v>
      </c>
      <c r="C5695" s="2" t="s">
        <v>37</v>
      </c>
      <c r="D5695" s="2" t="s">
        <v>18</v>
      </c>
      <c r="E5695" s="4">
        <v>-32232</v>
      </c>
      <c r="F5695" s="3" t="s">
        <v>1816</v>
      </c>
      <c r="G5695" s="3" t="s">
        <v>115</v>
      </c>
      <c r="H5695" s="2" t="s">
        <v>148</v>
      </c>
      <c r="I5695" s="2" t="s">
        <v>14723</v>
      </c>
      <c r="J5695" s="3" t="str">
        <f>HYPERLINK("https://www.boe.es/gazeta/dias/1811/10/01/pdfs/GEI-1811-126.pdf#page=3","Abrir facsímil")</f>
        <v>Abrir facsímil</v>
      </c>
      <c r="K5695" s="3" t="s">
        <v>150</v>
      </c>
    </row>
    <row r="5696" spans="1:11" ht="42" customHeight="1">
      <c r="A5696" s="2" t="s">
        <v>14716</v>
      </c>
      <c r="B5696" s="2" t="s">
        <v>14716</v>
      </c>
      <c r="C5696" s="2" t="s">
        <v>17</v>
      </c>
      <c r="D5696" s="2" t="s">
        <v>18</v>
      </c>
      <c r="E5696" s="4">
        <v>-32196</v>
      </c>
      <c r="F5696" s="3" t="s">
        <v>8418</v>
      </c>
      <c r="G5696" s="3" t="s">
        <v>8892</v>
      </c>
      <c r="H5696" s="2" t="s">
        <v>148</v>
      </c>
      <c r="I5696" s="2" t="s">
        <v>14724</v>
      </c>
      <c r="J5696" s="3" t="str">
        <f>HYPERLINK("https://www.boe.es/gazeta/dias/1811/11/06/pdfs/GMD-1811-310.pdf#page=4","Abrir facsímil")</f>
        <v>Abrir facsímil</v>
      </c>
      <c r="K5696" s="3" t="s">
        <v>150</v>
      </c>
    </row>
    <row r="5697" spans="1:11" ht="42" customHeight="1">
      <c r="A5697" s="2" t="s">
        <v>14716</v>
      </c>
      <c r="B5697" s="2" t="s">
        <v>14716</v>
      </c>
      <c r="C5697" s="2" t="s">
        <v>17</v>
      </c>
      <c r="D5697" s="2" t="s">
        <v>156</v>
      </c>
      <c r="E5697" s="4">
        <v>-32172</v>
      </c>
      <c r="F5697" s="3" t="s">
        <v>707</v>
      </c>
      <c r="G5697" s="3" t="s">
        <v>6855</v>
      </c>
      <c r="H5697" s="2" t="s">
        <v>148</v>
      </c>
      <c r="I5697" s="2" t="s">
        <v>14725</v>
      </c>
      <c r="J5697" s="3" t="str">
        <f>HYPERLINK("https://www.boe.es/gazeta/dias/1811/11/30/pdfs/GEI-1811-156.pdf#page=2","Abrir facsímil")</f>
        <v>Abrir facsímil</v>
      </c>
      <c r="K5697" s="3" t="s">
        <v>150</v>
      </c>
    </row>
    <row r="5698" spans="1:11" ht="42" customHeight="1">
      <c r="A5698" s="2" t="s">
        <v>14726</v>
      </c>
      <c r="B5698" s="2" t="s">
        <v>14726</v>
      </c>
      <c r="C5698" s="2" t="s">
        <v>17</v>
      </c>
      <c r="D5698" s="2" t="s">
        <v>18</v>
      </c>
      <c r="E5698" s="4">
        <v>-32155</v>
      </c>
      <c r="F5698" s="3" t="s">
        <v>263</v>
      </c>
      <c r="G5698" s="3" t="s">
        <v>5695</v>
      </c>
      <c r="H5698" s="2" t="s">
        <v>148</v>
      </c>
      <c r="I5698" s="2" t="s">
        <v>14727</v>
      </c>
      <c r="J5698" s="3" t="str">
        <f>HYPERLINK("https://www.boe.es/gazeta/dias/1811/12/17/pdfs/GEI-1811-163.pdf#page=3","Abrir facsímil")</f>
        <v>Abrir facsímil</v>
      </c>
      <c r="K5698" s="3" t="s">
        <v>150</v>
      </c>
    </row>
    <row r="5699" spans="1:11" ht="42" customHeight="1">
      <c r="A5699" s="2" t="s">
        <v>14728</v>
      </c>
      <c r="B5699" s="2" t="s">
        <v>14728</v>
      </c>
      <c r="C5699" s="2" t="s">
        <v>26</v>
      </c>
      <c r="D5699" s="2" t="s">
        <v>105</v>
      </c>
      <c r="E5699" s="4">
        <v>-32211</v>
      </c>
      <c r="F5699" s="3" t="s">
        <v>1074</v>
      </c>
      <c r="G5699" s="3" t="s">
        <v>248</v>
      </c>
      <c r="H5699" s="2" t="s">
        <v>148</v>
      </c>
      <c r="I5699" s="2" t="s">
        <v>14729</v>
      </c>
      <c r="J5699" s="3" t="str">
        <f>HYPERLINK("https://www.boe.es/gazeta/dias/1811/10/22/pdfs/GEI-1811-136.pdf#page=5","Abrir facsímil")</f>
        <v>Abrir facsímil</v>
      </c>
      <c r="K5699" s="3" t="s">
        <v>150</v>
      </c>
    </row>
    <row r="5700" spans="1:11" ht="42" customHeight="1">
      <c r="A5700" s="2" t="s">
        <v>14730</v>
      </c>
      <c r="B5700" s="2" t="s">
        <v>14731</v>
      </c>
      <c r="C5700" s="2" t="s">
        <v>17</v>
      </c>
      <c r="D5700" s="2" t="s">
        <v>18</v>
      </c>
      <c r="E5700" s="4">
        <v>-32438</v>
      </c>
      <c r="F5700" s="3" t="s">
        <v>114</v>
      </c>
      <c r="G5700" s="3" t="s">
        <v>39</v>
      </c>
      <c r="H5700" s="2" t="s">
        <v>148</v>
      </c>
      <c r="I5700" s="2" t="s">
        <v>14732</v>
      </c>
      <c r="J5700" s="3" t="str">
        <f>HYPERLINK("https://www.boe.es/gazeta/dias/1811/03/09/pdfs/GEI-1811-33.pdf#page=1","Abrir facsímil")</f>
        <v>Abrir facsímil</v>
      </c>
      <c r="K5700" s="3" t="s">
        <v>150</v>
      </c>
    </row>
    <row r="5701" spans="1:11" ht="42" customHeight="1">
      <c r="A5701" s="2" t="s">
        <v>14733</v>
      </c>
      <c r="B5701" s="2" t="s">
        <v>14734</v>
      </c>
      <c r="C5701" s="2" t="s">
        <v>26</v>
      </c>
      <c r="D5701" s="2" t="s">
        <v>18</v>
      </c>
      <c r="E5701" s="4">
        <v>-32298</v>
      </c>
      <c r="F5701" s="3" t="s">
        <v>133</v>
      </c>
      <c r="G5701" s="3" t="s">
        <v>134</v>
      </c>
      <c r="H5701" s="2" t="s">
        <v>148</v>
      </c>
      <c r="I5701" s="2" t="s">
        <v>14735</v>
      </c>
      <c r="J5701" s="3" t="str">
        <f>HYPERLINK("https://www.boe.es/gazeta/dias/1811/07/27/pdfs/GEI-1811-98.pdf#page=7","Abrir facsímil")</f>
        <v>Abrir facsímil</v>
      </c>
      <c r="K5701" s="3" t="s">
        <v>150</v>
      </c>
    </row>
    <row r="5702" spans="1:11" ht="42" customHeight="1">
      <c r="A5702" s="2" t="s">
        <v>14736</v>
      </c>
      <c r="B5702" s="2" t="s">
        <v>14736</v>
      </c>
      <c r="C5702" s="2" t="s">
        <v>17</v>
      </c>
      <c r="D5702" s="2" t="s">
        <v>156</v>
      </c>
      <c r="E5702" s="4">
        <v>-32145</v>
      </c>
      <c r="F5702" s="3" t="s">
        <v>417</v>
      </c>
      <c r="G5702" s="3" t="s">
        <v>515</v>
      </c>
      <c r="H5702" s="2" t="s">
        <v>148</v>
      </c>
      <c r="I5702" s="2" t="s">
        <v>14737</v>
      </c>
      <c r="J5702" s="3" t="str">
        <f>HYPERLINK("https://www.boe.es/gazeta/dias/1811/12/27/pdfs/GMD-1811-361.pdf#page=3","Abrir facsímil")</f>
        <v>Abrir facsímil</v>
      </c>
      <c r="K5702" s="3" t="s">
        <v>150</v>
      </c>
    </row>
    <row r="5703" spans="1:11" ht="42" customHeight="1">
      <c r="A5703" s="2" t="s">
        <v>14738</v>
      </c>
      <c r="B5703" s="2" t="s">
        <v>14739</v>
      </c>
      <c r="C5703" s="2" t="s">
        <v>26</v>
      </c>
      <c r="D5703" s="2" t="s">
        <v>18</v>
      </c>
      <c r="E5703" s="4">
        <v>-32150</v>
      </c>
      <c r="F5703" s="3" t="s">
        <v>1174</v>
      </c>
      <c r="G5703" s="3" t="s">
        <v>20</v>
      </c>
      <c r="H5703" s="2" t="s">
        <v>148</v>
      </c>
      <c r="I5703" s="2" t="s">
        <v>14740</v>
      </c>
      <c r="J5703" s="3" t="str">
        <f>HYPERLINK("https://www.boe.es/gazeta/dias/1811/12/22/pdfs/GMD-1811-356.pdf#page=4","Abrir facsímil")</f>
        <v>Abrir facsímil</v>
      </c>
      <c r="K5703" s="3" t="s">
        <v>150</v>
      </c>
    </row>
    <row r="5704" spans="1:11" ht="42" customHeight="1">
      <c r="A5704" s="2" t="s">
        <v>14741</v>
      </c>
      <c r="B5704" s="2" t="s">
        <v>14742</v>
      </c>
      <c r="C5704" s="2" t="s">
        <v>841</v>
      </c>
      <c r="D5704" s="2" t="s">
        <v>18</v>
      </c>
      <c r="E5704" s="4">
        <v>-32251</v>
      </c>
      <c r="F5704" s="3" t="s">
        <v>726</v>
      </c>
      <c r="G5704" s="3" t="s">
        <v>727</v>
      </c>
      <c r="H5704" s="2" t="s">
        <v>148</v>
      </c>
      <c r="I5704" s="2" t="s">
        <v>14743</v>
      </c>
      <c r="J5704" s="3" t="str">
        <f>HYPERLINK("https://www.boe.es/gazeta/dias/1811/09/12/pdfs/GEI-1811-118.pdf#page=8","Abrir facsímil")</f>
        <v>Abrir facsímil</v>
      </c>
      <c r="K5704" s="3" t="s">
        <v>150</v>
      </c>
    </row>
    <row r="5705" spans="1:11" ht="42" customHeight="1">
      <c r="A5705" s="2" t="s">
        <v>14744</v>
      </c>
      <c r="B5705" s="2" t="s">
        <v>14745</v>
      </c>
      <c r="C5705" s="2" t="s">
        <v>17</v>
      </c>
      <c r="D5705" s="2" t="s">
        <v>18</v>
      </c>
      <c r="E5705" s="4">
        <v>-32323</v>
      </c>
      <c r="F5705" s="3" t="s">
        <v>322</v>
      </c>
      <c r="G5705" s="3" t="s">
        <v>2164</v>
      </c>
      <c r="H5705" s="2" t="s">
        <v>148</v>
      </c>
      <c r="I5705" s="2" t="s">
        <v>14746</v>
      </c>
      <c r="J5705" s="3" t="str">
        <f>HYPERLINK("https://www.boe.es/gazeta/dias/1811/07/02/pdfs/GEI-1811-87.pdf#page=7","Abrir facsímil")</f>
        <v>Abrir facsímil</v>
      </c>
      <c r="K5705" s="3" t="s">
        <v>150</v>
      </c>
    </row>
    <row r="5706" spans="1:11" ht="42" customHeight="1">
      <c r="A5706" s="2" t="s">
        <v>14747</v>
      </c>
      <c r="B5706" s="2" t="s">
        <v>14748</v>
      </c>
      <c r="C5706" s="2" t="s">
        <v>17</v>
      </c>
      <c r="D5706" s="2" t="s">
        <v>156</v>
      </c>
      <c r="E5706" s="4">
        <v>-32309</v>
      </c>
      <c r="F5706" s="3" t="s">
        <v>2496</v>
      </c>
      <c r="G5706" s="3" t="s">
        <v>47</v>
      </c>
      <c r="H5706" s="2" t="s">
        <v>148</v>
      </c>
      <c r="I5706" s="2" t="s">
        <v>14749</v>
      </c>
      <c r="J5706" s="3" t="str">
        <f>HYPERLINK("https://www.boe.es/gazeta/dias/1811/07/16/pdfs/GEI-1811-93.pdf#page=8","Abrir facsímil")</f>
        <v>Abrir facsímil</v>
      </c>
      <c r="K5706" s="3" t="s">
        <v>150</v>
      </c>
    </row>
    <row r="5707" spans="1:11" ht="42" customHeight="1">
      <c r="A5707" s="2" t="s">
        <v>14747</v>
      </c>
      <c r="B5707" s="2" t="s">
        <v>14748</v>
      </c>
      <c r="C5707" s="2" t="s">
        <v>26</v>
      </c>
      <c r="D5707" s="2" t="s">
        <v>18</v>
      </c>
      <c r="E5707" s="4">
        <v>-32230</v>
      </c>
      <c r="F5707" s="3" t="s">
        <v>625</v>
      </c>
      <c r="G5707" s="3" t="s">
        <v>1258</v>
      </c>
      <c r="H5707" s="2" t="s">
        <v>148</v>
      </c>
      <c r="I5707" s="2" t="s">
        <v>14750</v>
      </c>
      <c r="J5707" s="3" t="str">
        <f>HYPERLINK("https://www.boe.es/gazeta/dias/1811/10/03/pdfs/GEI-1811-127.pdf#page=8","Abrir facsímil")</f>
        <v>Abrir facsímil</v>
      </c>
      <c r="K5707" s="3" t="s">
        <v>150</v>
      </c>
    </row>
    <row r="5708" spans="1:11" ht="42" customHeight="1">
      <c r="A5708" s="2" t="s">
        <v>14751</v>
      </c>
      <c r="B5708" s="2" t="s">
        <v>14751</v>
      </c>
      <c r="C5708" s="2" t="s">
        <v>17</v>
      </c>
      <c r="D5708" s="2" t="s">
        <v>18</v>
      </c>
      <c r="E5708" s="4">
        <v>-32209</v>
      </c>
      <c r="F5708" s="3" t="s">
        <v>9303</v>
      </c>
      <c r="G5708" s="3" t="s">
        <v>9304</v>
      </c>
      <c r="H5708" s="2" t="s">
        <v>148</v>
      </c>
      <c r="I5708" s="2" t="s">
        <v>14752</v>
      </c>
      <c r="J5708" s="3" t="str">
        <f>HYPERLINK("https://www.boe.es/gazeta/dias/1811/10/24/pdfs/GEI-1811-137.pdf#page=2","Abrir facsímil")</f>
        <v>Abrir facsímil</v>
      </c>
      <c r="K5708" s="3" t="s">
        <v>150</v>
      </c>
    </row>
    <row r="5709" spans="1:11" ht="42" customHeight="1">
      <c r="A5709" s="2" t="s">
        <v>14753</v>
      </c>
      <c r="B5709" s="2" t="s">
        <v>14754</v>
      </c>
      <c r="C5709" s="2" t="s">
        <v>37</v>
      </c>
      <c r="D5709" s="2" t="s">
        <v>18</v>
      </c>
      <c r="E5709" s="4">
        <v>-32489</v>
      </c>
      <c r="F5709" s="3" t="s">
        <v>722</v>
      </c>
      <c r="G5709" s="3" t="s">
        <v>468</v>
      </c>
      <c r="H5709" s="2" t="s">
        <v>148</v>
      </c>
      <c r="I5709" s="2" t="s">
        <v>14755</v>
      </c>
      <c r="J5709" s="3" t="str">
        <f>HYPERLINK("https://www.boe.es/gazeta/dias/1811/01/17/pdfs/GMD-1811-17.pdf#page=4","Abrir facsímil")</f>
        <v>Abrir facsímil</v>
      </c>
      <c r="K5709" s="3" t="s">
        <v>150</v>
      </c>
    </row>
    <row r="5710" spans="1:11" ht="42" customHeight="1">
      <c r="A5710" s="2" t="s">
        <v>14756</v>
      </c>
      <c r="B5710" s="2" t="s">
        <v>14757</v>
      </c>
      <c r="C5710" s="2" t="s">
        <v>17</v>
      </c>
      <c r="D5710" s="2" t="s">
        <v>18</v>
      </c>
      <c r="E5710" s="4">
        <v>-32155</v>
      </c>
      <c r="F5710" s="3" t="s">
        <v>263</v>
      </c>
      <c r="G5710" s="3" t="s">
        <v>891</v>
      </c>
      <c r="H5710" s="2" t="s">
        <v>148</v>
      </c>
      <c r="I5710" s="2" t="s">
        <v>14758</v>
      </c>
      <c r="J5710" s="3" t="str">
        <f>HYPERLINK("https://www.boe.es/gazeta/dias/1811/12/17/pdfs/GEI-1811-163.pdf#page=1","Abrir facsímil")</f>
        <v>Abrir facsímil</v>
      </c>
      <c r="K5710" s="3" t="s">
        <v>150</v>
      </c>
    </row>
    <row r="5711" spans="1:11" ht="42" customHeight="1">
      <c r="A5711" s="2" t="s">
        <v>14759</v>
      </c>
      <c r="B5711" s="2" t="s">
        <v>14760</v>
      </c>
      <c r="C5711" s="2" t="s">
        <v>17</v>
      </c>
      <c r="D5711" s="2" t="s">
        <v>18</v>
      </c>
      <c r="E5711" s="4">
        <v>-32472</v>
      </c>
      <c r="F5711" s="3" t="s">
        <v>398</v>
      </c>
      <c r="G5711" s="3" t="s">
        <v>382</v>
      </c>
      <c r="H5711" s="2" t="s">
        <v>148</v>
      </c>
      <c r="I5711" s="2" t="s">
        <v>14761</v>
      </c>
      <c r="J5711" s="3" t="str">
        <f>HYPERLINK("https://www.boe.es/gazeta/dias/1811/02/03/pdfs/GMD-1811-34.pdf#page=2","Abrir facsímil")</f>
        <v>Abrir facsímil</v>
      </c>
      <c r="K5711" s="3" t="s">
        <v>150</v>
      </c>
    </row>
    <row r="5712" spans="1:11" ht="42" customHeight="1">
      <c r="A5712" s="2" t="s">
        <v>14762</v>
      </c>
      <c r="B5712" s="2" t="s">
        <v>14763</v>
      </c>
      <c r="C5712" s="2" t="s">
        <v>841</v>
      </c>
      <c r="D5712" s="2" t="s">
        <v>18</v>
      </c>
      <c r="E5712" s="4">
        <v>-32183</v>
      </c>
      <c r="F5712" s="3" t="s">
        <v>3310</v>
      </c>
      <c r="G5712" s="3" t="s">
        <v>14203</v>
      </c>
      <c r="H5712" s="2" t="s">
        <v>148</v>
      </c>
      <c r="I5712" s="2" t="s">
        <v>14764</v>
      </c>
      <c r="J5712" s="3" t="str">
        <f>HYPERLINK("https://www.boe.es/gazeta/dias/1811/11/19/pdfs/GEI-1811-151.pdf#page=4","Abrir facsímil")</f>
        <v>Abrir facsímil</v>
      </c>
      <c r="K5712" s="3" t="s">
        <v>150</v>
      </c>
    </row>
    <row r="5713" spans="1:11" ht="42" customHeight="1">
      <c r="A5713" s="2" t="s">
        <v>14765</v>
      </c>
      <c r="B5713" s="2" t="s">
        <v>14766</v>
      </c>
      <c r="C5713" s="2" t="s">
        <v>26</v>
      </c>
      <c r="D5713" s="2" t="s">
        <v>18</v>
      </c>
      <c r="E5713" s="4">
        <v>-32265</v>
      </c>
      <c r="F5713" s="3" t="s">
        <v>2375</v>
      </c>
      <c r="G5713" s="3" t="s">
        <v>778</v>
      </c>
      <c r="H5713" s="2" t="s">
        <v>148</v>
      </c>
      <c r="I5713" s="2" t="s">
        <v>14767</v>
      </c>
      <c r="J5713" s="3" t="str">
        <f>HYPERLINK("https://www.boe.es/gazeta/dias/1811/08/29/pdfs/GEI-1811-112.pdf#page=6","Abrir facsímil")</f>
        <v>Abrir facsímil</v>
      </c>
      <c r="K5713" s="3" t="s">
        <v>150</v>
      </c>
    </row>
    <row r="5714" spans="1:11" ht="42" customHeight="1">
      <c r="A5714" s="2" t="s">
        <v>14768</v>
      </c>
      <c r="B5714" s="2" t="s">
        <v>14769</v>
      </c>
      <c r="C5714" s="2" t="s">
        <v>17</v>
      </c>
      <c r="D5714" s="2" t="s">
        <v>18</v>
      </c>
      <c r="E5714" s="4">
        <v>-32463</v>
      </c>
      <c r="F5714" s="3" t="s">
        <v>734</v>
      </c>
      <c r="G5714" s="3" t="s">
        <v>515</v>
      </c>
      <c r="H5714" s="2" t="s">
        <v>148</v>
      </c>
      <c r="I5714" s="2" t="s">
        <v>14770</v>
      </c>
      <c r="J5714" s="3" t="str">
        <f>HYPERLINK("https://www.boe.es/gazeta/dias/1811/02/12/pdfs/GEI-1811-19.pdf#page=7","Abrir facsímil")</f>
        <v>Abrir facsímil</v>
      </c>
      <c r="K5714" s="3" t="s">
        <v>150</v>
      </c>
    </row>
    <row r="5715" spans="1:11" ht="42" customHeight="1">
      <c r="A5715" s="2" t="s">
        <v>14771</v>
      </c>
      <c r="B5715" s="2" t="s">
        <v>14772</v>
      </c>
      <c r="C5715" s="2" t="s">
        <v>17</v>
      </c>
      <c r="D5715" s="2" t="s">
        <v>18</v>
      </c>
      <c r="E5715" s="4">
        <v>-32358</v>
      </c>
      <c r="F5715" s="3" t="s">
        <v>2971</v>
      </c>
      <c r="G5715" s="3" t="s">
        <v>44</v>
      </c>
      <c r="H5715" s="2" t="s">
        <v>148</v>
      </c>
      <c r="I5715" s="2" t="s">
        <v>14773</v>
      </c>
      <c r="J5715" s="3" t="str">
        <f>HYPERLINK("https://www.boe.es/gazeta/dias/1811/05/28/pdfs/GEI-1811-72.pdf#page=2","Abrir facsímil")</f>
        <v>Abrir facsímil</v>
      </c>
      <c r="K5715" s="3" t="s">
        <v>150</v>
      </c>
    </row>
    <row r="5716" spans="1:11" ht="42" customHeight="1">
      <c r="A5716" s="2" t="s">
        <v>14774</v>
      </c>
      <c r="B5716" s="2" t="s">
        <v>14775</v>
      </c>
      <c r="C5716" s="2" t="s">
        <v>26</v>
      </c>
      <c r="D5716" s="2" t="s">
        <v>18</v>
      </c>
      <c r="E5716" s="4">
        <v>-32242</v>
      </c>
      <c r="F5716" s="3" t="s">
        <v>1295</v>
      </c>
      <c r="G5716" s="3" t="s">
        <v>1296</v>
      </c>
      <c r="H5716" s="2" t="s">
        <v>148</v>
      </c>
      <c r="I5716" s="2" t="s">
        <v>14776</v>
      </c>
      <c r="J5716" s="3" t="str">
        <f>HYPERLINK("https://www.boe.es/gazeta/dias/1811/09/21/pdfs/GEI-1811-122.pdf#page=8","Abrir facsímil")</f>
        <v>Abrir facsímil</v>
      </c>
      <c r="K5716" s="3" t="s">
        <v>150</v>
      </c>
    </row>
    <row r="5717" spans="1:11" ht="42" customHeight="1">
      <c r="A5717" s="2" t="s">
        <v>14777</v>
      </c>
      <c r="B5717" s="2" t="s">
        <v>14778</v>
      </c>
      <c r="C5717" s="2" t="s">
        <v>26</v>
      </c>
      <c r="D5717" s="2" t="s">
        <v>18</v>
      </c>
      <c r="E5717" s="4">
        <v>-32260</v>
      </c>
      <c r="F5717" s="3" t="s">
        <v>27</v>
      </c>
      <c r="G5717" s="3" t="s">
        <v>1048</v>
      </c>
      <c r="H5717" s="2" t="s">
        <v>148</v>
      </c>
      <c r="I5717" s="2" t="s">
        <v>14779</v>
      </c>
      <c r="J5717" s="3" t="str">
        <f>HYPERLINK("https://www.boe.es/gazeta/dias/1811/09/03/pdfs/GEI-1811-114.pdf#page=2","Abrir facsímil")</f>
        <v>Abrir facsímil</v>
      </c>
      <c r="K5717" s="3" t="s">
        <v>150</v>
      </c>
    </row>
    <row r="5718" spans="1:11" ht="42" customHeight="1">
      <c r="A5718" s="2" t="s">
        <v>14780</v>
      </c>
      <c r="B5718" s="2" t="s">
        <v>14780</v>
      </c>
      <c r="C5718" s="2" t="s">
        <v>26</v>
      </c>
      <c r="D5718" s="2" t="s">
        <v>18</v>
      </c>
      <c r="E5718" s="4">
        <v>-32473</v>
      </c>
      <c r="F5718" s="3" t="s">
        <v>3399</v>
      </c>
      <c r="G5718" s="3" t="s">
        <v>1780</v>
      </c>
      <c r="H5718" s="2" t="s">
        <v>148</v>
      </c>
      <c r="I5718" s="2" t="s">
        <v>14781</v>
      </c>
      <c r="J5718" s="3" t="str">
        <f>HYPERLINK("https://www.boe.es/gazeta/dias/1811/02/02/pdfs/GEI-1811-15.pdf#page=2","Abrir facsímil")</f>
        <v>Abrir facsímil</v>
      </c>
      <c r="K5718" s="3" t="s">
        <v>150</v>
      </c>
    </row>
    <row r="5719" spans="1:11" ht="42" customHeight="1">
      <c r="A5719" s="2" t="s">
        <v>14782</v>
      </c>
      <c r="B5719" s="2" t="s">
        <v>14782</v>
      </c>
      <c r="C5719" s="2" t="s">
        <v>17</v>
      </c>
      <c r="D5719" s="2" t="s">
        <v>156</v>
      </c>
      <c r="E5719" s="4">
        <v>-32428</v>
      </c>
      <c r="F5719" s="3" t="s">
        <v>351</v>
      </c>
      <c r="G5719" s="3" t="s">
        <v>115</v>
      </c>
      <c r="H5719" s="2" t="s">
        <v>148</v>
      </c>
      <c r="I5719" s="2" t="s">
        <v>14783</v>
      </c>
      <c r="J5719" s="3" t="str">
        <f>HYPERLINK("https://www.boe.es/gazeta/dias/1811/03/19/pdfs/GMD-1811-78.pdf#page=3","Abrir facsímil")</f>
        <v>Abrir facsímil</v>
      </c>
      <c r="K5719" s="3" t="s">
        <v>150</v>
      </c>
    </row>
    <row r="5720" spans="1:11" ht="42" customHeight="1">
      <c r="A5720" s="2" t="s">
        <v>14780</v>
      </c>
      <c r="B5720" s="2" t="s">
        <v>14780</v>
      </c>
      <c r="C5720" s="2" t="s">
        <v>17</v>
      </c>
      <c r="D5720" s="2" t="s">
        <v>156</v>
      </c>
      <c r="E5720" s="4">
        <v>-32372</v>
      </c>
      <c r="F5720" s="3" t="s">
        <v>2690</v>
      </c>
      <c r="G5720" s="3" t="s">
        <v>44</v>
      </c>
      <c r="H5720" s="2" t="s">
        <v>148</v>
      </c>
      <c r="I5720" s="2" t="s">
        <v>14784</v>
      </c>
      <c r="J5720" s="3" t="str">
        <f>HYPERLINK("https://www.boe.es/gazeta/dias/1811/05/14/pdfs/GEI-1811-63.pdf#page=6","Abrir facsímil")</f>
        <v>Abrir facsímil</v>
      </c>
      <c r="K5720" s="3" t="s">
        <v>150</v>
      </c>
    </row>
    <row r="5721" spans="1:11" ht="42" customHeight="1">
      <c r="A5721" s="2" t="s">
        <v>14780</v>
      </c>
      <c r="B5721" s="2" t="s">
        <v>14780</v>
      </c>
      <c r="C5721" s="2" t="s">
        <v>17</v>
      </c>
      <c r="D5721" s="2" t="s">
        <v>18</v>
      </c>
      <c r="E5721" s="4">
        <v>-32333</v>
      </c>
      <c r="F5721" s="3" t="s">
        <v>292</v>
      </c>
      <c r="G5721" s="3" t="s">
        <v>10296</v>
      </c>
      <c r="H5721" s="2" t="s">
        <v>148</v>
      </c>
      <c r="I5721" s="2" t="s">
        <v>14785</v>
      </c>
      <c r="J5721" s="3" t="str">
        <f>HYPERLINK("https://www.boe.es/gazeta/dias/1811/06/22/pdfs/GEI-1811-83.pdf#page=2","Abrir facsímil")</f>
        <v>Abrir facsímil</v>
      </c>
      <c r="K5721" s="3" t="s">
        <v>150</v>
      </c>
    </row>
    <row r="5722" spans="1:11" ht="42" customHeight="1">
      <c r="A5722" s="2" t="s">
        <v>14780</v>
      </c>
      <c r="B5722" s="2" t="s">
        <v>14780</v>
      </c>
      <c r="C5722" s="2" t="s">
        <v>26</v>
      </c>
      <c r="D5722" s="2" t="s">
        <v>18</v>
      </c>
      <c r="E5722" s="4">
        <v>-32272</v>
      </c>
      <c r="F5722" s="3" t="s">
        <v>1121</v>
      </c>
      <c r="G5722" s="3" t="s">
        <v>11372</v>
      </c>
      <c r="H5722" s="2" t="s">
        <v>148</v>
      </c>
      <c r="I5722" s="2" t="s">
        <v>14786</v>
      </c>
      <c r="J5722" s="3" t="str">
        <f>HYPERLINK("https://www.boe.es/gazeta/dias/1811/08/22/pdfs/GEI-1811-109.pdf#page=4","Abrir facsímil")</f>
        <v>Abrir facsímil</v>
      </c>
      <c r="K5722" s="3" t="s">
        <v>150</v>
      </c>
    </row>
    <row r="5723" spans="1:11" ht="42" customHeight="1">
      <c r="A5723" s="2" t="s">
        <v>14780</v>
      </c>
      <c r="B5723" s="2" t="s">
        <v>14780</v>
      </c>
      <c r="C5723" s="2" t="s">
        <v>841</v>
      </c>
      <c r="D5723" s="2" t="s">
        <v>18</v>
      </c>
      <c r="E5723" s="4">
        <v>-32209</v>
      </c>
      <c r="F5723" s="3" t="s">
        <v>1324</v>
      </c>
      <c r="G5723" s="3" t="s">
        <v>1325</v>
      </c>
      <c r="H5723" s="2" t="s">
        <v>148</v>
      </c>
      <c r="I5723" s="2" t="s">
        <v>14787</v>
      </c>
      <c r="J5723" s="3" t="str">
        <f>HYPERLINK("https://www.boe.es/gazeta/dias/1811/10/24/pdfs/GMD-1811-297.pdf#page=2","Abrir facsímil")</f>
        <v>Abrir facsímil</v>
      </c>
      <c r="K5723" s="3" t="s">
        <v>150</v>
      </c>
    </row>
    <row r="5724" spans="1:11" ht="42" customHeight="1">
      <c r="A5724" s="2" t="s">
        <v>14788</v>
      </c>
      <c r="B5724" s="2" t="s">
        <v>14789</v>
      </c>
      <c r="C5724" s="2" t="s">
        <v>26</v>
      </c>
      <c r="D5724" s="2" t="s">
        <v>18</v>
      </c>
      <c r="E5724" s="4">
        <v>-32379</v>
      </c>
      <c r="F5724" s="3" t="s">
        <v>462</v>
      </c>
      <c r="G5724" s="3" t="s">
        <v>463</v>
      </c>
      <c r="H5724" s="2" t="s">
        <v>148</v>
      </c>
      <c r="I5724" s="2" t="s">
        <v>14790</v>
      </c>
      <c r="J5724" s="3" t="str">
        <f>HYPERLINK("https://www.boe.es/gazeta/dias/1811/05/07/pdfs/GEI-1811-60.pdf#page=8","Abrir facsímil")</f>
        <v>Abrir facsímil</v>
      </c>
      <c r="K5724" s="3" t="s">
        <v>150</v>
      </c>
    </row>
    <row r="5725" spans="1:11" ht="42" customHeight="1">
      <c r="A5725" s="2" t="s">
        <v>14791</v>
      </c>
      <c r="B5725" s="2" t="s">
        <v>14792</v>
      </c>
      <c r="C5725" s="2" t="s">
        <v>26</v>
      </c>
      <c r="D5725" s="2" t="s">
        <v>18</v>
      </c>
      <c r="E5725" s="4">
        <v>-32195</v>
      </c>
      <c r="F5725" s="3" t="s">
        <v>439</v>
      </c>
      <c r="G5725" s="3" t="s">
        <v>440</v>
      </c>
      <c r="H5725" s="2" t="s">
        <v>148</v>
      </c>
      <c r="I5725" s="2" t="s">
        <v>14793</v>
      </c>
      <c r="J5725" s="3" t="str">
        <f>HYPERLINK("https://www.boe.es/gazeta/dias/1811/11/07/pdfs/GEI-1811-144.pdf#page=8","Abrir facsímil")</f>
        <v>Abrir facsímil</v>
      </c>
      <c r="K5725" s="3" t="s">
        <v>150</v>
      </c>
    </row>
    <row r="5726" spans="1:11" ht="42" customHeight="1">
      <c r="A5726" s="2" t="s">
        <v>14794</v>
      </c>
      <c r="B5726" s="2" t="s">
        <v>14795</v>
      </c>
      <c r="C5726" s="2" t="s">
        <v>17</v>
      </c>
      <c r="D5726" s="2" t="s">
        <v>105</v>
      </c>
      <c r="E5726" s="4">
        <v>-32195</v>
      </c>
      <c r="F5726" s="3" t="s">
        <v>439</v>
      </c>
      <c r="G5726" s="3" t="s">
        <v>440</v>
      </c>
      <c r="H5726" s="2" t="s">
        <v>148</v>
      </c>
      <c r="I5726" s="2" t="s">
        <v>14796</v>
      </c>
      <c r="J5726" s="3" t="str">
        <f>HYPERLINK("https://www.boe.es/gazeta/dias/1811/11/07/pdfs/GEI-1811-144.pdf#page=8","Abrir facsímil")</f>
        <v>Abrir facsímil</v>
      </c>
      <c r="K5726" s="3" t="s">
        <v>150</v>
      </c>
    </row>
    <row r="5727" spans="1:11" ht="42" customHeight="1">
      <c r="A5727" s="2" t="s">
        <v>14797</v>
      </c>
      <c r="B5727" s="2" t="s">
        <v>14798</v>
      </c>
      <c r="C5727" s="2" t="s">
        <v>26</v>
      </c>
      <c r="D5727" s="2" t="s">
        <v>18</v>
      </c>
      <c r="E5727" s="4">
        <v>-32361</v>
      </c>
      <c r="F5727" s="3" t="s">
        <v>1104</v>
      </c>
      <c r="G5727" s="3" t="s">
        <v>44</v>
      </c>
      <c r="H5727" s="2" t="s">
        <v>148</v>
      </c>
      <c r="I5727" s="2" t="s">
        <v>14799</v>
      </c>
      <c r="J5727" s="3" t="str">
        <f>HYPERLINK("https://www.boe.es/gazeta/dias/1811/05/25/pdfs/GEI-1811-71.pdf#page=4","Abrir facsímil")</f>
        <v>Abrir facsímil</v>
      </c>
      <c r="K5727" s="3" t="s">
        <v>150</v>
      </c>
    </row>
    <row r="5728" spans="1:11" ht="42" customHeight="1">
      <c r="A5728" s="2" t="s">
        <v>14800</v>
      </c>
      <c r="B5728" s="2" t="s">
        <v>14801</v>
      </c>
      <c r="C5728" s="2" t="s">
        <v>26</v>
      </c>
      <c r="D5728" s="2" t="s">
        <v>18</v>
      </c>
      <c r="E5728" s="4">
        <v>-32241</v>
      </c>
      <c r="F5728" s="3" t="s">
        <v>514</v>
      </c>
      <c r="G5728" s="3" t="s">
        <v>515</v>
      </c>
      <c r="H5728" s="2" t="s">
        <v>148</v>
      </c>
      <c r="I5728" s="2" t="s">
        <v>14802</v>
      </c>
      <c r="J5728" s="3" t="str">
        <f>HYPERLINK("https://www.boe.es/gazeta/dias/1811/09/22/pdfs/GMD-1811-265.pdf#page=4","Abrir facsímil")</f>
        <v>Abrir facsímil</v>
      </c>
      <c r="K5728" s="3" t="s">
        <v>150</v>
      </c>
    </row>
    <row r="5729" spans="1:11" ht="42" customHeight="1">
      <c r="A5729" s="2" t="s">
        <v>14803</v>
      </c>
      <c r="B5729" s="2" t="s">
        <v>14804</v>
      </c>
      <c r="C5729" s="2" t="s">
        <v>17</v>
      </c>
      <c r="D5729" s="2" t="s">
        <v>18</v>
      </c>
      <c r="E5729" s="4">
        <v>-32246</v>
      </c>
      <c r="F5729" s="3" t="s">
        <v>19</v>
      </c>
      <c r="G5729" s="3" t="s">
        <v>20</v>
      </c>
      <c r="H5729" s="2" t="s">
        <v>21</v>
      </c>
      <c r="I5729" s="2" t="s">
        <v>14805</v>
      </c>
      <c r="J5729" s="3" t="str">
        <f>HYPERLINK("https://www.boe.es/gazeta/dias/1811/09/17/pdfs/GEI-1811-120.pdf#page=24","Abrir facsímil")</f>
        <v>Abrir facsímil</v>
      </c>
      <c r="K5729" s="3" t="s">
        <v>23</v>
      </c>
    </row>
    <row r="5730" spans="1:11" ht="42" customHeight="1">
      <c r="A5730" s="2" t="s">
        <v>14806</v>
      </c>
      <c r="B5730" s="2" t="s">
        <v>14807</v>
      </c>
      <c r="C5730" s="2" t="s">
        <v>17</v>
      </c>
      <c r="D5730" s="2" t="s">
        <v>18</v>
      </c>
      <c r="E5730" s="4">
        <v>-32167</v>
      </c>
      <c r="F5730" s="3" t="s">
        <v>195</v>
      </c>
      <c r="G5730" s="3" t="s">
        <v>91</v>
      </c>
      <c r="H5730" s="2" t="s">
        <v>148</v>
      </c>
      <c r="I5730" s="2" t="s">
        <v>14808</v>
      </c>
      <c r="J5730" s="3" t="str">
        <f>HYPERLINK("https://www.boe.es/gazeta/dias/1811/12/05/pdfs/GEI-1811-158.pdf#page=5","Abrir facsímil")</f>
        <v>Abrir facsímil</v>
      </c>
      <c r="K5730" s="3" t="s">
        <v>150</v>
      </c>
    </row>
    <row r="5731" spans="1:11" ht="42" customHeight="1">
      <c r="A5731" s="2" t="s">
        <v>14809</v>
      </c>
      <c r="B5731" s="2" t="s">
        <v>14810</v>
      </c>
      <c r="C5731" s="2" t="s">
        <v>122</v>
      </c>
      <c r="D5731" s="2" t="s">
        <v>105</v>
      </c>
      <c r="E5731" s="4">
        <v>-32280</v>
      </c>
      <c r="F5731" s="3" t="s">
        <v>142</v>
      </c>
      <c r="G5731" s="3" t="s">
        <v>47</v>
      </c>
      <c r="H5731" s="2" t="s">
        <v>148</v>
      </c>
      <c r="I5731" s="2" t="s">
        <v>14811</v>
      </c>
      <c r="J5731" s="3" t="str">
        <f>HYPERLINK("https://www.boe.es/gazeta/dias/1811/08/14/pdfs/GMD-C-1811-226.pdf#page=1","Abrir facsímil")</f>
        <v>Abrir facsímil</v>
      </c>
      <c r="K5731" s="3" t="s">
        <v>150</v>
      </c>
    </row>
    <row r="5732" spans="1:11" ht="42" customHeight="1">
      <c r="A5732" s="2" t="s">
        <v>14812</v>
      </c>
      <c r="B5732" s="2" t="s">
        <v>14813</v>
      </c>
      <c r="C5732" s="2" t="s">
        <v>26</v>
      </c>
      <c r="D5732" s="2" t="s">
        <v>18</v>
      </c>
      <c r="E5732" s="4">
        <v>-32477</v>
      </c>
      <c r="F5732" s="3" t="s">
        <v>6777</v>
      </c>
      <c r="G5732" s="3" t="s">
        <v>28</v>
      </c>
      <c r="H5732" s="2" t="s">
        <v>148</v>
      </c>
      <c r="I5732" s="2" t="s">
        <v>14814</v>
      </c>
      <c r="J5732" s="3" t="str">
        <f>HYPERLINK("https://www.boe.es/gazeta/dias/1811/01/29/pdfs/GEI-1811-13.pdf#page=2","Abrir facsímil")</f>
        <v>Abrir facsímil</v>
      </c>
      <c r="K5732" s="3" t="s">
        <v>150</v>
      </c>
    </row>
    <row r="5733" spans="1:11" ht="42" customHeight="1">
      <c r="A5733" s="2" t="s">
        <v>14812</v>
      </c>
      <c r="B5733" s="2" t="s">
        <v>14813</v>
      </c>
      <c r="C5733" s="2" t="s">
        <v>26</v>
      </c>
      <c r="D5733" s="2" t="s">
        <v>105</v>
      </c>
      <c r="E5733" s="4">
        <v>-32468</v>
      </c>
      <c r="F5733" s="3" t="s">
        <v>683</v>
      </c>
      <c r="G5733" s="3" t="s">
        <v>586</v>
      </c>
      <c r="H5733" s="2" t="s">
        <v>148</v>
      </c>
      <c r="I5733" s="2" t="s">
        <v>14815</v>
      </c>
      <c r="J5733" s="3" t="str">
        <f>HYPERLINK("https://www.boe.es/gazeta/dias/1811/02/07/pdfs/GEI-1811-17.pdf#page=7","Abrir facsímil")</f>
        <v>Abrir facsímil</v>
      </c>
      <c r="K5733" s="3" t="s">
        <v>150</v>
      </c>
    </row>
    <row r="5734" spans="1:11" ht="42" customHeight="1">
      <c r="A5734" s="2" t="s">
        <v>14812</v>
      </c>
      <c r="B5734" s="2" t="s">
        <v>14813</v>
      </c>
      <c r="C5734" s="2" t="s">
        <v>17</v>
      </c>
      <c r="D5734" s="2" t="s">
        <v>18</v>
      </c>
      <c r="E5734" s="4">
        <v>-32438</v>
      </c>
      <c r="F5734" s="3" t="s">
        <v>114</v>
      </c>
      <c r="G5734" s="3" t="s">
        <v>2516</v>
      </c>
      <c r="H5734" s="2" t="s">
        <v>148</v>
      </c>
      <c r="I5734" s="2" t="s">
        <v>14816</v>
      </c>
      <c r="J5734" s="3" t="str">
        <f>HYPERLINK("https://www.boe.es/gazeta/dias/1811/03/09/pdfs/GEI-1811-33.pdf#page=7","Abrir facsímil")</f>
        <v>Abrir facsímil</v>
      </c>
      <c r="K5734" s="3" t="s">
        <v>150</v>
      </c>
    </row>
    <row r="5735" spans="1:11" ht="42" customHeight="1">
      <c r="A5735" s="2" t="s">
        <v>14812</v>
      </c>
      <c r="B5735" s="2" t="s">
        <v>14813</v>
      </c>
      <c r="C5735" s="2" t="s">
        <v>26</v>
      </c>
      <c r="D5735" s="2" t="s">
        <v>18</v>
      </c>
      <c r="E5735" s="4">
        <v>-32433</v>
      </c>
      <c r="F5735" s="3" t="s">
        <v>676</v>
      </c>
      <c r="G5735" s="3" t="s">
        <v>91</v>
      </c>
      <c r="H5735" s="2" t="s">
        <v>148</v>
      </c>
      <c r="I5735" s="2" t="s">
        <v>14817</v>
      </c>
      <c r="J5735" s="3" t="str">
        <f>HYPERLINK("https://www.boe.es/gazeta/dias/1811/03/14/pdfs/GEI-1811-37.pdf#page=6","Abrir facsímil")</f>
        <v>Abrir facsímil</v>
      </c>
      <c r="K5735" s="3" t="s">
        <v>150</v>
      </c>
    </row>
    <row r="5736" spans="1:11" ht="42" customHeight="1">
      <c r="A5736" s="2" t="s">
        <v>14812</v>
      </c>
      <c r="B5736" s="2" t="s">
        <v>14813</v>
      </c>
      <c r="C5736" s="2" t="s">
        <v>26</v>
      </c>
      <c r="D5736" s="2" t="s">
        <v>18</v>
      </c>
      <c r="E5736" s="4">
        <v>-32382</v>
      </c>
      <c r="F5736" s="3" t="s">
        <v>1269</v>
      </c>
      <c r="G5736" s="3" t="s">
        <v>14818</v>
      </c>
      <c r="H5736" s="2" t="s">
        <v>148</v>
      </c>
      <c r="I5736" s="2" t="s">
        <v>14819</v>
      </c>
      <c r="J5736" s="3" t="str">
        <f>HYPERLINK("https://www.boe.es/gazeta/dias/1811/05/04/pdfs/GEI-1811-59.pdf#page=5","Abrir facsímil")</f>
        <v>Abrir facsímil</v>
      </c>
      <c r="K5736" s="3" t="s">
        <v>150</v>
      </c>
    </row>
    <row r="5737" spans="1:11" ht="42" customHeight="1">
      <c r="A5737" s="2" t="s">
        <v>14812</v>
      </c>
      <c r="B5737" s="2" t="s">
        <v>14813</v>
      </c>
      <c r="C5737" s="2" t="s">
        <v>84</v>
      </c>
      <c r="D5737" s="2" t="s">
        <v>18</v>
      </c>
      <c r="E5737" s="4">
        <v>-32312</v>
      </c>
      <c r="F5737" s="3" t="s">
        <v>2640</v>
      </c>
      <c r="G5737" s="3" t="s">
        <v>3751</v>
      </c>
      <c r="H5737" s="2" t="s">
        <v>148</v>
      </c>
      <c r="I5737" s="2" t="s">
        <v>14820</v>
      </c>
      <c r="J5737" s="3" t="str">
        <f>HYPERLINK("https://www.boe.es/gazeta/dias/1811/07/13/pdfs/GEI-1811-92.pdf#page=8","Abrir facsímil")</f>
        <v>Abrir facsímil</v>
      </c>
      <c r="K5737" s="3" t="s">
        <v>150</v>
      </c>
    </row>
    <row r="5738" spans="1:11" ht="42" customHeight="1">
      <c r="A5738" s="2" t="s">
        <v>14812</v>
      </c>
      <c r="B5738" s="2" t="s">
        <v>14813</v>
      </c>
      <c r="C5738" s="2" t="s">
        <v>17</v>
      </c>
      <c r="D5738" s="2" t="s">
        <v>156</v>
      </c>
      <c r="E5738" s="4">
        <v>-32291</v>
      </c>
      <c r="F5738" s="3" t="s">
        <v>712</v>
      </c>
      <c r="G5738" s="3" t="s">
        <v>1722</v>
      </c>
      <c r="H5738" s="2" t="s">
        <v>148</v>
      </c>
      <c r="I5738" s="2" t="s">
        <v>14821</v>
      </c>
      <c r="J5738" s="3" t="str">
        <f>HYPERLINK("https://www.boe.es/gazeta/dias/1811/08/03/pdfs/GEI-1811-101.pdf#page=8","Abrir facsímil")</f>
        <v>Abrir facsímil</v>
      </c>
      <c r="K5738" s="3" t="s">
        <v>150</v>
      </c>
    </row>
    <row r="5739" spans="1:11" ht="42" customHeight="1">
      <c r="A5739" s="2" t="s">
        <v>14822</v>
      </c>
      <c r="B5739" s="2" t="s">
        <v>14823</v>
      </c>
      <c r="C5739" s="2" t="s">
        <v>26</v>
      </c>
      <c r="D5739" s="2" t="s">
        <v>141</v>
      </c>
      <c r="E5739" s="4">
        <v>-32396</v>
      </c>
      <c r="F5739" s="3" t="s">
        <v>804</v>
      </c>
      <c r="G5739" s="3" t="s">
        <v>178</v>
      </c>
      <c r="H5739" s="2" t="s">
        <v>148</v>
      </c>
      <c r="I5739" s="2" t="s">
        <v>14824</v>
      </c>
      <c r="J5739" s="3" t="str">
        <f>HYPERLINK("https://www.boe.es/gazeta/dias/1811/04/20/pdfs/GEI-D-1811-53.pdf#page=3","Abrir facsímil")</f>
        <v>Abrir facsímil</v>
      </c>
      <c r="K5739" s="3" t="s">
        <v>150</v>
      </c>
    </row>
    <row r="5740" spans="1:11" ht="42" customHeight="1">
      <c r="A5740" s="2" t="s">
        <v>14825</v>
      </c>
      <c r="B5740" s="2" t="s">
        <v>14826</v>
      </c>
      <c r="C5740" s="2" t="s">
        <v>26</v>
      </c>
      <c r="D5740" s="2" t="s">
        <v>18</v>
      </c>
      <c r="E5740" s="4">
        <v>-32241</v>
      </c>
      <c r="F5740" s="3" t="s">
        <v>514</v>
      </c>
      <c r="G5740" s="3" t="s">
        <v>515</v>
      </c>
      <c r="H5740" s="2" t="s">
        <v>148</v>
      </c>
      <c r="I5740" s="2" t="s">
        <v>14827</v>
      </c>
      <c r="J5740" s="3" t="str">
        <f>HYPERLINK("https://www.boe.es/gazeta/dias/1811/09/22/pdfs/GMD-1811-265.pdf#page=4","Abrir facsímil")</f>
        <v>Abrir facsímil</v>
      </c>
      <c r="K5740" s="3" t="s">
        <v>150</v>
      </c>
    </row>
    <row r="5741" spans="1:11" ht="42" customHeight="1">
      <c r="A5741" s="2" t="s">
        <v>14828</v>
      </c>
      <c r="B5741" s="2" t="s">
        <v>14829</v>
      </c>
      <c r="C5741" s="2" t="s">
        <v>26</v>
      </c>
      <c r="D5741" s="2" t="s">
        <v>18</v>
      </c>
      <c r="E5741" s="4">
        <v>-32358</v>
      </c>
      <c r="F5741" s="3" t="s">
        <v>2971</v>
      </c>
      <c r="G5741" s="3" t="s">
        <v>44</v>
      </c>
      <c r="H5741" s="2" t="s">
        <v>148</v>
      </c>
      <c r="I5741" s="2" t="s">
        <v>14830</v>
      </c>
      <c r="J5741" s="3" t="str">
        <f>HYPERLINK("https://www.boe.es/gazeta/dias/1811/05/28/pdfs/GEI-1811-72.pdf#page=2","Abrir facsímil")</f>
        <v>Abrir facsímil</v>
      </c>
      <c r="K5741" s="3" t="s">
        <v>150</v>
      </c>
    </row>
    <row r="5742" spans="1:11" ht="42" customHeight="1">
      <c r="A5742" s="2" t="s">
        <v>14831</v>
      </c>
      <c r="B5742" s="2" t="s">
        <v>14832</v>
      </c>
      <c r="C5742" s="2" t="s">
        <v>37</v>
      </c>
      <c r="D5742" s="2" t="s">
        <v>156</v>
      </c>
      <c r="E5742" s="4">
        <v>-32219</v>
      </c>
      <c r="F5742" s="3" t="s">
        <v>529</v>
      </c>
      <c r="G5742" s="3" t="s">
        <v>530</v>
      </c>
      <c r="H5742" s="2" t="s">
        <v>148</v>
      </c>
      <c r="I5742" s="2" t="s">
        <v>14833</v>
      </c>
      <c r="J5742" s="3" t="str">
        <f>HYPERLINK("https://www.boe.es/gazeta/dias/1811/10/14/pdfs/GEI-1811-132E.pdf#page=4","Abrir facsímil")</f>
        <v>Abrir facsímil</v>
      </c>
      <c r="K5742" s="3" t="s">
        <v>150</v>
      </c>
    </row>
    <row r="5743" spans="1:11" ht="42" customHeight="1">
      <c r="A5743" s="2" t="s">
        <v>14834</v>
      </c>
      <c r="B5743" s="2" t="s">
        <v>14835</v>
      </c>
      <c r="C5743" s="2" t="s">
        <v>26</v>
      </c>
      <c r="D5743" s="2" t="s">
        <v>141</v>
      </c>
      <c r="E5743" s="4">
        <v>-32280</v>
      </c>
      <c r="F5743" s="3" t="s">
        <v>142</v>
      </c>
      <c r="G5743" s="3" t="s">
        <v>597</v>
      </c>
      <c r="H5743" s="2" t="s">
        <v>148</v>
      </c>
      <c r="I5743" s="2" t="s">
        <v>14836</v>
      </c>
      <c r="J5743" s="3" t="str">
        <f>HYPERLINK("https://www.boe.es/gazeta/dias/1811/08/14/pdfs/GMD-C-1811-226.pdf#page=2","Abrir facsímil")</f>
        <v>Abrir facsímil</v>
      </c>
      <c r="K5743" s="3" t="s">
        <v>150</v>
      </c>
    </row>
    <row r="5744" spans="1:11" ht="42" customHeight="1">
      <c r="A5744" s="2" t="s">
        <v>14837</v>
      </c>
      <c r="B5744" s="2" t="s">
        <v>14838</v>
      </c>
      <c r="C5744" s="2" t="s">
        <v>26</v>
      </c>
      <c r="D5744" s="2" t="s">
        <v>141</v>
      </c>
      <c r="E5744" s="4">
        <v>-32238</v>
      </c>
      <c r="F5744" s="3" t="s">
        <v>166</v>
      </c>
      <c r="G5744" s="3" t="s">
        <v>178</v>
      </c>
      <c r="H5744" s="2" t="s">
        <v>148</v>
      </c>
      <c r="I5744" s="2" t="s">
        <v>14839</v>
      </c>
      <c r="J5744" s="3" t="str">
        <f>HYPERLINK("https://www.boe.es/gazeta/dias/1811/09/25/pdfs/GMD-C-1811-268.pdf#page=4","Abrir facsímil")</f>
        <v>Abrir facsímil</v>
      </c>
      <c r="K5744" s="3" t="s">
        <v>150</v>
      </c>
    </row>
    <row r="5745" spans="1:11" ht="42" customHeight="1">
      <c r="A5745" s="2" t="s">
        <v>14840</v>
      </c>
      <c r="B5745" s="2" t="s">
        <v>14841</v>
      </c>
      <c r="C5745" s="2" t="s">
        <v>26</v>
      </c>
      <c r="D5745" s="2" t="s">
        <v>18</v>
      </c>
      <c r="E5745" s="4">
        <v>-32344</v>
      </c>
      <c r="F5745" s="3" t="s">
        <v>761</v>
      </c>
      <c r="G5745" s="3" t="s">
        <v>2371</v>
      </c>
      <c r="H5745" s="2" t="s">
        <v>148</v>
      </c>
      <c r="I5745" s="2" t="s">
        <v>14842</v>
      </c>
      <c r="J5745" s="3" t="str">
        <f>HYPERLINK("https://www.boe.es/gazeta/dias/1811/06/11/pdfs/GEI-1811-78.pdf#page=2","Abrir facsímil")</f>
        <v>Abrir facsímil</v>
      </c>
      <c r="K5745" s="3" t="s">
        <v>150</v>
      </c>
    </row>
    <row r="5746" spans="1:11" ht="42" customHeight="1">
      <c r="A5746" s="2" t="s">
        <v>14843</v>
      </c>
      <c r="B5746" s="2" t="s">
        <v>14843</v>
      </c>
      <c r="C5746" s="2" t="s">
        <v>26</v>
      </c>
      <c r="D5746" s="2" t="s">
        <v>18</v>
      </c>
      <c r="E5746" s="4">
        <v>-32242</v>
      </c>
      <c r="F5746" s="3" t="s">
        <v>3015</v>
      </c>
      <c r="G5746" s="3" t="s">
        <v>7851</v>
      </c>
      <c r="H5746" s="2" t="s">
        <v>148</v>
      </c>
      <c r="I5746" s="2" t="s">
        <v>14844</v>
      </c>
      <c r="J5746" s="3" t="str">
        <f>HYPERLINK("https://www.boe.es/gazeta/dias/1811/09/21/pdfs/GMD-1811-264.pdf#page=3","Abrir facsímil")</f>
        <v>Abrir facsímil</v>
      </c>
      <c r="K5746" s="3" t="s">
        <v>150</v>
      </c>
    </row>
    <row r="5747" spans="1:11" ht="42" customHeight="1">
      <c r="A5747" s="2" t="s">
        <v>14845</v>
      </c>
      <c r="B5747" s="2" t="s">
        <v>14846</v>
      </c>
      <c r="C5747" s="2" t="s">
        <v>26</v>
      </c>
      <c r="D5747" s="2" t="s">
        <v>141</v>
      </c>
      <c r="E5747" s="4">
        <v>-32249</v>
      </c>
      <c r="F5747" s="3" t="s">
        <v>743</v>
      </c>
      <c r="G5747" s="3" t="s">
        <v>1021</v>
      </c>
      <c r="H5747" s="2" t="s">
        <v>148</v>
      </c>
      <c r="I5747" s="2" t="s">
        <v>14847</v>
      </c>
      <c r="J5747" s="3" t="str">
        <f>HYPERLINK("https://www.boe.es/gazeta/dias/1811/09/14/pdfs/GMD-C-1811-257.pdf#page=2","Abrir facsímil")</f>
        <v>Abrir facsímil</v>
      </c>
      <c r="K5747" s="3" t="s">
        <v>150</v>
      </c>
    </row>
    <row r="5748" spans="1:11" ht="42" customHeight="1">
      <c r="A5748" s="2" t="s">
        <v>14848</v>
      </c>
      <c r="B5748" s="2" t="s">
        <v>14849</v>
      </c>
      <c r="C5748" s="2" t="s">
        <v>26</v>
      </c>
      <c r="D5748" s="2" t="s">
        <v>18</v>
      </c>
      <c r="E5748" s="4">
        <v>-32172</v>
      </c>
      <c r="F5748" s="3" t="s">
        <v>300</v>
      </c>
      <c r="G5748" s="3" t="s">
        <v>301</v>
      </c>
      <c r="H5748" s="2" t="s">
        <v>148</v>
      </c>
      <c r="I5748" s="2" t="s">
        <v>14850</v>
      </c>
      <c r="J5748" s="3" t="str">
        <f>HYPERLINK("https://www.boe.es/gazeta/dias/1811/11/30/pdfs/GMD-1811-334.pdf#page=4","Abrir facsímil")</f>
        <v>Abrir facsímil</v>
      </c>
      <c r="K5748" s="3" t="s">
        <v>150</v>
      </c>
    </row>
    <row r="5749" spans="1:11" ht="42" customHeight="1">
      <c r="A5749" s="2" t="s">
        <v>14851</v>
      </c>
      <c r="B5749" s="2" t="s">
        <v>14852</v>
      </c>
      <c r="C5749" s="2" t="s">
        <v>17</v>
      </c>
      <c r="D5749" s="2" t="s">
        <v>18</v>
      </c>
      <c r="E5749" s="4">
        <v>-32144</v>
      </c>
      <c r="F5749" s="3" t="s">
        <v>1097</v>
      </c>
      <c r="G5749" s="3" t="s">
        <v>1098</v>
      </c>
      <c r="H5749" s="2" t="s">
        <v>148</v>
      </c>
      <c r="I5749" s="2" t="s">
        <v>14853</v>
      </c>
      <c r="J5749" s="3" t="str">
        <f>HYPERLINK("https://www.boe.es/gazeta/dias/1811/12/28/pdfs/GEI-1811-168.pdf#page=8","Abrir facsímil")</f>
        <v>Abrir facsímil</v>
      </c>
      <c r="K5749" s="3" t="s">
        <v>150</v>
      </c>
    </row>
    <row r="5750" spans="1:11" ht="42" customHeight="1">
      <c r="A5750" s="2" t="s">
        <v>14854</v>
      </c>
      <c r="B5750" s="2" t="s">
        <v>14855</v>
      </c>
      <c r="C5750" s="2" t="s">
        <v>26</v>
      </c>
      <c r="D5750" s="2" t="s">
        <v>18</v>
      </c>
      <c r="E5750" s="4">
        <v>-32270</v>
      </c>
      <c r="F5750" s="3" t="s">
        <v>431</v>
      </c>
      <c r="G5750" s="3" t="s">
        <v>2080</v>
      </c>
      <c r="H5750" s="2" t="s">
        <v>148</v>
      </c>
      <c r="I5750" s="2" t="s">
        <v>14856</v>
      </c>
      <c r="J5750" s="3" t="str">
        <f>HYPERLINK("https://www.boe.es/gazeta/dias/1811/08/24/pdfs/GEI-1811-110.pdf#page=5","Abrir facsímil")</f>
        <v>Abrir facsímil</v>
      </c>
      <c r="K5750" s="3" t="s">
        <v>150</v>
      </c>
    </row>
    <row r="5751" spans="1:11" ht="42" customHeight="1">
      <c r="A5751" s="2" t="s">
        <v>14857</v>
      </c>
      <c r="B5751" s="2" t="s">
        <v>14858</v>
      </c>
      <c r="C5751" s="2" t="s">
        <v>17</v>
      </c>
      <c r="D5751" s="2" t="s">
        <v>18</v>
      </c>
      <c r="E5751" s="4">
        <v>-32256</v>
      </c>
      <c r="F5751" s="3" t="s">
        <v>161</v>
      </c>
      <c r="G5751" s="3" t="s">
        <v>1984</v>
      </c>
      <c r="H5751" s="2" t="s">
        <v>148</v>
      </c>
      <c r="I5751" s="2" t="s">
        <v>14859</v>
      </c>
      <c r="J5751" s="3" t="str">
        <f>HYPERLINK("https://www.boe.es/gazeta/dias/1811/09/07/pdfs/GEI-1811-116.pdf#page=5","Abrir facsímil")</f>
        <v>Abrir facsímil</v>
      </c>
      <c r="K5751" s="3" t="s">
        <v>150</v>
      </c>
    </row>
    <row r="5752" spans="1:11" ht="42" customHeight="1">
      <c r="A5752" s="2" t="s">
        <v>14860</v>
      </c>
      <c r="B5752" s="2" t="s">
        <v>14861</v>
      </c>
      <c r="C5752" s="2" t="s">
        <v>26</v>
      </c>
      <c r="D5752" s="2" t="s">
        <v>18</v>
      </c>
      <c r="E5752" s="4">
        <v>-32340</v>
      </c>
      <c r="F5752" s="3" t="s">
        <v>565</v>
      </c>
      <c r="G5752" s="3" t="s">
        <v>91</v>
      </c>
      <c r="H5752" s="2" t="s">
        <v>148</v>
      </c>
      <c r="I5752" s="2" t="s">
        <v>14862</v>
      </c>
      <c r="J5752" s="3" t="str">
        <f>HYPERLINK("https://www.boe.es/gazeta/dias/1811/06/15/pdfs/GEI-1811-80.pdf#page=8","Abrir facsímil")</f>
        <v>Abrir facsímil</v>
      </c>
      <c r="K5752" s="3" t="s">
        <v>150</v>
      </c>
    </row>
    <row r="5753" spans="1:11" ht="42" customHeight="1">
      <c r="A5753" s="2" t="s">
        <v>14863</v>
      </c>
      <c r="B5753" s="2" t="s">
        <v>14864</v>
      </c>
      <c r="C5753" s="2" t="s">
        <v>17</v>
      </c>
      <c r="D5753" s="2" t="s">
        <v>18</v>
      </c>
      <c r="E5753" s="4">
        <v>-32200</v>
      </c>
      <c r="F5753" s="3" t="s">
        <v>109</v>
      </c>
      <c r="G5753" s="3" t="s">
        <v>268</v>
      </c>
      <c r="H5753" s="2" t="s">
        <v>148</v>
      </c>
      <c r="I5753" s="2" t="s">
        <v>14865</v>
      </c>
      <c r="J5753" s="3" t="str">
        <f>HYPERLINK("https://www.boe.es/gazeta/dias/1811/11/02/pdfs/GEI-1811-141.pdf#page=7","Abrir facsímil")</f>
        <v>Abrir facsímil</v>
      </c>
      <c r="K5753" s="3" t="s">
        <v>150</v>
      </c>
    </row>
    <row r="5754" spans="1:11" ht="42" customHeight="1">
      <c r="A5754" s="2" t="s">
        <v>14863</v>
      </c>
      <c r="B5754" s="2" t="s">
        <v>14864</v>
      </c>
      <c r="C5754" s="2" t="s">
        <v>26</v>
      </c>
      <c r="D5754" s="2" t="s">
        <v>18</v>
      </c>
      <c r="E5754" s="4">
        <v>-32172</v>
      </c>
      <c r="F5754" s="3" t="s">
        <v>300</v>
      </c>
      <c r="G5754" s="3" t="s">
        <v>305</v>
      </c>
      <c r="H5754" s="2" t="s">
        <v>148</v>
      </c>
      <c r="I5754" s="2" t="s">
        <v>14866</v>
      </c>
      <c r="J5754" s="3" t="str">
        <f>HYPERLINK("https://www.boe.es/gazeta/dias/1811/11/30/pdfs/GMD-1811-334.pdf#page=3","Abrir facsímil")</f>
        <v>Abrir facsímil</v>
      </c>
      <c r="K5754" s="3" t="s">
        <v>150</v>
      </c>
    </row>
    <row r="5755" spans="1:11" ht="42" customHeight="1">
      <c r="A5755" s="2" t="s">
        <v>14867</v>
      </c>
      <c r="B5755" s="2" t="s">
        <v>14868</v>
      </c>
      <c r="C5755" s="2" t="s">
        <v>26</v>
      </c>
      <c r="D5755" s="2" t="s">
        <v>18</v>
      </c>
      <c r="E5755" s="4">
        <v>-32153</v>
      </c>
      <c r="F5755" s="3" t="s">
        <v>123</v>
      </c>
      <c r="G5755" s="3" t="s">
        <v>1067</v>
      </c>
      <c r="H5755" s="2" t="s">
        <v>148</v>
      </c>
      <c r="I5755" s="2" t="s">
        <v>14869</v>
      </c>
      <c r="J5755" s="3" t="str">
        <f>HYPERLINK("https://www.boe.es/gazeta/dias/1811/12/19/pdfs/GMD-1811-353.pdf#page=5","Abrir facsímil")</f>
        <v>Abrir facsímil</v>
      </c>
      <c r="K5755" s="3" t="s">
        <v>150</v>
      </c>
    </row>
    <row r="5756" spans="1:11" ht="42" customHeight="1">
      <c r="A5756" s="2" t="s">
        <v>14870</v>
      </c>
      <c r="B5756" s="2" t="s">
        <v>14871</v>
      </c>
      <c r="C5756" s="2" t="s">
        <v>17</v>
      </c>
      <c r="D5756" s="2" t="s">
        <v>18</v>
      </c>
      <c r="E5756" s="4">
        <v>-32494</v>
      </c>
      <c r="F5756" s="3" t="s">
        <v>3050</v>
      </c>
      <c r="G5756" s="3" t="s">
        <v>3619</v>
      </c>
      <c r="H5756" s="2" t="s">
        <v>148</v>
      </c>
      <c r="I5756" s="2" t="s">
        <v>14872</v>
      </c>
      <c r="J5756" s="3" t="str">
        <f>HYPERLINK("https://www.boe.es/gazeta/dias/1811/01/12/pdfs/GEI-1811-6.pdf#page=8","Abrir facsímil")</f>
        <v>Abrir facsímil</v>
      </c>
      <c r="K5756" s="3" t="s">
        <v>150</v>
      </c>
    </row>
    <row r="5757" spans="1:11" ht="42" customHeight="1">
      <c r="A5757" s="2" t="s">
        <v>14870</v>
      </c>
      <c r="B5757" s="2" t="s">
        <v>14871</v>
      </c>
      <c r="C5757" s="2" t="s">
        <v>26</v>
      </c>
      <c r="D5757" s="2" t="s">
        <v>18</v>
      </c>
      <c r="E5757" s="4">
        <v>-32379</v>
      </c>
      <c r="F5757" s="3" t="s">
        <v>462</v>
      </c>
      <c r="G5757" s="3" t="s">
        <v>463</v>
      </c>
      <c r="H5757" s="2" t="s">
        <v>148</v>
      </c>
      <c r="I5757" s="2" t="s">
        <v>14873</v>
      </c>
      <c r="J5757" s="3" t="str">
        <f>HYPERLINK("https://www.boe.es/gazeta/dias/1811/05/07/pdfs/GEI-1811-60.pdf#page=8","Abrir facsímil")</f>
        <v>Abrir facsímil</v>
      </c>
      <c r="K5757" s="3" t="s">
        <v>150</v>
      </c>
    </row>
    <row r="5758" spans="1:11" ht="42" customHeight="1">
      <c r="A5758" s="2" t="s">
        <v>14870</v>
      </c>
      <c r="B5758" s="2" t="s">
        <v>14871</v>
      </c>
      <c r="C5758" s="2" t="s">
        <v>17</v>
      </c>
      <c r="D5758" s="2" t="s">
        <v>156</v>
      </c>
      <c r="E5758" s="4">
        <v>-32312</v>
      </c>
      <c r="F5758" s="3" t="s">
        <v>2640</v>
      </c>
      <c r="G5758" s="3" t="s">
        <v>10615</v>
      </c>
      <c r="H5758" s="2" t="s">
        <v>148</v>
      </c>
      <c r="I5758" s="2" t="s">
        <v>14874</v>
      </c>
      <c r="J5758" s="3" t="str">
        <f>HYPERLINK("https://www.boe.es/gazeta/dias/1811/07/13/pdfs/GEI-1811-92.pdf#page=6","Abrir facsímil")</f>
        <v>Abrir facsímil</v>
      </c>
      <c r="K5758" s="3" t="s">
        <v>150</v>
      </c>
    </row>
    <row r="5759" spans="1:11" ht="42" customHeight="1">
      <c r="A5759" s="2" t="s">
        <v>14875</v>
      </c>
      <c r="B5759" s="2" t="s">
        <v>14876</v>
      </c>
      <c r="C5759" s="2" t="s">
        <v>17</v>
      </c>
      <c r="D5759" s="2" t="s">
        <v>18</v>
      </c>
      <c r="E5759" s="4">
        <v>-32198</v>
      </c>
      <c r="F5759" s="3" t="s">
        <v>330</v>
      </c>
      <c r="G5759" s="3" t="s">
        <v>515</v>
      </c>
      <c r="H5759" s="2" t="s">
        <v>148</v>
      </c>
      <c r="I5759" s="2" t="s">
        <v>14877</v>
      </c>
      <c r="J5759" s="3" t="str">
        <f>HYPERLINK("https://www.boe.es/gazeta/dias/1811/11/04/pdfs/GMD-1811-308.pdf#page=4","Abrir facsímil")</f>
        <v>Abrir facsímil</v>
      </c>
      <c r="K5759" s="3" t="s">
        <v>150</v>
      </c>
    </row>
    <row r="5760" spans="1:11" ht="42" customHeight="1">
      <c r="A5760" s="2" t="s">
        <v>14878</v>
      </c>
      <c r="B5760" s="2" t="s">
        <v>14879</v>
      </c>
      <c r="C5760" s="2" t="s">
        <v>17</v>
      </c>
      <c r="D5760" s="2" t="s">
        <v>18</v>
      </c>
      <c r="E5760" s="4">
        <v>-32335</v>
      </c>
      <c r="F5760" s="3" t="s">
        <v>3776</v>
      </c>
      <c r="G5760" s="3" t="s">
        <v>1179</v>
      </c>
      <c r="H5760" s="2" t="s">
        <v>148</v>
      </c>
      <c r="I5760" s="2" t="s">
        <v>14880</v>
      </c>
      <c r="J5760" s="3" t="str">
        <f>HYPERLINK("https://www.boe.es/gazeta/dias/1811/06/20/pdfs/GEI-1811-82.pdf#page=7","Abrir facsímil")</f>
        <v>Abrir facsímil</v>
      </c>
      <c r="K5760" s="3" t="s">
        <v>150</v>
      </c>
    </row>
    <row r="5761" spans="1:11" ht="42" customHeight="1">
      <c r="A5761" s="2" t="s">
        <v>14881</v>
      </c>
      <c r="B5761" s="2" t="s">
        <v>14882</v>
      </c>
      <c r="C5761" s="2" t="s">
        <v>26</v>
      </c>
      <c r="D5761" s="2" t="s">
        <v>141</v>
      </c>
      <c r="E5761" s="4">
        <v>-32249</v>
      </c>
      <c r="F5761" s="3" t="s">
        <v>743</v>
      </c>
      <c r="G5761" s="3" t="s">
        <v>1021</v>
      </c>
      <c r="H5761" s="2" t="s">
        <v>148</v>
      </c>
      <c r="I5761" s="2" t="s">
        <v>14883</v>
      </c>
      <c r="J5761" s="3" t="str">
        <f>HYPERLINK("https://www.boe.es/gazeta/dias/1811/09/14/pdfs/GMD-C-1811-257.pdf#page=2","Abrir facsímil")</f>
        <v>Abrir facsímil</v>
      </c>
      <c r="K5761" s="3" t="s">
        <v>150</v>
      </c>
    </row>
    <row r="5762" spans="1:11" ht="42" customHeight="1">
      <c r="A5762" s="2" t="s">
        <v>14884</v>
      </c>
      <c r="B5762" s="2" t="s">
        <v>14885</v>
      </c>
      <c r="C5762" s="2" t="s">
        <v>26</v>
      </c>
      <c r="D5762" s="2" t="s">
        <v>141</v>
      </c>
      <c r="E5762" s="4">
        <v>-32249</v>
      </c>
      <c r="F5762" s="3" t="s">
        <v>743</v>
      </c>
      <c r="G5762" s="3" t="s">
        <v>1021</v>
      </c>
      <c r="H5762" s="2" t="s">
        <v>148</v>
      </c>
      <c r="I5762" s="2" t="s">
        <v>14886</v>
      </c>
      <c r="J5762" s="3" t="str">
        <f>HYPERLINK("https://www.boe.es/gazeta/dias/1811/09/14/pdfs/GMD-C-1811-257.pdf#page=2","Abrir facsímil")</f>
        <v>Abrir facsímil</v>
      </c>
      <c r="K5762" s="3" t="s">
        <v>150</v>
      </c>
    </row>
    <row r="5763" spans="1:11" ht="42" customHeight="1">
      <c r="A5763" s="2" t="s">
        <v>14887</v>
      </c>
      <c r="B5763" s="2" t="s">
        <v>14888</v>
      </c>
      <c r="C5763" s="2" t="s">
        <v>26</v>
      </c>
      <c r="D5763" s="2" t="s">
        <v>141</v>
      </c>
      <c r="E5763" s="4">
        <v>-32280</v>
      </c>
      <c r="F5763" s="3" t="s">
        <v>142</v>
      </c>
      <c r="G5763" s="3" t="s">
        <v>597</v>
      </c>
      <c r="H5763" s="2" t="s">
        <v>148</v>
      </c>
      <c r="I5763" s="2" t="s">
        <v>14889</v>
      </c>
      <c r="J5763" s="3" t="str">
        <f>HYPERLINK("https://www.boe.es/gazeta/dias/1811/08/14/pdfs/GMD-C-1811-226.pdf#page=2","Abrir facsímil")</f>
        <v>Abrir facsímil</v>
      </c>
      <c r="K5763" s="3" t="s">
        <v>150</v>
      </c>
    </row>
    <row r="5764" spans="1:11" ht="42" customHeight="1">
      <c r="A5764" s="2" t="s">
        <v>14890</v>
      </c>
      <c r="B5764" s="2" t="s">
        <v>14891</v>
      </c>
      <c r="C5764" s="2" t="s">
        <v>26</v>
      </c>
      <c r="D5764" s="2" t="s">
        <v>18</v>
      </c>
      <c r="E5764" s="4">
        <v>-32172</v>
      </c>
      <c r="F5764" s="3" t="s">
        <v>300</v>
      </c>
      <c r="G5764" s="3" t="s">
        <v>305</v>
      </c>
      <c r="H5764" s="2" t="s">
        <v>148</v>
      </c>
      <c r="I5764" s="2" t="s">
        <v>14892</v>
      </c>
      <c r="J5764" s="3" t="str">
        <f>HYPERLINK("https://www.boe.es/gazeta/dias/1811/11/30/pdfs/GMD-1811-334.pdf#page=3","Abrir facsímil")</f>
        <v>Abrir facsímil</v>
      </c>
      <c r="K5764" s="3" t="s">
        <v>150</v>
      </c>
    </row>
    <row r="5765" spans="1:11" ht="42" customHeight="1">
      <c r="A5765" s="2" t="s">
        <v>14893</v>
      </c>
      <c r="B5765" s="2" t="s">
        <v>14894</v>
      </c>
      <c r="C5765" s="2" t="s">
        <v>37</v>
      </c>
      <c r="D5765" s="2" t="s">
        <v>141</v>
      </c>
      <c r="E5765" s="4">
        <v>-32188</v>
      </c>
      <c r="F5765" s="3" t="s">
        <v>505</v>
      </c>
      <c r="G5765" s="3" t="s">
        <v>47</v>
      </c>
      <c r="H5765" s="2" t="s">
        <v>148</v>
      </c>
      <c r="I5765" s="2" t="s">
        <v>14895</v>
      </c>
      <c r="J5765" s="3" t="str">
        <f>HYPERLINK("https://www.boe.es/gazeta/dias/1811/11/14/pdfs/GEI-D-1811-149.pdf#page=3","Abrir facsímil")</f>
        <v>Abrir facsímil</v>
      </c>
      <c r="K5765" s="3" t="s">
        <v>150</v>
      </c>
    </row>
    <row r="5766" spans="1:11" ht="42" customHeight="1">
      <c r="A5766" s="2" t="s">
        <v>14896</v>
      </c>
      <c r="B5766" s="2" t="s">
        <v>14897</v>
      </c>
      <c r="C5766" s="2" t="s">
        <v>26</v>
      </c>
      <c r="D5766" s="2" t="s">
        <v>18</v>
      </c>
      <c r="E5766" s="4">
        <v>-32398</v>
      </c>
      <c r="F5766" s="3" t="s">
        <v>14898</v>
      </c>
      <c r="G5766" s="3" t="s">
        <v>6010</v>
      </c>
      <c r="H5766" s="2" t="s">
        <v>148</v>
      </c>
      <c r="I5766" s="2" t="s">
        <v>14899</v>
      </c>
      <c r="J5766" s="3" t="str">
        <f>HYPERLINK("https://www.boe.es/gazeta/dias/1811/04/18/pdfs/GMD-1811-108.pdf#page=3","Abrir facsímil")</f>
        <v>Abrir facsímil</v>
      </c>
      <c r="K5766" s="3" t="s">
        <v>150</v>
      </c>
    </row>
    <row r="5767" spans="1:11" ht="42" customHeight="1">
      <c r="A5767" s="2" t="s">
        <v>14900</v>
      </c>
      <c r="B5767" s="2" t="s">
        <v>14901</v>
      </c>
      <c r="C5767" s="2" t="s">
        <v>26</v>
      </c>
      <c r="D5767" s="2" t="s">
        <v>141</v>
      </c>
      <c r="E5767" s="4">
        <v>-32238</v>
      </c>
      <c r="F5767" s="3" t="s">
        <v>166</v>
      </c>
      <c r="G5767" s="3" t="s">
        <v>39</v>
      </c>
      <c r="H5767" s="2" t="s">
        <v>148</v>
      </c>
      <c r="I5767" s="2" t="s">
        <v>14902</v>
      </c>
      <c r="J5767" s="3" t="str">
        <f>HYPERLINK("https://www.boe.es/gazeta/dias/1811/09/25/pdfs/GMD-C-1811-268.pdf#page=2","Abrir facsímil")</f>
        <v>Abrir facsímil</v>
      </c>
      <c r="K5767" s="3" t="s">
        <v>150</v>
      </c>
    </row>
    <row r="5768" spans="1:11" ht="42" customHeight="1">
      <c r="A5768" s="2" t="s">
        <v>14903</v>
      </c>
      <c r="B5768" s="2" t="s">
        <v>14904</v>
      </c>
      <c r="C5768" s="2" t="s">
        <v>26</v>
      </c>
      <c r="D5768" s="2" t="s">
        <v>105</v>
      </c>
      <c r="E5768" s="4">
        <v>-32155</v>
      </c>
      <c r="F5768" s="3" t="s">
        <v>99</v>
      </c>
      <c r="G5768" s="3" t="s">
        <v>100</v>
      </c>
      <c r="H5768" s="2" t="s">
        <v>148</v>
      </c>
      <c r="I5768" s="2" t="s">
        <v>14905</v>
      </c>
      <c r="J5768" s="3" t="str">
        <f>HYPERLINK("https://www.boe.es/gazeta/dias/1811/12/17/pdfs/GMD-1811-351.pdf#page=4","Abrir facsímil")</f>
        <v>Abrir facsímil</v>
      </c>
      <c r="K5768" s="3" t="s">
        <v>150</v>
      </c>
    </row>
    <row r="5769" spans="1:11" ht="42" customHeight="1">
      <c r="A5769" s="2" t="s">
        <v>14906</v>
      </c>
      <c r="B5769" s="2" t="s">
        <v>14907</v>
      </c>
      <c r="C5769" s="2" t="s">
        <v>26</v>
      </c>
      <c r="D5769" s="2" t="s">
        <v>18</v>
      </c>
      <c r="E5769" s="4">
        <v>-32200</v>
      </c>
      <c r="F5769" s="3" t="s">
        <v>109</v>
      </c>
      <c r="G5769" s="3" t="s">
        <v>268</v>
      </c>
      <c r="H5769" s="2" t="s">
        <v>148</v>
      </c>
      <c r="I5769" s="2" t="s">
        <v>14908</v>
      </c>
      <c r="J5769" s="3" t="str">
        <f>HYPERLINK("https://www.boe.es/gazeta/dias/1811/11/02/pdfs/GEI-1811-141.pdf#page=7","Abrir facsímil")</f>
        <v>Abrir facsímil</v>
      </c>
      <c r="K5769" s="3" t="s">
        <v>150</v>
      </c>
    </row>
    <row r="5770" spans="1:11" ht="42" customHeight="1">
      <c r="A5770" s="2" t="s">
        <v>14909</v>
      </c>
      <c r="B5770" s="2" t="s">
        <v>14910</v>
      </c>
      <c r="C5770" s="2" t="s">
        <v>26</v>
      </c>
      <c r="D5770" s="2" t="s">
        <v>141</v>
      </c>
      <c r="E5770" s="4">
        <v>-32238</v>
      </c>
      <c r="F5770" s="3" t="s">
        <v>166</v>
      </c>
      <c r="G5770" s="3" t="s">
        <v>39</v>
      </c>
      <c r="H5770" s="2" t="s">
        <v>148</v>
      </c>
      <c r="I5770" s="2" t="s">
        <v>14911</v>
      </c>
      <c r="J5770" s="3" t="str">
        <f>HYPERLINK("https://www.boe.es/gazeta/dias/1811/09/25/pdfs/GMD-C-1811-268.pdf#page=2","Abrir facsímil")</f>
        <v>Abrir facsímil</v>
      </c>
      <c r="K5770" s="3" t="s">
        <v>150</v>
      </c>
    </row>
    <row r="5771" spans="1:11" ht="42" customHeight="1">
      <c r="A5771" s="2" t="s">
        <v>14912</v>
      </c>
      <c r="B5771" s="2" t="s">
        <v>14913</v>
      </c>
      <c r="C5771" s="2" t="s">
        <v>26</v>
      </c>
      <c r="D5771" s="2" t="s">
        <v>18</v>
      </c>
      <c r="E5771" s="4">
        <v>-32270</v>
      </c>
      <c r="F5771" s="3" t="s">
        <v>431</v>
      </c>
      <c r="G5771" s="3" t="s">
        <v>2080</v>
      </c>
      <c r="H5771" s="2" t="s">
        <v>21</v>
      </c>
      <c r="I5771" s="2" t="s">
        <v>14914</v>
      </c>
      <c r="J5771" s="3" t="str">
        <f>HYPERLINK("https://www.boe.es/gazeta/dias/1811/08/24/pdfs/GEI-1811-110.pdf#page=5","Abrir facsímil")</f>
        <v>Abrir facsímil</v>
      </c>
      <c r="K5771" s="3" t="s">
        <v>23</v>
      </c>
    </row>
    <row r="5772" spans="1:11" ht="42" customHeight="1">
      <c r="A5772" s="2" t="s">
        <v>14915</v>
      </c>
      <c r="B5772" s="2" t="s">
        <v>14916</v>
      </c>
      <c r="C5772" s="2" t="s">
        <v>17</v>
      </c>
      <c r="D5772" s="2" t="s">
        <v>105</v>
      </c>
      <c r="E5772" s="4">
        <v>-32470</v>
      </c>
      <c r="F5772" s="3" t="s">
        <v>1432</v>
      </c>
      <c r="G5772" s="3" t="s">
        <v>3543</v>
      </c>
      <c r="H5772" s="2" t="s">
        <v>148</v>
      </c>
      <c r="I5772" s="2" t="s">
        <v>14917</v>
      </c>
      <c r="J5772" s="3" t="str">
        <f>HYPERLINK("https://www.boe.es/gazeta/dias/1811/02/05/pdfs/GEI-1811-16.pdf#page=8","Abrir facsímil")</f>
        <v>Abrir facsímil</v>
      </c>
      <c r="K5772" s="3" t="s">
        <v>150</v>
      </c>
    </row>
    <row r="5773" spans="1:11" ht="42" customHeight="1">
      <c r="A5773" s="2" t="s">
        <v>14915</v>
      </c>
      <c r="B5773" s="2" t="s">
        <v>14916</v>
      </c>
      <c r="C5773" s="2" t="s">
        <v>26</v>
      </c>
      <c r="D5773" s="2" t="s">
        <v>18</v>
      </c>
      <c r="E5773" s="4">
        <v>-32379</v>
      </c>
      <c r="F5773" s="3" t="s">
        <v>462</v>
      </c>
      <c r="G5773" s="3" t="s">
        <v>463</v>
      </c>
      <c r="H5773" s="2" t="s">
        <v>148</v>
      </c>
      <c r="I5773" s="2" t="s">
        <v>14918</v>
      </c>
      <c r="J5773" s="3" t="str">
        <f>HYPERLINK("https://www.boe.es/gazeta/dias/1811/05/07/pdfs/GEI-1811-60.pdf#page=8","Abrir facsímil")</f>
        <v>Abrir facsímil</v>
      </c>
      <c r="K5773" s="3" t="s">
        <v>150</v>
      </c>
    </row>
    <row r="5774" spans="1:11" ht="42" customHeight="1">
      <c r="A5774" s="2" t="s">
        <v>14919</v>
      </c>
      <c r="B5774" s="2" t="s">
        <v>14919</v>
      </c>
      <c r="C5774" s="2" t="s">
        <v>17</v>
      </c>
      <c r="D5774" s="2" t="s">
        <v>156</v>
      </c>
      <c r="E5774" s="4">
        <v>-32319</v>
      </c>
      <c r="F5774" s="3" t="s">
        <v>975</v>
      </c>
      <c r="G5774" s="3" t="s">
        <v>2705</v>
      </c>
      <c r="H5774" s="2" t="s">
        <v>148</v>
      </c>
      <c r="I5774" s="2" t="s">
        <v>14920</v>
      </c>
      <c r="J5774" s="3" t="str">
        <f>HYPERLINK("https://www.boe.es/gazeta/dias/1811/07/06/pdfs/GEI-1811-89.pdf#page=8","Abrir facsímil")</f>
        <v>Abrir facsímil</v>
      </c>
      <c r="K5774" s="3" t="s">
        <v>150</v>
      </c>
    </row>
    <row r="5775" spans="1:11" ht="42" customHeight="1">
      <c r="A5775" s="2" t="s">
        <v>14921</v>
      </c>
      <c r="B5775" s="2" t="s">
        <v>14921</v>
      </c>
      <c r="C5775" s="2" t="s">
        <v>26</v>
      </c>
      <c r="D5775" s="2" t="s">
        <v>18</v>
      </c>
      <c r="E5775" s="4">
        <v>-32355</v>
      </c>
      <c r="F5775" s="3" t="s">
        <v>2342</v>
      </c>
      <c r="G5775" s="3" t="s">
        <v>178</v>
      </c>
      <c r="H5775" s="2" t="s">
        <v>148</v>
      </c>
      <c r="I5775" s="2" t="s">
        <v>14922</v>
      </c>
      <c r="J5775" s="3" t="str">
        <f>HYPERLINK("https://www.boe.es/gazeta/dias/1811/05/31/pdfs/GMD-1811-151.pdf#page=3","Abrir facsímil")</f>
        <v>Abrir facsímil</v>
      </c>
      <c r="K5775" s="3" t="s">
        <v>150</v>
      </c>
    </row>
    <row r="5776" spans="1:11" ht="42" customHeight="1">
      <c r="A5776" s="2" t="s">
        <v>14923</v>
      </c>
      <c r="B5776" s="2" t="s">
        <v>14924</v>
      </c>
      <c r="C5776" s="2" t="s">
        <v>26</v>
      </c>
      <c r="D5776" s="2" t="s">
        <v>18</v>
      </c>
      <c r="E5776" s="4">
        <v>-32286</v>
      </c>
      <c r="F5776" s="3" t="s">
        <v>754</v>
      </c>
      <c r="G5776" s="3" t="s">
        <v>1728</v>
      </c>
      <c r="H5776" s="2" t="s">
        <v>148</v>
      </c>
      <c r="I5776" s="2" t="s">
        <v>14925</v>
      </c>
      <c r="J5776" s="3" t="str">
        <f>HYPERLINK("https://www.boe.es/gazeta/dias/1811/08/08/pdfs/GEI-1811-103.pdf#page=8","Abrir facsímil")</f>
        <v>Abrir facsímil</v>
      </c>
      <c r="K5776" s="3" t="s">
        <v>150</v>
      </c>
    </row>
    <row r="5777" spans="1:11" ht="42" customHeight="1">
      <c r="A5777" s="2" t="s">
        <v>14926</v>
      </c>
      <c r="B5777" s="2" t="s">
        <v>14926</v>
      </c>
      <c r="C5777" s="2" t="s">
        <v>17</v>
      </c>
      <c r="D5777" s="2" t="s">
        <v>156</v>
      </c>
      <c r="E5777" s="4">
        <v>-32460</v>
      </c>
      <c r="F5777" s="3" t="s">
        <v>4783</v>
      </c>
      <c r="G5777" s="3" t="s">
        <v>468</v>
      </c>
      <c r="H5777" s="2" t="s">
        <v>148</v>
      </c>
      <c r="I5777" s="2" t="s">
        <v>14927</v>
      </c>
      <c r="J5777" s="3" t="str">
        <f>HYPERLINK("https://www.boe.es/gazeta/dias/1811/02/15/pdfs/GMD-1811-46.pdf#page=2","Abrir facsímil")</f>
        <v>Abrir facsímil</v>
      </c>
      <c r="K5777" s="3" t="s">
        <v>150</v>
      </c>
    </row>
    <row r="5778" spans="1:11" ht="42" customHeight="1">
      <c r="A5778" s="2" t="s">
        <v>14928</v>
      </c>
      <c r="B5778" s="2" t="s">
        <v>14929</v>
      </c>
      <c r="C5778" s="2" t="s">
        <v>26</v>
      </c>
      <c r="D5778" s="2" t="s">
        <v>18</v>
      </c>
      <c r="E5778" s="4">
        <v>-32223</v>
      </c>
      <c r="F5778" s="3" t="s">
        <v>1788</v>
      </c>
      <c r="G5778" s="3" t="s">
        <v>2047</v>
      </c>
      <c r="H5778" s="2" t="s">
        <v>148</v>
      </c>
      <c r="I5778" s="2" t="s">
        <v>14930</v>
      </c>
      <c r="J5778" s="3" t="str">
        <f>HYPERLINK("https://www.boe.es/gazeta/dias/1811/10/10/pdfs/GEI-1811-130.pdf#page=5","Abrir facsímil")</f>
        <v>Abrir facsímil</v>
      </c>
      <c r="K5778" s="3" t="s">
        <v>150</v>
      </c>
    </row>
    <row r="5779" spans="1:11" ht="42" customHeight="1">
      <c r="A5779" s="2" t="s">
        <v>14931</v>
      </c>
      <c r="B5779" s="2" t="s">
        <v>14932</v>
      </c>
      <c r="C5779" s="2" t="s">
        <v>17</v>
      </c>
      <c r="D5779" s="2" t="s">
        <v>18</v>
      </c>
      <c r="E5779" s="4">
        <v>-32314</v>
      </c>
      <c r="F5779" s="3" t="s">
        <v>570</v>
      </c>
      <c r="G5779" s="3" t="s">
        <v>571</v>
      </c>
      <c r="H5779" s="2" t="s">
        <v>148</v>
      </c>
      <c r="I5779" s="2" t="s">
        <v>14933</v>
      </c>
      <c r="J5779" s="3" t="str">
        <f>HYPERLINK("https://www.boe.es/gazeta/dias/1811/07/11/pdfs/GEI-1811-91.pdf#page=7","Abrir facsímil")</f>
        <v>Abrir facsímil</v>
      </c>
      <c r="K5779" s="3" t="s">
        <v>150</v>
      </c>
    </row>
    <row r="5780" spans="1:11" ht="42" customHeight="1">
      <c r="A5780" s="2" t="s">
        <v>14934</v>
      </c>
      <c r="B5780" s="2" t="s">
        <v>14934</v>
      </c>
      <c r="C5780" s="2" t="s">
        <v>17</v>
      </c>
      <c r="D5780" s="2" t="s">
        <v>18</v>
      </c>
      <c r="E5780" s="4">
        <v>-32281</v>
      </c>
      <c r="F5780" s="3" t="s">
        <v>982</v>
      </c>
      <c r="G5780" s="3" t="s">
        <v>305</v>
      </c>
      <c r="H5780" s="2" t="s">
        <v>148</v>
      </c>
      <c r="I5780" s="2" t="s">
        <v>14935</v>
      </c>
      <c r="J5780" s="3" t="str">
        <f>HYPERLINK("https://www.boe.es/gazeta/dias/1811/08/13/pdfs/GEI-1811-105.pdf#page=3","Abrir facsímil")</f>
        <v>Abrir facsímil</v>
      </c>
      <c r="K5780" s="3" t="s">
        <v>150</v>
      </c>
    </row>
    <row r="5781" spans="1:11" ht="42" customHeight="1">
      <c r="A5781" s="2" t="s">
        <v>14936</v>
      </c>
      <c r="B5781" s="2" t="s">
        <v>14937</v>
      </c>
      <c r="C5781" s="2" t="s">
        <v>17</v>
      </c>
      <c r="D5781" s="2" t="s">
        <v>18</v>
      </c>
      <c r="E5781" s="4">
        <v>-32496</v>
      </c>
      <c r="F5781" s="3" t="s">
        <v>1927</v>
      </c>
      <c r="G5781" s="3" t="s">
        <v>1184</v>
      </c>
      <c r="H5781" s="2" t="s">
        <v>148</v>
      </c>
      <c r="I5781" s="2" t="s">
        <v>14938</v>
      </c>
      <c r="J5781" s="3" t="str">
        <f>HYPERLINK("https://www.boe.es/gazeta/dias/1811/01/10/pdfs/GEI-1811-5.pdf#page=5","Abrir facsímil")</f>
        <v>Abrir facsímil</v>
      </c>
      <c r="K5781" s="3" t="s">
        <v>150</v>
      </c>
    </row>
    <row r="5782" spans="1:11" ht="42" customHeight="1">
      <c r="A5782" s="2" t="s">
        <v>14939</v>
      </c>
      <c r="B5782" s="2" t="s">
        <v>14940</v>
      </c>
      <c r="C5782" s="2" t="s">
        <v>84</v>
      </c>
      <c r="D5782" s="2" t="s">
        <v>18</v>
      </c>
      <c r="E5782" s="4">
        <v>-32215</v>
      </c>
      <c r="F5782" s="3" t="s">
        <v>6300</v>
      </c>
      <c r="G5782" s="3" t="s">
        <v>4049</v>
      </c>
      <c r="H5782" s="2" t="s">
        <v>148</v>
      </c>
      <c r="I5782" s="2" t="s">
        <v>14941</v>
      </c>
      <c r="J5782" s="3" t="str">
        <f>HYPERLINK("https://www.boe.es/gazeta/dias/1811/10/18/pdfs/GMD-1811-291.pdf#page=4","Abrir facsímil")</f>
        <v>Abrir facsímil</v>
      </c>
      <c r="K5782" s="3" t="s">
        <v>150</v>
      </c>
    </row>
    <row r="5783" spans="1:11" ht="42" customHeight="1">
      <c r="A5783" s="2" t="s">
        <v>14942</v>
      </c>
      <c r="B5783" s="2" t="s">
        <v>14943</v>
      </c>
      <c r="C5783" s="2" t="s">
        <v>17</v>
      </c>
      <c r="D5783" s="2" t="s">
        <v>18</v>
      </c>
      <c r="E5783" s="4">
        <v>-32309</v>
      </c>
      <c r="F5783" s="3" t="s">
        <v>2496</v>
      </c>
      <c r="G5783" s="3" t="s">
        <v>47</v>
      </c>
      <c r="H5783" s="2" t="s">
        <v>148</v>
      </c>
      <c r="I5783" s="2" t="s">
        <v>14944</v>
      </c>
      <c r="J5783" s="3" t="str">
        <f>HYPERLINK("https://www.boe.es/gazeta/dias/1811/07/16/pdfs/GEI-1811-93.pdf#page=8","Abrir facsímil")</f>
        <v>Abrir facsímil</v>
      </c>
      <c r="K5783" s="3" t="s">
        <v>150</v>
      </c>
    </row>
    <row r="5784" spans="1:11" ht="42" customHeight="1">
      <c r="A5784" s="2" t="s">
        <v>14945</v>
      </c>
      <c r="B5784" s="2" t="s">
        <v>14945</v>
      </c>
      <c r="C5784" s="2" t="s">
        <v>26</v>
      </c>
      <c r="D5784" s="2" t="s">
        <v>18</v>
      </c>
      <c r="E5784" s="4">
        <v>-32504</v>
      </c>
      <c r="F5784" s="3" t="s">
        <v>5988</v>
      </c>
      <c r="G5784" s="3" t="s">
        <v>44</v>
      </c>
      <c r="H5784" s="2" t="s">
        <v>148</v>
      </c>
      <c r="I5784" s="2" t="s">
        <v>14946</v>
      </c>
      <c r="J5784" s="3" t="str">
        <f>HYPERLINK("https://www.boe.es/gazeta/dias/1811/01/02/pdfs/GMD-1811-2.pdf#page=2","Abrir facsímil")</f>
        <v>Abrir facsímil</v>
      </c>
      <c r="K5784" s="3" t="s">
        <v>150</v>
      </c>
    </row>
    <row r="5785" spans="1:11" ht="42" customHeight="1">
      <c r="A5785" s="2" t="s">
        <v>14945</v>
      </c>
      <c r="B5785" s="2" t="s">
        <v>14945</v>
      </c>
      <c r="C5785" s="2" t="s">
        <v>17</v>
      </c>
      <c r="D5785" s="2" t="s">
        <v>156</v>
      </c>
      <c r="E5785" s="4">
        <v>-32502</v>
      </c>
      <c r="F5785" s="3" t="s">
        <v>6190</v>
      </c>
      <c r="G5785" s="3" t="s">
        <v>39</v>
      </c>
      <c r="H5785" s="2" t="s">
        <v>148</v>
      </c>
      <c r="I5785" s="2" t="s">
        <v>14947</v>
      </c>
      <c r="J5785" s="3" t="str">
        <f>HYPERLINK("https://www.boe.es/gazeta/dias/1811/01/04/pdfs/GMD-1811-4.pdf#page=1","Abrir facsímil")</f>
        <v>Abrir facsímil</v>
      </c>
      <c r="K5785" s="3" t="s">
        <v>150</v>
      </c>
    </row>
    <row r="5786" spans="1:11" ht="42" customHeight="1">
      <c r="A5786" s="2" t="s">
        <v>14945</v>
      </c>
      <c r="B5786" s="2" t="s">
        <v>14945</v>
      </c>
      <c r="C5786" s="2" t="s">
        <v>26</v>
      </c>
      <c r="D5786" s="2" t="s">
        <v>18</v>
      </c>
      <c r="E5786" s="4">
        <v>-32502</v>
      </c>
      <c r="F5786" s="3" t="s">
        <v>6190</v>
      </c>
      <c r="G5786" s="3" t="s">
        <v>846</v>
      </c>
      <c r="H5786" s="2" t="s">
        <v>148</v>
      </c>
      <c r="I5786" s="2" t="s">
        <v>14948</v>
      </c>
      <c r="J5786" s="3" t="str">
        <f>HYPERLINK("https://www.boe.es/gazeta/dias/1811/01/04/pdfs/GMD-1811-4.pdf#page=2","Abrir facsímil")</f>
        <v>Abrir facsímil</v>
      </c>
      <c r="K5786" s="3" t="s">
        <v>150</v>
      </c>
    </row>
    <row r="5787" spans="1:11" ht="42" customHeight="1">
      <c r="A5787" s="2" t="s">
        <v>14945</v>
      </c>
      <c r="B5787" s="2" t="s">
        <v>14945</v>
      </c>
      <c r="C5787" s="2" t="s">
        <v>26</v>
      </c>
      <c r="D5787" s="2" t="s">
        <v>204</v>
      </c>
      <c r="E5787" s="4">
        <v>-32495</v>
      </c>
      <c r="F5787" s="3" t="s">
        <v>1681</v>
      </c>
      <c r="G5787" s="3" t="s">
        <v>8259</v>
      </c>
      <c r="H5787" s="2" t="s">
        <v>148</v>
      </c>
      <c r="I5787" s="2" t="s">
        <v>14949</v>
      </c>
      <c r="J5787" s="3" t="str">
        <f>HYPERLINK("https://www.boe.es/gazeta/dias/1811/01/11/pdfs/GMD-1811-11.pdf#page=3","Abrir facsímil")</f>
        <v>Abrir facsímil</v>
      </c>
      <c r="K5787" s="3" t="s">
        <v>150</v>
      </c>
    </row>
    <row r="5788" spans="1:11" ht="42" customHeight="1">
      <c r="A5788" s="2" t="s">
        <v>14945</v>
      </c>
      <c r="B5788" s="2" t="s">
        <v>14945</v>
      </c>
      <c r="C5788" s="2" t="s">
        <v>26</v>
      </c>
      <c r="D5788" s="2" t="s">
        <v>18</v>
      </c>
      <c r="E5788" s="4">
        <v>-32461</v>
      </c>
      <c r="F5788" s="3" t="s">
        <v>1383</v>
      </c>
      <c r="G5788" s="3" t="s">
        <v>178</v>
      </c>
      <c r="H5788" s="2" t="s">
        <v>148</v>
      </c>
      <c r="I5788" s="2" t="s">
        <v>14950</v>
      </c>
      <c r="J5788" s="3" t="str">
        <f>HYPERLINK("https://www.boe.es/gazeta/dias/1811/02/14/pdfs/GMD-1811-45.pdf#page=2","Abrir facsímil")</f>
        <v>Abrir facsímil</v>
      </c>
      <c r="K5788" s="3" t="s">
        <v>150</v>
      </c>
    </row>
    <row r="5789" spans="1:11" ht="42" customHeight="1">
      <c r="A5789" s="2" t="s">
        <v>14945</v>
      </c>
      <c r="B5789" s="2" t="s">
        <v>14945</v>
      </c>
      <c r="C5789" s="2" t="s">
        <v>17</v>
      </c>
      <c r="D5789" s="2" t="s">
        <v>156</v>
      </c>
      <c r="E5789" s="4">
        <v>-32460</v>
      </c>
      <c r="F5789" s="3" t="s">
        <v>4783</v>
      </c>
      <c r="G5789" s="3" t="s">
        <v>468</v>
      </c>
      <c r="H5789" s="2" t="s">
        <v>148</v>
      </c>
      <c r="I5789" s="2" t="s">
        <v>14951</v>
      </c>
      <c r="J5789" s="3" t="str">
        <f>HYPERLINK("https://www.boe.es/gazeta/dias/1811/02/15/pdfs/GMD-1811-46.pdf#page=2","Abrir facsímil")</f>
        <v>Abrir facsímil</v>
      </c>
      <c r="K5789" s="3" t="s">
        <v>150</v>
      </c>
    </row>
    <row r="5790" spans="1:11" ht="42" customHeight="1">
      <c r="A5790" s="2" t="s">
        <v>14945</v>
      </c>
      <c r="B5790" s="2" t="s">
        <v>14945</v>
      </c>
      <c r="C5790" s="2" t="s">
        <v>26</v>
      </c>
      <c r="D5790" s="2" t="s">
        <v>204</v>
      </c>
      <c r="E5790" s="4">
        <v>-32298</v>
      </c>
      <c r="F5790" s="3" t="s">
        <v>133</v>
      </c>
      <c r="G5790" s="3" t="s">
        <v>20</v>
      </c>
      <c r="H5790" s="2" t="s">
        <v>148</v>
      </c>
      <c r="I5790" s="2" t="s">
        <v>14952</v>
      </c>
      <c r="J5790" s="3" t="str">
        <f>HYPERLINK("https://www.boe.es/gazeta/dias/1811/07/27/pdfs/GEI-1811-98.pdf#page=4","Abrir facsímil")</f>
        <v>Abrir facsímil</v>
      </c>
      <c r="K5790" s="3" t="s">
        <v>150</v>
      </c>
    </row>
    <row r="5791" spans="1:11" ht="42" customHeight="1">
      <c r="A5791" s="2" t="s">
        <v>14953</v>
      </c>
      <c r="B5791" s="2" t="s">
        <v>14953</v>
      </c>
      <c r="C5791" s="2" t="s">
        <v>84</v>
      </c>
      <c r="D5791" s="2" t="s">
        <v>18</v>
      </c>
      <c r="E5791" s="4">
        <v>-32502</v>
      </c>
      <c r="F5791" s="3" t="s">
        <v>6190</v>
      </c>
      <c r="G5791" s="3" t="s">
        <v>39</v>
      </c>
      <c r="H5791" s="2" t="s">
        <v>148</v>
      </c>
      <c r="I5791" s="2" t="s">
        <v>14954</v>
      </c>
      <c r="J5791" s="3" t="str">
        <f>HYPERLINK("https://www.boe.es/gazeta/dias/1811/01/04/pdfs/GMD-1811-4.pdf#page=1","Abrir facsímil")</f>
        <v>Abrir facsímil</v>
      </c>
      <c r="K5791" s="3" t="s">
        <v>150</v>
      </c>
    </row>
    <row r="5792" spans="1:11" ht="42" customHeight="1">
      <c r="A5792" s="2" t="s">
        <v>14955</v>
      </c>
      <c r="B5792" s="2" t="s">
        <v>14955</v>
      </c>
      <c r="C5792" s="2" t="s">
        <v>26</v>
      </c>
      <c r="D5792" s="2" t="s">
        <v>18</v>
      </c>
      <c r="E5792" s="4">
        <v>-32258</v>
      </c>
      <c r="F5792" s="3" t="s">
        <v>7467</v>
      </c>
      <c r="G5792" s="3" t="s">
        <v>47</v>
      </c>
      <c r="H5792" s="2" t="s">
        <v>148</v>
      </c>
      <c r="I5792" s="2" t="s">
        <v>14956</v>
      </c>
      <c r="J5792" s="3" t="str">
        <f>HYPERLINK("https://www.boe.es/gazeta/dias/1811/09/05/pdfs/GMD-1811-248.pdf#page=2","Abrir facsímil")</f>
        <v>Abrir facsímil</v>
      </c>
      <c r="K5792" s="3" t="s">
        <v>150</v>
      </c>
    </row>
    <row r="5793" spans="1:11" ht="42" customHeight="1">
      <c r="A5793" s="2" t="s">
        <v>14957</v>
      </c>
      <c r="B5793" s="2" t="s">
        <v>14958</v>
      </c>
      <c r="C5793" s="2" t="s">
        <v>367</v>
      </c>
      <c r="D5793" s="2" t="s">
        <v>18</v>
      </c>
      <c r="E5793" s="4">
        <v>-32257</v>
      </c>
      <c r="F5793" s="3" t="s">
        <v>1093</v>
      </c>
      <c r="G5793" s="3" t="s">
        <v>183</v>
      </c>
      <c r="H5793" s="2" t="s">
        <v>148</v>
      </c>
      <c r="I5793" s="2" t="s">
        <v>14959</v>
      </c>
      <c r="J5793" s="3" t="str">
        <f>HYPERLINK("https://www.boe.es/gazeta/dias/1811/09/06/pdfs/GMD-1811-249.pdf#page=4","Abrir facsímil")</f>
        <v>Abrir facsímil</v>
      </c>
      <c r="K5793" s="3" t="s">
        <v>150</v>
      </c>
    </row>
    <row r="5794" spans="1:11" ht="42" customHeight="1">
      <c r="A5794" s="2" t="s">
        <v>14960</v>
      </c>
      <c r="B5794" s="2" t="s">
        <v>14961</v>
      </c>
      <c r="C5794" s="2" t="s">
        <v>17</v>
      </c>
      <c r="D5794" s="2" t="s">
        <v>141</v>
      </c>
      <c r="E5794" s="4">
        <v>-32319</v>
      </c>
      <c r="F5794" s="3" t="s">
        <v>907</v>
      </c>
      <c r="G5794" s="3" t="s">
        <v>134</v>
      </c>
      <c r="H5794" s="2" t="s">
        <v>148</v>
      </c>
      <c r="I5794" s="2" t="s">
        <v>14962</v>
      </c>
      <c r="J5794" s="3" t="str">
        <f>HYPERLINK("https://www.boe.es/gazeta/dias/1811/07/06/pdfs/GEI-D-1811-89.pdf#page=4","Abrir facsímil")</f>
        <v>Abrir facsímil</v>
      </c>
      <c r="K5794" s="3" t="s">
        <v>150</v>
      </c>
    </row>
    <row r="5795" spans="1:11" ht="42" customHeight="1">
      <c r="A5795" s="2" t="s">
        <v>14963</v>
      </c>
      <c r="B5795" s="2" t="s">
        <v>14964</v>
      </c>
      <c r="C5795" s="2" t="s">
        <v>17</v>
      </c>
      <c r="D5795" s="2" t="s">
        <v>18</v>
      </c>
      <c r="E5795" s="4">
        <v>-32241</v>
      </c>
      <c r="F5795" s="3" t="s">
        <v>514</v>
      </c>
      <c r="G5795" s="3" t="s">
        <v>515</v>
      </c>
      <c r="H5795" s="2" t="s">
        <v>148</v>
      </c>
      <c r="I5795" s="2" t="s">
        <v>14965</v>
      </c>
      <c r="J5795" s="3" t="str">
        <f>HYPERLINK("https://www.boe.es/gazeta/dias/1811/09/22/pdfs/GMD-1811-265.pdf#page=4","Abrir facsímil")</f>
        <v>Abrir facsímil</v>
      </c>
      <c r="K5795" s="3" t="s">
        <v>150</v>
      </c>
    </row>
    <row r="5796" spans="1:11" ht="42" customHeight="1">
      <c r="A5796" s="2" t="s">
        <v>14966</v>
      </c>
      <c r="B5796" s="2" t="s">
        <v>14967</v>
      </c>
      <c r="C5796" s="2" t="s">
        <v>26</v>
      </c>
      <c r="D5796" s="2" t="s">
        <v>18</v>
      </c>
      <c r="E5796" s="4">
        <v>-32344</v>
      </c>
      <c r="F5796" s="3" t="s">
        <v>761</v>
      </c>
      <c r="G5796" s="3" t="s">
        <v>2371</v>
      </c>
      <c r="H5796" s="2" t="s">
        <v>148</v>
      </c>
      <c r="I5796" s="2" t="s">
        <v>14968</v>
      </c>
      <c r="J5796" s="3" t="str">
        <f>HYPERLINK("https://www.boe.es/gazeta/dias/1811/06/11/pdfs/GEI-1811-78.pdf#page=2","Abrir facsímil")</f>
        <v>Abrir facsímil</v>
      </c>
      <c r="K5796" s="3" t="s">
        <v>150</v>
      </c>
    </row>
    <row r="5797" spans="1:11" ht="42" customHeight="1">
      <c r="A5797" s="2" t="s">
        <v>14969</v>
      </c>
      <c r="B5797" s="2" t="s">
        <v>14969</v>
      </c>
      <c r="C5797" s="2" t="s">
        <v>26</v>
      </c>
      <c r="D5797" s="2" t="s">
        <v>18</v>
      </c>
      <c r="E5797" s="4">
        <v>-32258</v>
      </c>
      <c r="F5797" s="3" t="s">
        <v>449</v>
      </c>
      <c r="G5797" s="3" t="s">
        <v>3736</v>
      </c>
      <c r="H5797" s="2" t="s">
        <v>148</v>
      </c>
      <c r="I5797" s="2" t="s">
        <v>14970</v>
      </c>
      <c r="J5797" s="3" t="str">
        <f>HYPERLINK("https://www.boe.es/gazeta/dias/1811/09/05/pdfs/GEI-1811-115.pdf#page=3","Abrir facsímil")</f>
        <v>Abrir facsímil</v>
      </c>
      <c r="K5797" s="3" t="s">
        <v>150</v>
      </c>
    </row>
    <row r="5798" spans="1:11" ht="42" customHeight="1">
      <c r="A5798" s="2" t="s">
        <v>14969</v>
      </c>
      <c r="B5798" s="2" t="s">
        <v>14969</v>
      </c>
      <c r="C5798" s="2" t="s">
        <v>26</v>
      </c>
      <c r="D5798" s="2" t="s">
        <v>18</v>
      </c>
      <c r="E5798" s="4">
        <v>-32249</v>
      </c>
      <c r="F5798" s="3" t="s">
        <v>182</v>
      </c>
      <c r="G5798" s="3" t="s">
        <v>44</v>
      </c>
      <c r="H5798" s="2" t="s">
        <v>148</v>
      </c>
      <c r="I5798" s="2" t="s">
        <v>14971</v>
      </c>
      <c r="J5798" s="3" t="str">
        <f>HYPERLINK("https://www.boe.es/gazeta/dias/1811/09/14/pdfs/GMD-1811-257.pdf#page=3","Abrir facsímil")</f>
        <v>Abrir facsímil</v>
      </c>
      <c r="K5798" s="3" t="s">
        <v>150</v>
      </c>
    </row>
    <row r="5799" spans="1:11" ht="42" customHeight="1">
      <c r="A5799" s="2" t="s">
        <v>14972</v>
      </c>
      <c r="B5799" s="2" t="s">
        <v>14973</v>
      </c>
      <c r="C5799" s="2" t="s">
        <v>26</v>
      </c>
      <c r="D5799" s="2" t="s">
        <v>141</v>
      </c>
      <c r="E5799" s="4">
        <v>-32167</v>
      </c>
      <c r="F5799" s="3" t="s">
        <v>347</v>
      </c>
      <c r="G5799" s="3" t="s">
        <v>183</v>
      </c>
      <c r="H5799" s="2" t="s">
        <v>148</v>
      </c>
      <c r="I5799" s="2" t="s">
        <v>14974</v>
      </c>
      <c r="J5799" s="3" t="str">
        <f>HYPERLINK("https://www.boe.es/gazeta/dias/1811/12/05/pdfs/GEI-D-1811-158.pdf#page=4","Abrir facsímil")</f>
        <v>Abrir facsímil</v>
      </c>
      <c r="K5799" s="3" t="s">
        <v>150</v>
      </c>
    </row>
    <row r="5800" spans="1:11" ht="42" customHeight="1">
      <c r="A5800" s="2" t="s">
        <v>14975</v>
      </c>
      <c r="B5800" s="2" t="s">
        <v>14976</v>
      </c>
      <c r="C5800" s="2" t="s">
        <v>17</v>
      </c>
      <c r="D5800" s="2" t="s">
        <v>156</v>
      </c>
      <c r="E5800" s="4">
        <v>-32400</v>
      </c>
      <c r="F5800" s="3" t="s">
        <v>3343</v>
      </c>
      <c r="G5800" s="3" t="s">
        <v>846</v>
      </c>
      <c r="H5800" s="2" t="s">
        <v>148</v>
      </c>
      <c r="I5800" s="2" t="s">
        <v>14977</v>
      </c>
      <c r="J5800" s="3" t="str">
        <f>HYPERLINK("https://www.boe.es/gazeta/dias/1811/04/16/pdfs/GMD-1811-106.pdf#page=3","Abrir facsímil")</f>
        <v>Abrir facsímil</v>
      </c>
      <c r="K5800" s="3" t="s">
        <v>150</v>
      </c>
    </row>
    <row r="5801" spans="1:11" ht="42" customHeight="1">
      <c r="A5801" s="2" t="s">
        <v>14978</v>
      </c>
      <c r="B5801" s="2" t="s">
        <v>14979</v>
      </c>
      <c r="C5801" s="2" t="s">
        <v>26</v>
      </c>
      <c r="D5801" s="2" t="s">
        <v>141</v>
      </c>
      <c r="E5801" s="4">
        <v>-32280</v>
      </c>
      <c r="F5801" s="3" t="s">
        <v>142</v>
      </c>
      <c r="G5801" s="3" t="s">
        <v>47</v>
      </c>
      <c r="H5801" s="2" t="s">
        <v>148</v>
      </c>
      <c r="I5801" s="2" t="s">
        <v>14980</v>
      </c>
      <c r="J5801" s="3" t="str">
        <f>HYPERLINK("https://www.boe.es/gazeta/dias/1811/08/14/pdfs/GMD-C-1811-226.pdf#page=1","Abrir facsímil")</f>
        <v>Abrir facsímil</v>
      </c>
      <c r="K5801" s="3" t="s">
        <v>150</v>
      </c>
    </row>
    <row r="5802" spans="1:11" ht="42" customHeight="1">
      <c r="A5802" s="2" t="s">
        <v>14981</v>
      </c>
      <c r="B5802" s="2" t="s">
        <v>14981</v>
      </c>
      <c r="C5802" s="2" t="s">
        <v>17</v>
      </c>
      <c r="D5802" s="2" t="s">
        <v>18</v>
      </c>
      <c r="E5802" s="4">
        <v>-32365</v>
      </c>
      <c r="F5802" s="3" t="s">
        <v>119</v>
      </c>
      <c r="G5802" s="3" t="s">
        <v>120</v>
      </c>
      <c r="H5802" s="2" t="s">
        <v>148</v>
      </c>
      <c r="I5802" s="2" t="s">
        <v>14982</v>
      </c>
      <c r="J5802" s="3" t="str">
        <f>HYPERLINK("https://www.boe.es/gazeta/dias/1811/05/21/pdfs/GEI-1811-67.pdf#page=7","Abrir facsímil")</f>
        <v>Abrir facsímil</v>
      </c>
      <c r="K5802" s="3" t="s">
        <v>150</v>
      </c>
    </row>
    <row r="5803" spans="1:11" ht="42" customHeight="1">
      <c r="A5803" s="2" t="s">
        <v>14983</v>
      </c>
      <c r="B5803" s="2" t="s">
        <v>14983</v>
      </c>
      <c r="C5803" s="2" t="s">
        <v>17</v>
      </c>
      <c r="D5803" s="2" t="s">
        <v>105</v>
      </c>
      <c r="E5803" s="4">
        <v>-32428</v>
      </c>
      <c r="F5803" s="3" t="s">
        <v>351</v>
      </c>
      <c r="G5803" s="3" t="s">
        <v>57</v>
      </c>
      <c r="H5803" s="2" t="s">
        <v>148</v>
      </c>
      <c r="I5803" s="2" t="s">
        <v>14984</v>
      </c>
      <c r="J5803" s="3" t="str">
        <f>HYPERLINK("https://www.boe.es/gazeta/dias/1811/03/19/pdfs/GMD-1811-78.pdf#page=2","Abrir facsímil")</f>
        <v>Abrir facsímil</v>
      </c>
      <c r="K5803" s="3" t="s">
        <v>150</v>
      </c>
    </row>
    <row r="5804" spans="1:11" ht="42" customHeight="1">
      <c r="A5804" s="2" t="s">
        <v>14985</v>
      </c>
      <c r="B5804" s="2" t="s">
        <v>14986</v>
      </c>
      <c r="C5804" s="2" t="s">
        <v>26</v>
      </c>
      <c r="D5804" s="2" t="s">
        <v>141</v>
      </c>
      <c r="E5804" s="4">
        <v>-32188</v>
      </c>
      <c r="F5804" s="3" t="s">
        <v>505</v>
      </c>
      <c r="G5804" s="3" t="s">
        <v>47</v>
      </c>
      <c r="H5804" s="2" t="s">
        <v>148</v>
      </c>
      <c r="I5804" s="2" t="s">
        <v>14987</v>
      </c>
      <c r="J5804" s="3" t="str">
        <f>HYPERLINK("https://www.boe.es/gazeta/dias/1811/11/14/pdfs/GEI-D-1811-149.pdf#page=3","Abrir facsímil")</f>
        <v>Abrir facsímil</v>
      </c>
      <c r="K5804" s="3" t="s">
        <v>150</v>
      </c>
    </row>
    <row r="5805" spans="1:11" ht="42" customHeight="1">
      <c r="A5805" s="2" t="s">
        <v>14988</v>
      </c>
      <c r="B5805" s="2" t="s">
        <v>14988</v>
      </c>
      <c r="C5805" s="2" t="s">
        <v>84</v>
      </c>
      <c r="D5805" s="2" t="s">
        <v>18</v>
      </c>
      <c r="E5805" s="4">
        <v>-32501</v>
      </c>
      <c r="F5805" s="3" t="s">
        <v>1679</v>
      </c>
      <c r="G5805" s="3" t="s">
        <v>134</v>
      </c>
      <c r="H5805" s="2" t="s">
        <v>148</v>
      </c>
      <c r="I5805" s="2" t="s">
        <v>14989</v>
      </c>
      <c r="J5805" s="3" t="str">
        <f>HYPERLINK("https://www.boe.es/gazeta/dias/1811/01/05/pdfs/GMD-1811-5.pdf#page=4","Abrir facsímil")</f>
        <v>Abrir facsímil</v>
      </c>
      <c r="K5805" s="3" t="s">
        <v>150</v>
      </c>
    </row>
    <row r="5806" spans="1:11" ht="42" customHeight="1">
      <c r="A5806" s="2" t="s">
        <v>14990</v>
      </c>
      <c r="B5806" s="2" t="s">
        <v>14990</v>
      </c>
      <c r="C5806" s="2" t="s">
        <v>17</v>
      </c>
      <c r="D5806" s="2" t="s">
        <v>18</v>
      </c>
      <c r="E5806" s="4">
        <v>-32330</v>
      </c>
      <c r="F5806" s="3" t="s">
        <v>1997</v>
      </c>
      <c r="G5806" s="3" t="s">
        <v>1463</v>
      </c>
      <c r="H5806" s="2" t="s">
        <v>148</v>
      </c>
      <c r="I5806" s="2" t="s">
        <v>14991</v>
      </c>
      <c r="J5806" s="3" t="str">
        <f>HYPERLINK("https://www.boe.es/gazeta/dias/1811/06/25/pdfs/GMD-1811-176.pdf#page=3","Abrir facsímil")</f>
        <v>Abrir facsímil</v>
      </c>
      <c r="K5806" s="3" t="s">
        <v>150</v>
      </c>
    </row>
    <row r="5807" spans="1:11" ht="42" customHeight="1">
      <c r="A5807" s="2" t="s">
        <v>14992</v>
      </c>
      <c r="B5807" s="2" t="s">
        <v>14993</v>
      </c>
      <c r="C5807" s="2" t="s">
        <v>17</v>
      </c>
      <c r="D5807" s="2" t="s">
        <v>156</v>
      </c>
      <c r="E5807" s="4">
        <v>-32321</v>
      </c>
      <c r="F5807" s="3" t="s">
        <v>1829</v>
      </c>
      <c r="G5807" s="3" t="s">
        <v>47</v>
      </c>
      <c r="H5807" s="2" t="s">
        <v>148</v>
      </c>
      <c r="I5807" s="2" t="s">
        <v>14994</v>
      </c>
      <c r="J5807" s="3" t="str">
        <f>HYPERLINK("https://www.boe.es/gazeta/dias/1811/07/04/pdfs/GEI-1811-88.pdf#page=7","Abrir facsímil")</f>
        <v>Abrir facsímil</v>
      </c>
      <c r="K5807" s="3" t="s">
        <v>150</v>
      </c>
    </row>
    <row r="5808" spans="1:11" ht="42" customHeight="1">
      <c r="A5808" s="2" t="s">
        <v>14995</v>
      </c>
      <c r="B5808" s="2" t="s">
        <v>14996</v>
      </c>
      <c r="C5808" s="2" t="s">
        <v>17</v>
      </c>
      <c r="D5808" s="2" t="s">
        <v>156</v>
      </c>
      <c r="E5808" s="4">
        <v>-32365</v>
      </c>
      <c r="F5808" s="3" t="s">
        <v>1304</v>
      </c>
      <c r="G5808" s="3" t="s">
        <v>39</v>
      </c>
      <c r="H5808" s="2" t="s">
        <v>148</v>
      </c>
      <c r="I5808" s="2" t="s">
        <v>14997</v>
      </c>
      <c r="J5808" s="3" t="str">
        <f>HYPERLINK("https://www.boe.es/gazeta/dias/1811/05/21/pdfs/GEI-D-1811-67.pdf#page=1","Abrir facsímil")</f>
        <v>Abrir facsímil</v>
      </c>
      <c r="K5808" s="3" t="s">
        <v>150</v>
      </c>
    </row>
    <row r="5809" spans="1:11" ht="42" customHeight="1">
      <c r="A5809" s="2" t="s">
        <v>14995</v>
      </c>
      <c r="B5809" s="2" t="s">
        <v>14996</v>
      </c>
      <c r="C5809" s="2" t="s">
        <v>17</v>
      </c>
      <c r="D5809" s="2" t="s">
        <v>156</v>
      </c>
      <c r="E5809" s="4">
        <v>-32325</v>
      </c>
      <c r="F5809" s="3" t="s">
        <v>552</v>
      </c>
      <c r="G5809" s="3" t="s">
        <v>553</v>
      </c>
      <c r="H5809" s="2" t="s">
        <v>148</v>
      </c>
      <c r="I5809" s="2" t="s">
        <v>14998</v>
      </c>
      <c r="J5809" s="3" t="str">
        <f>HYPERLINK("https://www.boe.es/gazeta/dias/1811/06/30/pdfs/GMD-1811-181.pdf#page=3","Abrir facsímil")</f>
        <v>Abrir facsímil</v>
      </c>
      <c r="K5809" s="3" t="s">
        <v>150</v>
      </c>
    </row>
    <row r="5810" spans="1:11" ht="42" customHeight="1">
      <c r="A5810" s="2" t="s">
        <v>14999</v>
      </c>
      <c r="B5810" s="2" t="s">
        <v>15000</v>
      </c>
      <c r="C5810" s="2" t="s">
        <v>17</v>
      </c>
      <c r="D5810" s="2" t="s">
        <v>105</v>
      </c>
      <c r="E5810" s="4">
        <v>-32349</v>
      </c>
      <c r="F5810" s="3" t="s">
        <v>239</v>
      </c>
      <c r="G5810" s="3" t="s">
        <v>162</v>
      </c>
      <c r="H5810" s="2" t="s">
        <v>148</v>
      </c>
      <c r="I5810" s="2" t="s">
        <v>15001</v>
      </c>
      <c r="J5810" s="3" t="str">
        <f>HYPERLINK("https://www.boe.es/gazeta/dias/1811/06/06/pdfs/GEI-1811-76.pdf#page=2","Abrir facsímil")</f>
        <v>Abrir facsímil</v>
      </c>
      <c r="K5810" s="3" t="s">
        <v>150</v>
      </c>
    </row>
    <row r="5811" spans="1:11" ht="42" customHeight="1">
      <c r="A5811" s="2" t="s">
        <v>15002</v>
      </c>
      <c r="B5811" s="2" t="s">
        <v>15002</v>
      </c>
      <c r="C5811" s="2" t="s">
        <v>84</v>
      </c>
      <c r="D5811" s="2" t="s">
        <v>18</v>
      </c>
      <c r="E5811" s="4">
        <v>-32374</v>
      </c>
      <c r="F5811" s="3" t="s">
        <v>10021</v>
      </c>
      <c r="G5811" s="3" t="s">
        <v>755</v>
      </c>
      <c r="H5811" s="2" t="s">
        <v>148</v>
      </c>
      <c r="I5811" s="2" t="s">
        <v>15003</v>
      </c>
      <c r="J5811" s="3" t="str">
        <f>HYPERLINK("https://www.boe.es/gazeta/dias/1811/05/12/pdfs/GMD-1811-132.pdf#page=3","Abrir facsímil")</f>
        <v>Abrir facsímil</v>
      </c>
      <c r="K5811" s="3" t="s">
        <v>150</v>
      </c>
    </row>
    <row r="5812" spans="1:11" ht="42" customHeight="1">
      <c r="A5812" s="2" t="s">
        <v>15002</v>
      </c>
      <c r="B5812" s="2" t="s">
        <v>15002</v>
      </c>
      <c r="C5812" s="2" t="s">
        <v>17</v>
      </c>
      <c r="D5812" s="2" t="s">
        <v>18</v>
      </c>
      <c r="E5812" s="4">
        <v>-32141</v>
      </c>
      <c r="F5812" s="3" t="s">
        <v>327</v>
      </c>
      <c r="G5812" s="3" t="s">
        <v>6930</v>
      </c>
      <c r="H5812" s="2" t="s">
        <v>148</v>
      </c>
      <c r="I5812" s="2" t="s">
        <v>15004</v>
      </c>
      <c r="J5812" s="3" t="str">
        <f>HYPERLINK("https://www.boe.es/gazeta/dias/1811/12/31/pdfs/GMD-1811-365.pdf#page=2","Abrir facsímil")</f>
        <v>Abrir facsímil</v>
      </c>
      <c r="K5812" s="3" t="s">
        <v>150</v>
      </c>
    </row>
    <row r="5813" spans="1:11" ht="42" customHeight="1">
      <c r="A5813" s="2" t="s">
        <v>15005</v>
      </c>
      <c r="B5813" s="2" t="s">
        <v>15006</v>
      </c>
      <c r="C5813" s="2" t="s">
        <v>26</v>
      </c>
      <c r="D5813" s="2" t="s">
        <v>18</v>
      </c>
      <c r="E5813" s="4">
        <v>-32340</v>
      </c>
      <c r="F5813" s="3" t="s">
        <v>565</v>
      </c>
      <c r="G5813" s="3" t="s">
        <v>91</v>
      </c>
      <c r="H5813" s="2" t="s">
        <v>148</v>
      </c>
      <c r="I5813" s="2" t="s">
        <v>15007</v>
      </c>
      <c r="J5813" s="3" t="str">
        <f>HYPERLINK("https://www.boe.es/gazeta/dias/1811/06/15/pdfs/GEI-1811-80.pdf#page=8","Abrir facsímil")</f>
        <v>Abrir facsímil</v>
      </c>
      <c r="K5813" s="3" t="s">
        <v>150</v>
      </c>
    </row>
    <row r="5814" spans="1:11" ht="42" customHeight="1">
      <c r="A5814" s="2" t="s">
        <v>15008</v>
      </c>
      <c r="B5814" s="2" t="s">
        <v>15009</v>
      </c>
      <c r="C5814" s="2" t="s">
        <v>66</v>
      </c>
      <c r="D5814" s="2" t="s">
        <v>18</v>
      </c>
      <c r="E5814" s="4">
        <v>-32168</v>
      </c>
      <c r="F5814" s="3" t="s">
        <v>14380</v>
      </c>
      <c r="G5814" s="3" t="s">
        <v>14381</v>
      </c>
      <c r="H5814" s="2" t="s">
        <v>148</v>
      </c>
      <c r="I5814" s="2" t="s">
        <v>15010</v>
      </c>
      <c r="J5814" s="3" t="str">
        <f>HYPERLINK("https://www.boe.es/gazeta/dias/1811/12/04/pdfs/GMD-1811-338.pdf#page=4","Abrir facsímil")</f>
        <v>Abrir facsímil</v>
      </c>
      <c r="K5814" s="3" t="s">
        <v>150</v>
      </c>
    </row>
    <row r="5815" spans="1:11" ht="42" customHeight="1">
      <c r="A5815" s="2" t="s">
        <v>15011</v>
      </c>
      <c r="B5815" s="2" t="s">
        <v>15012</v>
      </c>
      <c r="C5815" s="2" t="s">
        <v>26</v>
      </c>
      <c r="D5815" s="2" t="s">
        <v>18</v>
      </c>
      <c r="E5815" s="4">
        <v>-32447</v>
      </c>
      <c r="F5815" s="3" t="s">
        <v>665</v>
      </c>
      <c r="G5815" s="3" t="s">
        <v>57</v>
      </c>
      <c r="H5815" s="2" t="s">
        <v>148</v>
      </c>
      <c r="I5815" s="2" t="s">
        <v>15013</v>
      </c>
      <c r="J5815" s="3" t="str">
        <f>HYPERLINK("https://www.boe.es/gazeta/dias/1811/02/28/pdfs/GMD-1811-59.pdf#page=2","Abrir facsímil")</f>
        <v>Abrir facsímil</v>
      </c>
      <c r="K5815" s="3" t="s">
        <v>150</v>
      </c>
    </row>
    <row r="5816" spans="1:11" ht="42" customHeight="1">
      <c r="A5816" s="2" t="s">
        <v>15014</v>
      </c>
      <c r="B5816" s="2" t="s">
        <v>15014</v>
      </c>
      <c r="C5816" s="2" t="s">
        <v>84</v>
      </c>
      <c r="D5816" s="2" t="s">
        <v>18</v>
      </c>
      <c r="E5816" s="4">
        <v>-32237</v>
      </c>
      <c r="F5816" s="3" t="s">
        <v>717</v>
      </c>
      <c r="G5816" s="3" t="s">
        <v>4065</v>
      </c>
      <c r="H5816" s="2" t="s">
        <v>148</v>
      </c>
      <c r="I5816" s="2" t="s">
        <v>15015</v>
      </c>
      <c r="J5816" s="3" t="str">
        <f>HYPERLINK("https://www.boe.es/gazeta/dias/1811/09/26/pdfs/GEI-1811-124.pdf#page=1","Abrir facsímil")</f>
        <v>Abrir facsímil</v>
      </c>
      <c r="K5816" s="3" t="s">
        <v>150</v>
      </c>
    </row>
    <row r="5817" spans="1:11" ht="42" customHeight="1">
      <c r="A5817" s="2" t="s">
        <v>15014</v>
      </c>
      <c r="B5817" s="2" t="s">
        <v>15014</v>
      </c>
      <c r="C5817" s="2" t="s">
        <v>26</v>
      </c>
      <c r="D5817" s="2" t="s">
        <v>18</v>
      </c>
      <c r="E5817" s="4">
        <v>-32230</v>
      </c>
      <c r="F5817" s="3" t="s">
        <v>625</v>
      </c>
      <c r="G5817" s="3" t="s">
        <v>15016</v>
      </c>
      <c r="H5817" s="2" t="s">
        <v>148</v>
      </c>
      <c r="I5817" s="2" t="s">
        <v>15017</v>
      </c>
      <c r="J5817" s="3" t="str">
        <f>HYPERLINK("https://www.boe.es/gazeta/dias/1811/10/03/pdfs/GEI-1811-127.pdf#page=2","Abrir facsímil")</f>
        <v>Abrir facsímil</v>
      </c>
      <c r="K5817" s="3" t="s">
        <v>150</v>
      </c>
    </row>
    <row r="5818" spans="1:11" ht="42" customHeight="1">
      <c r="A5818" s="2" t="s">
        <v>15018</v>
      </c>
      <c r="B5818" s="2" t="s">
        <v>15018</v>
      </c>
      <c r="C5818" s="2" t="s">
        <v>367</v>
      </c>
      <c r="D5818" s="2" t="s">
        <v>141</v>
      </c>
      <c r="E5818" s="4">
        <v>-32249</v>
      </c>
      <c r="F5818" s="3" t="s">
        <v>743</v>
      </c>
      <c r="G5818" s="3" t="s">
        <v>1021</v>
      </c>
      <c r="H5818" s="2" t="s">
        <v>148</v>
      </c>
      <c r="I5818" s="2" t="s">
        <v>15019</v>
      </c>
      <c r="J5818" s="3" t="str">
        <f>HYPERLINK("https://www.boe.es/gazeta/dias/1811/09/14/pdfs/GMD-C-1811-257.pdf#page=2","Abrir facsímil")</f>
        <v>Abrir facsímil</v>
      </c>
      <c r="K5818" s="3" t="s">
        <v>150</v>
      </c>
    </row>
    <row r="5819" spans="1:11" ht="42" customHeight="1">
      <c r="A5819" s="2" t="s">
        <v>15020</v>
      </c>
      <c r="B5819" s="2" t="s">
        <v>15020</v>
      </c>
      <c r="C5819" s="2" t="s">
        <v>17</v>
      </c>
      <c r="D5819" s="2" t="s">
        <v>156</v>
      </c>
      <c r="E5819" s="4">
        <v>-32259</v>
      </c>
      <c r="F5819" s="3" t="s">
        <v>3276</v>
      </c>
      <c r="G5819" s="3" t="s">
        <v>468</v>
      </c>
      <c r="H5819" s="2" t="s">
        <v>148</v>
      </c>
      <c r="I5819" s="2" t="s">
        <v>15021</v>
      </c>
      <c r="J5819" s="3" t="str">
        <f>HYPERLINK("https://www.boe.es/gazeta/dias/1811/09/04/pdfs/GMD-1811-247.pdf#page=2","Abrir facsímil")</f>
        <v>Abrir facsímil</v>
      </c>
      <c r="K5819" s="3" t="s">
        <v>150</v>
      </c>
    </row>
    <row r="5820" spans="1:11" ht="42" customHeight="1">
      <c r="A5820" s="2" t="s">
        <v>15022</v>
      </c>
      <c r="B5820" s="2" t="s">
        <v>15023</v>
      </c>
      <c r="C5820" s="2" t="s">
        <v>26</v>
      </c>
      <c r="D5820" s="2" t="s">
        <v>141</v>
      </c>
      <c r="E5820" s="4">
        <v>-32238</v>
      </c>
      <c r="F5820" s="3" t="s">
        <v>166</v>
      </c>
      <c r="G5820" s="3" t="s">
        <v>39</v>
      </c>
      <c r="H5820" s="2" t="s">
        <v>148</v>
      </c>
      <c r="I5820" s="2" t="s">
        <v>15024</v>
      </c>
      <c r="J5820" s="3" t="str">
        <f>HYPERLINK("https://www.boe.es/gazeta/dias/1811/09/25/pdfs/GMD-C-1811-268.pdf#page=2","Abrir facsímil")</f>
        <v>Abrir facsímil</v>
      </c>
      <c r="K5820" s="3" t="s">
        <v>150</v>
      </c>
    </row>
    <row r="5821" spans="1:11" ht="42" customHeight="1">
      <c r="A5821" s="2" t="s">
        <v>15025</v>
      </c>
      <c r="B5821" s="2" t="s">
        <v>15026</v>
      </c>
      <c r="C5821" s="2" t="s">
        <v>104</v>
      </c>
      <c r="D5821" s="2" t="s">
        <v>18</v>
      </c>
      <c r="E5821" s="4">
        <v>-32398</v>
      </c>
      <c r="F5821" s="3" t="s">
        <v>14898</v>
      </c>
      <c r="G5821" s="3" t="s">
        <v>6010</v>
      </c>
      <c r="H5821" s="2" t="s">
        <v>148</v>
      </c>
      <c r="I5821" s="2" t="s">
        <v>15027</v>
      </c>
      <c r="J5821" s="3" t="str">
        <f>HYPERLINK("https://www.boe.es/gazeta/dias/1811/04/18/pdfs/GMD-1811-108.pdf#page=3","Abrir facsímil")</f>
        <v>Abrir facsímil</v>
      </c>
      <c r="K5821" s="3" t="s">
        <v>150</v>
      </c>
    </row>
    <row r="5822" spans="1:11" ht="42" customHeight="1">
      <c r="A5822" s="2" t="s">
        <v>15028</v>
      </c>
      <c r="B5822" s="2" t="s">
        <v>15029</v>
      </c>
      <c r="C5822" s="2" t="s">
        <v>26</v>
      </c>
      <c r="D5822" s="2" t="s">
        <v>18</v>
      </c>
      <c r="E5822" s="4">
        <v>-32228</v>
      </c>
      <c r="F5822" s="3" t="s">
        <v>372</v>
      </c>
      <c r="G5822" s="3" t="s">
        <v>373</v>
      </c>
      <c r="H5822" s="2" t="s">
        <v>148</v>
      </c>
      <c r="I5822" s="2" t="s">
        <v>15030</v>
      </c>
      <c r="J5822" s="3" t="str">
        <f>HYPERLINK("https://www.boe.es/gazeta/dias/1811/10/05/pdfs/GEI-1811-128.pdf#page=7","Abrir facsímil")</f>
        <v>Abrir facsímil</v>
      </c>
      <c r="K5822" s="3" t="s">
        <v>150</v>
      </c>
    </row>
    <row r="5823" spans="1:11" ht="42" customHeight="1">
      <c r="A5823" s="2" t="s">
        <v>15031</v>
      </c>
      <c r="B5823" s="2" t="s">
        <v>15031</v>
      </c>
      <c r="C5823" s="2" t="s">
        <v>37</v>
      </c>
      <c r="D5823" s="2" t="s">
        <v>18</v>
      </c>
      <c r="E5823" s="4">
        <v>-32263</v>
      </c>
      <c r="F5823" s="3" t="s">
        <v>128</v>
      </c>
      <c r="G5823" s="3" t="s">
        <v>129</v>
      </c>
      <c r="H5823" s="2" t="s">
        <v>148</v>
      </c>
      <c r="I5823" s="2" t="s">
        <v>15032</v>
      </c>
      <c r="J5823" s="3" t="str">
        <f>HYPERLINK("https://www.boe.es/gazeta/dias/1811/08/31/pdfs/GEI-1811-113.pdf#page=5","Abrir facsímil")</f>
        <v>Abrir facsímil</v>
      </c>
      <c r="K5823" s="3" t="s">
        <v>150</v>
      </c>
    </row>
    <row r="5824" spans="1:11" ht="42" customHeight="1">
      <c r="A5824" s="2" t="s">
        <v>15033</v>
      </c>
      <c r="B5824" s="2" t="s">
        <v>15034</v>
      </c>
      <c r="C5824" s="2" t="s">
        <v>17</v>
      </c>
      <c r="D5824" s="2" t="s">
        <v>204</v>
      </c>
      <c r="E5824" s="4">
        <v>-32298</v>
      </c>
      <c r="F5824" s="3" t="s">
        <v>133</v>
      </c>
      <c r="G5824" s="3" t="s">
        <v>4588</v>
      </c>
      <c r="H5824" s="2" t="s">
        <v>148</v>
      </c>
      <c r="I5824" s="2" t="s">
        <v>15035</v>
      </c>
      <c r="J5824" s="3" t="str">
        <f>HYPERLINK("https://www.boe.es/gazeta/dias/1811/07/27/pdfs/GEI-1811-98.pdf#page=6","Abrir facsímil")</f>
        <v>Abrir facsímil</v>
      </c>
      <c r="K5824" s="3" t="s">
        <v>150</v>
      </c>
    </row>
    <row r="5825" spans="1:11" ht="42" customHeight="1">
      <c r="A5825" s="2" t="s">
        <v>15036</v>
      </c>
      <c r="B5825" s="2" t="s">
        <v>15037</v>
      </c>
      <c r="C5825" s="2" t="s">
        <v>26</v>
      </c>
      <c r="D5825" s="2" t="s">
        <v>18</v>
      </c>
      <c r="E5825" s="4">
        <v>-32188</v>
      </c>
      <c r="F5825" s="3" t="s">
        <v>356</v>
      </c>
      <c r="G5825" s="3" t="s">
        <v>468</v>
      </c>
      <c r="H5825" s="2" t="s">
        <v>148</v>
      </c>
      <c r="I5825" s="2" t="s">
        <v>15038</v>
      </c>
      <c r="J5825" s="3" t="str">
        <f>HYPERLINK("https://www.boe.es/gazeta/dias/1811/11/14/pdfs/GMD-1811-318.pdf#page=6","Abrir facsímil")</f>
        <v>Abrir facsímil</v>
      </c>
      <c r="K5825" s="3" t="s">
        <v>150</v>
      </c>
    </row>
    <row r="5826" spans="1:11" ht="42" customHeight="1">
      <c r="A5826" s="2" t="s">
        <v>15039</v>
      </c>
      <c r="B5826" s="2" t="s">
        <v>15039</v>
      </c>
      <c r="C5826" s="2" t="s">
        <v>17</v>
      </c>
      <c r="D5826" s="2" t="s">
        <v>156</v>
      </c>
      <c r="E5826" s="4">
        <v>-32325</v>
      </c>
      <c r="F5826" s="3" t="s">
        <v>552</v>
      </c>
      <c r="G5826" s="3" t="s">
        <v>515</v>
      </c>
      <c r="H5826" s="2" t="s">
        <v>148</v>
      </c>
      <c r="I5826" s="2" t="s">
        <v>15040</v>
      </c>
      <c r="J5826" s="3" t="str">
        <f>HYPERLINK("https://www.boe.es/gazeta/dias/1811/06/30/pdfs/GMD-1811-181.pdf#page=2","Abrir facsímil")</f>
        <v>Abrir facsímil</v>
      </c>
      <c r="K5826" s="3" t="s">
        <v>150</v>
      </c>
    </row>
    <row r="5827" spans="1:11" ht="42" customHeight="1">
      <c r="A5827" s="2" t="s">
        <v>15041</v>
      </c>
      <c r="B5827" s="2" t="s">
        <v>15041</v>
      </c>
      <c r="C5827" s="2" t="s">
        <v>17</v>
      </c>
      <c r="D5827" s="2" t="s">
        <v>18</v>
      </c>
      <c r="E5827" s="4">
        <v>-32331</v>
      </c>
      <c r="F5827" s="3" t="s">
        <v>781</v>
      </c>
      <c r="G5827" s="3" t="s">
        <v>91</v>
      </c>
      <c r="H5827" s="2" t="s">
        <v>148</v>
      </c>
      <c r="I5827" s="2" t="s">
        <v>15042</v>
      </c>
      <c r="J5827" s="3" t="str">
        <f>HYPERLINK("https://www.boe.es/gazeta/dias/1811/06/24/pdfs/GMD-1811-175.pdf#page=2","Abrir facsímil")</f>
        <v>Abrir facsímil</v>
      </c>
      <c r="K5827" s="3" t="s">
        <v>150</v>
      </c>
    </row>
    <row r="5828" spans="1:11" ht="42" customHeight="1">
      <c r="A5828" s="2" t="s">
        <v>15043</v>
      </c>
      <c r="B5828" s="2" t="s">
        <v>15043</v>
      </c>
      <c r="C5828" s="2" t="s">
        <v>17</v>
      </c>
      <c r="D5828" s="2" t="s">
        <v>156</v>
      </c>
      <c r="E5828" s="4">
        <v>-32169</v>
      </c>
      <c r="F5828" s="3" t="s">
        <v>1702</v>
      </c>
      <c r="G5828" s="3" t="s">
        <v>9754</v>
      </c>
      <c r="H5828" s="2" t="s">
        <v>148</v>
      </c>
      <c r="I5828" s="2" t="s">
        <v>15044</v>
      </c>
      <c r="J5828" s="3" t="str">
        <f>HYPERLINK("https://www.boe.es/gazeta/dias/1811/12/03/pdfs/GEI-1811-157.pdf#page=3","Abrir facsímil")</f>
        <v>Abrir facsímil</v>
      </c>
      <c r="K5828" s="3" t="s">
        <v>150</v>
      </c>
    </row>
    <row r="5829" spans="1:11" ht="42" customHeight="1">
      <c r="A5829" s="2" t="s">
        <v>15045</v>
      </c>
      <c r="B5829" s="2" t="s">
        <v>15046</v>
      </c>
      <c r="C5829" s="2" t="s">
        <v>26</v>
      </c>
      <c r="D5829" s="2" t="s">
        <v>18</v>
      </c>
      <c r="E5829" s="4">
        <v>-32491</v>
      </c>
      <c r="F5829" s="3" t="s">
        <v>533</v>
      </c>
      <c r="G5829" s="3" t="s">
        <v>510</v>
      </c>
      <c r="H5829" s="2" t="s">
        <v>148</v>
      </c>
      <c r="I5829" s="2" t="s">
        <v>15047</v>
      </c>
      <c r="J5829" s="3" t="str">
        <f>HYPERLINK("https://www.boe.es/gazeta/dias/1811/01/15/pdfs/GEI-1811-7.pdf#page=8","Abrir facsímil")</f>
        <v>Abrir facsímil</v>
      </c>
      <c r="K5829" s="3" t="s">
        <v>150</v>
      </c>
    </row>
    <row r="5830" spans="1:11" ht="42" customHeight="1">
      <c r="A5830" s="2" t="s">
        <v>15048</v>
      </c>
      <c r="B5830" s="2" t="s">
        <v>15049</v>
      </c>
      <c r="C5830" s="2" t="s">
        <v>17</v>
      </c>
      <c r="D5830" s="2" t="s">
        <v>105</v>
      </c>
      <c r="E5830" s="4">
        <v>-32258</v>
      </c>
      <c r="F5830" s="3" t="s">
        <v>449</v>
      </c>
      <c r="G5830" s="3" t="s">
        <v>391</v>
      </c>
      <c r="H5830" s="2" t="s">
        <v>148</v>
      </c>
      <c r="I5830" s="2" t="s">
        <v>15050</v>
      </c>
      <c r="J5830" s="3" t="str">
        <f>HYPERLINK("https://www.boe.es/gazeta/dias/1811/09/05/pdfs/GEI-1811-115.pdf#page=7","Abrir facsímil")</f>
        <v>Abrir facsímil</v>
      </c>
      <c r="K5830" s="3" t="s">
        <v>150</v>
      </c>
    </row>
    <row r="5831" spans="1:11" ht="42" customHeight="1">
      <c r="A5831" s="2" t="s">
        <v>15051</v>
      </c>
      <c r="B5831" s="2" t="s">
        <v>15051</v>
      </c>
      <c r="C5831" s="2" t="s">
        <v>17</v>
      </c>
      <c r="D5831" s="2" t="s">
        <v>156</v>
      </c>
      <c r="E5831" s="4">
        <v>-32495</v>
      </c>
      <c r="F5831" s="3" t="s">
        <v>1681</v>
      </c>
      <c r="G5831" s="3" t="s">
        <v>8259</v>
      </c>
      <c r="H5831" s="2" t="s">
        <v>148</v>
      </c>
      <c r="I5831" s="2" t="s">
        <v>15052</v>
      </c>
      <c r="J5831" s="3" t="str">
        <f>HYPERLINK("https://www.boe.es/gazeta/dias/1811/01/11/pdfs/GMD-1811-11.pdf#page=3","Abrir facsímil")</f>
        <v>Abrir facsímil</v>
      </c>
      <c r="K5831" s="3" t="s">
        <v>150</v>
      </c>
    </row>
    <row r="5832" spans="1:11" ht="42" customHeight="1">
      <c r="A5832" s="2" t="s">
        <v>15053</v>
      </c>
      <c r="B5832" s="2" t="s">
        <v>15054</v>
      </c>
      <c r="C5832" s="2" t="s">
        <v>26</v>
      </c>
      <c r="D5832" s="2" t="s">
        <v>18</v>
      </c>
      <c r="E5832" s="4">
        <v>-32172</v>
      </c>
      <c r="F5832" s="3" t="s">
        <v>300</v>
      </c>
      <c r="G5832" s="3" t="s">
        <v>305</v>
      </c>
      <c r="H5832" s="2" t="s">
        <v>148</v>
      </c>
      <c r="I5832" s="2" t="s">
        <v>15055</v>
      </c>
      <c r="J5832" s="3" t="str">
        <f>HYPERLINK("https://www.boe.es/gazeta/dias/1811/11/30/pdfs/GMD-1811-334.pdf#page=3","Abrir facsímil")</f>
        <v>Abrir facsímil</v>
      </c>
      <c r="K5832" s="3" t="s">
        <v>150</v>
      </c>
    </row>
    <row r="5833" spans="1:11" ht="42" customHeight="1">
      <c r="A5833" s="2" t="s">
        <v>15056</v>
      </c>
      <c r="B5833" s="2" t="s">
        <v>15057</v>
      </c>
      <c r="C5833" s="2" t="s">
        <v>26</v>
      </c>
      <c r="D5833" s="2" t="s">
        <v>18</v>
      </c>
      <c r="E5833" s="4">
        <v>-32449</v>
      </c>
      <c r="F5833" s="3" t="s">
        <v>381</v>
      </c>
      <c r="G5833" s="3" t="s">
        <v>62</v>
      </c>
      <c r="H5833" s="2" t="s">
        <v>148</v>
      </c>
      <c r="I5833" s="2" t="s">
        <v>15058</v>
      </c>
      <c r="J5833" s="3" t="str">
        <f>HYPERLINK("https://www.boe.es/gazeta/dias/1811/02/26/pdfs/GEI-1811-25.pdf#page=5","Abrir facsímil")</f>
        <v>Abrir facsímil</v>
      </c>
      <c r="K5833" s="3" t="s">
        <v>150</v>
      </c>
    </row>
    <row r="5834" spans="1:11" ht="42" customHeight="1">
      <c r="A5834" s="2" t="s">
        <v>15059</v>
      </c>
      <c r="B5834" s="2" t="s">
        <v>15060</v>
      </c>
      <c r="C5834" s="2" t="s">
        <v>26</v>
      </c>
      <c r="D5834" s="2" t="s">
        <v>18</v>
      </c>
      <c r="E5834" s="4">
        <v>-32143</v>
      </c>
      <c r="F5834" s="3" t="s">
        <v>1455</v>
      </c>
      <c r="G5834" s="3" t="s">
        <v>183</v>
      </c>
      <c r="H5834" s="2" t="s">
        <v>148</v>
      </c>
      <c r="I5834" s="2" t="s">
        <v>15061</v>
      </c>
      <c r="J5834" s="3" t="str">
        <f>HYPERLINK("https://www.boe.es/gazeta/dias/1811/12/29/pdfs/GMD-1811-363.pdf#page=4","Abrir facsímil")</f>
        <v>Abrir facsímil</v>
      </c>
      <c r="K5834" s="3" t="s">
        <v>150</v>
      </c>
    </row>
    <row r="5835" spans="1:11" ht="42" customHeight="1">
      <c r="A5835" s="2" t="s">
        <v>15062</v>
      </c>
      <c r="B5835" s="2" t="s">
        <v>15063</v>
      </c>
      <c r="C5835" s="2" t="s">
        <v>37</v>
      </c>
      <c r="D5835" s="2" t="s">
        <v>18</v>
      </c>
      <c r="E5835" s="4">
        <v>-32237</v>
      </c>
      <c r="F5835" s="3" t="s">
        <v>717</v>
      </c>
      <c r="G5835" s="3" t="s">
        <v>1128</v>
      </c>
      <c r="H5835" s="2" t="s">
        <v>148</v>
      </c>
      <c r="I5835" s="2" t="s">
        <v>15064</v>
      </c>
      <c r="J5835" s="3" t="str">
        <f>HYPERLINK("https://www.boe.es/gazeta/dias/1811/09/26/pdfs/GEI-1811-124.pdf#page=8","Abrir facsímil")</f>
        <v>Abrir facsímil</v>
      </c>
      <c r="K5835" s="3" t="s">
        <v>150</v>
      </c>
    </row>
    <row r="5836" spans="1:11" ht="42" customHeight="1">
      <c r="A5836" s="2" t="s">
        <v>15065</v>
      </c>
      <c r="B5836" s="2" t="s">
        <v>15066</v>
      </c>
      <c r="C5836" s="2" t="s">
        <v>26</v>
      </c>
      <c r="D5836" s="2" t="s">
        <v>18</v>
      </c>
      <c r="E5836" s="4">
        <v>-32501</v>
      </c>
      <c r="F5836" s="3" t="s">
        <v>509</v>
      </c>
      <c r="G5836" s="3" t="s">
        <v>510</v>
      </c>
      <c r="H5836" s="2" t="s">
        <v>148</v>
      </c>
      <c r="I5836" s="2" t="s">
        <v>15067</v>
      </c>
      <c r="J5836" s="3" t="str">
        <f>HYPERLINK("https://www.boe.es/gazeta/dias/1811/01/05/pdfs/GEI-1811-3.pdf#page=8","Abrir facsímil")</f>
        <v>Abrir facsímil</v>
      </c>
      <c r="K5836" s="3" t="s">
        <v>150</v>
      </c>
    </row>
    <row r="5837" spans="1:11" ht="42" customHeight="1">
      <c r="A5837" s="2" t="s">
        <v>15068</v>
      </c>
      <c r="B5837" s="2" t="s">
        <v>15069</v>
      </c>
      <c r="C5837" s="2" t="s">
        <v>17</v>
      </c>
      <c r="D5837" s="2" t="s">
        <v>18</v>
      </c>
      <c r="E5837" s="4">
        <v>-32503</v>
      </c>
      <c r="F5837" s="3" t="s">
        <v>487</v>
      </c>
      <c r="G5837" s="3" t="s">
        <v>1930</v>
      </c>
      <c r="H5837" s="2" t="s">
        <v>148</v>
      </c>
      <c r="I5837" s="2" t="s">
        <v>15070</v>
      </c>
      <c r="J5837" s="3" t="str">
        <f>HYPERLINK("https://www.boe.es/gazeta/dias/1811/01/03/pdfs/GEI-1811-2.pdf#page=8","Abrir facsímil")</f>
        <v>Abrir facsímil</v>
      </c>
      <c r="K5837" s="3" t="s">
        <v>150</v>
      </c>
    </row>
    <row r="5838" spans="1:11" ht="42" customHeight="1">
      <c r="A5838" s="2" t="s">
        <v>15068</v>
      </c>
      <c r="B5838" s="2" t="s">
        <v>15069</v>
      </c>
      <c r="C5838" s="2" t="s">
        <v>17</v>
      </c>
      <c r="D5838" s="2" t="s">
        <v>18</v>
      </c>
      <c r="E5838" s="4">
        <v>-32200</v>
      </c>
      <c r="F5838" s="3" t="s">
        <v>109</v>
      </c>
      <c r="G5838" s="3" t="s">
        <v>268</v>
      </c>
      <c r="H5838" s="2" t="s">
        <v>148</v>
      </c>
      <c r="I5838" s="2" t="s">
        <v>15071</v>
      </c>
      <c r="J5838" s="3" t="str">
        <f>HYPERLINK("https://www.boe.es/gazeta/dias/1811/11/02/pdfs/GEI-1811-141.pdf#page=7","Abrir facsímil")</f>
        <v>Abrir facsímil</v>
      </c>
      <c r="K5838" s="3" t="s">
        <v>150</v>
      </c>
    </row>
    <row r="5839" spans="1:11" ht="42" customHeight="1">
      <c r="A5839" s="2" t="s">
        <v>15072</v>
      </c>
      <c r="B5839" s="2" t="s">
        <v>15073</v>
      </c>
      <c r="C5839" s="2" t="s">
        <v>26</v>
      </c>
      <c r="D5839" s="2" t="s">
        <v>18</v>
      </c>
      <c r="E5839" s="4">
        <v>-32295</v>
      </c>
      <c r="F5839" s="3" t="s">
        <v>279</v>
      </c>
      <c r="G5839" s="3" t="s">
        <v>44</v>
      </c>
      <c r="H5839" s="2" t="s">
        <v>148</v>
      </c>
      <c r="I5839" s="2" t="s">
        <v>15074</v>
      </c>
      <c r="J5839" s="3" t="str">
        <f>HYPERLINK("https://www.boe.es/gazeta/dias/1811/07/30/pdfs/GEI-1811-99.pdf#page=8","Abrir facsímil")</f>
        <v>Abrir facsímil</v>
      </c>
      <c r="K5839" s="3" t="s">
        <v>150</v>
      </c>
    </row>
    <row r="5840" spans="1:11" ht="42" customHeight="1">
      <c r="A5840" s="2" t="s">
        <v>15075</v>
      </c>
      <c r="B5840" s="2" t="s">
        <v>15076</v>
      </c>
      <c r="C5840" s="2" t="s">
        <v>26</v>
      </c>
      <c r="D5840" s="2" t="s">
        <v>18</v>
      </c>
      <c r="E5840" s="4">
        <v>-32487</v>
      </c>
      <c r="F5840" s="3" t="s">
        <v>842</v>
      </c>
      <c r="G5840" s="3" t="s">
        <v>440</v>
      </c>
      <c r="H5840" s="2" t="s">
        <v>148</v>
      </c>
      <c r="I5840" s="2" t="s">
        <v>15077</v>
      </c>
      <c r="J5840" s="3" t="str">
        <f>HYPERLINK("https://www.boe.es/gazeta/dias/1811/01/19/pdfs/GEI-1811-9.pdf#page=2","Abrir facsímil")</f>
        <v>Abrir facsímil</v>
      </c>
      <c r="K5840" s="3" t="s">
        <v>150</v>
      </c>
    </row>
    <row r="5841" spans="1:11" ht="42" customHeight="1">
      <c r="A5841" s="2" t="s">
        <v>15078</v>
      </c>
      <c r="B5841" s="2" t="s">
        <v>15079</v>
      </c>
      <c r="C5841" s="2" t="s">
        <v>17</v>
      </c>
      <c r="D5841" s="2" t="s">
        <v>105</v>
      </c>
      <c r="E5841" s="4">
        <v>-32438</v>
      </c>
      <c r="F5841" s="3" t="s">
        <v>114</v>
      </c>
      <c r="G5841" s="3" t="s">
        <v>20</v>
      </c>
      <c r="H5841" s="2" t="s">
        <v>148</v>
      </c>
      <c r="I5841" s="2" t="s">
        <v>15080</v>
      </c>
      <c r="J5841" s="3" t="str">
        <f>HYPERLINK("https://www.boe.es/gazeta/dias/1811/03/09/pdfs/GEI-1811-33.pdf#page=8","Abrir facsímil")</f>
        <v>Abrir facsímil</v>
      </c>
      <c r="K5841" s="3" t="s">
        <v>150</v>
      </c>
    </row>
    <row r="5842" spans="1:11" ht="42" customHeight="1">
      <c r="A5842" s="2" t="s">
        <v>15081</v>
      </c>
      <c r="B5842" s="2" t="s">
        <v>15082</v>
      </c>
      <c r="C5842" s="2" t="s">
        <v>17</v>
      </c>
      <c r="D5842" s="2" t="s">
        <v>18</v>
      </c>
      <c r="E5842" s="4">
        <v>-32179</v>
      </c>
      <c r="F5842" s="3" t="s">
        <v>614</v>
      </c>
      <c r="G5842" s="3" t="s">
        <v>5164</v>
      </c>
      <c r="H5842" s="2" t="s">
        <v>148</v>
      </c>
      <c r="I5842" s="2" t="s">
        <v>15083</v>
      </c>
      <c r="J5842" s="3" t="str">
        <f>HYPERLINK("https://www.boe.es/gazeta/dias/1811/11/23/pdfs/GEI-1811-153.pdf#page=7","Abrir facsímil")</f>
        <v>Abrir facsímil</v>
      </c>
      <c r="K5842" s="3" t="s">
        <v>150</v>
      </c>
    </row>
    <row r="5843" spans="1:11" ht="42" customHeight="1">
      <c r="A5843" s="2" t="s">
        <v>15084</v>
      </c>
      <c r="B5843" s="2" t="s">
        <v>15085</v>
      </c>
      <c r="C5843" s="2" t="s">
        <v>26</v>
      </c>
      <c r="D5843" s="2" t="s">
        <v>18</v>
      </c>
      <c r="E5843" s="4">
        <v>-32145</v>
      </c>
      <c r="F5843" s="3" t="s">
        <v>417</v>
      </c>
      <c r="G5843" s="3" t="s">
        <v>418</v>
      </c>
      <c r="H5843" s="2" t="s">
        <v>148</v>
      </c>
      <c r="I5843" s="2" t="s">
        <v>15086</v>
      </c>
      <c r="J5843" s="3" t="str">
        <f>HYPERLINK("https://www.boe.es/gazeta/dias/1811/12/27/pdfs/GMD-1811-361.pdf#page=4","Abrir facsímil")</f>
        <v>Abrir facsímil</v>
      </c>
      <c r="K5843" s="3" t="s">
        <v>150</v>
      </c>
    </row>
    <row r="5844" spans="1:11" ht="42" customHeight="1">
      <c r="A5844" s="2" t="s">
        <v>15087</v>
      </c>
      <c r="B5844" s="2" t="s">
        <v>15088</v>
      </c>
      <c r="C5844" s="2" t="s">
        <v>26</v>
      </c>
      <c r="D5844" s="2" t="s">
        <v>18</v>
      </c>
      <c r="E5844" s="4">
        <v>-32421</v>
      </c>
      <c r="F5844" s="3" t="s">
        <v>79</v>
      </c>
      <c r="G5844" s="3" t="s">
        <v>488</v>
      </c>
      <c r="H5844" s="2" t="s">
        <v>148</v>
      </c>
      <c r="I5844" s="2" t="s">
        <v>15089</v>
      </c>
      <c r="J5844" s="3" t="str">
        <f>HYPERLINK("https://www.boe.es/gazeta/dias/1811/03/26/pdfs/GEI-1811-42.pdf#page=8","Abrir facsímil")</f>
        <v>Abrir facsímil</v>
      </c>
      <c r="K5844" s="3" t="s">
        <v>150</v>
      </c>
    </row>
    <row r="5845" spans="1:11" ht="42" customHeight="1">
      <c r="A5845" s="2" t="s">
        <v>15090</v>
      </c>
      <c r="B5845" s="2" t="s">
        <v>15091</v>
      </c>
      <c r="C5845" s="2" t="s">
        <v>26</v>
      </c>
      <c r="D5845" s="2" t="s">
        <v>18</v>
      </c>
      <c r="E5845" s="4">
        <v>-32379</v>
      </c>
      <c r="F5845" s="3" t="s">
        <v>462</v>
      </c>
      <c r="G5845" s="3" t="s">
        <v>463</v>
      </c>
      <c r="H5845" s="2" t="s">
        <v>148</v>
      </c>
      <c r="I5845" s="2" t="s">
        <v>15092</v>
      </c>
      <c r="J5845" s="3" t="str">
        <f>HYPERLINK("https://www.boe.es/gazeta/dias/1811/05/07/pdfs/GEI-1811-60.pdf#page=8","Abrir facsímil")</f>
        <v>Abrir facsímil</v>
      </c>
      <c r="K5845" s="3" t="s">
        <v>150</v>
      </c>
    </row>
    <row r="5846" spans="1:11" ht="42" customHeight="1">
      <c r="A5846" s="2" t="s">
        <v>15093</v>
      </c>
      <c r="B5846" s="2" t="s">
        <v>15094</v>
      </c>
      <c r="C5846" s="2" t="s">
        <v>26</v>
      </c>
      <c r="D5846" s="2" t="s">
        <v>141</v>
      </c>
      <c r="E5846" s="4">
        <v>-32396</v>
      </c>
      <c r="F5846" s="3" t="s">
        <v>804</v>
      </c>
      <c r="G5846" s="3" t="s">
        <v>805</v>
      </c>
      <c r="H5846" s="2" t="s">
        <v>148</v>
      </c>
      <c r="I5846" s="2" t="s">
        <v>15095</v>
      </c>
      <c r="J5846" s="3" t="str">
        <f>HYPERLINK("https://www.boe.es/gazeta/dias/1811/04/20/pdfs/GEI-D-1811-53.pdf#page=4","Abrir facsímil")</f>
        <v>Abrir facsímil</v>
      </c>
      <c r="K5846" s="3" t="s">
        <v>150</v>
      </c>
    </row>
    <row r="5847" spans="1:11" ht="42" customHeight="1">
      <c r="A5847" s="2" t="s">
        <v>15096</v>
      </c>
      <c r="B5847" s="2" t="s">
        <v>15097</v>
      </c>
      <c r="C5847" s="2" t="s">
        <v>122</v>
      </c>
      <c r="D5847" s="2" t="s">
        <v>18</v>
      </c>
      <c r="E5847" s="4">
        <v>-32153</v>
      </c>
      <c r="F5847" s="3" t="s">
        <v>123</v>
      </c>
      <c r="G5847" s="3" t="s">
        <v>1067</v>
      </c>
      <c r="H5847" s="2" t="s">
        <v>148</v>
      </c>
      <c r="I5847" s="2" t="s">
        <v>15098</v>
      </c>
      <c r="J5847" s="3" t="str">
        <f>HYPERLINK("https://www.boe.es/gazeta/dias/1811/12/19/pdfs/GMD-1811-353.pdf#page=5","Abrir facsímil")</f>
        <v>Abrir facsímil</v>
      </c>
      <c r="K5847" s="3" t="s">
        <v>150</v>
      </c>
    </row>
    <row r="5848" spans="1:11" ht="42" customHeight="1">
      <c r="A5848" s="2" t="s">
        <v>15099</v>
      </c>
      <c r="B5848" s="2" t="s">
        <v>15100</v>
      </c>
      <c r="C5848" s="2" t="s">
        <v>26</v>
      </c>
      <c r="D5848" s="2" t="s">
        <v>141</v>
      </c>
      <c r="E5848" s="4">
        <v>-32167</v>
      </c>
      <c r="F5848" s="3" t="s">
        <v>347</v>
      </c>
      <c r="G5848" s="3" t="s">
        <v>183</v>
      </c>
      <c r="H5848" s="2" t="s">
        <v>148</v>
      </c>
      <c r="I5848" s="2" t="s">
        <v>15101</v>
      </c>
      <c r="J5848" s="3" t="str">
        <f>HYPERLINK("https://www.boe.es/gazeta/dias/1811/12/05/pdfs/GEI-D-1811-158.pdf#page=4","Abrir facsímil")</f>
        <v>Abrir facsímil</v>
      </c>
      <c r="K5848" s="3" t="s">
        <v>150</v>
      </c>
    </row>
    <row r="5849" spans="1:11" ht="42" customHeight="1">
      <c r="A5849" s="2" t="s">
        <v>15102</v>
      </c>
      <c r="B5849" s="2" t="s">
        <v>15103</v>
      </c>
      <c r="C5849" s="2" t="s">
        <v>122</v>
      </c>
      <c r="D5849" s="2" t="s">
        <v>141</v>
      </c>
      <c r="E5849" s="4">
        <v>-32238</v>
      </c>
      <c r="F5849" s="3" t="s">
        <v>166</v>
      </c>
      <c r="G5849" s="3" t="s">
        <v>657</v>
      </c>
      <c r="H5849" s="2" t="s">
        <v>148</v>
      </c>
      <c r="I5849" s="2" t="s">
        <v>15104</v>
      </c>
      <c r="J5849" s="3" t="str">
        <f>HYPERLINK("https://www.boe.es/gazeta/dias/1811/09/25/pdfs/GMD-C-1811-268.pdf#page=3","Abrir facsímil")</f>
        <v>Abrir facsímil</v>
      </c>
      <c r="K5849" s="3" t="s">
        <v>150</v>
      </c>
    </row>
    <row r="5850" spans="1:11" ht="42" customHeight="1">
      <c r="A5850" s="2" t="s">
        <v>15105</v>
      </c>
      <c r="B5850" s="2" t="s">
        <v>15106</v>
      </c>
      <c r="C5850" s="2" t="s">
        <v>26</v>
      </c>
      <c r="D5850" s="2" t="s">
        <v>18</v>
      </c>
      <c r="E5850" s="4">
        <v>-32155</v>
      </c>
      <c r="F5850" s="3" t="s">
        <v>263</v>
      </c>
      <c r="G5850" s="3" t="s">
        <v>1800</v>
      </c>
      <c r="H5850" s="2" t="s">
        <v>148</v>
      </c>
      <c r="I5850" s="2" t="s">
        <v>15107</v>
      </c>
      <c r="J5850" s="3" t="str">
        <f>HYPERLINK("https://www.boe.es/gazeta/dias/1811/12/17/pdfs/GEI-1811-163.pdf#page=7","Abrir facsímil")</f>
        <v>Abrir facsímil</v>
      </c>
      <c r="K5850" s="3" t="s">
        <v>150</v>
      </c>
    </row>
    <row r="5851" spans="1:11" ht="42" customHeight="1">
      <c r="A5851" s="2" t="s">
        <v>15108</v>
      </c>
      <c r="B5851" s="2" t="s">
        <v>15109</v>
      </c>
      <c r="C5851" s="2" t="s">
        <v>104</v>
      </c>
      <c r="D5851" s="2" t="s">
        <v>18</v>
      </c>
      <c r="E5851" s="4">
        <v>-32230</v>
      </c>
      <c r="F5851" s="3" t="s">
        <v>625</v>
      </c>
      <c r="G5851" s="3" t="s">
        <v>162</v>
      </c>
      <c r="H5851" s="2" t="s">
        <v>148</v>
      </c>
      <c r="I5851" s="2" t="s">
        <v>15110</v>
      </c>
      <c r="J5851" s="3" t="str">
        <f>HYPERLINK("https://www.boe.es/gazeta/dias/1811/10/03/pdfs/GEI-1811-127.pdf#page=7","Abrir facsímil")</f>
        <v>Abrir facsímil</v>
      </c>
      <c r="K5851" s="3" t="s">
        <v>150</v>
      </c>
    </row>
    <row r="5852" spans="1:11" ht="42" customHeight="1">
      <c r="A5852" s="2" t="s">
        <v>15111</v>
      </c>
      <c r="B5852" s="2" t="s">
        <v>15112</v>
      </c>
      <c r="C5852" s="2" t="s">
        <v>17</v>
      </c>
      <c r="D5852" s="2" t="s">
        <v>204</v>
      </c>
      <c r="E5852" s="4">
        <v>-32235</v>
      </c>
      <c r="F5852" s="3" t="s">
        <v>376</v>
      </c>
      <c r="G5852" s="3" t="s">
        <v>1280</v>
      </c>
      <c r="H5852" s="2" t="s">
        <v>148</v>
      </c>
      <c r="I5852" s="2" t="s">
        <v>15113</v>
      </c>
      <c r="J5852" s="3" t="str">
        <f>HYPERLINK("https://www.boe.es/gazeta/dias/1811/09/28/pdfs/GMD-1811-271.pdf#page=2","Abrir facsímil")</f>
        <v>Abrir facsímil</v>
      </c>
      <c r="K5852" s="3" t="s">
        <v>150</v>
      </c>
    </row>
    <row r="5853" spans="1:11" ht="42" customHeight="1">
      <c r="A5853" s="2" t="s">
        <v>15114</v>
      </c>
      <c r="B5853" s="2" t="s">
        <v>15115</v>
      </c>
      <c r="C5853" s="2" t="s">
        <v>66</v>
      </c>
      <c r="D5853" s="2" t="s">
        <v>141</v>
      </c>
      <c r="E5853" s="4">
        <v>-32238</v>
      </c>
      <c r="F5853" s="3" t="s">
        <v>166</v>
      </c>
      <c r="G5853" s="3" t="s">
        <v>657</v>
      </c>
      <c r="H5853" s="2" t="s">
        <v>148</v>
      </c>
      <c r="I5853" s="2" t="s">
        <v>15116</v>
      </c>
      <c r="J5853" s="3" t="str">
        <f>HYPERLINK("https://www.boe.es/gazeta/dias/1811/09/25/pdfs/GMD-C-1811-268.pdf#page=3","Abrir facsímil")</f>
        <v>Abrir facsímil</v>
      </c>
      <c r="K5853" s="3" t="s">
        <v>150</v>
      </c>
    </row>
    <row r="5854" spans="1:11" ht="42" customHeight="1">
      <c r="A5854" s="2" t="s">
        <v>15117</v>
      </c>
      <c r="B5854" s="2" t="s">
        <v>15118</v>
      </c>
      <c r="C5854" s="2" t="s">
        <v>26</v>
      </c>
      <c r="D5854" s="2" t="s">
        <v>141</v>
      </c>
      <c r="E5854" s="4">
        <v>-32355</v>
      </c>
      <c r="F5854" s="3" t="s">
        <v>537</v>
      </c>
      <c r="G5854" s="3" t="s">
        <v>44</v>
      </c>
      <c r="H5854" s="2" t="s">
        <v>148</v>
      </c>
      <c r="I5854" s="2" t="s">
        <v>15119</v>
      </c>
      <c r="J5854" s="3" t="str">
        <f>HYPERLINK("https://www.boe.es/gazeta/dias/1811/05/31/pdfs/GMD-C-1811-151.pdf#page=6","Abrir facsímil")</f>
        <v>Abrir facsímil</v>
      </c>
      <c r="K5854" s="3" t="s">
        <v>150</v>
      </c>
    </row>
    <row r="5855" spans="1:11" ht="42" customHeight="1">
      <c r="A5855" s="2" t="s">
        <v>15120</v>
      </c>
      <c r="B5855" s="2" t="s">
        <v>15120</v>
      </c>
      <c r="C5855" s="2" t="s">
        <v>17</v>
      </c>
      <c r="D5855" s="2" t="s">
        <v>156</v>
      </c>
      <c r="E5855" s="4">
        <v>-32357</v>
      </c>
      <c r="F5855" s="3" t="s">
        <v>2775</v>
      </c>
      <c r="G5855" s="3" t="s">
        <v>57</v>
      </c>
      <c r="H5855" s="2" t="s">
        <v>148</v>
      </c>
      <c r="I5855" s="2" t="s">
        <v>15121</v>
      </c>
      <c r="J5855" s="3" t="str">
        <f>HYPERLINK("https://www.boe.es/gazeta/dias/1811/05/29/pdfs/GMD-1811-149.pdf#page=2","Abrir facsímil")</f>
        <v>Abrir facsímil</v>
      </c>
      <c r="K5855" s="3" t="s">
        <v>150</v>
      </c>
    </row>
    <row r="5856" spans="1:11" ht="42" customHeight="1">
      <c r="A5856" s="2" t="s">
        <v>15122</v>
      </c>
      <c r="B5856" s="2" t="s">
        <v>15122</v>
      </c>
      <c r="C5856" s="2" t="s">
        <v>17</v>
      </c>
      <c r="D5856" s="2" t="s">
        <v>156</v>
      </c>
      <c r="E5856" s="4">
        <v>-32461</v>
      </c>
      <c r="F5856" s="3" t="s">
        <v>1383</v>
      </c>
      <c r="G5856" s="3" t="s">
        <v>1384</v>
      </c>
      <c r="H5856" s="2" t="s">
        <v>148</v>
      </c>
      <c r="I5856" s="2" t="s">
        <v>15123</v>
      </c>
      <c r="J5856" s="3" t="str">
        <f>HYPERLINK("https://www.boe.es/gazeta/dias/1811/02/14/pdfs/GMD-1811-45.pdf#page=1","Abrir facsímil")</f>
        <v>Abrir facsímil</v>
      </c>
      <c r="K5856" s="3" t="s">
        <v>150</v>
      </c>
    </row>
    <row r="5857" spans="1:11" ht="42" customHeight="1">
      <c r="A5857" s="2" t="s">
        <v>15124</v>
      </c>
      <c r="B5857" s="2" t="s">
        <v>15125</v>
      </c>
      <c r="C5857" s="2" t="s">
        <v>17</v>
      </c>
      <c r="D5857" s="2" t="s">
        <v>18</v>
      </c>
      <c r="E5857" s="4">
        <v>-32246</v>
      </c>
      <c r="F5857" s="3" t="s">
        <v>19</v>
      </c>
      <c r="G5857" s="3" t="s">
        <v>20</v>
      </c>
      <c r="H5857" s="2" t="s">
        <v>148</v>
      </c>
      <c r="I5857" s="2" t="s">
        <v>15126</v>
      </c>
      <c r="J5857" s="3" t="str">
        <f>HYPERLINK("https://www.boe.es/gazeta/dias/1811/09/17/pdfs/GEI-1811-120.pdf#page=24","Abrir facsímil")</f>
        <v>Abrir facsímil</v>
      </c>
      <c r="K5857" s="3" t="s">
        <v>150</v>
      </c>
    </row>
    <row r="5858" spans="1:11" ht="42" customHeight="1">
      <c r="A5858" s="2" t="s">
        <v>15127</v>
      </c>
      <c r="B5858" s="2" t="s">
        <v>15128</v>
      </c>
      <c r="C5858" s="2" t="s">
        <v>26</v>
      </c>
      <c r="D5858" s="2" t="s">
        <v>18</v>
      </c>
      <c r="E5858" s="4">
        <v>-32471</v>
      </c>
      <c r="F5858" s="3" t="s">
        <v>1571</v>
      </c>
      <c r="G5858" s="3" t="s">
        <v>530</v>
      </c>
      <c r="H5858" s="2" t="s">
        <v>148</v>
      </c>
      <c r="I5858" s="2" t="s">
        <v>15129</v>
      </c>
      <c r="J5858" s="3" t="str">
        <f>HYPERLINK("https://www.boe.es/gazeta/dias/1811/02/04/pdfs/GMD-1811-35.pdf#page=3","Abrir facsímil")</f>
        <v>Abrir facsímil</v>
      </c>
      <c r="K5858" s="3" t="s">
        <v>150</v>
      </c>
    </row>
    <row r="5859" spans="1:11" ht="42" customHeight="1">
      <c r="A5859" s="2" t="s">
        <v>15130</v>
      </c>
      <c r="B5859" s="2" t="s">
        <v>15131</v>
      </c>
      <c r="C5859" s="2" t="s">
        <v>26</v>
      </c>
      <c r="D5859" s="2" t="s">
        <v>18</v>
      </c>
      <c r="E5859" s="4">
        <v>-32326</v>
      </c>
      <c r="F5859" s="3" t="s">
        <v>43</v>
      </c>
      <c r="G5859" s="3" t="s">
        <v>4791</v>
      </c>
      <c r="H5859" s="2" t="s">
        <v>148</v>
      </c>
      <c r="I5859" s="2" t="s">
        <v>15132</v>
      </c>
      <c r="J5859" s="3" t="str">
        <f>HYPERLINK("https://www.boe.es/gazeta/dias/1811/06/29/pdfs/GEI-1811-86.pdf#page=8","Abrir facsímil")</f>
        <v>Abrir facsímil</v>
      </c>
      <c r="K5859" s="3" t="s">
        <v>150</v>
      </c>
    </row>
    <row r="5860" spans="1:11" ht="42" customHeight="1">
      <c r="A5860" s="2" t="s">
        <v>15133</v>
      </c>
      <c r="B5860" s="2" t="s">
        <v>15133</v>
      </c>
      <c r="C5860" s="2" t="s">
        <v>104</v>
      </c>
      <c r="D5860" s="2" t="s">
        <v>18</v>
      </c>
      <c r="E5860" s="4">
        <v>-32149</v>
      </c>
      <c r="F5860" s="3" t="s">
        <v>2292</v>
      </c>
      <c r="G5860" s="3" t="s">
        <v>91</v>
      </c>
      <c r="H5860" s="2" t="s">
        <v>148</v>
      </c>
      <c r="I5860" s="2" t="s">
        <v>15134</v>
      </c>
      <c r="J5860" s="3" t="str">
        <f>HYPERLINK("https://www.boe.es/gazeta/dias/1811/12/23/pdfs/GMD-1811-357.pdf#page=3","Abrir facsímil")</f>
        <v>Abrir facsímil</v>
      </c>
      <c r="K5860" s="3" t="s">
        <v>150</v>
      </c>
    </row>
    <row r="5861" spans="1:11" ht="42" customHeight="1">
      <c r="A5861" s="2" t="s">
        <v>15135</v>
      </c>
      <c r="B5861" s="2" t="s">
        <v>15136</v>
      </c>
      <c r="C5861" s="2" t="s">
        <v>26</v>
      </c>
      <c r="D5861" s="2" t="s">
        <v>18</v>
      </c>
      <c r="E5861" s="4">
        <v>-32150</v>
      </c>
      <c r="F5861" s="3" t="s">
        <v>1174</v>
      </c>
      <c r="G5861" s="3" t="s">
        <v>20</v>
      </c>
      <c r="H5861" s="2" t="s">
        <v>148</v>
      </c>
      <c r="I5861" s="2" t="s">
        <v>15137</v>
      </c>
      <c r="J5861" s="3" t="str">
        <f>HYPERLINK("https://www.boe.es/gazeta/dias/1811/12/22/pdfs/GMD-1811-356.pdf#page=4","Abrir facsímil")</f>
        <v>Abrir facsímil</v>
      </c>
      <c r="K5861" s="3" t="s">
        <v>150</v>
      </c>
    </row>
    <row r="5862" spans="1:11" ht="42" customHeight="1">
      <c r="A5862" s="2" t="s">
        <v>15138</v>
      </c>
      <c r="B5862" s="2" t="s">
        <v>15139</v>
      </c>
      <c r="C5862" s="2" t="s">
        <v>26</v>
      </c>
      <c r="D5862" s="2" t="s">
        <v>18</v>
      </c>
      <c r="E5862" s="4">
        <v>-32153</v>
      </c>
      <c r="F5862" s="3" t="s">
        <v>123</v>
      </c>
      <c r="G5862" s="3" t="s">
        <v>288</v>
      </c>
      <c r="H5862" s="2" t="s">
        <v>148</v>
      </c>
      <c r="I5862" s="2" t="s">
        <v>15140</v>
      </c>
      <c r="J5862" s="3" t="str">
        <f>HYPERLINK("https://www.boe.es/gazeta/dias/1811/12/19/pdfs/GMD-1811-353.pdf#page=4","Abrir facsímil")</f>
        <v>Abrir facsímil</v>
      </c>
      <c r="K5862" s="3" t="s">
        <v>150</v>
      </c>
    </row>
    <row r="5863" spans="1:11" ht="42" customHeight="1">
      <c r="A5863" s="2" t="s">
        <v>15141</v>
      </c>
      <c r="B5863" s="2" t="s">
        <v>15141</v>
      </c>
      <c r="C5863" s="2" t="s">
        <v>17</v>
      </c>
      <c r="D5863" s="2" t="s">
        <v>156</v>
      </c>
      <c r="E5863" s="4">
        <v>-32391</v>
      </c>
      <c r="F5863" s="3" t="s">
        <v>2998</v>
      </c>
      <c r="G5863" s="3" t="s">
        <v>339</v>
      </c>
      <c r="H5863" s="2" t="s">
        <v>148</v>
      </c>
      <c r="I5863" s="2" t="s">
        <v>15142</v>
      </c>
      <c r="J5863" s="3" t="str">
        <f>HYPERLINK("https://www.boe.es/gazeta/dias/1811/04/25/pdfs/GMD-1811-115.pdf#page=4","Abrir facsímil")</f>
        <v>Abrir facsímil</v>
      </c>
      <c r="K5863" s="3" t="s">
        <v>150</v>
      </c>
    </row>
    <row r="5864" spans="1:11" ht="42" customHeight="1">
      <c r="A5864" s="2" t="s">
        <v>15143</v>
      </c>
      <c r="B5864" s="2" t="s">
        <v>15144</v>
      </c>
      <c r="C5864" s="2" t="s">
        <v>26</v>
      </c>
      <c r="D5864" s="2" t="s">
        <v>105</v>
      </c>
      <c r="E5864" s="4">
        <v>-32379</v>
      </c>
      <c r="F5864" s="3" t="s">
        <v>462</v>
      </c>
      <c r="G5864" s="3" t="s">
        <v>463</v>
      </c>
      <c r="H5864" s="2" t="s">
        <v>148</v>
      </c>
      <c r="I5864" s="2" t="s">
        <v>15145</v>
      </c>
      <c r="J5864" s="3" t="str">
        <f>HYPERLINK("https://www.boe.es/gazeta/dias/1811/05/07/pdfs/GEI-1811-60.pdf#page=8","Abrir facsímil")</f>
        <v>Abrir facsímil</v>
      </c>
      <c r="K5864" s="3" t="s">
        <v>150</v>
      </c>
    </row>
    <row r="5865" spans="1:11" ht="42" customHeight="1">
      <c r="A5865" s="2" t="s">
        <v>15146</v>
      </c>
      <c r="B5865" s="2" t="s">
        <v>15147</v>
      </c>
      <c r="C5865" s="2" t="s">
        <v>17</v>
      </c>
      <c r="D5865" s="2" t="s">
        <v>18</v>
      </c>
      <c r="E5865" s="4">
        <v>-32482</v>
      </c>
      <c r="F5865" s="3" t="s">
        <v>924</v>
      </c>
      <c r="G5865" s="3" t="s">
        <v>846</v>
      </c>
      <c r="H5865" s="2" t="s">
        <v>148</v>
      </c>
      <c r="I5865" s="2" t="s">
        <v>15148</v>
      </c>
      <c r="J5865" s="3" t="str">
        <f>HYPERLINK("https://www.boe.es/gazeta/dias/1811/01/24/pdfs/GEI-1811-11.pdf#page=8","Abrir facsímil")</f>
        <v>Abrir facsímil</v>
      </c>
      <c r="K5865" s="3" t="s">
        <v>150</v>
      </c>
    </row>
    <row r="5866" spans="1:11" ht="42" customHeight="1">
      <c r="A5866" s="2" t="s">
        <v>15149</v>
      </c>
      <c r="B5866" s="2" t="s">
        <v>15149</v>
      </c>
      <c r="C5866" s="2" t="s">
        <v>26</v>
      </c>
      <c r="D5866" s="2" t="s">
        <v>18</v>
      </c>
      <c r="E5866" s="4">
        <v>-32405</v>
      </c>
      <c r="F5866" s="3" t="s">
        <v>1413</v>
      </c>
      <c r="G5866" s="3" t="s">
        <v>4945</v>
      </c>
      <c r="H5866" s="2" t="s">
        <v>148</v>
      </c>
      <c r="I5866" s="2" t="s">
        <v>15150</v>
      </c>
      <c r="J5866" s="3" t="str">
        <f>HYPERLINK("https://www.boe.es/gazeta/dias/1811/04/11/pdfs/GEI-1811-49.pdf#page=6","Abrir facsímil")</f>
        <v>Abrir facsímil</v>
      </c>
      <c r="K5866" s="3" t="s">
        <v>150</v>
      </c>
    </row>
    <row r="5867" spans="1:11" ht="42" customHeight="1">
      <c r="A5867" s="2" t="s">
        <v>15151</v>
      </c>
      <c r="B5867" s="2" t="s">
        <v>15152</v>
      </c>
      <c r="C5867" s="2" t="s">
        <v>26</v>
      </c>
      <c r="D5867" s="2" t="s">
        <v>18</v>
      </c>
      <c r="E5867" s="4">
        <v>-32454</v>
      </c>
      <c r="F5867" s="3" t="s">
        <v>2268</v>
      </c>
      <c r="G5867" s="3" t="s">
        <v>44</v>
      </c>
      <c r="H5867" s="2" t="s">
        <v>148</v>
      </c>
      <c r="I5867" s="2" t="s">
        <v>15153</v>
      </c>
      <c r="J5867" s="3" t="str">
        <f>HYPERLINK("https://www.boe.es/gazeta/dias/1811/02/21/pdfs/GEI-1811-23.pdf#page=4","Abrir facsímil")</f>
        <v>Abrir facsímil</v>
      </c>
      <c r="K5867" s="3" t="s">
        <v>150</v>
      </c>
    </row>
    <row r="5868" spans="1:11" ht="42" customHeight="1">
      <c r="A5868" s="2" t="s">
        <v>15154</v>
      </c>
      <c r="B5868" s="2" t="s">
        <v>15155</v>
      </c>
      <c r="C5868" s="2" t="s">
        <v>26</v>
      </c>
      <c r="D5868" s="2" t="s">
        <v>18</v>
      </c>
      <c r="E5868" s="4">
        <v>-32417</v>
      </c>
      <c r="F5868" s="3" t="s">
        <v>7066</v>
      </c>
      <c r="G5868" s="3" t="s">
        <v>510</v>
      </c>
      <c r="H5868" s="2" t="s">
        <v>148</v>
      </c>
      <c r="I5868" s="2" t="s">
        <v>15156</v>
      </c>
      <c r="J5868" s="3" t="str">
        <f>HYPERLINK("https://www.boe.es/gazeta/dias/1811/03/30/pdfs/GEI-1811-44.pdf#page=8","Abrir facsímil")</f>
        <v>Abrir facsímil</v>
      </c>
      <c r="K5868" s="3" t="s">
        <v>150</v>
      </c>
    </row>
    <row r="5869" spans="1:11" ht="42" customHeight="1">
      <c r="A5869" s="2" t="s">
        <v>15157</v>
      </c>
      <c r="B5869" s="2" t="s">
        <v>15157</v>
      </c>
      <c r="C5869" s="2" t="s">
        <v>17</v>
      </c>
      <c r="D5869" s="2" t="s">
        <v>156</v>
      </c>
      <c r="E5869" s="4">
        <v>-32309</v>
      </c>
      <c r="F5869" s="3" t="s">
        <v>2496</v>
      </c>
      <c r="G5869" s="3" t="s">
        <v>178</v>
      </c>
      <c r="H5869" s="2" t="s">
        <v>148</v>
      </c>
      <c r="I5869" s="2" t="s">
        <v>15158</v>
      </c>
      <c r="J5869" s="3" t="str">
        <f>HYPERLINK("https://www.boe.es/gazeta/dias/1811/07/16/pdfs/GEI-1811-93.pdf#page=6","Abrir facsímil")</f>
        <v>Abrir facsímil</v>
      </c>
      <c r="K5869" s="3" t="s">
        <v>150</v>
      </c>
    </row>
    <row r="5870" spans="1:11" ht="42" customHeight="1">
      <c r="A5870" s="2" t="s">
        <v>15159</v>
      </c>
      <c r="B5870" s="2" t="s">
        <v>15160</v>
      </c>
      <c r="C5870" s="2" t="s">
        <v>26</v>
      </c>
      <c r="D5870" s="2" t="s">
        <v>141</v>
      </c>
      <c r="E5870" s="4">
        <v>-32249</v>
      </c>
      <c r="F5870" s="3" t="s">
        <v>743</v>
      </c>
      <c r="G5870" s="3" t="s">
        <v>1021</v>
      </c>
      <c r="H5870" s="2" t="s">
        <v>148</v>
      </c>
      <c r="I5870" s="2" t="s">
        <v>15161</v>
      </c>
      <c r="J5870" s="3" t="str">
        <f>HYPERLINK("https://www.boe.es/gazeta/dias/1811/09/14/pdfs/GMD-C-1811-257.pdf#page=2","Abrir facsímil")</f>
        <v>Abrir facsímil</v>
      </c>
      <c r="K5870" s="3" t="s">
        <v>150</v>
      </c>
    </row>
    <row r="5871" spans="1:11" ht="42" customHeight="1">
      <c r="A5871" s="2" t="s">
        <v>15162</v>
      </c>
      <c r="B5871" s="2" t="s">
        <v>15162</v>
      </c>
      <c r="C5871" s="2" t="s">
        <v>17</v>
      </c>
      <c r="D5871" s="2" t="s">
        <v>18</v>
      </c>
      <c r="E5871" s="4">
        <v>-32192</v>
      </c>
      <c r="F5871" s="3" t="s">
        <v>673</v>
      </c>
      <c r="G5871" s="3" t="s">
        <v>8354</v>
      </c>
      <c r="H5871" s="2" t="s">
        <v>148</v>
      </c>
      <c r="I5871" s="2" t="s">
        <v>15163</v>
      </c>
      <c r="J5871" s="3" t="str">
        <f>HYPERLINK("https://www.boe.es/gazeta/dias/1811/11/10/pdfs/GMD-1811-314.pdf#page=3","Abrir facsímil")</f>
        <v>Abrir facsímil</v>
      </c>
      <c r="K5871" s="3" t="s">
        <v>150</v>
      </c>
    </row>
    <row r="5872" spans="1:11" ht="42" customHeight="1">
      <c r="A5872" s="2" t="s">
        <v>15164</v>
      </c>
      <c r="B5872" s="2" t="s">
        <v>15165</v>
      </c>
      <c r="C5872" s="2" t="s">
        <v>26</v>
      </c>
      <c r="D5872" s="2" t="s">
        <v>18</v>
      </c>
      <c r="E5872" s="4">
        <v>-32489</v>
      </c>
      <c r="F5872" s="3" t="s">
        <v>2073</v>
      </c>
      <c r="G5872" s="3" t="s">
        <v>44</v>
      </c>
      <c r="H5872" s="2" t="s">
        <v>148</v>
      </c>
      <c r="I5872" s="2" t="s">
        <v>15166</v>
      </c>
      <c r="J5872" s="3" t="str">
        <f>HYPERLINK("https://www.boe.es/gazeta/dias/1811/01/17/pdfs/GEI-1811-8.pdf#page=8","Abrir facsímil")</f>
        <v>Abrir facsímil</v>
      </c>
      <c r="K5872" s="3" t="s">
        <v>150</v>
      </c>
    </row>
    <row r="5873" spans="1:11" ht="42" customHeight="1">
      <c r="A5873" s="2" t="s">
        <v>15167</v>
      </c>
      <c r="B5873" s="2" t="s">
        <v>15167</v>
      </c>
      <c r="C5873" s="2" t="s">
        <v>17</v>
      </c>
      <c r="D5873" s="2" t="s">
        <v>156</v>
      </c>
      <c r="E5873" s="4">
        <v>-32487</v>
      </c>
      <c r="F5873" s="3" t="s">
        <v>842</v>
      </c>
      <c r="G5873" s="3" t="s">
        <v>162</v>
      </c>
      <c r="H5873" s="2" t="s">
        <v>148</v>
      </c>
      <c r="I5873" s="2" t="s">
        <v>15168</v>
      </c>
      <c r="J5873" s="3" t="str">
        <f>HYPERLINK("https://www.boe.es/gazeta/dias/1811/01/19/pdfs/GEI-1811-9.pdf#page=7","Abrir facsímil")</f>
        <v>Abrir facsímil</v>
      </c>
      <c r="K5873" s="3" t="s">
        <v>150</v>
      </c>
    </row>
    <row r="5874" spans="1:11" ht="42" customHeight="1">
      <c r="A5874" s="2" t="s">
        <v>15169</v>
      </c>
      <c r="B5874" s="2" t="s">
        <v>15170</v>
      </c>
      <c r="C5874" s="2" t="s">
        <v>26</v>
      </c>
      <c r="D5874" s="2" t="s">
        <v>18</v>
      </c>
      <c r="E5874" s="4">
        <v>-32153</v>
      </c>
      <c r="F5874" s="3" t="s">
        <v>123</v>
      </c>
      <c r="G5874" s="3" t="s">
        <v>288</v>
      </c>
      <c r="H5874" s="2" t="s">
        <v>148</v>
      </c>
      <c r="I5874" s="2" t="s">
        <v>15171</v>
      </c>
      <c r="J5874" s="3" t="str">
        <f>HYPERLINK("https://www.boe.es/gazeta/dias/1811/12/19/pdfs/GMD-1811-353.pdf#page=4","Abrir facsímil")</f>
        <v>Abrir facsímil</v>
      </c>
      <c r="K5874" s="3" t="s">
        <v>150</v>
      </c>
    </row>
    <row r="5875" spans="1:11" ht="42" customHeight="1">
      <c r="A5875" s="2" t="s">
        <v>15172</v>
      </c>
      <c r="B5875" s="2" t="s">
        <v>15173</v>
      </c>
      <c r="C5875" s="2" t="s">
        <v>26</v>
      </c>
      <c r="D5875" s="2" t="s">
        <v>18</v>
      </c>
      <c r="E5875" s="4">
        <v>-32153</v>
      </c>
      <c r="F5875" s="3" t="s">
        <v>123</v>
      </c>
      <c r="G5875" s="3" t="s">
        <v>1067</v>
      </c>
      <c r="H5875" s="2" t="s">
        <v>148</v>
      </c>
      <c r="I5875" s="2" t="s">
        <v>15174</v>
      </c>
      <c r="J5875" s="3" t="str">
        <f>HYPERLINK("https://www.boe.es/gazeta/dias/1811/12/19/pdfs/GMD-1811-353.pdf#page=5","Abrir facsímil")</f>
        <v>Abrir facsímil</v>
      </c>
      <c r="K5875" s="3" t="s">
        <v>150</v>
      </c>
    </row>
    <row r="5876" spans="1:11" ht="42" customHeight="1">
      <c r="A5876" s="2" t="s">
        <v>15175</v>
      </c>
      <c r="B5876" s="2" t="s">
        <v>15176</v>
      </c>
      <c r="C5876" s="2" t="s">
        <v>26</v>
      </c>
      <c r="D5876" s="2" t="s">
        <v>204</v>
      </c>
      <c r="E5876" s="4">
        <v>-32489</v>
      </c>
      <c r="F5876" s="3" t="s">
        <v>722</v>
      </c>
      <c r="G5876" s="3" t="s">
        <v>468</v>
      </c>
      <c r="H5876" s="2" t="s">
        <v>148</v>
      </c>
      <c r="I5876" s="2" t="s">
        <v>15177</v>
      </c>
      <c r="J5876" s="3" t="str">
        <f>HYPERLINK("https://www.boe.es/gazeta/dias/1811/01/17/pdfs/GMD-1811-17.pdf#page=4","Abrir facsímil")</f>
        <v>Abrir facsímil</v>
      </c>
      <c r="K5876" s="3" t="s">
        <v>150</v>
      </c>
    </row>
    <row r="5877" spans="1:11" ht="42" customHeight="1">
      <c r="A5877" s="2" t="s">
        <v>15178</v>
      </c>
      <c r="B5877" s="2" t="s">
        <v>15179</v>
      </c>
      <c r="C5877" s="2" t="s">
        <v>122</v>
      </c>
      <c r="D5877" s="2" t="s">
        <v>18</v>
      </c>
      <c r="E5877" s="4">
        <v>-32377</v>
      </c>
      <c r="F5877" s="3" t="s">
        <v>6097</v>
      </c>
      <c r="G5877" s="3" t="s">
        <v>6098</v>
      </c>
      <c r="H5877" s="2" t="s">
        <v>148</v>
      </c>
      <c r="I5877" s="2" t="s">
        <v>15180</v>
      </c>
      <c r="J5877" s="3" t="str">
        <f>HYPERLINK("https://www.boe.es/gazeta/dias/1811/05/09/pdfs/GEI-1811-61.pdf#page=1","Abrir facsímil")</f>
        <v>Abrir facsímil</v>
      </c>
      <c r="K5877" s="3" t="s">
        <v>150</v>
      </c>
    </row>
    <row r="5878" spans="1:11" ht="42" customHeight="1">
      <c r="A5878" s="2" t="s">
        <v>15181</v>
      </c>
      <c r="B5878" s="2" t="s">
        <v>15182</v>
      </c>
      <c r="C5878" s="2" t="s">
        <v>841</v>
      </c>
      <c r="D5878" s="2" t="s">
        <v>18</v>
      </c>
      <c r="E5878" s="4">
        <v>-32251</v>
      </c>
      <c r="F5878" s="3" t="s">
        <v>726</v>
      </c>
      <c r="G5878" s="3" t="s">
        <v>727</v>
      </c>
      <c r="H5878" s="2" t="s">
        <v>148</v>
      </c>
      <c r="I5878" s="2" t="s">
        <v>15183</v>
      </c>
      <c r="J5878" s="3" t="str">
        <f>HYPERLINK("https://www.boe.es/gazeta/dias/1811/09/12/pdfs/GEI-1811-118.pdf#page=8","Abrir facsímil")</f>
        <v>Abrir facsímil</v>
      </c>
      <c r="K5878" s="3" t="s">
        <v>150</v>
      </c>
    </row>
    <row r="5879" spans="1:11" ht="42" customHeight="1">
      <c r="A5879" s="2" t="s">
        <v>15184</v>
      </c>
      <c r="B5879" s="2" t="s">
        <v>15185</v>
      </c>
      <c r="C5879" s="2" t="s">
        <v>26</v>
      </c>
      <c r="D5879" s="2" t="s">
        <v>141</v>
      </c>
      <c r="E5879" s="4">
        <v>-32384</v>
      </c>
      <c r="F5879" s="3" t="s">
        <v>2599</v>
      </c>
      <c r="G5879" s="3" t="s">
        <v>4480</v>
      </c>
      <c r="H5879" s="2" t="s">
        <v>148</v>
      </c>
      <c r="I5879" s="2" t="s">
        <v>15186</v>
      </c>
      <c r="J5879" s="3" t="str">
        <f>HYPERLINK("https://www.boe.es/gazeta/dias/1811/05/02/pdfs/GEI-D-1811-58.pdf#page=3","Abrir facsímil")</f>
        <v>Abrir facsímil</v>
      </c>
      <c r="K5879" s="3" t="s">
        <v>150</v>
      </c>
    </row>
    <row r="5880" spans="1:11" ht="42" customHeight="1">
      <c r="A5880" s="2" t="s">
        <v>15187</v>
      </c>
      <c r="B5880" s="2" t="s">
        <v>15188</v>
      </c>
      <c r="C5880" s="2" t="s">
        <v>17</v>
      </c>
      <c r="D5880" s="2" t="s">
        <v>156</v>
      </c>
      <c r="E5880" s="4">
        <v>-32210</v>
      </c>
      <c r="F5880" s="3" t="s">
        <v>1737</v>
      </c>
      <c r="G5880" s="3" t="s">
        <v>8273</v>
      </c>
      <c r="H5880" s="2" t="s">
        <v>148</v>
      </c>
      <c r="I5880" s="2" t="s">
        <v>15189</v>
      </c>
      <c r="J5880" s="3" t="str">
        <f>HYPERLINK("https://www.boe.es/gazeta/dias/1811/10/23/pdfs/GMD-1811-296.pdf#page=6","Abrir facsímil")</f>
        <v>Abrir facsímil</v>
      </c>
      <c r="K5880" s="3" t="s">
        <v>150</v>
      </c>
    </row>
    <row r="5881" spans="1:11" ht="42" customHeight="1">
      <c r="A5881" s="2" t="s">
        <v>15190</v>
      </c>
      <c r="B5881" s="2" t="s">
        <v>15190</v>
      </c>
      <c r="C5881" s="2" t="s">
        <v>17</v>
      </c>
      <c r="D5881" s="2" t="s">
        <v>156</v>
      </c>
      <c r="E5881" s="4">
        <v>-32487</v>
      </c>
      <c r="F5881" s="3" t="s">
        <v>842</v>
      </c>
      <c r="G5881" s="3" t="s">
        <v>162</v>
      </c>
      <c r="H5881" s="2" t="s">
        <v>148</v>
      </c>
      <c r="I5881" s="2" t="s">
        <v>15191</v>
      </c>
      <c r="J5881" s="3" t="str">
        <f>HYPERLINK("https://www.boe.es/gazeta/dias/1811/01/19/pdfs/GEI-1811-9.pdf#page=4","Abrir facsímil")</f>
        <v>Abrir facsímil</v>
      </c>
      <c r="K5881" s="3" t="s">
        <v>150</v>
      </c>
    </row>
    <row r="5882" spans="1:11" ht="42" customHeight="1">
      <c r="A5882" s="2" t="s">
        <v>15192</v>
      </c>
      <c r="B5882" s="2" t="s">
        <v>15192</v>
      </c>
      <c r="C5882" s="2" t="s">
        <v>17</v>
      </c>
      <c r="D5882" s="2" t="s">
        <v>18</v>
      </c>
      <c r="E5882" s="4">
        <v>-32487</v>
      </c>
      <c r="F5882" s="3" t="s">
        <v>842</v>
      </c>
      <c r="G5882" s="3" t="s">
        <v>3105</v>
      </c>
      <c r="H5882" s="2" t="s">
        <v>148</v>
      </c>
      <c r="I5882" s="2" t="s">
        <v>15193</v>
      </c>
      <c r="J5882" s="3" t="str">
        <f>HYPERLINK("https://www.boe.es/gazeta/dias/1811/01/19/pdfs/GEI-1811-9.pdf#page=5","Abrir facsímil")</f>
        <v>Abrir facsímil</v>
      </c>
      <c r="K5882" s="3" t="s">
        <v>150</v>
      </c>
    </row>
    <row r="5883" spans="1:11" ht="42" customHeight="1">
      <c r="A5883" s="2" t="s">
        <v>15192</v>
      </c>
      <c r="B5883" s="2" t="s">
        <v>15192</v>
      </c>
      <c r="C5883" s="2" t="s">
        <v>17</v>
      </c>
      <c r="D5883" s="2" t="s">
        <v>18</v>
      </c>
      <c r="E5883" s="4">
        <v>-32461</v>
      </c>
      <c r="F5883" s="3" t="s">
        <v>2429</v>
      </c>
      <c r="G5883" s="3" t="s">
        <v>47</v>
      </c>
      <c r="H5883" s="2" t="s">
        <v>148</v>
      </c>
      <c r="I5883" s="2" t="s">
        <v>15194</v>
      </c>
      <c r="J5883" s="3" t="str">
        <f>HYPERLINK("https://www.boe.es/gazeta/dias/1811/02/14/pdfs/GEI-1811-20.pdf#page=6","Abrir facsímil")</f>
        <v>Abrir facsímil</v>
      </c>
      <c r="K5883" s="3" t="s">
        <v>150</v>
      </c>
    </row>
    <row r="5884" spans="1:11" ht="42" customHeight="1">
      <c r="A5884" s="2" t="s">
        <v>15192</v>
      </c>
      <c r="B5884" s="2" t="s">
        <v>15192</v>
      </c>
      <c r="C5884" s="2" t="s">
        <v>17</v>
      </c>
      <c r="D5884" s="2" t="s">
        <v>18</v>
      </c>
      <c r="E5884" s="4">
        <v>-32430</v>
      </c>
      <c r="F5884" s="3" t="s">
        <v>4714</v>
      </c>
      <c r="G5884" s="3" t="s">
        <v>1143</v>
      </c>
      <c r="H5884" s="2" t="s">
        <v>148</v>
      </c>
      <c r="I5884" s="2" t="s">
        <v>15195</v>
      </c>
      <c r="J5884" s="3" t="str">
        <f>HYPERLINK("https://www.boe.es/gazeta/dias/1811/03/17/pdfs/GMD-1811-76.pdf#page=2","Abrir facsímil")</f>
        <v>Abrir facsímil</v>
      </c>
      <c r="K5884" s="3" t="s">
        <v>150</v>
      </c>
    </row>
    <row r="5885" spans="1:11" ht="42" customHeight="1">
      <c r="A5885" s="2" t="s">
        <v>15192</v>
      </c>
      <c r="B5885" s="2" t="s">
        <v>15192</v>
      </c>
      <c r="C5885" s="2" t="s">
        <v>17</v>
      </c>
      <c r="D5885" s="2" t="s">
        <v>18</v>
      </c>
      <c r="E5885" s="4">
        <v>-32401</v>
      </c>
      <c r="F5885" s="3" t="s">
        <v>1084</v>
      </c>
      <c r="G5885" s="3" t="s">
        <v>20</v>
      </c>
      <c r="H5885" s="2" t="s">
        <v>148</v>
      </c>
      <c r="I5885" s="2" t="s">
        <v>15196</v>
      </c>
      <c r="J5885" s="3" t="str">
        <f>HYPERLINK("https://www.boe.es/gazeta/dias/1811/04/15/pdfs/GMD-1811-105.pdf#page=2","Abrir facsímil")</f>
        <v>Abrir facsímil</v>
      </c>
      <c r="K5885" s="3" t="s">
        <v>150</v>
      </c>
    </row>
    <row r="5886" spans="1:11" ht="42" customHeight="1">
      <c r="A5886" s="2" t="s">
        <v>15192</v>
      </c>
      <c r="B5886" s="2" t="s">
        <v>15192</v>
      </c>
      <c r="C5886" s="2" t="s">
        <v>17</v>
      </c>
      <c r="D5886" s="2" t="s">
        <v>18</v>
      </c>
      <c r="E5886" s="4">
        <v>-32169</v>
      </c>
      <c r="F5886" s="3" t="s">
        <v>1702</v>
      </c>
      <c r="G5886" s="3" t="s">
        <v>15197</v>
      </c>
      <c r="H5886" s="2" t="s">
        <v>148</v>
      </c>
      <c r="I5886" s="2" t="s">
        <v>15198</v>
      </c>
      <c r="J5886" s="3" t="str">
        <f>HYPERLINK("https://www.boe.es/gazeta/dias/1811/12/03/pdfs/GEI-1811-157.pdf#page=2","Abrir facsímil")</f>
        <v>Abrir facsímil</v>
      </c>
      <c r="K5886" s="3" t="s">
        <v>150</v>
      </c>
    </row>
    <row r="5887" spans="1:11" ht="42" customHeight="1">
      <c r="A5887" s="2" t="s">
        <v>15199</v>
      </c>
      <c r="B5887" s="2" t="s">
        <v>15200</v>
      </c>
      <c r="C5887" s="2" t="s">
        <v>17</v>
      </c>
      <c r="D5887" s="2" t="s">
        <v>156</v>
      </c>
      <c r="E5887" s="4">
        <v>-32246</v>
      </c>
      <c r="F5887" s="3" t="s">
        <v>19</v>
      </c>
      <c r="G5887" s="3" t="s">
        <v>20</v>
      </c>
      <c r="H5887" s="2" t="s">
        <v>148</v>
      </c>
      <c r="I5887" s="2" t="s">
        <v>15201</v>
      </c>
      <c r="J5887" s="3" t="str">
        <f>HYPERLINK("https://www.boe.es/gazeta/dias/1811/09/17/pdfs/GEI-1811-120.pdf#page=24","Abrir facsímil")</f>
        <v>Abrir facsímil</v>
      </c>
      <c r="K5887" s="3" t="s">
        <v>150</v>
      </c>
    </row>
    <row r="5888" spans="1:11" ht="42" customHeight="1">
      <c r="A5888" s="2" t="s">
        <v>15202</v>
      </c>
      <c r="B5888" s="2" t="s">
        <v>15203</v>
      </c>
      <c r="C5888" s="2" t="s">
        <v>26</v>
      </c>
      <c r="D5888" s="2" t="s">
        <v>18</v>
      </c>
      <c r="E5888" s="4">
        <v>-32379</v>
      </c>
      <c r="F5888" s="3" t="s">
        <v>462</v>
      </c>
      <c r="G5888" s="3" t="s">
        <v>463</v>
      </c>
      <c r="H5888" s="2" t="s">
        <v>148</v>
      </c>
      <c r="I5888" s="2" t="s">
        <v>15204</v>
      </c>
      <c r="J5888" s="3" t="str">
        <f>HYPERLINK("https://www.boe.es/gazeta/dias/1811/05/07/pdfs/GEI-1811-60.pdf#page=8","Abrir facsímil")</f>
        <v>Abrir facsímil</v>
      </c>
      <c r="K5888" s="3" t="s">
        <v>150</v>
      </c>
    </row>
    <row r="5889" spans="1:11" ht="42" customHeight="1">
      <c r="A5889" s="2" t="s">
        <v>15205</v>
      </c>
      <c r="B5889" s="2" t="s">
        <v>15206</v>
      </c>
      <c r="C5889" s="2" t="s">
        <v>17</v>
      </c>
      <c r="D5889" s="2" t="s">
        <v>156</v>
      </c>
      <c r="E5889" s="4">
        <v>-32309</v>
      </c>
      <c r="F5889" s="3" t="s">
        <v>2496</v>
      </c>
      <c r="G5889" s="3" t="s">
        <v>47</v>
      </c>
      <c r="H5889" s="2" t="s">
        <v>148</v>
      </c>
      <c r="I5889" s="2" t="s">
        <v>15207</v>
      </c>
      <c r="J5889" s="3" t="str">
        <f>HYPERLINK("https://www.boe.es/gazeta/dias/1811/07/16/pdfs/GEI-1811-93.pdf#page=8","Abrir facsímil")</f>
        <v>Abrir facsímil</v>
      </c>
      <c r="K5889" s="3" t="s">
        <v>150</v>
      </c>
    </row>
    <row r="5890" spans="1:11" ht="42" customHeight="1">
      <c r="A5890" s="2" t="s">
        <v>15208</v>
      </c>
      <c r="B5890" s="2" t="s">
        <v>15209</v>
      </c>
      <c r="C5890" s="2" t="s">
        <v>17</v>
      </c>
      <c r="D5890" s="2" t="s">
        <v>18</v>
      </c>
      <c r="E5890" s="4">
        <v>-32316</v>
      </c>
      <c r="F5890" s="3" t="s">
        <v>5337</v>
      </c>
      <c r="G5890" s="3" t="s">
        <v>91</v>
      </c>
      <c r="H5890" s="2" t="s">
        <v>148</v>
      </c>
      <c r="I5890" s="2" t="s">
        <v>15210</v>
      </c>
      <c r="J5890" s="3" t="str">
        <f>HYPERLINK("https://www.boe.es/gazeta/dias/1811/07/09/pdfs/GEI-1811-90.pdf#page=5","Abrir facsímil")</f>
        <v>Abrir facsímil</v>
      </c>
      <c r="K5890" s="3" t="s">
        <v>150</v>
      </c>
    </row>
    <row r="5891" spans="1:11" ht="42" customHeight="1">
      <c r="A5891" s="2" t="s">
        <v>15211</v>
      </c>
      <c r="B5891" s="2" t="s">
        <v>15211</v>
      </c>
      <c r="C5891" s="2" t="s">
        <v>17</v>
      </c>
      <c r="D5891" s="2" t="s">
        <v>156</v>
      </c>
      <c r="E5891" s="4">
        <v>-32418</v>
      </c>
      <c r="F5891" s="3" t="s">
        <v>9181</v>
      </c>
      <c r="G5891" s="3" t="s">
        <v>468</v>
      </c>
      <c r="H5891" s="2" t="s">
        <v>148</v>
      </c>
      <c r="I5891" s="2" t="s">
        <v>15212</v>
      </c>
      <c r="J5891" s="3" t="str">
        <f>HYPERLINK("https://www.boe.es/gazeta/dias/1811/03/29/pdfs/GMD-1811-88.pdf#page=1","Abrir facsímil")</f>
        <v>Abrir facsímil</v>
      </c>
      <c r="K5891" s="3" t="s">
        <v>150</v>
      </c>
    </row>
    <row r="5892" spans="1:11" ht="42" customHeight="1">
      <c r="A5892" s="2" t="s">
        <v>15213</v>
      </c>
      <c r="B5892" s="2" t="s">
        <v>15213</v>
      </c>
      <c r="C5892" s="2" t="s">
        <v>367</v>
      </c>
      <c r="D5892" s="2" t="s">
        <v>18</v>
      </c>
      <c r="E5892" s="4">
        <v>-32505</v>
      </c>
      <c r="F5892" s="3" t="s">
        <v>475</v>
      </c>
      <c r="G5892" s="3" t="s">
        <v>44</v>
      </c>
      <c r="H5892" s="2" t="s">
        <v>148</v>
      </c>
      <c r="I5892" s="2" t="s">
        <v>15214</v>
      </c>
      <c r="J5892" s="3" t="str">
        <f>HYPERLINK("https://www.boe.es/gazeta/dias/1811/01/01/pdfs/GEI-1811-1.pdf#page=6","Abrir facsímil")</f>
        <v>Abrir facsímil</v>
      </c>
      <c r="K5892" s="3" t="s">
        <v>150</v>
      </c>
    </row>
    <row r="5893" spans="1:11" ht="42" customHeight="1">
      <c r="A5893" s="2" t="s">
        <v>15215</v>
      </c>
      <c r="B5893" s="2" t="s">
        <v>15215</v>
      </c>
      <c r="C5893" s="2" t="s">
        <v>26</v>
      </c>
      <c r="D5893" s="2" t="s">
        <v>18</v>
      </c>
      <c r="E5893" s="4">
        <v>-32391</v>
      </c>
      <c r="F5893" s="3" t="s">
        <v>252</v>
      </c>
      <c r="G5893" s="3" t="s">
        <v>5332</v>
      </c>
      <c r="H5893" s="2" t="s">
        <v>148</v>
      </c>
      <c r="I5893" s="2" t="s">
        <v>15216</v>
      </c>
      <c r="J5893" s="3" t="str">
        <f>HYPERLINK("https://www.boe.es/gazeta/dias/1811/04/25/pdfs/GEI-1811-55.pdf#page=7","Abrir facsímil")</f>
        <v>Abrir facsímil</v>
      </c>
      <c r="K5893" s="3" t="s">
        <v>150</v>
      </c>
    </row>
    <row r="5894" spans="1:11" ht="42" customHeight="1">
      <c r="A5894" s="2" t="s">
        <v>15215</v>
      </c>
      <c r="B5894" s="2" t="s">
        <v>15215</v>
      </c>
      <c r="C5894" s="2" t="s">
        <v>17</v>
      </c>
      <c r="D5894" s="2" t="s">
        <v>156</v>
      </c>
      <c r="E5894" s="4">
        <v>-32389</v>
      </c>
      <c r="F5894" s="3" t="s">
        <v>5334</v>
      </c>
      <c r="G5894" s="3" t="s">
        <v>440</v>
      </c>
      <c r="H5894" s="2" t="s">
        <v>148</v>
      </c>
      <c r="I5894" s="2" t="s">
        <v>15217</v>
      </c>
      <c r="J5894" s="3" t="str">
        <f>HYPERLINK("https://www.boe.es/gazeta/dias/1811/04/27/pdfs/GEI-1811-56.pdf#page=2","Abrir facsímil")</f>
        <v>Abrir facsímil</v>
      </c>
      <c r="K5894" s="3" t="s">
        <v>150</v>
      </c>
    </row>
    <row r="5895" spans="1:11" ht="42" customHeight="1">
      <c r="A5895" s="2" t="s">
        <v>15215</v>
      </c>
      <c r="B5895" s="2" t="s">
        <v>15215</v>
      </c>
      <c r="C5895" s="2" t="s">
        <v>17</v>
      </c>
      <c r="D5895" s="2" t="s">
        <v>18</v>
      </c>
      <c r="E5895" s="4">
        <v>-32389</v>
      </c>
      <c r="F5895" s="3" t="s">
        <v>5334</v>
      </c>
      <c r="G5895" s="3" t="s">
        <v>47</v>
      </c>
      <c r="H5895" s="2" t="s">
        <v>148</v>
      </c>
      <c r="I5895" s="2" t="s">
        <v>15218</v>
      </c>
      <c r="J5895" s="3" t="str">
        <f>HYPERLINK("https://www.boe.es/gazeta/dias/1811/04/27/pdfs/GEI-1811-56.pdf#page=3","Abrir facsímil")</f>
        <v>Abrir facsímil</v>
      </c>
      <c r="K5895" s="3" t="s">
        <v>150</v>
      </c>
    </row>
    <row r="5896" spans="1:11" ht="42" customHeight="1">
      <c r="A5896" s="2" t="s">
        <v>15215</v>
      </c>
      <c r="B5896" s="2" t="s">
        <v>15215</v>
      </c>
      <c r="C5896" s="2" t="s">
        <v>26</v>
      </c>
      <c r="D5896" s="2" t="s">
        <v>18</v>
      </c>
      <c r="E5896" s="4">
        <v>-32389</v>
      </c>
      <c r="F5896" s="3" t="s">
        <v>5334</v>
      </c>
      <c r="G5896" s="3" t="s">
        <v>15219</v>
      </c>
      <c r="H5896" s="2" t="s">
        <v>148</v>
      </c>
      <c r="I5896" s="2" t="s">
        <v>15220</v>
      </c>
      <c r="J5896" s="3" t="str">
        <f>HYPERLINK("https://www.boe.es/gazeta/dias/1811/04/27/pdfs/GEI-1811-56.pdf#page=4","Abrir facsímil")</f>
        <v>Abrir facsímil</v>
      </c>
      <c r="K5896" s="3" t="s">
        <v>150</v>
      </c>
    </row>
    <row r="5897" spans="1:11" ht="42" customHeight="1">
      <c r="A5897" s="2" t="s">
        <v>15221</v>
      </c>
      <c r="B5897" s="2" t="s">
        <v>15222</v>
      </c>
      <c r="C5897" s="2" t="s">
        <v>26</v>
      </c>
      <c r="D5897" s="2" t="s">
        <v>18</v>
      </c>
      <c r="E5897" s="4">
        <v>-32391</v>
      </c>
      <c r="F5897" s="3" t="s">
        <v>252</v>
      </c>
      <c r="G5897" s="3" t="s">
        <v>5332</v>
      </c>
      <c r="H5897" s="2" t="s">
        <v>148</v>
      </c>
      <c r="I5897" s="2" t="s">
        <v>15223</v>
      </c>
      <c r="J5897" s="3" t="str">
        <f>HYPERLINK("https://www.boe.es/gazeta/dias/1811/04/25/pdfs/GEI-1811-55.pdf#page=7","Abrir facsímil")</f>
        <v>Abrir facsímil</v>
      </c>
      <c r="K5897" s="3" t="s">
        <v>150</v>
      </c>
    </row>
    <row r="5898" spans="1:11" ht="42" customHeight="1">
      <c r="A5898" s="2" t="s">
        <v>15221</v>
      </c>
      <c r="B5898" s="2" t="s">
        <v>15222</v>
      </c>
      <c r="C5898" s="2" t="s">
        <v>104</v>
      </c>
      <c r="D5898" s="2" t="s">
        <v>18</v>
      </c>
      <c r="E5898" s="4">
        <v>-32389</v>
      </c>
      <c r="F5898" s="3" t="s">
        <v>5334</v>
      </c>
      <c r="G5898" s="3" t="s">
        <v>20</v>
      </c>
      <c r="H5898" s="2" t="s">
        <v>148</v>
      </c>
      <c r="I5898" s="2" t="s">
        <v>15224</v>
      </c>
      <c r="J5898" s="3" t="str">
        <f>HYPERLINK("https://www.boe.es/gazeta/dias/1811/04/27/pdfs/GEI-1811-56.pdf#page=6","Abrir facsímil")</f>
        <v>Abrir facsímil</v>
      </c>
      <c r="K5898" s="3" t="s">
        <v>150</v>
      </c>
    </row>
    <row r="5899" spans="1:11" ht="42" customHeight="1">
      <c r="A5899" s="2" t="s">
        <v>15225</v>
      </c>
      <c r="B5899" s="2" t="s">
        <v>15226</v>
      </c>
      <c r="C5899" s="2" t="s">
        <v>26</v>
      </c>
      <c r="D5899" s="2" t="s">
        <v>141</v>
      </c>
      <c r="E5899" s="4">
        <v>-32249</v>
      </c>
      <c r="F5899" s="3" t="s">
        <v>743</v>
      </c>
      <c r="G5899" s="3" t="s">
        <v>1021</v>
      </c>
      <c r="H5899" s="2" t="s">
        <v>148</v>
      </c>
      <c r="I5899" s="2" t="s">
        <v>15227</v>
      </c>
      <c r="J5899" s="3" t="str">
        <f>HYPERLINK("https://www.boe.es/gazeta/dias/1811/09/14/pdfs/GMD-C-1811-257.pdf#page=2","Abrir facsímil")</f>
        <v>Abrir facsímil</v>
      </c>
      <c r="K5899" s="3" t="s">
        <v>150</v>
      </c>
    </row>
    <row r="5900" spans="1:11" ht="42" customHeight="1">
      <c r="A5900" s="2" t="s">
        <v>15228</v>
      </c>
      <c r="B5900" s="2" t="s">
        <v>15229</v>
      </c>
      <c r="C5900" s="2" t="s">
        <v>26</v>
      </c>
      <c r="D5900" s="2" t="s">
        <v>18</v>
      </c>
      <c r="E5900" s="4">
        <v>-32286</v>
      </c>
      <c r="F5900" s="3" t="s">
        <v>754</v>
      </c>
      <c r="G5900" s="3" t="s">
        <v>1728</v>
      </c>
      <c r="H5900" s="2" t="s">
        <v>148</v>
      </c>
      <c r="I5900" s="2" t="s">
        <v>15230</v>
      </c>
      <c r="J5900" s="3" t="str">
        <f>HYPERLINK("https://www.boe.es/gazeta/dias/1811/08/08/pdfs/GEI-1811-103.pdf#page=8","Abrir facsímil")</f>
        <v>Abrir facsímil</v>
      </c>
      <c r="K5900" s="3" t="s">
        <v>150</v>
      </c>
    </row>
    <row r="5901" spans="1:11" ht="42" customHeight="1">
      <c r="A5901" s="2" t="s">
        <v>15231</v>
      </c>
      <c r="B5901" s="2" t="s">
        <v>15232</v>
      </c>
      <c r="C5901" s="2" t="s">
        <v>26</v>
      </c>
      <c r="D5901" s="2" t="s">
        <v>204</v>
      </c>
      <c r="E5901" s="4">
        <v>-32333</v>
      </c>
      <c r="F5901" s="3" t="s">
        <v>292</v>
      </c>
      <c r="G5901" s="3" t="s">
        <v>8843</v>
      </c>
      <c r="H5901" s="2" t="s">
        <v>148</v>
      </c>
      <c r="I5901" s="2" t="s">
        <v>15233</v>
      </c>
      <c r="J5901" s="3" t="str">
        <f>HYPERLINK("https://www.boe.es/gazeta/dias/1811/06/22/pdfs/GEI-1811-83.pdf#page=3","Abrir facsímil")</f>
        <v>Abrir facsímil</v>
      </c>
      <c r="K5901" s="3" t="s">
        <v>150</v>
      </c>
    </row>
    <row r="5902" spans="1:11" ht="42" customHeight="1">
      <c r="A5902" s="2" t="s">
        <v>15234</v>
      </c>
      <c r="B5902" s="2" t="s">
        <v>15234</v>
      </c>
      <c r="C5902" s="2" t="s">
        <v>17</v>
      </c>
      <c r="D5902" s="2" t="s">
        <v>18</v>
      </c>
      <c r="E5902" s="4">
        <v>-32431</v>
      </c>
      <c r="F5902" s="3" t="s">
        <v>342</v>
      </c>
      <c r="G5902" s="3" t="s">
        <v>1463</v>
      </c>
      <c r="H5902" s="2" t="s">
        <v>148</v>
      </c>
      <c r="I5902" s="2" t="s">
        <v>15235</v>
      </c>
      <c r="J5902" s="3" t="str">
        <f>HYPERLINK("https://www.boe.es/gazeta/dias/1811/03/16/pdfs/GEI-1811-38.pdf#page=3","Abrir facsímil")</f>
        <v>Abrir facsímil</v>
      </c>
      <c r="K5902" s="3" t="s">
        <v>150</v>
      </c>
    </row>
    <row r="5903" spans="1:11" ht="42" customHeight="1">
      <c r="A5903" s="2" t="s">
        <v>15236</v>
      </c>
      <c r="B5903" s="2" t="s">
        <v>15236</v>
      </c>
      <c r="C5903" s="2" t="s">
        <v>17</v>
      </c>
      <c r="D5903" s="2" t="s">
        <v>204</v>
      </c>
      <c r="E5903" s="4">
        <v>-32342</v>
      </c>
      <c r="F5903" s="3" t="s">
        <v>1474</v>
      </c>
      <c r="G5903" s="3" t="s">
        <v>2608</v>
      </c>
      <c r="H5903" s="2" t="s">
        <v>148</v>
      </c>
      <c r="I5903" s="2" t="s">
        <v>15237</v>
      </c>
      <c r="J5903" s="3" t="str">
        <f>HYPERLINK("https://www.boe.es/gazeta/dias/1811/06/13/pdfs/GEI-1811-79.pdf#page=4","Abrir facsímil")</f>
        <v>Abrir facsímil</v>
      </c>
      <c r="K5903" s="3" t="s">
        <v>150</v>
      </c>
    </row>
    <row r="5904" spans="1:11" ht="42" customHeight="1">
      <c r="A5904" s="2" t="s">
        <v>15238</v>
      </c>
      <c r="B5904" s="2" t="s">
        <v>15239</v>
      </c>
      <c r="C5904" s="2" t="s">
        <v>26</v>
      </c>
      <c r="D5904" s="2" t="s">
        <v>141</v>
      </c>
      <c r="E5904" s="4">
        <v>-32249</v>
      </c>
      <c r="F5904" s="3" t="s">
        <v>743</v>
      </c>
      <c r="G5904" s="3" t="s">
        <v>1021</v>
      </c>
      <c r="H5904" s="2" t="s">
        <v>148</v>
      </c>
      <c r="I5904" s="2" t="s">
        <v>15240</v>
      </c>
      <c r="J5904" s="3" t="str">
        <f>HYPERLINK("https://www.boe.es/gazeta/dias/1811/09/14/pdfs/GMD-C-1811-257.pdf#page=2","Abrir facsímil")</f>
        <v>Abrir facsímil</v>
      </c>
      <c r="K5904" s="3" t="s">
        <v>150</v>
      </c>
    </row>
    <row r="5905" spans="1:11" ht="42" customHeight="1">
      <c r="A5905" s="2" t="s">
        <v>15241</v>
      </c>
      <c r="B5905" s="2" t="s">
        <v>15242</v>
      </c>
      <c r="C5905" s="2" t="s">
        <v>26</v>
      </c>
      <c r="D5905" s="2" t="s">
        <v>141</v>
      </c>
      <c r="E5905" s="4">
        <v>-32249</v>
      </c>
      <c r="F5905" s="3" t="s">
        <v>743</v>
      </c>
      <c r="G5905" s="3" t="s">
        <v>468</v>
      </c>
      <c r="H5905" s="2" t="s">
        <v>148</v>
      </c>
      <c r="I5905" s="2" t="s">
        <v>15243</v>
      </c>
      <c r="J5905" s="3" t="str">
        <f>HYPERLINK("https://www.boe.es/gazeta/dias/1811/09/14/pdfs/GMD-C-1811-257.pdf#page=1","Abrir facsímil")</f>
        <v>Abrir facsímil</v>
      </c>
      <c r="K5905" s="3" t="s">
        <v>150</v>
      </c>
    </row>
    <row r="5906" spans="1:11" ht="42" customHeight="1">
      <c r="A5906" s="2" t="s">
        <v>15241</v>
      </c>
      <c r="B5906" s="2" t="s">
        <v>15242</v>
      </c>
      <c r="C5906" s="2" t="s">
        <v>17</v>
      </c>
      <c r="D5906" s="2" t="s">
        <v>156</v>
      </c>
      <c r="E5906" s="4">
        <v>-32165</v>
      </c>
      <c r="F5906" s="3" t="s">
        <v>1462</v>
      </c>
      <c r="G5906" s="3" t="s">
        <v>1463</v>
      </c>
      <c r="H5906" s="2" t="s">
        <v>148</v>
      </c>
      <c r="I5906" s="2" t="s">
        <v>15244</v>
      </c>
      <c r="J5906" s="3" t="str">
        <f>HYPERLINK("https://www.boe.es/gazeta/dias/1811/12/07/pdfs/GMD-1811-341.pdf#page=3","Abrir facsímil")</f>
        <v>Abrir facsímil</v>
      </c>
      <c r="K5906" s="3" t="s">
        <v>150</v>
      </c>
    </row>
    <row r="5907" spans="1:11" ht="42" customHeight="1">
      <c r="A5907" s="2" t="s">
        <v>15245</v>
      </c>
      <c r="B5907" s="2" t="s">
        <v>15246</v>
      </c>
      <c r="C5907" s="2" t="s">
        <v>26</v>
      </c>
      <c r="D5907" s="2" t="s">
        <v>141</v>
      </c>
      <c r="E5907" s="4">
        <v>-32272</v>
      </c>
      <c r="F5907" s="3" t="s">
        <v>1150</v>
      </c>
      <c r="G5907" s="3" t="s">
        <v>248</v>
      </c>
      <c r="H5907" s="2" t="s">
        <v>148</v>
      </c>
      <c r="I5907" s="2" t="s">
        <v>15247</v>
      </c>
      <c r="J5907" s="3" t="str">
        <f>HYPERLINK("https://www.boe.es/gazeta/dias/1811/08/22/pdfs/GMD-C-1811-234.pdf#page=1","Abrir facsímil")</f>
        <v>Abrir facsímil</v>
      </c>
      <c r="K5907" s="3" t="s">
        <v>150</v>
      </c>
    </row>
    <row r="5908" spans="1:11" ht="42" customHeight="1">
      <c r="A5908" s="2" t="s">
        <v>15248</v>
      </c>
      <c r="B5908" s="2" t="s">
        <v>15248</v>
      </c>
      <c r="C5908" s="2" t="s">
        <v>17</v>
      </c>
      <c r="D5908" s="2" t="s">
        <v>156</v>
      </c>
      <c r="E5908" s="4">
        <v>-32434</v>
      </c>
      <c r="F5908" s="3" t="s">
        <v>1932</v>
      </c>
      <c r="G5908" s="3" t="s">
        <v>178</v>
      </c>
      <c r="H5908" s="2" t="s">
        <v>148</v>
      </c>
      <c r="I5908" s="2" t="s">
        <v>15249</v>
      </c>
      <c r="J5908" s="3" t="str">
        <f>HYPERLINK("https://www.boe.es/gazeta/dias/1811/03/13/pdfs/GMD-1811-72.pdf#page=2","Abrir facsímil")</f>
        <v>Abrir facsímil</v>
      </c>
      <c r="K5908" s="3" t="s">
        <v>150</v>
      </c>
    </row>
    <row r="5909" spans="1:11" ht="42" customHeight="1">
      <c r="A5909" s="2" t="s">
        <v>15248</v>
      </c>
      <c r="B5909" s="2" t="s">
        <v>15248</v>
      </c>
      <c r="C5909" s="2" t="s">
        <v>26</v>
      </c>
      <c r="D5909" s="2" t="s">
        <v>204</v>
      </c>
      <c r="E5909" s="4">
        <v>-32318</v>
      </c>
      <c r="F5909" s="3" t="s">
        <v>1193</v>
      </c>
      <c r="G5909" s="3" t="s">
        <v>134</v>
      </c>
      <c r="H5909" s="2" t="s">
        <v>148</v>
      </c>
      <c r="I5909" s="2" t="s">
        <v>15250</v>
      </c>
      <c r="J5909" s="3" t="str">
        <f>HYPERLINK("https://www.boe.es/gazeta/dias/1811/07/07/pdfs/GMD-1811-188.pdf#page=4","Abrir facsímil")</f>
        <v>Abrir facsímil</v>
      </c>
      <c r="K5909" s="3" t="s">
        <v>150</v>
      </c>
    </row>
    <row r="5910" spans="1:11" ht="42" customHeight="1">
      <c r="A5910" s="2" t="s">
        <v>15251</v>
      </c>
      <c r="B5910" s="2" t="s">
        <v>15252</v>
      </c>
      <c r="C5910" s="2" t="s">
        <v>26</v>
      </c>
      <c r="D5910" s="2" t="s">
        <v>18</v>
      </c>
      <c r="E5910" s="4">
        <v>-32242</v>
      </c>
      <c r="F5910" s="3" t="s">
        <v>1295</v>
      </c>
      <c r="G5910" s="3" t="s">
        <v>1296</v>
      </c>
      <c r="H5910" s="2" t="s">
        <v>148</v>
      </c>
      <c r="I5910" s="2" t="s">
        <v>15253</v>
      </c>
      <c r="J5910" s="3" t="str">
        <f>HYPERLINK("https://www.boe.es/gazeta/dias/1811/09/21/pdfs/GEI-1811-122.pdf#page=8","Abrir facsímil")</f>
        <v>Abrir facsímil</v>
      </c>
      <c r="K5910" s="3" t="s">
        <v>150</v>
      </c>
    </row>
    <row r="5911" spans="1:11" ht="42" customHeight="1">
      <c r="A5911" s="2" t="s">
        <v>15254</v>
      </c>
      <c r="B5911" s="2" t="s">
        <v>15254</v>
      </c>
      <c r="C5911" s="2" t="s">
        <v>17</v>
      </c>
      <c r="D5911" s="2" t="s">
        <v>18</v>
      </c>
      <c r="E5911" s="4">
        <v>-32295</v>
      </c>
      <c r="F5911" s="3" t="s">
        <v>6168</v>
      </c>
      <c r="G5911" s="3" t="s">
        <v>2682</v>
      </c>
      <c r="H5911" s="2" t="s">
        <v>148</v>
      </c>
      <c r="I5911" s="2" t="s">
        <v>15255</v>
      </c>
      <c r="J5911" s="3" t="str">
        <f>HYPERLINK("https://www.boe.es/gazeta/dias/1811/07/30/pdfs/GMD-1811-211.pdf#page=3","Abrir facsímil")</f>
        <v>Abrir facsímil</v>
      </c>
      <c r="K5911" s="3" t="s">
        <v>150</v>
      </c>
    </row>
    <row r="5912" spans="1:11" ht="42" customHeight="1">
      <c r="A5912" s="2" t="s">
        <v>15256</v>
      </c>
      <c r="B5912" s="2" t="s">
        <v>15257</v>
      </c>
      <c r="C5912" s="2" t="s">
        <v>17</v>
      </c>
      <c r="D5912" s="2" t="s">
        <v>18</v>
      </c>
      <c r="E5912" s="4">
        <v>-32330</v>
      </c>
      <c r="F5912" s="3" t="s">
        <v>1824</v>
      </c>
      <c r="G5912" s="3" t="s">
        <v>248</v>
      </c>
      <c r="H5912" s="2" t="s">
        <v>148</v>
      </c>
      <c r="I5912" s="2" t="s">
        <v>15258</v>
      </c>
      <c r="J5912" s="3" t="str">
        <f>HYPERLINK("https://www.boe.es/gazeta/dias/1811/06/25/pdfs/GEI-1811-84.pdf#page=1","Abrir facsímil")</f>
        <v>Abrir facsímil</v>
      </c>
      <c r="K5912" s="3" t="s">
        <v>150</v>
      </c>
    </row>
    <row r="5913" spans="1:11" ht="42" customHeight="1">
      <c r="A5913" s="2" t="s">
        <v>15259</v>
      </c>
      <c r="B5913" s="2" t="s">
        <v>15260</v>
      </c>
      <c r="C5913" s="2" t="s">
        <v>26</v>
      </c>
      <c r="D5913" s="2" t="s">
        <v>18</v>
      </c>
      <c r="E5913" s="4">
        <v>-32188</v>
      </c>
      <c r="F5913" s="3" t="s">
        <v>356</v>
      </c>
      <c r="G5913" s="3" t="s">
        <v>468</v>
      </c>
      <c r="H5913" s="2" t="s">
        <v>148</v>
      </c>
      <c r="I5913" s="2" t="s">
        <v>15261</v>
      </c>
      <c r="J5913" s="3" t="str">
        <f>HYPERLINK("https://www.boe.es/gazeta/dias/1811/11/14/pdfs/GMD-1811-318.pdf#page=6","Abrir facsímil")</f>
        <v>Abrir facsímil</v>
      </c>
      <c r="K5913" s="3" t="s">
        <v>150</v>
      </c>
    </row>
    <row r="5914" spans="1:11" ht="42" customHeight="1">
      <c r="A5914" s="2" t="s">
        <v>15262</v>
      </c>
      <c r="B5914" s="2" t="s">
        <v>15262</v>
      </c>
      <c r="C5914" s="2" t="s">
        <v>104</v>
      </c>
      <c r="D5914" s="2" t="s">
        <v>18</v>
      </c>
      <c r="E5914" s="4">
        <v>-32469</v>
      </c>
      <c r="F5914" s="3" t="s">
        <v>3448</v>
      </c>
      <c r="G5914" s="3" t="s">
        <v>20</v>
      </c>
      <c r="H5914" s="2" t="s">
        <v>148</v>
      </c>
      <c r="I5914" s="2" t="s">
        <v>15263</v>
      </c>
      <c r="J5914" s="3" t="str">
        <f>HYPERLINK("https://www.boe.es/gazeta/dias/1811/02/06/pdfs/GMD-1811-37.pdf#page=1","Abrir facsímil")</f>
        <v>Abrir facsímil</v>
      </c>
      <c r="K5914" s="3" t="s">
        <v>150</v>
      </c>
    </row>
    <row r="5915" spans="1:11" ht="42" customHeight="1">
      <c r="A5915" s="2" t="s">
        <v>15262</v>
      </c>
      <c r="B5915" s="2" t="s">
        <v>15262</v>
      </c>
      <c r="C5915" s="2" t="s">
        <v>104</v>
      </c>
      <c r="D5915" s="2" t="s">
        <v>204</v>
      </c>
      <c r="E5915" s="4">
        <v>-32445</v>
      </c>
      <c r="F5915" s="3" t="s">
        <v>880</v>
      </c>
      <c r="G5915" s="3" t="s">
        <v>391</v>
      </c>
      <c r="H5915" s="2" t="s">
        <v>148</v>
      </c>
      <c r="I5915" s="2" t="s">
        <v>15264</v>
      </c>
      <c r="J5915" s="3" t="str">
        <f>HYPERLINK("https://www.boe.es/gazeta/dias/1811/03/02/pdfs/GMD-1811-61.pdf#page=2","Abrir facsímil")</f>
        <v>Abrir facsímil</v>
      </c>
      <c r="K5915" s="3" t="s">
        <v>150</v>
      </c>
    </row>
    <row r="5916" spans="1:11" ht="42" customHeight="1">
      <c r="A5916" s="2" t="s">
        <v>15265</v>
      </c>
      <c r="B5916" s="2" t="s">
        <v>15265</v>
      </c>
      <c r="C5916" s="2" t="s">
        <v>104</v>
      </c>
      <c r="D5916" s="2" t="s">
        <v>18</v>
      </c>
      <c r="E5916" s="4">
        <v>-32328</v>
      </c>
      <c r="F5916" s="3" t="s">
        <v>2055</v>
      </c>
      <c r="G5916" s="3" t="s">
        <v>2056</v>
      </c>
      <c r="H5916" s="2" t="s">
        <v>148</v>
      </c>
      <c r="I5916" s="2" t="s">
        <v>15266</v>
      </c>
      <c r="J5916" s="3" t="str">
        <f>HYPERLINK("https://www.boe.es/gazeta/dias/1811/06/27/pdfs/GMD-1811-178.pdf#page=1","Abrir facsímil")</f>
        <v>Abrir facsímil</v>
      </c>
      <c r="K5916" s="3" t="s">
        <v>150</v>
      </c>
    </row>
    <row r="5917" spans="1:11" ht="42" customHeight="1">
      <c r="A5917" s="2" t="s">
        <v>15267</v>
      </c>
      <c r="B5917" s="2" t="s">
        <v>15268</v>
      </c>
      <c r="C5917" s="2" t="s">
        <v>26</v>
      </c>
      <c r="D5917" s="2" t="s">
        <v>18</v>
      </c>
      <c r="E5917" s="4">
        <v>-32153</v>
      </c>
      <c r="F5917" s="3" t="s">
        <v>235</v>
      </c>
      <c r="G5917" s="3" t="s">
        <v>2181</v>
      </c>
      <c r="H5917" s="2" t="s">
        <v>148</v>
      </c>
      <c r="I5917" s="2" t="s">
        <v>15269</v>
      </c>
      <c r="J5917" s="3" t="str">
        <f>HYPERLINK("https://www.boe.es/gazeta/dias/1811/12/19/pdfs/GEI-1811-164.pdf#page=8","Abrir facsímil")</f>
        <v>Abrir facsímil</v>
      </c>
      <c r="K5917" s="3" t="s">
        <v>150</v>
      </c>
    </row>
    <row r="5918" spans="1:11" ht="42" customHeight="1">
      <c r="A5918" s="2" t="s">
        <v>15270</v>
      </c>
      <c r="B5918" s="2" t="s">
        <v>15271</v>
      </c>
      <c r="C5918" s="2" t="s">
        <v>104</v>
      </c>
      <c r="D5918" s="2" t="s">
        <v>18</v>
      </c>
      <c r="E5918" s="4">
        <v>-32494</v>
      </c>
      <c r="F5918" s="3" t="s">
        <v>585</v>
      </c>
      <c r="G5918" s="3" t="s">
        <v>391</v>
      </c>
      <c r="H5918" s="2" t="s">
        <v>148</v>
      </c>
      <c r="I5918" s="2" t="s">
        <v>15272</v>
      </c>
      <c r="J5918" s="3" t="str">
        <f>HYPERLINK("https://www.boe.es/gazeta/dias/1811/01/12/pdfs/GMD-1811-12.pdf#page=3","Abrir facsímil")</f>
        <v>Abrir facsímil</v>
      </c>
      <c r="K5918" s="3" t="s">
        <v>150</v>
      </c>
    </row>
    <row r="5919" spans="1:11" ht="42" customHeight="1">
      <c r="A5919" s="2" t="s">
        <v>15273</v>
      </c>
      <c r="B5919" s="2" t="s">
        <v>15273</v>
      </c>
      <c r="C5919" s="2" t="s">
        <v>104</v>
      </c>
      <c r="D5919" s="2" t="s">
        <v>18</v>
      </c>
      <c r="E5919" s="4">
        <v>-32239</v>
      </c>
      <c r="F5919" s="3" t="s">
        <v>3634</v>
      </c>
      <c r="G5919" s="3" t="s">
        <v>9998</v>
      </c>
      <c r="H5919" s="2" t="s">
        <v>148</v>
      </c>
      <c r="I5919" s="2" t="s">
        <v>15274</v>
      </c>
      <c r="J5919" s="3" t="str">
        <f>HYPERLINK("https://www.boe.es/gazeta/dias/1811/09/24/pdfs/GMD-1811-267.pdf#page=3","Abrir facsímil")</f>
        <v>Abrir facsímil</v>
      </c>
      <c r="K5919" s="3" t="s">
        <v>150</v>
      </c>
    </row>
    <row r="5920" spans="1:11" ht="42" customHeight="1">
      <c r="A5920" s="2" t="s">
        <v>15275</v>
      </c>
      <c r="B5920" s="2" t="s">
        <v>15276</v>
      </c>
      <c r="C5920" s="2" t="s">
        <v>104</v>
      </c>
      <c r="D5920" s="2" t="s">
        <v>18</v>
      </c>
      <c r="E5920" s="4">
        <v>-32487</v>
      </c>
      <c r="F5920" s="3" t="s">
        <v>842</v>
      </c>
      <c r="G5920" s="3" t="s">
        <v>440</v>
      </c>
      <c r="H5920" s="2" t="s">
        <v>148</v>
      </c>
      <c r="I5920" s="2" t="s">
        <v>15277</v>
      </c>
      <c r="J5920" s="3" t="str">
        <f>HYPERLINK("https://www.boe.es/gazeta/dias/1811/01/19/pdfs/GEI-1811-9.pdf#page=2","Abrir facsímil")</f>
        <v>Abrir facsímil</v>
      </c>
      <c r="K5920" s="3" t="s">
        <v>150</v>
      </c>
    </row>
    <row r="5921" spans="1:11" ht="42" customHeight="1">
      <c r="A5921" s="2" t="s">
        <v>15278</v>
      </c>
      <c r="B5921" s="2" t="s">
        <v>15279</v>
      </c>
      <c r="C5921" s="2" t="s">
        <v>17</v>
      </c>
      <c r="D5921" s="2" t="s">
        <v>18</v>
      </c>
      <c r="E5921" s="4">
        <v>-32300</v>
      </c>
      <c r="F5921" s="3" t="s">
        <v>61</v>
      </c>
      <c r="G5921" s="3" t="s">
        <v>62</v>
      </c>
      <c r="H5921" s="2" t="s">
        <v>148</v>
      </c>
      <c r="I5921" s="2" t="s">
        <v>15280</v>
      </c>
      <c r="J5921" s="3" t="str">
        <f>HYPERLINK("https://www.boe.es/gazeta/dias/1811/07/25/pdfs/GEI-1811-97.pdf#page=5","Abrir facsímil")</f>
        <v>Abrir facsímil</v>
      </c>
      <c r="K5921" s="3" t="s">
        <v>150</v>
      </c>
    </row>
    <row r="5922" spans="1:11" ht="42" customHeight="1">
      <c r="A5922" s="2" t="s">
        <v>15278</v>
      </c>
      <c r="B5922" s="2" t="s">
        <v>15279</v>
      </c>
      <c r="C5922" s="2" t="s">
        <v>17</v>
      </c>
      <c r="D5922" s="2" t="s">
        <v>18</v>
      </c>
      <c r="E5922" s="4">
        <v>-32230</v>
      </c>
      <c r="F5922" s="3" t="s">
        <v>625</v>
      </c>
      <c r="G5922" s="3" t="s">
        <v>1258</v>
      </c>
      <c r="H5922" s="2" t="s">
        <v>148</v>
      </c>
      <c r="I5922" s="2" t="s">
        <v>15281</v>
      </c>
      <c r="J5922" s="3" t="str">
        <f>HYPERLINK("https://www.boe.es/gazeta/dias/1811/10/03/pdfs/GEI-1811-127.pdf#page=8","Abrir facsímil")</f>
        <v>Abrir facsímil</v>
      </c>
      <c r="K5922" s="3" t="s">
        <v>150</v>
      </c>
    </row>
    <row r="5923" spans="1:11" ht="42" customHeight="1">
      <c r="A5923" s="2" t="s">
        <v>15282</v>
      </c>
      <c r="B5923" s="2" t="s">
        <v>15283</v>
      </c>
      <c r="C5923" s="2" t="s">
        <v>17</v>
      </c>
      <c r="D5923" s="2" t="s">
        <v>18</v>
      </c>
      <c r="E5923" s="4">
        <v>-32260</v>
      </c>
      <c r="F5923" s="3" t="s">
        <v>27</v>
      </c>
      <c r="G5923" s="3" t="s">
        <v>183</v>
      </c>
      <c r="H5923" s="2" t="s">
        <v>148</v>
      </c>
      <c r="I5923" s="2" t="s">
        <v>15284</v>
      </c>
      <c r="J5923" s="3" t="str">
        <f>HYPERLINK("https://www.boe.es/gazeta/dias/1811/09/03/pdfs/GEI-1811-114.pdf#page=4","Abrir facsímil")</f>
        <v>Abrir facsímil</v>
      </c>
      <c r="K5923" s="3" t="s">
        <v>150</v>
      </c>
    </row>
    <row r="5924" spans="1:11" ht="42" customHeight="1">
      <c r="A5924" s="2" t="s">
        <v>15285</v>
      </c>
      <c r="B5924" s="2" t="s">
        <v>15286</v>
      </c>
      <c r="C5924" s="2" t="s">
        <v>26</v>
      </c>
      <c r="D5924" s="2" t="s">
        <v>18</v>
      </c>
      <c r="E5924" s="4">
        <v>-32165</v>
      </c>
      <c r="F5924" s="3" t="s">
        <v>1462</v>
      </c>
      <c r="G5924" s="3" t="s">
        <v>3610</v>
      </c>
      <c r="H5924" s="2" t="s">
        <v>148</v>
      </c>
      <c r="I5924" s="2" t="s">
        <v>15287</v>
      </c>
      <c r="J5924" s="3" t="str">
        <f>HYPERLINK("https://www.boe.es/gazeta/dias/1811/12/07/pdfs/GMD-1811-341.pdf#page=4","Abrir facsímil")</f>
        <v>Abrir facsímil</v>
      </c>
      <c r="K5924" s="3" t="s">
        <v>150</v>
      </c>
    </row>
    <row r="5925" spans="1:11" ht="42" customHeight="1">
      <c r="A5925" s="2" t="s">
        <v>15288</v>
      </c>
      <c r="B5925" s="2" t="s">
        <v>15289</v>
      </c>
      <c r="C5925" s="2" t="s">
        <v>26</v>
      </c>
      <c r="D5925" s="2" t="s">
        <v>18</v>
      </c>
      <c r="E5925" s="4">
        <v>-32295</v>
      </c>
      <c r="F5925" s="3" t="s">
        <v>279</v>
      </c>
      <c r="G5925" s="3" t="s">
        <v>44</v>
      </c>
      <c r="H5925" s="2" t="s">
        <v>148</v>
      </c>
      <c r="I5925" s="2" t="s">
        <v>15290</v>
      </c>
      <c r="J5925" s="3" t="str">
        <f>HYPERLINK("https://www.boe.es/gazeta/dias/1811/07/30/pdfs/GEI-1811-99.pdf#page=8","Abrir facsímil")</f>
        <v>Abrir facsímil</v>
      </c>
      <c r="K5925" s="3" t="s">
        <v>150</v>
      </c>
    </row>
    <row r="5926" spans="1:11" ht="42" customHeight="1">
      <c r="A5926" s="2" t="s">
        <v>15291</v>
      </c>
      <c r="B5926" s="2" t="s">
        <v>15292</v>
      </c>
      <c r="C5926" s="2" t="s">
        <v>17</v>
      </c>
      <c r="D5926" s="2" t="s">
        <v>156</v>
      </c>
      <c r="E5926" s="4">
        <v>-32326</v>
      </c>
      <c r="F5926" s="3" t="s">
        <v>43</v>
      </c>
      <c r="G5926" s="3" t="s">
        <v>4762</v>
      </c>
      <c r="H5926" s="2" t="s">
        <v>148</v>
      </c>
      <c r="I5926" s="2" t="s">
        <v>15293</v>
      </c>
      <c r="J5926" s="3" t="str">
        <f>HYPERLINK("https://www.boe.es/gazeta/dias/1811/06/29/pdfs/GEI-1811-86.pdf#page=4","Abrir facsímil")</f>
        <v>Abrir facsímil</v>
      </c>
      <c r="K5926" s="3" t="s">
        <v>150</v>
      </c>
    </row>
    <row r="5927" spans="1:11" ht="42" customHeight="1">
      <c r="A5927" s="2" t="s">
        <v>15294</v>
      </c>
      <c r="B5927" s="2" t="s">
        <v>15295</v>
      </c>
      <c r="C5927" s="2" t="s">
        <v>26</v>
      </c>
      <c r="D5927" s="2" t="s">
        <v>18</v>
      </c>
      <c r="E5927" s="4">
        <v>-32342</v>
      </c>
      <c r="F5927" s="3" t="s">
        <v>1474</v>
      </c>
      <c r="G5927" s="3" t="s">
        <v>44</v>
      </c>
      <c r="H5927" s="2" t="s">
        <v>148</v>
      </c>
      <c r="I5927" s="2" t="s">
        <v>15296</v>
      </c>
      <c r="J5927" s="3" t="str">
        <f>HYPERLINK("https://www.boe.es/gazeta/dias/1811/06/13/pdfs/GEI-1811-79.pdf#page=8","Abrir facsímil")</f>
        <v>Abrir facsímil</v>
      </c>
      <c r="K5927" s="3" t="s">
        <v>150</v>
      </c>
    </row>
    <row r="5928" spans="1:11" ht="42" customHeight="1">
      <c r="A5928" s="2" t="s">
        <v>15297</v>
      </c>
      <c r="B5928" s="2" t="s">
        <v>15298</v>
      </c>
      <c r="C5928" s="2" t="s">
        <v>26</v>
      </c>
      <c r="D5928" s="2" t="s">
        <v>18</v>
      </c>
      <c r="E5928" s="4">
        <v>-32342</v>
      </c>
      <c r="F5928" s="3" t="s">
        <v>1474</v>
      </c>
      <c r="G5928" s="3" t="s">
        <v>44</v>
      </c>
      <c r="H5928" s="2" t="s">
        <v>148</v>
      </c>
      <c r="I5928" s="2" t="s">
        <v>15299</v>
      </c>
      <c r="J5928" s="3" t="str">
        <f>HYPERLINK("https://www.boe.es/gazeta/dias/1811/06/13/pdfs/GEI-1811-79.pdf#page=8","Abrir facsímil")</f>
        <v>Abrir facsímil</v>
      </c>
      <c r="K5928" s="3" t="s">
        <v>150</v>
      </c>
    </row>
    <row r="5929" spans="1:11" ht="42" customHeight="1">
      <c r="A5929" s="2" t="s">
        <v>15300</v>
      </c>
      <c r="B5929" s="2" t="s">
        <v>15300</v>
      </c>
      <c r="C5929" s="2" t="s">
        <v>17</v>
      </c>
      <c r="D5929" s="2" t="s">
        <v>156</v>
      </c>
      <c r="E5929" s="4">
        <v>-32314</v>
      </c>
      <c r="F5929" s="3" t="s">
        <v>570</v>
      </c>
      <c r="G5929" s="3" t="s">
        <v>571</v>
      </c>
      <c r="H5929" s="2" t="s">
        <v>148</v>
      </c>
      <c r="I5929" s="2" t="s">
        <v>15301</v>
      </c>
      <c r="J5929" s="3" t="str">
        <f>HYPERLINK("https://www.boe.es/gazeta/dias/1811/07/11/pdfs/GEI-1811-91.pdf#page=7","Abrir facsímil")</f>
        <v>Abrir facsímil</v>
      </c>
      <c r="K5929" s="3" t="s">
        <v>150</v>
      </c>
    </row>
    <row r="5930" spans="1:11" ht="42" customHeight="1">
      <c r="A5930" s="2" t="s">
        <v>15302</v>
      </c>
      <c r="B5930" s="2" t="s">
        <v>15303</v>
      </c>
      <c r="C5930" s="2" t="s">
        <v>37</v>
      </c>
      <c r="D5930" s="2" t="s">
        <v>105</v>
      </c>
      <c r="E5930" s="4">
        <v>-32283</v>
      </c>
      <c r="F5930" s="3" t="s">
        <v>90</v>
      </c>
      <c r="G5930" s="3" t="s">
        <v>91</v>
      </c>
      <c r="H5930" s="2" t="s">
        <v>148</v>
      </c>
      <c r="I5930" s="2" t="s">
        <v>15304</v>
      </c>
      <c r="J5930" s="3" t="str">
        <f>HYPERLINK("https://www.boe.es/gazeta/dias/1811/08/11/pdfs/GMD-1811-223.pdf#page=4","Abrir facsímil")</f>
        <v>Abrir facsímil</v>
      </c>
      <c r="K5930" s="3" t="s">
        <v>150</v>
      </c>
    </row>
    <row r="5931" spans="1:11" ht="42" customHeight="1">
      <c r="A5931" s="2" t="s">
        <v>15305</v>
      </c>
      <c r="B5931" s="2" t="s">
        <v>15306</v>
      </c>
      <c r="C5931" s="2" t="s">
        <v>17</v>
      </c>
      <c r="D5931" s="2" t="s">
        <v>18</v>
      </c>
      <c r="E5931" s="4">
        <v>-32183</v>
      </c>
      <c r="F5931" s="3" t="s">
        <v>3310</v>
      </c>
      <c r="G5931" s="3" t="s">
        <v>44</v>
      </c>
      <c r="H5931" s="2" t="s">
        <v>21</v>
      </c>
      <c r="I5931" s="2" t="s">
        <v>15307</v>
      </c>
      <c r="J5931" s="3" t="str">
        <f>HYPERLINK("https://www.boe.es/gazeta/dias/1811/11/19/pdfs/GEI-1811-151.pdf#page=6","Abrir facsímil")</f>
        <v>Abrir facsímil</v>
      </c>
      <c r="K5931" s="3" t="s">
        <v>23</v>
      </c>
    </row>
    <row r="5932" spans="1:11" ht="42" customHeight="1">
      <c r="A5932" s="2" t="s">
        <v>15308</v>
      </c>
      <c r="B5932" s="2" t="s">
        <v>15309</v>
      </c>
      <c r="C5932" s="2" t="s">
        <v>17</v>
      </c>
      <c r="D5932" s="2" t="s">
        <v>18</v>
      </c>
      <c r="E5932" s="4">
        <v>-32314</v>
      </c>
      <c r="F5932" s="3" t="s">
        <v>570</v>
      </c>
      <c r="G5932" s="3" t="s">
        <v>571</v>
      </c>
      <c r="H5932" s="2" t="s">
        <v>148</v>
      </c>
      <c r="I5932" s="2" t="s">
        <v>15310</v>
      </c>
      <c r="J5932" s="3" t="str">
        <f>HYPERLINK("https://www.boe.es/gazeta/dias/1811/07/11/pdfs/GEI-1811-91.pdf#page=7","Abrir facsímil")</f>
        <v>Abrir facsímil</v>
      </c>
      <c r="K5932" s="3" t="s">
        <v>150</v>
      </c>
    </row>
    <row r="5933" spans="1:11" ht="42" customHeight="1">
      <c r="A5933" s="2" t="s">
        <v>15308</v>
      </c>
      <c r="B5933" s="2" t="s">
        <v>15309</v>
      </c>
      <c r="C5933" s="2" t="s">
        <v>17</v>
      </c>
      <c r="D5933" s="2" t="s">
        <v>156</v>
      </c>
      <c r="E5933" s="4">
        <v>-32183</v>
      </c>
      <c r="F5933" s="3" t="s">
        <v>3310</v>
      </c>
      <c r="G5933" s="3" t="s">
        <v>44</v>
      </c>
      <c r="H5933" s="2" t="s">
        <v>148</v>
      </c>
      <c r="I5933" s="2" t="s">
        <v>15311</v>
      </c>
      <c r="J5933" s="3" t="str">
        <f>HYPERLINK("https://www.boe.es/gazeta/dias/1811/11/19/pdfs/GEI-1811-151.pdf#page=6","Abrir facsímil")</f>
        <v>Abrir facsímil</v>
      </c>
      <c r="K5933" s="3" t="s">
        <v>150</v>
      </c>
    </row>
    <row r="5934" spans="1:11" ht="42" customHeight="1">
      <c r="A5934" s="2" t="s">
        <v>15312</v>
      </c>
      <c r="B5934" s="2" t="s">
        <v>15313</v>
      </c>
      <c r="C5934" s="2" t="s">
        <v>84</v>
      </c>
      <c r="D5934" s="2" t="s">
        <v>105</v>
      </c>
      <c r="E5934" s="4">
        <v>-32274</v>
      </c>
      <c r="F5934" s="3" t="s">
        <v>5081</v>
      </c>
      <c r="G5934" s="3" t="s">
        <v>14256</v>
      </c>
      <c r="H5934" s="2" t="s">
        <v>148</v>
      </c>
      <c r="I5934" s="2" t="s">
        <v>15314</v>
      </c>
      <c r="J5934" s="3" t="str">
        <f>HYPERLINK("https://www.boe.es/gazeta/dias/1811/08/20/pdfs/GEI-1811-108.pdf#page=8","Abrir facsímil")</f>
        <v>Abrir facsímil</v>
      </c>
      <c r="K5934" s="3" t="s">
        <v>150</v>
      </c>
    </row>
    <row r="5935" spans="1:11" ht="42" customHeight="1">
      <c r="A5935" s="2" t="s">
        <v>15315</v>
      </c>
      <c r="B5935" s="2" t="s">
        <v>15315</v>
      </c>
      <c r="C5935" s="2" t="s">
        <v>26</v>
      </c>
      <c r="D5935" s="2" t="s">
        <v>18</v>
      </c>
      <c r="E5935" s="4">
        <v>-32416</v>
      </c>
      <c r="F5935" s="3" t="s">
        <v>954</v>
      </c>
      <c r="G5935" s="3" t="s">
        <v>47</v>
      </c>
      <c r="H5935" s="2" t="s">
        <v>148</v>
      </c>
      <c r="I5935" s="2" t="s">
        <v>15316</v>
      </c>
      <c r="J5935" s="3" t="str">
        <f>HYPERLINK("https://www.boe.es/gazeta/dias/1811/03/31/pdfs/GMD-1811-90.pdf#page=3","Abrir facsímil")</f>
        <v>Abrir facsímil</v>
      </c>
      <c r="K5935" s="3" t="s">
        <v>150</v>
      </c>
    </row>
    <row r="5936" spans="1:11" ht="42" customHeight="1">
      <c r="A5936" s="2" t="s">
        <v>15315</v>
      </c>
      <c r="B5936" s="2" t="s">
        <v>15315</v>
      </c>
      <c r="C5936" s="2" t="s">
        <v>26</v>
      </c>
      <c r="D5936" s="2" t="s">
        <v>18</v>
      </c>
      <c r="E5936" s="4">
        <v>-32394</v>
      </c>
      <c r="F5936" s="3" t="s">
        <v>1709</v>
      </c>
      <c r="G5936" s="3" t="s">
        <v>115</v>
      </c>
      <c r="H5936" s="2" t="s">
        <v>148</v>
      </c>
      <c r="I5936" s="2" t="s">
        <v>15317</v>
      </c>
      <c r="J5936" s="3" t="str">
        <f>HYPERLINK("https://www.boe.es/gazeta/dias/1811/04/22/pdfs/GMD-1811-112.pdf#page=3","Abrir facsímil")</f>
        <v>Abrir facsímil</v>
      </c>
      <c r="K5936" s="3" t="s">
        <v>150</v>
      </c>
    </row>
    <row r="5937" spans="1:11" ht="42" customHeight="1">
      <c r="A5937" s="2" t="s">
        <v>15318</v>
      </c>
      <c r="B5937" s="2" t="s">
        <v>15319</v>
      </c>
      <c r="C5937" s="2" t="s">
        <v>17</v>
      </c>
      <c r="D5937" s="2" t="s">
        <v>18</v>
      </c>
      <c r="E5937" s="4">
        <v>-32421</v>
      </c>
      <c r="F5937" s="3" t="s">
        <v>79</v>
      </c>
      <c r="G5937" s="3" t="s">
        <v>80</v>
      </c>
      <c r="H5937" s="2" t="s">
        <v>21</v>
      </c>
      <c r="I5937" s="2" t="s">
        <v>15320</v>
      </c>
      <c r="J5937" s="3" t="str">
        <f>HYPERLINK("https://www.boe.es/gazeta/dias/1811/03/26/pdfs/GEI-1811-42.pdf#page=7","Abrir facsímil")</f>
        <v>Abrir facsímil</v>
      </c>
      <c r="K5937" s="3" t="s">
        <v>23</v>
      </c>
    </row>
    <row r="5938" spans="1:11" ht="42" customHeight="1">
      <c r="A5938" s="2" t="s">
        <v>15321</v>
      </c>
      <c r="B5938" s="2" t="s">
        <v>15321</v>
      </c>
      <c r="C5938" s="2" t="s">
        <v>26</v>
      </c>
      <c r="D5938" s="2" t="s">
        <v>18</v>
      </c>
      <c r="E5938" s="4">
        <v>-32505</v>
      </c>
      <c r="F5938" s="3" t="s">
        <v>475</v>
      </c>
      <c r="G5938" s="3" t="s">
        <v>476</v>
      </c>
      <c r="H5938" s="2" t="s">
        <v>148</v>
      </c>
      <c r="I5938" s="2" t="s">
        <v>15322</v>
      </c>
      <c r="J5938" s="3" t="str">
        <f>HYPERLINK("https://www.boe.es/gazeta/dias/1811/01/01/pdfs/GEI-1811-1.pdf#page=7","Abrir facsímil")</f>
        <v>Abrir facsímil</v>
      </c>
      <c r="K5938" s="3" t="s">
        <v>150</v>
      </c>
    </row>
    <row r="5939" spans="1:11" ht="42" customHeight="1">
      <c r="A5939" s="2" t="s">
        <v>15321</v>
      </c>
      <c r="B5939" s="2" t="s">
        <v>15321</v>
      </c>
      <c r="C5939" s="2" t="s">
        <v>17</v>
      </c>
      <c r="D5939" s="2" t="s">
        <v>156</v>
      </c>
      <c r="E5939" s="4">
        <v>-32428</v>
      </c>
      <c r="F5939" s="3" t="s">
        <v>351</v>
      </c>
      <c r="G5939" s="3" t="s">
        <v>57</v>
      </c>
      <c r="H5939" s="2" t="s">
        <v>148</v>
      </c>
      <c r="I5939" s="2" t="s">
        <v>15323</v>
      </c>
      <c r="J5939" s="3" t="str">
        <f>HYPERLINK("https://www.boe.es/gazeta/dias/1811/03/19/pdfs/GMD-1811-78.pdf#page=2","Abrir facsímil")</f>
        <v>Abrir facsímil</v>
      </c>
      <c r="K5939" s="3" t="s">
        <v>150</v>
      </c>
    </row>
    <row r="5940" spans="1:11" ht="42" customHeight="1">
      <c r="A5940" s="2" t="s">
        <v>15321</v>
      </c>
      <c r="B5940" s="2" t="s">
        <v>15321</v>
      </c>
      <c r="C5940" s="2" t="s">
        <v>26</v>
      </c>
      <c r="D5940" s="2" t="s">
        <v>105</v>
      </c>
      <c r="E5940" s="4">
        <v>-32428</v>
      </c>
      <c r="F5940" s="3" t="s">
        <v>351</v>
      </c>
      <c r="G5940" s="3" t="s">
        <v>115</v>
      </c>
      <c r="H5940" s="2" t="s">
        <v>148</v>
      </c>
      <c r="I5940" s="2" t="s">
        <v>15324</v>
      </c>
      <c r="J5940" s="3" t="str">
        <f>HYPERLINK("https://www.boe.es/gazeta/dias/1811/03/19/pdfs/GMD-1811-78.pdf#page=3","Abrir facsímil")</f>
        <v>Abrir facsímil</v>
      </c>
      <c r="K5940" s="3" t="s">
        <v>150</v>
      </c>
    </row>
    <row r="5941" spans="1:11" ht="42" customHeight="1">
      <c r="A5941" s="2" t="s">
        <v>15321</v>
      </c>
      <c r="B5941" s="2" t="s">
        <v>15321</v>
      </c>
      <c r="C5941" s="2" t="s">
        <v>26</v>
      </c>
      <c r="D5941" s="2" t="s">
        <v>105</v>
      </c>
      <c r="E5941" s="4">
        <v>-32428</v>
      </c>
      <c r="F5941" s="3" t="s">
        <v>351</v>
      </c>
      <c r="G5941" s="3" t="s">
        <v>352</v>
      </c>
      <c r="H5941" s="2" t="s">
        <v>148</v>
      </c>
      <c r="I5941" s="2" t="s">
        <v>15325</v>
      </c>
      <c r="J5941" s="3" t="str">
        <f>HYPERLINK("https://www.boe.es/gazeta/dias/1811/03/19/pdfs/GMD-1811-78.pdf#page=4","Abrir facsímil")</f>
        <v>Abrir facsímil</v>
      </c>
      <c r="K5941" s="3" t="s">
        <v>150</v>
      </c>
    </row>
    <row r="5942" spans="1:11" ht="42" customHeight="1">
      <c r="A5942" s="2" t="s">
        <v>15321</v>
      </c>
      <c r="B5942" s="2" t="s">
        <v>15321</v>
      </c>
      <c r="C5942" s="2" t="s">
        <v>37</v>
      </c>
      <c r="D5942" s="2" t="s">
        <v>18</v>
      </c>
      <c r="E5942" s="4">
        <v>-32396</v>
      </c>
      <c r="F5942" s="3" t="s">
        <v>1267</v>
      </c>
      <c r="G5942" s="3" t="s">
        <v>1143</v>
      </c>
      <c r="H5942" s="2" t="s">
        <v>148</v>
      </c>
      <c r="I5942" s="2" t="s">
        <v>15326</v>
      </c>
      <c r="J5942" s="3" t="str">
        <f>HYPERLINK("https://www.boe.es/gazeta/dias/1811/04/20/pdfs/GMD-1811-110.pdf#page=3","Abrir facsímil")</f>
        <v>Abrir facsímil</v>
      </c>
      <c r="K5942" s="3" t="s">
        <v>150</v>
      </c>
    </row>
    <row r="5943" spans="1:11" ht="42" customHeight="1">
      <c r="A5943" s="2" t="s">
        <v>15321</v>
      </c>
      <c r="B5943" s="2" t="s">
        <v>15321</v>
      </c>
      <c r="C5943" s="2" t="s">
        <v>17</v>
      </c>
      <c r="D5943" s="2" t="s">
        <v>156</v>
      </c>
      <c r="E5943" s="4">
        <v>-32279</v>
      </c>
      <c r="F5943" s="3" t="s">
        <v>540</v>
      </c>
      <c r="G5943" s="3" t="s">
        <v>91</v>
      </c>
      <c r="H5943" s="2" t="s">
        <v>148</v>
      </c>
      <c r="I5943" s="2" t="s">
        <v>15327</v>
      </c>
      <c r="J5943" s="3" t="str">
        <f>HYPERLINK("https://www.boe.es/gazeta/dias/1811/08/15/pdfs/GMD-1811-227.pdf#page=3","Abrir facsímil")</f>
        <v>Abrir facsímil</v>
      </c>
      <c r="K5943" s="3" t="s">
        <v>150</v>
      </c>
    </row>
    <row r="5944" spans="1:11" ht="42" customHeight="1">
      <c r="A5944" s="2" t="s">
        <v>15321</v>
      </c>
      <c r="B5944" s="2" t="s">
        <v>15321</v>
      </c>
      <c r="C5944" s="2" t="s">
        <v>26</v>
      </c>
      <c r="D5944" s="2" t="s">
        <v>18</v>
      </c>
      <c r="E5944" s="4">
        <v>-32258</v>
      </c>
      <c r="F5944" s="3" t="s">
        <v>449</v>
      </c>
      <c r="G5944" s="3" t="s">
        <v>214</v>
      </c>
      <c r="H5944" s="2" t="s">
        <v>148</v>
      </c>
      <c r="I5944" s="2" t="s">
        <v>15328</v>
      </c>
      <c r="J5944" s="3" t="str">
        <f>HYPERLINK("https://www.boe.es/gazeta/dias/1811/09/05/pdfs/GEI-1811-115.pdf#page=6","Abrir facsímil")</f>
        <v>Abrir facsímil</v>
      </c>
      <c r="K5944" s="3" t="s">
        <v>150</v>
      </c>
    </row>
    <row r="5945" spans="1:11" ht="42" customHeight="1">
      <c r="A5945" s="2" t="s">
        <v>15321</v>
      </c>
      <c r="B5945" s="2" t="s">
        <v>15321</v>
      </c>
      <c r="C5945" s="2" t="s">
        <v>17</v>
      </c>
      <c r="D5945" s="2" t="s">
        <v>18</v>
      </c>
      <c r="E5945" s="4">
        <v>-32156</v>
      </c>
      <c r="F5945" s="3" t="s">
        <v>15329</v>
      </c>
      <c r="G5945" s="3" t="s">
        <v>15330</v>
      </c>
      <c r="H5945" s="2" t="s">
        <v>148</v>
      </c>
      <c r="I5945" s="2" t="s">
        <v>15331</v>
      </c>
      <c r="J5945" s="3" t="str">
        <f>HYPERLINK("https://www.boe.es/gazeta/dias/1811/12/16/pdfs/GMD-1811-350.pdf#page=2","Abrir facsímil")</f>
        <v>Abrir facsímil</v>
      </c>
      <c r="K5945" s="3" t="s">
        <v>150</v>
      </c>
    </row>
    <row r="5946" spans="1:11" ht="42" customHeight="1">
      <c r="A5946" s="2" t="s">
        <v>15332</v>
      </c>
      <c r="B5946" s="2" t="s">
        <v>15333</v>
      </c>
      <c r="C5946" s="2" t="s">
        <v>17</v>
      </c>
      <c r="D5946" s="2" t="s">
        <v>105</v>
      </c>
      <c r="E5946" s="4">
        <v>-32171</v>
      </c>
      <c r="F5946" s="3" t="s">
        <v>157</v>
      </c>
      <c r="G5946" s="3" t="s">
        <v>44</v>
      </c>
      <c r="H5946" s="2" t="s">
        <v>148</v>
      </c>
      <c r="I5946" s="2" t="s">
        <v>15334</v>
      </c>
      <c r="J5946" s="3" t="str">
        <f>HYPERLINK("https://www.boe.es/gazeta/dias/1811/12/01/pdfs/GMD-1811-335.pdf#page=4","Abrir facsímil")</f>
        <v>Abrir facsímil</v>
      </c>
      <c r="K5946" s="3" t="s">
        <v>150</v>
      </c>
    </row>
    <row r="5947" spans="1:11" ht="42" customHeight="1">
      <c r="A5947" s="2" t="s">
        <v>15335</v>
      </c>
      <c r="B5947" s="2" t="s">
        <v>15335</v>
      </c>
      <c r="C5947" s="2" t="s">
        <v>26</v>
      </c>
      <c r="D5947" s="2" t="s">
        <v>18</v>
      </c>
      <c r="E5947" s="4">
        <v>-32459</v>
      </c>
      <c r="F5947" s="3" t="s">
        <v>1034</v>
      </c>
      <c r="G5947" s="3" t="s">
        <v>2256</v>
      </c>
      <c r="H5947" s="2" t="s">
        <v>148</v>
      </c>
      <c r="I5947" s="2" t="s">
        <v>15336</v>
      </c>
      <c r="J5947" s="3" t="str">
        <f>HYPERLINK("https://www.boe.es/gazeta/dias/1811/02/16/pdfs/GEI-1811-21.pdf#page=6","Abrir facsímil")</f>
        <v>Abrir facsímil</v>
      </c>
      <c r="K5947" s="3" t="s">
        <v>150</v>
      </c>
    </row>
    <row r="5948" spans="1:11" ht="42" customHeight="1">
      <c r="A5948" s="2" t="s">
        <v>15337</v>
      </c>
      <c r="B5948" s="2" t="s">
        <v>15337</v>
      </c>
      <c r="C5948" s="2" t="s">
        <v>17</v>
      </c>
      <c r="D5948" s="2" t="s">
        <v>156</v>
      </c>
      <c r="E5948" s="4">
        <v>-32300</v>
      </c>
      <c r="F5948" s="3" t="s">
        <v>61</v>
      </c>
      <c r="G5948" s="3" t="s">
        <v>129</v>
      </c>
      <c r="H5948" s="2" t="s">
        <v>148</v>
      </c>
      <c r="I5948" s="2" t="s">
        <v>15338</v>
      </c>
      <c r="J5948" s="3" t="str">
        <f>HYPERLINK("https://www.boe.es/gazeta/dias/1811/07/25/pdfs/GEI-1811-97.pdf#page=2","Abrir facsímil")</f>
        <v>Abrir facsímil</v>
      </c>
      <c r="K5948" s="3" t="s">
        <v>150</v>
      </c>
    </row>
    <row r="5949" spans="1:11" ht="42" customHeight="1">
      <c r="A5949" s="2" t="s">
        <v>15339</v>
      </c>
      <c r="B5949" s="2" t="s">
        <v>15340</v>
      </c>
      <c r="C5949" s="2" t="s">
        <v>17</v>
      </c>
      <c r="D5949" s="2" t="s">
        <v>18</v>
      </c>
      <c r="E5949" s="4">
        <v>-32264</v>
      </c>
      <c r="F5949" s="3" t="s">
        <v>3038</v>
      </c>
      <c r="G5949" s="3" t="s">
        <v>178</v>
      </c>
      <c r="H5949" s="2" t="s">
        <v>148</v>
      </c>
      <c r="I5949" s="2" t="s">
        <v>15341</v>
      </c>
      <c r="J5949" s="3" t="str">
        <f>HYPERLINK("https://www.boe.es/gazeta/dias/1811/08/30/pdfs/GMD-1811-242.pdf#page=2","Abrir facsímil")</f>
        <v>Abrir facsímil</v>
      </c>
      <c r="K5949" s="3" t="s">
        <v>150</v>
      </c>
    </row>
    <row r="5950" spans="1:11" ht="42" customHeight="1">
      <c r="A5950" s="2" t="s">
        <v>15342</v>
      </c>
      <c r="B5950" s="2" t="s">
        <v>15343</v>
      </c>
      <c r="C5950" s="2" t="s">
        <v>37</v>
      </c>
      <c r="D5950" s="2" t="s">
        <v>156</v>
      </c>
      <c r="E5950" s="4">
        <v>-32235</v>
      </c>
      <c r="F5950" s="3" t="s">
        <v>190</v>
      </c>
      <c r="G5950" s="3" t="s">
        <v>188</v>
      </c>
      <c r="H5950" s="2" t="s">
        <v>148</v>
      </c>
      <c r="I5950" s="2" t="s">
        <v>15344</v>
      </c>
      <c r="J5950" s="3" t="str">
        <f>HYPERLINK("https://www.boe.es/gazeta/dias/1811/09/28/pdfs/GEI-1811-125.pdf#page=8","Abrir facsímil")</f>
        <v>Abrir facsímil</v>
      </c>
      <c r="K5950" s="3" t="s">
        <v>150</v>
      </c>
    </row>
    <row r="5951" spans="1:11" ht="42" customHeight="1">
      <c r="A5951" s="2" t="s">
        <v>15345</v>
      </c>
      <c r="B5951" s="2" t="s">
        <v>15346</v>
      </c>
      <c r="C5951" s="2" t="s">
        <v>26</v>
      </c>
      <c r="D5951" s="2" t="s">
        <v>18</v>
      </c>
      <c r="E5951" s="4">
        <v>-32169</v>
      </c>
      <c r="F5951" s="3" t="s">
        <v>4012</v>
      </c>
      <c r="G5951" s="3" t="s">
        <v>183</v>
      </c>
      <c r="H5951" s="2" t="s">
        <v>148</v>
      </c>
      <c r="I5951" s="2" t="s">
        <v>15347</v>
      </c>
      <c r="J5951" s="3" t="str">
        <f>HYPERLINK("https://www.boe.es/gazeta/dias/1811/12/03/pdfs/GMD-1811-337.pdf#page=4","Abrir facsímil")</f>
        <v>Abrir facsímil</v>
      </c>
      <c r="K5951" s="3" t="s">
        <v>150</v>
      </c>
    </row>
    <row r="5952" spans="1:11" ht="42" customHeight="1">
      <c r="A5952" s="2" t="s">
        <v>15348</v>
      </c>
      <c r="B5952" s="2" t="s">
        <v>15348</v>
      </c>
      <c r="C5952" s="2" t="s">
        <v>17</v>
      </c>
      <c r="D5952" s="2" t="s">
        <v>18</v>
      </c>
      <c r="E5952" s="4">
        <v>-32377</v>
      </c>
      <c r="F5952" s="3" t="s">
        <v>6097</v>
      </c>
      <c r="G5952" s="3" t="s">
        <v>15349</v>
      </c>
      <c r="H5952" s="2" t="s">
        <v>148</v>
      </c>
      <c r="I5952" s="2" t="s">
        <v>15350</v>
      </c>
      <c r="J5952" s="3" t="str">
        <f>HYPERLINK("https://www.boe.es/gazeta/dias/1811/05/09/pdfs/GEI-1811-61.pdf#page=6","Abrir facsímil")</f>
        <v>Abrir facsímil</v>
      </c>
      <c r="K5952" s="3" t="s">
        <v>150</v>
      </c>
    </row>
    <row r="5953" spans="1:11" ht="42" customHeight="1">
      <c r="A5953" s="2" t="s">
        <v>15348</v>
      </c>
      <c r="B5953" s="2" t="s">
        <v>15348</v>
      </c>
      <c r="C5953" s="2" t="s">
        <v>841</v>
      </c>
      <c r="D5953" s="2" t="s">
        <v>18</v>
      </c>
      <c r="E5953" s="4">
        <v>-32370</v>
      </c>
      <c r="F5953" s="3" t="s">
        <v>146</v>
      </c>
      <c r="G5953" s="3" t="s">
        <v>20</v>
      </c>
      <c r="H5953" s="2" t="s">
        <v>148</v>
      </c>
      <c r="I5953" s="2" t="s">
        <v>15351</v>
      </c>
      <c r="J5953" s="3" t="str">
        <f>HYPERLINK("https://www.boe.es/gazeta/dias/1811/05/16/pdfs/GEI-1811-64.pdf#page=6","Abrir facsímil")</f>
        <v>Abrir facsímil</v>
      </c>
      <c r="K5953" s="3" t="s">
        <v>150</v>
      </c>
    </row>
    <row r="5954" spans="1:11" ht="42" customHeight="1">
      <c r="A5954" s="2" t="s">
        <v>15352</v>
      </c>
      <c r="B5954" s="2" t="s">
        <v>15352</v>
      </c>
      <c r="C5954" s="2" t="s">
        <v>17</v>
      </c>
      <c r="D5954" s="2" t="s">
        <v>18</v>
      </c>
      <c r="E5954" s="4">
        <v>-32394</v>
      </c>
      <c r="F5954" s="3" t="s">
        <v>1709</v>
      </c>
      <c r="G5954" s="3" t="s">
        <v>248</v>
      </c>
      <c r="H5954" s="2" t="s">
        <v>148</v>
      </c>
      <c r="I5954" s="2" t="s">
        <v>15353</v>
      </c>
      <c r="J5954" s="3" t="str">
        <f>HYPERLINK("https://www.boe.es/gazeta/dias/1811/04/22/pdfs/GMD-1811-112.pdf#page=2","Abrir facsímil")</f>
        <v>Abrir facsímil</v>
      </c>
      <c r="K5954" s="3" t="s">
        <v>150</v>
      </c>
    </row>
    <row r="5955" spans="1:11" ht="42" customHeight="1">
      <c r="A5955" s="2" t="s">
        <v>15354</v>
      </c>
      <c r="B5955" s="2" t="s">
        <v>15355</v>
      </c>
      <c r="C5955" s="2" t="s">
        <v>26</v>
      </c>
      <c r="D5955" s="2" t="s">
        <v>18</v>
      </c>
      <c r="E5955" s="4">
        <v>-32297</v>
      </c>
      <c r="F5955" s="3" t="s">
        <v>2174</v>
      </c>
      <c r="G5955" s="3" t="s">
        <v>183</v>
      </c>
      <c r="H5955" s="2" t="s">
        <v>148</v>
      </c>
      <c r="I5955" s="2" t="s">
        <v>15356</v>
      </c>
      <c r="J5955" s="3" t="str">
        <f>HYPERLINK("https://www.boe.es/gazeta/dias/1811/07/28/pdfs/GMD-1811-209.pdf#page=4","Abrir facsímil")</f>
        <v>Abrir facsímil</v>
      </c>
      <c r="K5955" s="3" t="s">
        <v>150</v>
      </c>
    </row>
    <row r="5956" spans="1:11" ht="42" customHeight="1">
      <c r="A5956" s="2" t="s">
        <v>15357</v>
      </c>
      <c r="B5956" s="2" t="s">
        <v>15357</v>
      </c>
      <c r="C5956" s="2" t="s">
        <v>17</v>
      </c>
      <c r="D5956" s="2" t="s">
        <v>156</v>
      </c>
      <c r="E5956" s="4">
        <v>-32489</v>
      </c>
      <c r="F5956" s="3" t="s">
        <v>2073</v>
      </c>
      <c r="G5956" s="3" t="s">
        <v>6098</v>
      </c>
      <c r="H5956" s="2" t="s">
        <v>148</v>
      </c>
      <c r="I5956" s="2" t="s">
        <v>15358</v>
      </c>
      <c r="J5956" s="3" t="str">
        <f>HYPERLINK("https://www.boe.es/gazeta/dias/1811/01/17/pdfs/GEI-1811-8.pdf#page=1","Abrir facsímil")</f>
        <v>Abrir facsímil</v>
      </c>
      <c r="K5956" s="3" t="s">
        <v>150</v>
      </c>
    </row>
    <row r="5957" spans="1:11" ht="42" customHeight="1">
      <c r="A5957" s="2" t="s">
        <v>15359</v>
      </c>
      <c r="B5957" s="2" t="s">
        <v>15359</v>
      </c>
      <c r="C5957" s="2" t="s">
        <v>17</v>
      </c>
      <c r="D5957" s="2" t="s">
        <v>18</v>
      </c>
      <c r="E5957" s="4">
        <v>-32431</v>
      </c>
      <c r="F5957" s="3" t="s">
        <v>668</v>
      </c>
      <c r="G5957" s="3" t="s">
        <v>1930</v>
      </c>
      <c r="H5957" s="2" t="s">
        <v>148</v>
      </c>
      <c r="I5957" s="2" t="s">
        <v>15360</v>
      </c>
      <c r="J5957" s="3" t="str">
        <f>HYPERLINK("https://www.boe.es/gazeta/dias/1811/03/16/pdfs/GMD-1811-75.pdf#page=2","Abrir facsímil")</f>
        <v>Abrir facsímil</v>
      </c>
      <c r="K5957" s="3" t="s">
        <v>150</v>
      </c>
    </row>
    <row r="5958" spans="1:11" ht="42" customHeight="1">
      <c r="A5958" s="2" t="s">
        <v>15359</v>
      </c>
      <c r="B5958" s="2" t="s">
        <v>15359</v>
      </c>
      <c r="C5958" s="2" t="s">
        <v>17</v>
      </c>
      <c r="D5958" s="2" t="s">
        <v>204</v>
      </c>
      <c r="E5958" s="4">
        <v>-32410</v>
      </c>
      <c r="F5958" s="3" t="s">
        <v>6080</v>
      </c>
      <c r="G5958" s="3" t="s">
        <v>47</v>
      </c>
      <c r="H5958" s="2" t="s">
        <v>148</v>
      </c>
      <c r="I5958" s="2" t="s">
        <v>15361</v>
      </c>
      <c r="J5958" s="3" t="str">
        <f>HYPERLINK("https://www.boe.es/gazeta/dias/1811/04/06/pdfs/GMD-1811-96.pdf#page=2","Abrir facsímil")</f>
        <v>Abrir facsímil</v>
      </c>
      <c r="K5958" s="3" t="s">
        <v>150</v>
      </c>
    </row>
    <row r="5959" spans="1:11" ht="42" customHeight="1">
      <c r="A5959" s="2" t="s">
        <v>15362</v>
      </c>
      <c r="B5959" s="2" t="s">
        <v>15362</v>
      </c>
      <c r="C5959" s="2" t="s">
        <v>17</v>
      </c>
      <c r="D5959" s="2" t="s">
        <v>18</v>
      </c>
      <c r="E5959" s="4">
        <v>-32495</v>
      </c>
      <c r="F5959" s="3" t="s">
        <v>1681</v>
      </c>
      <c r="G5959" s="3" t="s">
        <v>129</v>
      </c>
      <c r="H5959" s="2" t="s">
        <v>148</v>
      </c>
      <c r="I5959" s="2" t="s">
        <v>15363</v>
      </c>
      <c r="J5959" s="3" t="str">
        <f>HYPERLINK("https://www.boe.es/gazeta/dias/1811/01/11/pdfs/GMD-1811-11.pdf#page=4","Abrir facsímil")</f>
        <v>Abrir facsímil</v>
      </c>
      <c r="K5959" s="3" t="s">
        <v>150</v>
      </c>
    </row>
    <row r="5960" spans="1:11" ht="42" customHeight="1">
      <c r="A5960" s="2" t="s">
        <v>15364</v>
      </c>
      <c r="B5960" s="2" t="s">
        <v>15364</v>
      </c>
      <c r="C5960" s="2" t="s">
        <v>17</v>
      </c>
      <c r="D5960" s="2" t="s">
        <v>204</v>
      </c>
      <c r="E5960" s="4">
        <v>-32412</v>
      </c>
      <c r="F5960" s="3" t="s">
        <v>5296</v>
      </c>
      <c r="G5960" s="3" t="s">
        <v>115</v>
      </c>
      <c r="H5960" s="2" t="s">
        <v>148</v>
      </c>
      <c r="I5960" s="2" t="s">
        <v>15365</v>
      </c>
      <c r="J5960" s="3" t="str">
        <f>HYPERLINK("https://www.boe.es/gazeta/dias/1811/04/04/pdfs/GMD-1811-94.pdf#page=3","Abrir facsímil")</f>
        <v>Abrir facsímil</v>
      </c>
      <c r="K5960" s="3" t="s">
        <v>150</v>
      </c>
    </row>
    <row r="5961" spans="1:11" ht="42" customHeight="1">
      <c r="A5961" s="2" t="s">
        <v>15366</v>
      </c>
      <c r="B5961" s="2" t="s">
        <v>15366</v>
      </c>
      <c r="C5961" s="2" t="s">
        <v>17</v>
      </c>
      <c r="D5961" s="2" t="s">
        <v>18</v>
      </c>
      <c r="E5961" s="4">
        <v>-32152</v>
      </c>
      <c r="F5961" s="3" t="s">
        <v>1673</v>
      </c>
      <c r="G5961" s="3" t="s">
        <v>57</v>
      </c>
      <c r="H5961" s="2" t="s">
        <v>148</v>
      </c>
      <c r="I5961" s="2" t="s">
        <v>15367</v>
      </c>
      <c r="J5961" s="3" t="str">
        <f>HYPERLINK("https://www.boe.es/gazeta/dias/1811/12/20/pdfs/GMD-1811-354.pdf#page=2","Abrir facsímil")</f>
        <v>Abrir facsímil</v>
      </c>
      <c r="K5961" s="3" t="s">
        <v>150</v>
      </c>
    </row>
    <row r="5962" spans="1:11" ht="42" customHeight="1">
      <c r="A5962" s="2" t="s">
        <v>15368</v>
      </c>
      <c r="B5962" s="2" t="s">
        <v>15368</v>
      </c>
      <c r="C5962" s="2" t="s">
        <v>37</v>
      </c>
      <c r="D5962" s="2" t="s">
        <v>204</v>
      </c>
      <c r="E5962" s="4">
        <v>-32452</v>
      </c>
      <c r="F5962" s="3" t="s">
        <v>15369</v>
      </c>
      <c r="G5962" s="3" t="s">
        <v>91</v>
      </c>
      <c r="H5962" s="2" t="s">
        <v>148</v>
      </c>
      <c r="I5962" s="2" t="s">
        <v>15370</v>
      </c>
      <c r="J5962" s="3" t="str">
        <f>HYPERLINK("https://www.boe.es/gazeta/dias/1811/02/23/pdfs/GMD-1811-54.pdf#page=1","Abrir facsímil")</f>
        <v>Abrir facsímil</v>
      </c>
      <c r="K5962" s="3" t="s">
        <v>150</v>
      </c>
    </row>
    <row r="5963" spans="1:11" ht="42" customHeight="1">
      <c r="A5963" s="2" t="s">
        <v>15371</v>
      </c>
      <c r="B5963" s="2" t="s">
        <v>15371</v>
      </c>
      <c r="C5963" s="2" t="s">
        <v>17</v>
      </c>
      <c r="D5963" s="2" t="s">
        <v>18</v>
      </c>
      <c r="E5963" s="4">
        <v>-32267</v>
      </c>
      <c r="F5963" s="3" t="s">
        <v>1045</v>
      </c>
      <c r="G5963" s="3" t="s">
        <v>8674</v>
      </c>
      <c r="H5963" s="2" t="s">
        <v>148</v>
      </c>
      <c r="I5963" s="2" t="s">
        <v>15372</v>
      </c>
      <c r="J5963" s="3" t="str">
        <f>HYPERLINK("https://www.boe.es/gazeta/dias/1811/08/27/pdfs/GEI-1811-111.pdf#page=1","Abrir facsímil")</f>
        <v>Abrir facsímil</v>
      </c>
      <c r="K5963" s="3" t="s">
        <v>150</v>
      </c>
    </row>
    <row r="5964" spans="1:11" ht="42" customHeight="1">
      <c r="A5964" s="2" t="s">
        <v>15371</v>
      </c>
      <c r="B5964" s="2" t="s">
        <v>15371</v>
      </c>
      <c r="C5964" s="2" t="s">
        <v>17</v>
      </c>
      <c r="D5964" s="2" t="s">
        <v>18</v>
      </c>
      <c r="E5964" s="4">
        <v>-32174</v>
      </c>
      <c r="F5964" s="3" t="s">
        <v>172</v>
      </c>
      <c r="G5964" s="3" t="s">
        <v>4759</v>
      </c>
      <c r="H5964" s="2" t="s">
        <v>148</v>
      </c>
      <c r="I5964" s="2" t="s">
        <v>15373</v>
      </c>
      <c r="J5964" s="3" t="str">
        <f>HYPERLINK("https://www.boe.es/gazeta/dias/1811/11/28/pdfs/GEI-1811-155.pdf#page=4","Abrir facsímil")</f>
        <v>Abrir facsímil</v>
      </c>
      <c r="K5964" s="3" t="s">
        <v>150</v>
      </c>
    </row>
    <row r="5965" spans="1:11" ht="42" customHeight="1">
      <c r="A5965" s="2" t="s">
        <v>15374</v>
      </c>
      <c r="B5965" s="2" t="s">
        <v>15375</v>
      </c>
      <c r="C5965" s="2" t="s">
        <v>17</v>
      </c>
      <c r="D5965" s="2" t="s">
        <v>156</v>
      </c>
      <c r="E5965" s="4">
        <v>-32447</v>
      </c>
      <c r="F5965" s="3" t="s">
        <v>3655</v>
      </c>
      <c r="G5965" s="3" t="s">
        <v>476</v>
      </c>
      <c r="H5965" s="2" t="s">
        <v>148</v>
      </c>
      <c r="I5965" s="2" t="s">
        <v>15376</v>
      </c>
      <c r="J5965" s="3" t="str">
        <f>HYPERLINK("https://www.boe.es/gazeta/dias/1811/02/28/pdfs/GEI-1811-26.pdf#page=7","Abrir facsímil")</f>
        <v>Abrir facsímil</v>
      </c>
      <c r="K5965" s="3" t="s">
        <v>150</v>
      </c>
    </row>
    <row r="5966" spans="1:11" ht="42" customHeight="1">
      <c r="A5966" s="2" t="s">
        <v>15377</v>
      </c>
      <c r="B5966" s="2" t="s">
        <v>15378</v>
      </c>
      <c r="C5966" s="2" t="s">
        <v>26</v>
      </c>
      <c r="D5966" s="2" t="s">
        <v>141</v>
      </c>
      <c r="E5966" s="4">
        <v>-32249</v>
      </c>
      <c r="F5966" s="3" t="s">
        <v>743</v>
      </c>
      <c r="G5966" s="3" t="s">
        <v>1021</v>
      </c>
      <c r="H5966" s="2" t="s">
        <v>148</v>
      </c>
      <c r="I5966" s="2" t="s">
        <v>15379</v>
      </c>
      <c r="J5966" s="3" t="str">
        <f>HYPERLINK("https://www.boe.es/gazeta/dias/1811/09/14/pdfs/GMD-C-1811-257.pdf#page=2","Abrir facsímil")</f>
        <v>Abrir facsímil</v>
      </c>
      <c r="K5966" s="3" t="s">
        <v>150</v>
      </c>
    </row>
    <row r="5967" spans="1:11" ht="42" customHeight="1">
      <c r="A5967" s="2" t="s">
        <v>15380</v>
      </c>
      <c r="B5967" s="2" t="s">
        <v>15380</v>
      </c>
      <c r="C5967" s="2" t="s">
        <v>17</v>
      </c>
      <c r="D5967" s="2" t="s">
        <v>18</v>
      </c>
      <c r="E5967" s="4">
        <v>-32267</v>
      </c>
      <c r="F5967" s="3" t="s">
        <v>1045</v>
      </c>
      <c r="G5967" s="3" t="s">
        <v>52</v>
      </c>
      <c r="H5967" s="2" t="s">
        <v>148</v>
      </c>
      <c r="I5967" s="2" t="s">
        <v>15381</v>
      </c>
      <c r="J5967" s="3" t="str">
        <f>HYPERLINK("https://www.boe.es/gazeta/dias/1811/08/27/pdfs/GEI-1811-111.pdf#page=2","Abrir facsímil")</f>
        <v>Abrir facsímil</v>
      </c>
      <c r="K5967" s="3" t="s">
        <v>150</v>
      </c>
    </row>
    <row r="5968" spans="1:11" ht="42" customHeight="1">
      <c r="A5968" s="2" t="s">
        <v>15382</v>
      </c>
      <c r="B5968" s="2" t="s">
        <v>15382</v>
      </c>
      <c r="C5968" s="2" t="s">
        <v>17</v>
      </c>
      <c r="D5968" s="2" t="s">
        <v>18</v>
      </c>
      <c r="E5968" s="4">
        <v>-32355</v>
      </c>
      <c r="F5968" s="3" t="s">
        <v>2342</v>
      </c>
      <c r="G5968" s="3" t="s">
        <v>178</v>
      </c>
      <c r="H5968" s="2" t="s">
        <v>148</v>
      </c>
      <c r="I5968" s="2" t="s">
        <v>15383</v>
      </c>
      <c r="J5968" s="3" t="str">
        <f>HYPERLINK("https://www.boe.es/gazeta/dias/1811/05/31/pdfs/GMD-1811-151.pdf#page=3","Abrir facsímil")</f>
        <v>Abrir facsímil</v>
      </c>
      <c r="K5968" s="3" t="s">
        <v>150</v>
      </c>
    </row>
    <row r="5969" spans="1:11" ht="42" customHeight="1">
      <c r="A5969" s="2" t="s">
        <v>15384</v>
      </c>
      <c r="B5969" s="2" t="s">
        <v>15384</v>
      </c>
      <c r="C5969" s="2" t="s">
        <v>17</v>
      </c>
      <c r="D5969" s="2" t="s">
        <v>18</v>
      </c>
      <c r="E5969" s="4">
        <v>-32153</v>
      </c>
      <c r="F5969" s="3" t="s">
        <v>123</v>
      </c>
      <c r="G5969" s="3" t="s">
        <v>20</v>
      </c>
      <c r="H5969" s="2" t="s">
        <v>148</v>
      </c>
      <c r="I5969" s="2" t="s">
        <v>15385</v>
      </c>
      <c r="J5969" s="3" t="str">
        <f>HYPERLINK("https://www.boe.es/gazeta/dias/1811/12/19/pdfs/GMD-1811-353.pdf#page=3","Abrir facsímil")</f>
        <v>Abrir facsímil</v>
      </c>
      <c r="K5969" s="3" t="s">
        <v>150</v>
      </c>
    </row>
    <row r="5970" spans="1:11" ht="42" customHeight="1">
      <c r="A5970" s="2" t="s">
        <v>15386</v>
      </c>
      <c r="B5970" s="2" t="s">
        <v>15386</v>
      </c>
      <c r="C5970" s="2" t="s">
        <v>17</v>
      </c>
      <c r="D5970" s="2" t="s">
        <v>18</v>
      </c>
      <c r="E5970" s="4">
        <v>-32309</v>
      </c>
      <c r="F5970" s="3" t="s">
        <v>7621</v>
      </c>
      <c r="G5970" s="3" t="s">
        <v>20</v>
      </c>
      <c r="H5970" s="2" t="s">
        <v>148</v>
      </c>
      <c r="I5970" s="2" t="s">
        <v>15387</v>
      </c>
      <c r="J5970" s="3" t="str">
        <f>HYPERLINK("https://www.boe.es/gazeta/dias/1811/07/16/pdfs/GMD-1811-197.pdf#page=2","Abrir facsímil")</f>
        <v>Abrir facsímil</v>
      </c>
      <c r="K5970" s="3" t="s">
        <v>150</v>
      </c>
    </row>
    <row r="5971" spans="1:11" ht="42" customHeight="1">
      <c r="A5971" s="2" t="s">
        <v>15388</v>
      </c>
      <c r="B5971" s="2" t="s">
        <v>15389</v>
      </c>
      <c r="C5971" s="2" t="s">
        <v>26</v>
      </c>
      <c r="D5971" s="2" t="s">
        <v>18</v>
      </c>
      <c r="E5971" s="4">
        <v>-32153</v>
      </c>
      <c r="F5971" s="3" t="s">
        <v>123</v>
      </c>
      <c r="G5971" s="3" t="s">
        <v>124</v>
      </c>
      <c r="H5971" s="2" t="s">
        <v>148</v>
      </c>
      <c r="I5971" s="2" t="s">
        <v>15390</v>
      </c>
      <c r="J5971" s="3" t="str">
        <f>HYPERLINK("https://www.boe.es/gazeta/dias/1811/12/19/pdfs/GMD-1811-353.pdf#page=6","Abrir facsímil")</f>
        <v>Abrir facsímil</v>
      </c>
      <c r="K5971" s="3" t="s">
        <v>150</v>
      </c>
    </row>
    <row r="5972" spans="1:11" ht="42" customHeight="1">
      <c r="A5972" s="2" t="s">
        <v>15391</v>
      </c>
      <c r="B5972" s="2" t="s">
        <v>15391</v>
      </c>
      <c r="C5972" s="2" t="s">
        <v>17</v>
      </c>
      <c r="D5972" s="2" t="s">
        <v>18</v>
      </c>
      <c r="E5972" s="4">
        <v>-32164</v>
      </c>
      <c r="F5972" s="3" t="s">
        <v>15392</v>
      </c>
      <c r="G5972" s="3" t="s">
        <v>12607</v>
      </c>
      <c r="H5972" s="2" t="s">
        <v>148</v>
      </c>
      <c r="I5972" s="2" t="s">
        <v>15393</v>
      </c>
      <c r="J5972" s="3" t="str">
        <f>HYPERLINK("https://www.boe.es/gazeta/dias/1811/12/08/pdfs/GMD-1811-342.pdf#page=3","Abrir facsímil")</f>
        <v>Abrir facsímil</v>
      </c>
      <c r="K5972" s="3" t="s">
        <v>150</v>
      </c>
    </row>
    <row r="5973" spans="1:11" ht="42" customHeight="1">
      <c r="A5973" s="2" t="s">
        <v>15394</v>
      </c>
      <c r="B5973" s="2" t="s">
        <v>15395</v>
      </c>
      <c r="C5973" s="2" t="s">
        <v>26</v>
      </c>
      <c r="D5973" s="2" t="s">
        <v>18</v>
      </c>
      <c r="E5973" s="4">
        <v>-32293</v>
      </c>
      <c r="F5973" s="3" t="s">
        <v>3064</v>
      </c>
      <c r="G5973" s="3" t="s">
        <v>2318</v>
      </c>
      <c r="H5973" s="2" t="s">
        <v>148</v>
      </c>
      <c r="I5973" s="2" t="s">
        <v>15396</v>
      </c>
      <c r="J5973" s="3" t="str">
        <f>HYPERLINK("https://www.boe.es/gazeta/dias/1811/08/01/pdfs/GEI-1811-100.pdf#page=5","Abrir facsímil")</f>
        <v>Abrir facsímil</v>
      </c>
      <c r="K5973" s="3" t="s">
        <v>150</v>
      </c>
    </row>
    <row r="5974" spans="1:11" ht="42" customHeight="1">
      <c r="A5974" s="2" t="s">
        <v>15397</v>
      </c>
      <c r="B5974" s="2" t="s">
        <v>15398</v>
      </c>
      <c r="C5974" s="2" t="s">
        <v>26</v>
      </c>
      <c r="D5974" s="2" t="s">
        <v>18</v>
      </c>
      <c r="E5974" s="4">
        <v>-32223</v>
      </c>
      <c r="F5974" s="3" t="s">
        <v>1788</v>
      </c>
      <c r="G5974" s="3" t="s">
        <v>2047</v>
      </c>
      <c r="H5974" s="2" t="s">
        <v>148</v>
      </c>
      <c r="I5974" s="2" t="s">
        <v>15399</v>
      </c>
      <c r="J5974" s="3" t="str">
        <f>HYPERLINK("https://www.boe.es/gazeta/dias/1811/10/10/pdfs/GEI-1811-130.pdf#page=5","Abrir facsímil")</f>
        <v>Abrir facsímil</v>
      </c>
      <c r="K5974" s="3" t="s">
        <v>150</v>
      </c>
    </row>
    <row r="5975" spans="1:11" ht="42" customHeight="1">
      <c r="A5975" s="2" t="s">
        <v>15400</v>
      </c>
      <c r="B5975" s="2" t="s">
        <v>15400</v>
      </c>
      <c r="C5975" s="2" t="s">
        <v>17</v>
      </c>
      <c r="D5975" s="2" t="s">
        <v>18</v>
      </c>
      <c r="E5975" s="4">
        <v>-32204</v>
      </c>
      <c r="F5975" s="3" t="s">
        <v>177</v>
      </c>
      <c r="G5975" s="3" t="s">
        <v>178</v>
      </c>
      <c r="H5975" s="2" t="s">
        <v>148</v>
      </c>
      <c r="I5975" s="2" t="s">
        <v>15401</v>
      </c>
      <c r="J5975" s="3" t="str">
        <f>HYPERLINK("https://www.boe.es/gazeta/dias/1811/10/29/pdfs/GMD-1811-302.pdf#page=2","Abrir facsímil")</f>
        <v>Abrir facsímil</v>
      </c>
      <c r="K5975" s="3" t="s">
        <v>150</v>
      </c>
    </row>
    <row r="5976" spans="1:11" ht="42" customHeight="1">
      <c r="A5976" s="2" t="s">
        <v>15402</v>
      </c>
      <c r="B5976" s="2" t="s">
        <v>15402</v>
      </c>
      <c r="C5976" s="2" t="s">
        <v>17</v>
      </c>
      <c r="D5976" s="2" t="s">
        <v>204</v>
      </c>
      <c r="E5976" s="4">
        <v>-32281</v>
      </c>
      <c r="F5976" s="3" t="s">
        <v>1041</v>
      </c>
      <c r="G5976" s="3" t="s">
        <v>44</v>
      </c>
      <c r="H5976" s="2" t="s">
        <v>148</v>
      </c>
      <c r="I5976" s="2" t="s">
        <v>15403</v>
      </c>
      <c r="J5976" s="3" t="str">
        <f>HYPERLINK("https://www.boe.es/gazeta/dias/1811/08/13/pdfs/GMD-1811-225.pdf#page=2","Abrir facsímil")</f>
        <v>Abrir facsímil</v>
      </c>
      <c r="K5976" s="3" t="s">
        <v>150</v>
      </c>
    </row>
    <row r="5977" spans="1:11" ht="42" customHeight="1">
      <c r="A5977" s="2" t="s">
        <v>15402</v>
      </c>
      <c r="B5977" s="2" t="s">
        <v>15402</v>
      </c>
      <c r="C5977" s="2" t="s">
        <v>17</v>
      </c>
      <c r="D5977" s="2" t="s">
        <v>156</v>
      </c>
      <c r="E5977" s="4">
        <v>-32245</v>
      </c>
      <c r="F5977" s="3" t="s">
        <v>6296</v>
      </c>
      <c r="G5977" s="3" t="s">
        <v>1384</v>
      </c>
      <c r="H5977" s="2" t="s">
        <v>148</v>
      </c>
      <c r="I5977" s="2" t="s">
        <v>15404</v>
      </c>
      <c r="J5977" s="3" t="str">
        <f>HYPERLINK("https://www.boe.es/gazeta/dias/1811/09/18/pdfs/GMD-1811-261.pdf#page=1","Abrir facsímil")</f>
        <v>Abrir facsímil</v>
      </c>
      <c r="K5977" s="3" t="s">
        <v>150</v>
      </c>
    </row>
    <row r="5978" spans="1:11" ht="42" customHeight="1">
      <c r="A5978" s="2" t="s">
        <v>15402</v>
      </c>
      <c r="B5978" s="2" t="s">
        <v>15402</v>
      </c>
      <c r="C5978" s="2" t="s">
        <v>17</v>
      </c>
      <c r="D5978" s="2" t="s">
        <v>18</v>
      </c>
      <c r="E5978" s="4">
        <v>-32240</v>
      </c>
      <c r="F5978" s="3" t="s">
        <v>2753</v>
      </c>
      <c r="G5978" s="3" t="s">
        <v>4151</v>
      </c>
      <c r="H5978" s="2" t="s">
        <v>148</v>
      </c>
      <c r="I5978" s="2" t="s">
        <v>15405</v>
      </c>
      <c r="J5978" s="3" t="str">
        <f>HYPERLINK("https://www.boe.es/gazeta/dias/1811/09/23/pdfs/GMD-1811-266.pdf#page=3","Abrir facsímil")</f>
        <v>Abrir facsímil</v>
      </c>
      <c r="K5978" s="3" t="s">
        <v>150</v>
      </c>
    </row>
    <row r="5979" spans="1:11" ht="42" customHeight="1">
      <c r="A5979" s="2" t="s">
        <v>15402</v>
      </c>
      <c r="B5979" s="2" t="s">
        <v>15402</v>
      </c>
      <c r="C5979" s="2" t="s">
        <v>17</v>
      </c>
      <c r="D5979" s="2" t="s">
        <v>105</v>
      </c>
      <c r="E5979" s="4">
        <v>-32204</v>
      </c>
      <c r="F5979" s="3" t="s">
        <v>177</v>
      </c>
      <c r="G5979" s="3" t="s">
        <v>178</v>
      </c>
      <c r="H5979" s="2" t="s">
        <v>148</v>
      </c>
      <c r="I5979" s="2" t="s">
        <v>15406</v>
      </c>
      <c r="J5979" s="3" t="str">
        <f>HYPERLINK("https://www.boe.es/gazeta/dias/1811/10/29/pdfs/GMD-1811-302.pdf#page=2","Abrir facsímil")</f>
        <v>Abrir facsímil</v>
      </c>
      <c r="K5979" s="3" t="s">
        <v>150</v>
      </c>
    </row>
    <row r="5980" spans="1:11" ht="42" customHeight="1">
      <c r="A5980" s="2" t="s">
        <v>15402</v>
      </c>
      <c r="B5980" s="2" t="s">
        <v>15402</v>
      </c>
      <c r="C5980" s="2" t="s">
        <v>17</v>
      </c>
      <c r="D5980" s="2" t="s">
        <v>18</v>
      </c>
      <c r="E5980" s="4">
        <v>-32168</v>
      </c>
      <c r="F5980" s="3" t="s">
        <v>14380</v>
      </c>
      <c r="G5980" s="3" t="s">
        <v>515</v>
      </c>
      <c r="H5980" s="2" t="s">
        <v>148</v>
      </c>
      <c r="I5980" s="2" t="s">
        <v>15407</v>
      </c>
      <c r="J5980" s="3" t="str">
        <f>HYPERLINK("https://www.boe.es/gazeta/dias/1811/12/04/pdfs/GMD-1811-338.pdf#page=3","Abrir facsímil")</f>
        <v>Abrir facsímil</v>
      </c>
      <c r="K5980" s="3" t="s">
        <v>150</v>
      </c>
    </row>
    <row r="5981" spans="1:11" ht="42" customHeight="1">
      <c r="A5981" s="2" t="s">
        <v>15408</v>
      </c>
      <c r="B5981" s="2" t="s">
        <v>15408</v>
      </c>
      <c r="C5981" s="2" t="s">
        <v>17</v>
      </c>
      <c r="D5981" s="2" t="s">
        <v>18</v>
      </c>
      <c r="E5981" s="4">
        <v>-32164</v>
      </c>
      <c r="F5981" s="3" t="s">
        <v>15392</v>
      </c>
      <c r="G5981" s="3" t="s">
        <v>15409</v>
      </c>
      <c r="H5981" s="2" t="s">
        <v>21</v>
      </c>
      <c r="I5981" s="2" t="s">
        <v>15410</v>
      </c>
      <c r="J5981" s="3" t="str">
        <f>HYPERLINK("https://www.boe.es/gazeta/dias/1811/12/08/pdfs/GMD-1811-342.pdf#page=2","Abrir facsímil")</f>
        <v>Abrir facsímil</v>
      </c>
      <c r="K5981" s="3" t="s">
        <v>23</v>
      </c>
    </row>
    <row r="5982" spans="1:11" ht="42" customHeight="1">
      <c r="A5982" s="2" t="s">
        <v>15402</v>
      </c>
      <c r="B5982" s="2" t="s">
        <v>15402</v>
      </c>
      <c r="C5982" s="2" t="s">
        <v>17</v>
      </c>
      <c r="D5982" s="2" t="s">
        <v>18</v>
      </c>
      <c r="E5982" s="4">
        <v>-32164</v>
      </c>
      <c r="F5982" s="3" t="s">
        <v>15392</v>
      </c>
      <c r="G5982" s="3" t="s">
        <v>183</v>
      </c>
      <c r="H5982" s="2" t="s">
        <v>148</v>
      </c>
      <c r="I5982" s="2" t="s">
        <v>15411</v>
      </c>
      <c r="J5982" s="3" t="str">
        <f>HYPERLINK("https://www.boe.es/gazeta/dias/1811/12/08/pdfs/GMD-1811-342.pdf#page=4","Abrir facsímil")</f>
        <v>Abrir facsímil</v>
      </c>
      <c r="K5982" s="3" t="s">
        <v>150</v>
      </c>
    </row>
    <row r="5983" spans="1:11" ht="42" customHeight="1">
      <c r="A5983" s="2" t="s">
        <v>15412</v>
      </c>
      <c r="B5983" s="2" t="s">
        <v>15413</v>
      </c>
      <c r="C5983" s="2" t="s">
        <v>17</v>
      </c>
      <c r="D5983" s="2" t="s">
        <v>105</v>
      </c>
      <c r="E5983" s="4">
        <v>-32433</v>
      </c>
      <c r="F5983" s="3" t="s">
        <v>209</v>
      </c>
      <c r="G5983" s="3" t="s">
        <v>488</v>
      </c>
      <c r="H5983" s="2" t="s">
        <v>148</v>
      </c>
      <c r="I5983" s="2" t="s">
        <v>15414</v>
      </c>
      <c r="J5983" s="3" t="str">
        <f>HYPERLINK("https://www.boe.es/gazeta/dias/1811/03/14/pdfs/GMD-1811-73.pdf#page=2","Abrir facsímil")</f>
        <v>Abrir facsímil</v>
      </c>
      <c r="K5983" s="3" t="s">
        <v>150</v>
      </c>
    </row>
    <row r="5984" spans="1:11" ht="42" customHeight="1">
      <c r="A5984" s="2" t="s">
        <v>15415</v>
      </c>
      <c r="B5984" s="2" t="s">
        <v>15416</v>
      </c>
      <c r="C5984" s="2" t="s">
        <v>17</v>
      </c>
      <c r="D5984" s="2" t="s">
        <v>156</v>
      </c>
      <c r="E5984" s="4">
        <v>-32274</v>
      </c>
      <c r="F5984" s="3" t="s">
        <v>5081</v>
      </c>
      <c r="G5984" s="3" t="s">
        <v>15417</v>
      </c>
      <c r="H5984" s="2" t="s">
        <v>148</v>
      </c>
      <c r="I5984" s="2" t="s">
        <v>15418</v>
      </c>
      <c r="J5984" s="3" t="str">
        <f>HYPERLINK("https://www.boe.es/gazeta/dias/1811/08/20/pdfs/GEI-1811-108.pdf#page=4","Abrir facsímil")</f>
        <v>Abrir facsímil</v>
      </c>
      <c r="K5984" s="3" t="s">
        <v>150</v>
      </c>
    </row>
    <row r="5985" spans="1:11" ht="42" customHeight="1">
      <c r="A5985" s="2" t="s">
        <v>15419</v>
      </c>
      <c r="B5985" s="2" t="s">
        <v>15420</v>
      </c>
      <c r="C5985" s="2" t="s">
        <v>26</v>
      </c>
      <c r="D5985" s="2" t="s">
        <v>18</v>
      </c>
      <c r="E5985" s="4">
        <v>-32163</v>
      </c>
      <c r="F5985" s="3" t="s">
        <v>497</v>
      </c>
      <c r="G5985" s="3" t="s">
        <v>498</v>
      </c>
      <c r="H5985" s="2" t="s">
        <v>148</v>
      </c>
      <c r="I5985" s="2" t="s">
        <v>15421</v>
      </c>
      <c r="J5985" s="3" t="str">
        <f>HYPERLINK("https://www.boe.es/gazeta/dias/1811/12/09/pdfs/GMD-1811-343.pdf#page=4","Abrir facsímil")</f>
        <v>Abrir facsímil</v>
      </c>
      <c r="K5985" s="3" t="s">
        <v>150</v>
      </c>
    </row>
    <row r="5986" spans="1:11" ht="42" customHeight="1">
      <c r="A5986" s="2" t="s">
        <v>15422</v>
      </c>
      <c r="B5986" s="2" t="s">
        <v>15423</v>
      </c>
      <c r="C5986" s="2" t="s">
        <v>122</v>
      </c>
      <c r="D5986" s="2" t="s">
        <v>18</v>
      </c>
      <c r="E5986" s="4">
        <v>-32168</v>
      </c>
      <c r="F5986" s="3" t="s">
        <v>14380</v>
      </c>
      <c r="G5986" s="3" t="s">
        <v>515</v>
      </c>
      <c r="H5986" s="2" t="s">
        <v>148</v>
      </c>
      <c r="I5986" s="2" t="s">
        <v>15424</v>
      </c>
      <c r="J5986" s="3" t="str">
        <f>HYPERLINK("https://www.boe.es/gazeta/dias/1811/12/04/pdfs/GMD-1811-338.pdf#page=3","Abrir facsímil")</f>
        <v>Abrir facsímil</v>
      </c>
      <c r="K5986" s="3" t="s">
        <v>150</v>
      </c>
    </row>
    <row r="5987" spans="1:11" ht="42" customHeight="1">
      <c r="A5987" s="2" t="s">
        <v>15422</v>
      </c>
      <c r="B5987" s="2" t="s">
        <v>15423</v>
      </c>
      <c r="C5987" s="2" t="s">
        <v>17</v>
      </c>
      <c r="D5987" s="2" t="s">
        <v>18</v>
      </c>
      <c r="E5987" s="4">
        <v>-32164</v>
      </c>
      <c r="F5987" s="3" t="s">
        <v>15392</v>
      </c>
      <c r="G5987" s="3" t="s">
        <v>15409</v>
      </c>
      <c r="H5987" s="2" t="s">
        <v>148</v>
      </c>
      <c r="I5987" s="2" t="s">
        <v>15425</v>
      </c>
      <c r="J5987" s="3" t="str">
        <f>HYPERLINK("https://www.boe.es/gazeta/dias/1811/12/08/pdfs/GMD-1811-342.pdf#page=2","Abrir facsímil")</f>
        <v>Abrir facsímil</v>
      </c>
      <c r="K5987" s="3" t="s">
        <v>150</v>
      </c>
    </row>
    <row r="5988" spans="1:11" ht="42" customHeight="1">
      <c r="A5988" s="2" t="s">
        <v>15422</v>
      </c>
      <c r="B5988" s="2" t="s">
        <v>15423</v>
      </c>
      <c r="C5988" s="2" t="s">
        <v>26</v>
      </c>
      <c r="D5988" s="2" t="s">
        <v>18</v>
      </c>
      <c r="E5988" s="4">
        <v>-32164</v>
      </c>
      <c r="F5988" s="3" t="s">
        <v>15392</v>
      </c>
      <c r="G5988" s="3" t="s">
        <v>12607</v>
      </c>
      <c r="H5988" s="2" t="s">
        <v>148</v>
      </c>
      <c r="I5988" s="2" t="s">
        <v>15426</v>
      </c>
      <c r="J5988" s="3" t="str">
        <f>HYPERLINK("https://www.boe.es/gazeta/dias/1811/12/08/pdfs/GMD-1811-342.pdf#page=3","Abrir facsímil")</f>
        <v>Abrir facsímil</v>
      </c>
      <c r="K5988" s="3" t="s">
        <v>150</v>
      </c>
    </row>
    <row r="5989" spans="1:11" ht="42" customHeight="1">
      <c r="A5989" s="2" t="s">
        <v>15427</v>
      </c>
      <c r="B5989" s="2" t="s">
        <v>15428</v>
      </c>
      <c r="C5989" s="2" t="s">
        <v>17</v>
      </c>
      <c r="D5989" s="2" t="s">
        <v>156</v>
      </c>
      <c r="E5989" s="4">
        <v>-32470</v>
      </c>
      <c r="F5989" s="3" t="s">
        <v>1432</v>
      </c>
      <c r="G5989" s="3" t="s">
        <v>1433</v>
      </c>
      <c r="H5989" s="2" t="s">
        <v>148</v>
      </c>
      <c r="I5989" s="2" t="s">
        <v>15429</v>
      </c>
      <c r="J5989" s="3" t="str">
        <f>HYPERLINK("https://www.boe.es/gazeta/dias/1811/02/05/pdfs/GEI-1811-16.pdf#page=4","Abrir facsímil")</f>
        <v>Abrir facsímil</v>
      </c>
      <c r="K5989" s="3" t="s">
        <v>150</v>
      </c>
    </row>
    <row r="5990" spans="1:11" ht="42" customHeight="1">
      <c r="A5990" s="2" t="s">
        <v>15430</v>
      </c>
      <c r="B5990" s="2" t="s">
        <v>15431</v>
      </c>
      <c r="C5990" s="2" t="s">
        <v>26</v>
      </c>
      <c r="D5990" s="2" t="s">
        <v>18</v>
      </c>
      <c r="E5990" s="4">
        <v>-32452</v>
      </c>
      <c r="F5990" s="3" t="s">
        <v>106</v>
      </c>
      <c r="G5990" s="3" t="s">
        <v>20</v>
      </c>
      <c r="H5990" s="2" t="s">
        <v>148</v>
      </c>
      <c r="I5990" s="2" t="s">
        <v>15432</v>
      </c>
      <c r="J5990" s="3" t="str">
        <f>HYPERLINK("https://www.boe.es/gazeta/dias/1811/02/23/pdfs/GEI-1811-24.pdf#page=8","Abrir facsímil")</f>
        <v>Abrir facsímil</v>
      </c>
      <c r="K5990" s="3" t="s">
        <v>150</v>
      </c>
    </row>
    <row r="5991" spans="1:11" ht="42" customHeight="1">
      <c r="A5991" s="2" t="s">
        <v>15433</v>
      </c>
      <c r="B5991" s="2" t="s">
        <v>15434</v>
      </c>
      <c r="C5991" s="2" t="s">
        <v>37</v>
      </c>
      <c r="D5991" s="2" t="s">
        <v>105</v>
      </c>
      <c r="E5991" s="4">
        <v>-32475</v>
      </c>
      <c r="F5991" s="3" t="s">
        <v>259</v>
      </c>
      <c r="G5991" s="3" t="s">
        <v>115</v>
      </c>
      <c r="H5991" s="2" t="s">
        <v>148</v>
      </c>
      <c r="I5991" s="2" t="s">
        <v>15435</v>
      </c>
      <c r="J5991" s="3" t="str">
        <f>HYPERLINK("https://www.boe.es/gazeta/dias/1811/01/31/pdfs/GMD-1811-31.pdf#page=3","Abrir facsímil")</f>
        <v>Abrir facsímil</v>
      </c>
      <c r="K5991" s="3" t="s">
        <v>150</v>
      </c>
    </row>
    <row r="5992" spans="1:11" ht="42" customHeight="1">
      <c r="A5992" s="2" t="s">
        <v>15433</v>
      </c>
      <c r="B5992" s="2" t="s">
        <v>15434</v>
      </c>
      <c r="C5992" s="2" t="s">
        <v>26</v>
      </c>
      <c r="D5992" s="2" t="s">
        <v>18</v>
      </c>
      <c r="E5992" s="4">
        <v>-32188</v>
      </c>
      <c r="F5992" s="3" t="s">
        <v>356</v>
      </c>
      <c r="G5992" s="3" t="s">
        <v>248</v>
      </c>
      <c r="H5992" s="2" t="s">
        <v>148</v>
      </c>
      <c r="I5992" s="2" t="s">
        <v>15436</v>
      </c>
      <c r="J5992" s="3" t="str">
        <f>HYPERLINK("https://www.boe.es/gazeta/dias/1811/11/14/pdfs/GMD-1811-318.pdf#page=5","Abrir facsímil")</f>
        <v>Abrir facsímil</v>
      </c>
      <c r="K5992" s="3" t="s">
        <v>150</v>
      </c>
    </row>
    <row r="5993" spans="1:11" ht="42" customHeight="1">
      <c r="A5993" s="2" t="s">
        <v>15437</v>
      </c>
      <c r="B5993" s="2" t="s">
        <v>15438</v>
      </c>
      <c r="C5993" s="2" t="s">
        <v>17</v>
      </c>
      <c r="D5993" s="2" t="s">
        <v>18</v>
      </c>
      <c r="E5993" s="4">
        <v>-32155</v>
      </c>
      <c r="F5993" s="3" t="s">
        <v>263</v>
      </c>
      <c r="G5993" s="3" t="s">
        <v>264</v>
      </c>
      <c r="H5993" s="2" t="s">
        <v>148</v>
      </c>
      <c r="I5993" s="2" t="s">
        <v>15439</v>
      </c>
      <c r="J5993" s="3" t="str">
        <f>HYPERLINK("https://www.boe.es/gazeta/dias/1811/12/17/pdfs/GEI-1811-163.pdf#page=8","Abrir facsímil")</f>
        <v>Abrir facsímil</v>
      </c>
      <c r="K5993" s="3" t="s">
        <v>150</v>
      </c>
    </row>
    <row r="5994" spans="1:11" ht="42" customHeight="1">
      <c r="A5994" s="2" t="s">
        <v>15440</v>
      </c>
      <c r="B5994" s="2" t="s">
        <v>15441</v>
      </c>
      <c r="C5994" s="2" t="s">
        <v>26</v>
      </c>
      <c r="D5994" s="2" t="s">
        <v>18</v>
      </c>
      <c r="E5994" s="4">
        <v>-32197</v>
      </c>
      <c r="F5994" s="3" t="s">
        <v>687</v>
      </c>
      <c r="G5994" s="3" t="s">
        <v>1240</v>
      </c>
      <c r="H5994" s="2" t="s">
        <v>148</v>
      </c>
      <c r="I5994" s="2" t="s">
        <v>15442</v>
      </c>
      <c r="J5994" s="3" t="str">
        <f>HYPERLINK("https://www.boe.es/gazeta/dias/1811/11/05/pdfs/GEI-1811-143.pdf#page=8","Abrir facsímil")</f>
        <v>Abrir facsímil</v>
      </c>
      <c r="K5994" s="3" t="s">
        <v>150</v>
      </c>
    </row>
    <row r="5995" spans="1:11" ht="42" customHeight="1">
      <c r="A5995" s="2" t="s">
        <v>15443</v>
      </c>
      <c r="B5995" s="2" t="s">
        <v>15444</v>
      </c>
      <c r="C5995" s="2" t="s">
        <v>26</v>
      </c>
      <c r="D5995" s="2" t="s">
        <v>18</v>
      </c>
      <c r="E5995" s="4">
        <v>-32172</v>
      </c>
      <c r="F5995" s="3" t="s">
        <v>300</v>
      </c>
      <c r="G5995" s="3" t="s">
        <v>301</v>
      </c>
      <c r="H5995" s="2" t="s">
        <v>148</v>
      </c>
      <c r="I5995" s="2" t="s">
        <v>15445</v>
      </c>
      <c r="J5995" s="3" t="str">
        <f>HYPERLINK("https://www.boe.es/gazeta/dias/1811/11/30/pdfs/GMD-1811-334.pdf#page=4","Abrir facsímil")</f>
        <v>Abrir facsímil</v>
      </c>
      <c r="K5995" s="3" t="s">
        <v>150</v>
      </c>
    </row>
    <row r="5996" spans="1:11" ht="42" customHeight="1">
      <c r="A5996" s="2" t="s">
        <v>15446</v>
      </c>
      <c r="B5996" s="2" t="s">
        <v>15447</v>
      </c>
      <c r="C5996" s="2" t="s">
        <v>26</v>
      </c>
      <c r="D5996" s="2" t="s">
        <v>18</v>
      </c>
      <c r="E5996" s="4">
        <v>-32400</v>
      </c>
      <c r="F5996" s="3" t="s">
        <v>13774</v>
      </c>
      <c r="G5996" s="3" t="s">
        <v>44</v>
      </c>
      <c r="H5996" s="2" t="s">
        <v>148</v>
      </c>
      <c r="I5996" s="2" t="s">
        <v>15448</v>
      </c>
      <c r="J5996" s="3" t="str">
        <f>HYPERLINK("https://www.boe.es/gazeta/dias/1811/04/16/pdfs/GEI-1811-51.pdf#page=5","Abrir facsímil")</f>
        <v>Abrir facsímil</v>
      </c>
      <c r="K5996" s="3" t="s">
        <v>150</v>
      </c>
    </row>
    <row r="5997" spans="1:11" ht="42" customHeight="1">
      <c r="A5997" s="2" t="s">
        <v>15449</v>
      </c>
      <c r="B5997" s="2" t="s">
        <v>15450</v>
      </c>
      <c r="C5997" s="2" t="s">
        <v>26</v>
      </c>
      <c r="D5997" s="2" t="s">
        <v>18</v>
      </c>
      <c r="E5997" s="4">
        <v>-32141</v>
      </c>
      <c r="F5997" s="3" t="s">
        <v>327</v>
      </c>
      <c r="G5997" s="3" t="s">
        <v>115</v>
      </c>
      <c r="H5997" s="2" t="s">
        <v>148</v>
      </c>
      <c r="I5997" s="2" t="s">
        <v>15451</v>
      </c>
      <c r="J5997" s="3" t="str">
        <f>HYPERLINK("https://www.boe.es/gazeta/dias/1811/12/31/pdfs/GMD-1811-365.pdf#page=3","Abrir facsímil")</f>
        <v>Abrir facsímil</v>
      </c>
      <c r="K5997" s="3" t="s">
        <v>150</v>
      </c>
    </row>
    <row r="5998" spans="1:11" ht="42" customHeight="1">
      <c r="A5998" s="2" t="s">
        <v>15452</v>
      </c>
      <c r="B5998" s="2" t="s">
        <v>15453</v>
      </c>
      <c r="C5998" s="2" t="s">
        <v>26</v>
      </c>
      <c r="D5998" s="2" t="s">
        <v>18</v>
      </c>
      <c r="E5998" s="4">
        <v>-32295</v>
      </c>
      <c r="F5998" s="3" t="s">
        <v>279</v>
      </c>
      <c r="G5998" s="3" t="s">
        <v>44</v>
      </c>
      <c r="H5998" s="2" t="s">
        <v>148</v>
      </c>
      <c r="I5998" s="2" t="s">
        <v>15454</v>
      </c>
      <c r="J5998" s="3" t="str">
        <f>HYPERLINK("https://www.boe.es/gazeta/dias/1811/07/30/pdfs/GEI-1811-99.pdf#page=8","Abrir facsímil")</f>
        <v>Abrir facsímil</v>
      </c>
      <c r="K5998" s="3" t="s">
        <v>150</v>
      </c>
    </row>
    <row r="5999" spans="1:11" ht="42" customHeight="1">
      <c r="A5999" s="2" t="s">
        <v>15455</v>
      </c>
      <c r="B5999" s="2" t="s">
        <v>15455</v>
      </c>
      <c r="C5999" s="2" t="s">
        <v>37</v>
      </c>
      <c r="D5999" s="2" t="s">
        <v>204</v>
      </c>
      <c r="E5999" s="4">
        <v>-32301</v>
      </c>
      <c r="F5999" s="3" t="s">
        <v>4048</v>
      </c>
      <c r="G5999" s="3" t="s">
        <v>4049</v>
      </c>
      <c r="H5999" s="2" t="s">
        <v>148</v>
      </c>
      <c r="I5999" s="2" t="s">
        <v>15456</v>
      </c>
      <c r="J5999" s="3" t="str">
        <f>HYPERLINK("https://www.boe.es/gazeta/dias/1811/07/24/pdfs/GMD-1811-205.pdf#page=1","Abrir facsímil")</f>
        <v>Abrir facsímil</v>
      </c>
      <c r="K5999" s="3" t="s">
        <v>150</v>
      </c>
    </row>
    <row r="6000" spans="1:11" ht="42" customHeight="1">
      <c r="A6000" s="2" t="s">
        <v>15457</v>
      </c>
      <c r="B6000" s="2" t="s">
        <v>15457</v>
      </c>
      <c r="C6000" s="2" t="s">
        <v>26</v>
      </c>
      <c r="D6000" s="2" t="s">
        <v>18</v>
      </c>
      <c r="E6000" s="4">
        <v>-32183</v>
      </c>
      <c r="F6000" s="3" t="s">
        <v>3310</v>
      </c>
      <c r="G6000" s="3" t="s">
        <v>44</v>
      </c>
      <c r="H6000" s="2" t="s">
        <v>148</v>
      </c>
      <c r="I6000" s="2" t="s">
        <v>15458</v>
      </c>
      <c r="J6000" s="3" t="str">
        <f>HYPERLINK("https://www.boe.es/gazeta/dias/1811/11/19/pdfs/GEI-1811-151.pdf#page=6","Abrir facsímil")</f>
        <v>Abrir facsímil</v>
      </c>
      <c r="K6000" s="3" t="s">
        <v>150</v>
      </c>
    </row>
    <row r="6001" spans="1:11" ht="42" customHeight="1">
      <c r="A6001" s="2" t="s">
        <v>15459</v>
      </c>
      <c r="B6001" s="2" t="s">
        <v>15459</v>
      </c>
      <c r="C6001" s="2" t="s">
        <v>37</v>
      </c>
      <c r="D6001" s="2" t="s">
        <v>156</v>
      </c>
      <c r="E6001" s="4">
        <v>-32206</v>
      </c>
      <c r="F6001" s="3" t="s">
        <v>9976</v>
      </c>
      <c r="G6001" s="3" t="s">
        <v>553</v>
      </c>
      <c r="H6001" s="2" t="s">
        <v>148</v>
      </c>
      <c r="I6001" s="2" t="s">
        <v>15460</v>
      </c>
      <c r="J6001" s="3" t="str">
        <f>HYPERLINK("https://www.boe.es/gazeta/dias/1811/10/27/pdfs/GMD-1811-300.pdf#page=2","Abrir facsímil")</f>
        <v>Abrir facsímil</v>
      </c>
      <c r="K6001" s="3" t="s">
        <v>150</v>
      </c>
    </row>
    <row r="6002" spans="1:11" ht="42" customHeight="1">
      <c r="A6002" s="2" t="s">
        <v>15461</v>
      </c>
      <c r="B6002" s="2" t="s">
        <v>15462</v>
      </c>
      <c r="C6002" s="2" t="s">
        <v>26</v>
      </c>
      <c r="D6002" s="2" t="s">
        <v>18</v>
      </c>
      <c r="E6002" s="4">
        <v>-32281</v>
      </c>
      <c r="F6002" s="3" t="s">
        <v>982</v>
      </c>
      <c r="G6002" s="3" t="s">
        <v>28</v>
      </c>
      <c r="H6002" s="2" t="s">
        <v>148</v>
      </c>
      <c r="I6002" s="2" t="s">
        <v>15463</v>
      </c>
      <c r="J6002" s="3" t="str">
        <f>HYPERLINK("https://www.boe.es/gazeta/dias/1811/08/13/pdfs/GEI-1811-105.pdf#page=7","Abrir facsímil")</f>
        <v>Abrir facsímil</v>
      </c>
      <c r="K6002" s="3" t="s">
        <v>150</v>
      </c>
    </row>
    <row r="6003" spans="1:11" ht="42" customHeight="1">
      <c r="A6003" s="2" t="s">
        <v>15464</v>
      </c>
      <c r="B6003" s="2" t="s">
        <v>15464</v>
      </c>
      <c r="C6003" s="2" t="s">
        <v>17</v>
      </c>
      <c r="D6003" s="2" t="s">
        <v>156</v>
      </c>
      <c r="E6003" s="4">
        <v>-32167</v>
      </c>
      <c r="F6003" s="3" t="s">
        <v>195</v>
      </c>
      <c r="G6003" s="3" t="s">
        <v>3543</v>
      </c>
      <c r="H6003" s="2" t="s">
        <v>148</v>
      </c>
      <c r="I6003" s="2" t="s">
        <v>15465</v>
      </c>
      <c r="J6003" s="3" t="str">
        <f>HYPERLINK("https://www.boe.es/gazeta/dias/1811/12/05/pdfs/GEI-1811-158.pdf#page=8","Abrir facsímil")</f>
        <v>Abrir facsímil</v>
      </c>
      <c r="K6003" s="3" t="s">
        <v>150</v>
      </c>
    </row>
    <row r="6004" spans="1:11" ht="42" customHeight="1">
      <c r="A6004" s="2" t="s">
        <v>15466</v>
      </c>
      <c r="B6004" s="2" t="s">
        <v>15467</v>
      </c>
      <c r="C6004" s="2" t="s">
        <v>17</v>
      </c>
      <c r="D6004" s="2" t="s">
        <v>18</v>
      </c>
      <c r="E6004" s="4">
        <v>-32300</v>
      </c>
      <c r="F6004" s="3" t="s">
        <v>61</v>
      </c>
      <c r="G6004" s="3" t="s">
        <v>62</v>
      </c>
      <c r="H6004" s="2" t="s">
        <v>148</v>
      </c>
      <c r="I6004" s="2" t="s">
        <v>15468</v>
      </c>
      <c r="J6004" s="3" t="str">
        <f>HYPERLINK("https://www.boe.es/gazeta/dias/1811/07/25/pdfs/GEI-1811-97.pdf#page=5","Abrir facsímil")</f>
        <v>Abrir facsímil</v>
      </c>
      <c r="K6004" s="3" t="s">
        <v>150</v>
      </c>
    </row>
    <row r="6005" spans="1:11" ht="42" customHeight="1">
      <c r="A6005" s="2" t="s">
        <v>15469</v>
      </c>
      <c r="B6005" s="2" t="s">
        <v>15469</v>
      </c>
      <c r="C6005" s="2" t="s">
        <v>17</v>
      </c>
      <c r="D6005" s="2" t="s">
        <v>18</v>
      </c>
      <c r="E6005" s="4">
        <v>-32471</v>
      </c>
      <c r="F6005" s="3" t="s">
        <v>1571</v>
      </c>
      <c r="G6005" s="3" t="s">
        <v>1184</v>
      </c>
      <c r="H6005" s="2" t="s">
        <v>148</v>
      </c>
      <c r="I6005" s="2" t="s">
        <v>15470</v>
      </c>
      <c r="J6005" s="3" t="str">
        <f>HYPERLINK("https://www.boe.es/gazeta/dias/1811/02/04/pdfs/GMD-1811-35.pdf#page=1","Abrir facsímil")</f>
        <v>Abrir facsímil</v>
      </c>
      <c r="K6005" s="3" t="s">
        <v>150</v>
      </c>
    </row>
    <row r="6006" spans="1:11" ht="42" customHeight="1">
      <c r="A6006" s="2" t="s">
        <v>15471</v>
      </c>
      <c r="B6006" s="2" t="s">
        <v>15471</v>
      </c>
      <c r="C6006" s="2" t="s">
        <v>26</v>
      </c>
      <c r="D6006" s="2" t="s">
        <v>18</v>
      </c>
      <c r="E6006" s="4">
        <v>-32155</v>
      </c>
      <c r="F6006" s="3" t="s">
        <v>263</v>
      </c>
      <c r="G6006" s="3" t="s">
        <v>1800</v>
      </c>
      <c r="H6006" s="2" t="s">
        <v>148</v>
      </c>
      <c r="I6006" s="2" t="s">
        <v>15472</v>
      </c>
      <c r="J6006" s="3" t="str">
        <f>HYPERLINK("https://www.boe.es/gazeta/dias/1811/12/17/pdfs/GEI-1811-163.pdf#page=7","Abrir facsímil")</f>
        <v>Abrir facsímil</v>
      </c>
      <c r="K6006" s="3" t="s">
        <v>150</v>
      </c>
    </row>
    <row r="6007" spans="1:11" ht="42" customHeight="1">
      <c r="A6007" s="2" t="s">
        <v>15473</v>
      </c>
      <c r="B6007" s="2" t="s">
        <v>15474</v>
      </c>
      <c r="C6007" s="2" t="s">
        <v>17</v>
      </c>
      <c r="D6007" s="2" t="s">
        <v>156</v>
      </c>
      <c r="E6007" s="4">
        <v>-32407</v>
      </c>
      <c r="F6007" s="3" t="s">
        <v>38</v>
      </c>
      <c r="G6007" s="3" t="s">
        <v>480</v>
      </c>
      <c r="H6007" s="2" t="s">
        <v>148</v>
      </c>
      <c r="I6007" s="2" t="s">
        <v>15475</v>
      </c>
      <c r="J6007" s="3" t="str">
        <f>HYPERLINK("https://www.boe.es/gazeta/dias/1811/04/09/pdfs/GEI-1811-48.pdf#page=4","Abrir facsímil")</f>
        <v>Abrir facsímil</v>
      </c>
      <c r="K6007" s="3" t="s">
        <v>150</v>
      </c>
    </row>
    <row r="6008" spans="1:11" ht="42" customHeight="1">
      <c r="A6008" s="2" t="s">
        <v>15476</v>
      </c>
      <c r="B6008" s="2" t="s">
        <v>15477</v>
      </c>
      <c r="C6008" s="2" t="s">
        <v>17</v>
      </c>
      <c r="D6008" s="2" t="s">
        <v>156</v>
      </c>
      <c r="E6008" s="4">
        <v>-32302</v>
      </c>
      <c r="F6008" s="3" t="s">
        <v>864</v>
      </c>
      <c r="G6008" s="3" t="s">
        <v>15478</v>
      </c>
      <c r="H6008" s="2" t="s">
        <v>148</v>
      </c>
      <c r="I6008" s="2" t="s">
        <v>15479</v>
      </c>
      <c r="J6008" s="3" t="str">
        <f>HYPERLINK("https://www.boe.es/gazeta/dias/1811/07/23/pdfs/GEI-1811-96.pdf#page=8","Abrir facsímil")</f>
        <v>Abrir facsímil</v>
      </c>
      <c r="K6008" s="3" t="s">
        <v>150</v>
      </c>
    </row>
    <row r="6009" spans="1:11" ht="42" customHeight="1">
      <c r="A6009" s="2" t="s">
        <v>15480</v>
      </c>
      <c r="B6009" s="2" t="s">
        <v>15481</v>
      </c>
      <c r="C6009" s="2" t="s">
        <v>104</v>
      </c>
      <c r="D6009" s="2" t="s">
        <v>18</v>
      </c>
      <c r="E6009" s="4">
        <v>-32218</v>
      </c>
      <c r="F6009" s="3" t="s">
        <v>938</v>
      </c>
      <c r="G6009" s="3" t="s">
        <v>530</v>
      </c>
      <c r="H6009" s="2" t="s">
        <v>148</v>
      </c>
      <c r="I6009" s="2" t="s">
        <v>15482</v>
      </c>
      <c r="J6009" s="3" t="str">
        <f>HYPERLINK("https://www.boe.es/gazeta/dias/1811/10/15/pdfs/GEI-1811-133.pdf#page=4","Abrir facsímil")</f>
        <v>Abrir facsímil</v>
      </c>
      <c r="K6009" s="3" t="s">
        <v>150</v>
      </c>
    </row>
    <row r="6010" spans="1:11" ht="42" customHeight="1">
      <c r="A6010" s="2" t="s">
        <v>15483</v>
      </c>
      <c r="B6010" s="2" t="s">
        <v>15483</v>
      </c>
      <c r="C6010" s="2" t="s">
        <v>17</v>
      </c>
      <c r="D6010" s="2" t="s">
        <v>156</v>
      </c>
      <c r="E6010" s="4">
        <v>-32356</v>
      </c>
      <c r="F6010" s="3" t="s">
        <v>1992</v>
      </c>
      <c r="G6010" s="3" t="s">
        <v>20</v>
      </c>
      <c r="H6010" s="2" t="s">
        <v>148</v>
      </c>
      <c r="I6010" s="2" t="s">
        <v>15484</v>
      </c>
      <c r="J6010" s="3" t="str">
        <f>HYPERLINK("https://www.boe.es/gazeta/dias/1811/05/30/pdfs/GEI-1811-73.pdf#page=3","Abrir facsímil")</f>
        <v>Abrir facsímil</v>
      </c>
      <c r="K6010" s="3" t="s">
        <v>150</v>
      </c>
    </row>
    <row r="6011" spans="1:11" ht="42" customHeight="1">
      <c r="A6011" s="2" t="s">
        <v>15485</v>
      </c>
      <c r="B6011" s="2" t="s">
        <v>15485</v>
      </c>
      <c r="C6011" s="2" t="s">
        <v>17</v>
      </c>
      <c r="D6011" s="2" t="s">
        <v>156</v>
      </c>
      <c r="E6011" s="4">
        <v>-32197</v>
      </c>
      <c r="F6011" s="3" t="s">
        <v>687</v>
      </c>
      <c r="G6011" s="3" t="s">
        <v>178</v>
      </c>
      <c r="H6011" s="2" t="s">
        <v>148</v>
      </c>
      <c r="I6011" s="2" t="s">
        <v>15486</v>
      </c>
      <c r="J6011" s="3" t="str">
        <f>HYPERLINK("https://www.boe.es/gazeta/dias/1811/11/05/pdfs/GEI-1811-143.pdf#page=6","Abrir facsímil")</f>
        <v>Abrir facsímil</v>
      </c>
      <c r="K6011" s="3" t="s">
        <v>150</v>
      </c>
    </row>
    <row r="6012" spans="1:11" ht="42" customHeight="1">
      <c r="A6012" s="2" t="s">
        <v>15487</v>
      </c>
      <c r="B6012" s="2" t="s">
        <v>15487</v>
      </c>
      <c r="C6012" s="2" t="s">
        <v>17</v>
      </c>
      <c r="D6012" s="2" t="s">
        <v>18</v>
      </c>
      <c r="E6012" s="4">
        <v>-32372</v>
      </c>
      <c r="F6012" s="3" t="s">
        <v>2690</v>
      </c>
      <c r="G6012" s="3" t="s">
        <v>3067</v>
      </c>
      <c r="H6012" s="2" t="s">
        <v>148</v>
      </c>
      <c r="I6012" s="2" t="s">
        <v>15488</v>
      </c>
      <c r="J6012" s="3" t="str">
        <f>HYPERLINK("https://www.boe.es/gazeta/dias/1811/05/14/pdfs/GEI-1811-63.pdf#page=4","Abrir facsímil")</f>
        <v>Abrir facsímil</v>
      </c>
      <c r="K6012" s="3" t="s">
        <v>150</v>
      </c>
    </row>
    <row r="6013" spans="1:11" ht="42" customHeight="1">
      <c r="A6013" s="2" t="s">
        <v>15489</v>
      </c>
      <c r="B6013" s="2" t="s">
        <v>15489</v>
      </c>
      <c r="C6013" s="2" t="s">
        <v>17</v>
      </c>
      <c r="D6013" s="2" t="s">
        <v>18</v>
      </c>
      <c r="E6013" s="4">
        <v>-32434</v>
      </c>
      <c r="F6013" s="3" t="s">
        <v>1932</v>
      </c>
      <c r="G6013" s="3" t="s">
        <v>178</v>
      </c>
      <c r="H6013" s="2" t="s">
        <v>148</v>
      </c>
      <c r="I6013" s="2" t="s">
        <v>15490</v>
      </c>
      <c r="J6013" s="3" t="str">
        <f>HYPERLINK("https://www.boe.es/gazeta/dias/1811/03/13/pdfs/GMD-1811-72.pdf#page=2","Abrir facsímil")</f>
        <v>Abrir facsímil</v>
      </c>
      <c r="K6013" s="3" t="s">
        <v>150</v>
      </c>
    </row>
    <row r="6014" spans="1:11" ht="42" customHeight="1">
      <c r="A6014" s="2" t="s">
        <v>15491</v>
      </c>
      <c r="B6014" s="2" t="s">
        <v>15492</v>
      </c>
      <c r="C6014" s="2" t="s">
        <v>17</v>
      </c>
      <c r="D6014" s="2" t="s">
        <v>156</v>
      </c>
      <c r="E6014" s="4">
        <v>-32312</v>
      </c>
      <c r="F6014" s="3" t="s">
        <v>2640</v>
      </c>
      <c r="G6014" s="3" t="s">
        <v>3105</v>
      </c>
      <c r="H6014" s="2" t="s">
        <v>148</v>
      </c>
      <c r="I6014" s="2" t="s">
        <v>15493</v>
      </c>
      <c r="J6014" s="3" t="str">
        <f>HYPERLINK("https://www.boe.es/gazeta/dias/1811/07/13/pdfs/GEI-1811-92.pdf#page=5","Abrir facsímil")</f>
        <v>Abrir facsímil</v>
      </c>
      <c r="K6014" s="3" t="s">
        <v>150</v>
      </c>
    </row>
    <row r="6015" spans="1:11" ht="42" customHeight="1">
      <c r="A6015" s="2" t="s">
        <v>15494</v>
      </c>
      <c r="B6015" s="2" t="s">
        <v>15495</v>
      </c>
      <c r="C6015" s="2" t="s">
        <v>26</v>
      </c>
      <c r="D6015" s="2" t="s">
        <v>141</v>
      </c>
      <c r="E6015" s="4">
        <v>-32272</v>
      </c>
      <c r="F6015" s="3" t="s">
        <v>1150</v>
      </c>
      <c r="G6015" s="3" t="s">
        <v>248</v>
      </c>
      <c r="H6015" s="2" t="s">
        <v>148</v>
      </c>
      <c r="I6015" s="2" t="s">
        <v>15496</v>
      </c>
      <c r="J6015" s="3" t="str">
        <f>HYPERLINK("https://www.boe.es/gazeta/dias/1811/08/22/pdfs/GMD-C-1811-234.pdf#page=1","Abrir facsímil")</f>
        <v>Abrir facsímil</v>
      </c>
      <c r="K6015" s="3" t="s">
        <v>150</v>
      </c>
    </row>
    <row r="6016" spans="1:11" ht="42" customHeight="1">
      <c r="A6016" s="2" t="s">
        <v>15497</v>
      </c>
      <c r="B6016" s="2" t="s">
        <v>15498</v>
      </c>
      <c r="C6016" s="2" t="s">
        <v>26</v>
      </c>
      <c r="D6016" s="2" t="s">
        <v>18</v>
      </c>
      <c r="E6016" s="4">
        <v>-32172</v>
      </c>
      <c r="F6016" s="3" t="s">
        <v>300</v>
      </c>
      <c r="G6016" s="3" t="s">
        <v>301</v>
      </c>
      <c r="H6016" s="2" t="s">
        <v>148</v>
      </c>
      <c r="I6016" s="2" t="s">
        <v>15499</v>
      </c>
      <c r="J6016" s="3" t="str">
        <f>HYPERLINK("https://www.boe.es/gazeta/dias/1811/11/30/pdfs/GMD-1811-334.pdf#page=4","Abrir facsímil")</f>
        <v>Abrir facsímil</v>
      </c>
      <c r="K6016" s="3" t="s">
        <v>150</v>
      </c>
    </row>
    <row r="6017" spans="1:11" ht="42" customHeight="1">
      <c r="A6017" s="2" t="s">
        <v>15500</v>
      </c>
      <c r="B6017" s="2" t="s">
        <v>15500</v>
      </c>
      <c r="C6017" s="2" t="s">
        <v>26</v>
      </c>
      <c r="D6017" s="2" t="s">
        <v>18</v>
      </c>
      <c r="E6017" s="4">
        <v>-32187</v>
      </c>
      <c r="F6017" s="3" t="s">
        <v>1775</v>
      </c>
      <c r="G6017" s="3" t="s">
        <v>44</v>
      </c>
      <c r="H6017" s="2" t="s">
        <v>148</v>
      </c>
      <c r="I6017" s="2" t="s">
        <v>15501</v>
      </c>
      <c r="J6017" s="3" t="str">
        <f>HYPERLINK("https://www.boe.es/gazeta/dias/1811/11/15/pdfs/GMD-1811-319.pdf#page=2","Abrir facsímil")</f>
        <v>Abrir facsímil</v>
      </c>
      <c r="K6017" s="3" t="s">
        <v>150</v>
      </c>
    </row>
    <row r="6018" spans="1:11" ht="42" customHeight="1">
      <c r="A6018" s="2" t="s">
        <v>15502</v>
      </c>
      <c r="B6018" s="2" t="s">
        <v>15503</v>
      </c>
      <c r="C6018" s="2" t="s">
        <v>26</v>
      </c>
      <c r="D6018" s="2" t="s">
        <v>18</v>
      </c>
      <c r="E6018" s="4">
        <v>-32283</v>
      </c>
      <c r="F6018" s="3" t="s">
        <v>90</v>
      </c>
      <c r="G6018" s="3" t="s">
        <v>91</v>
      </c>
      <c r="H6018" s="2" t="s">
        <v>148</v>
      </c>
      <c r="I6018" s="2" t="s">
        <v>15504</v>
      </c>
      <c r="J6018" s="3" t="str">
        <f>HYPERLINK("https://www.boe.es/gazeta/dias/1811/08/11/pdfs/GMD-1811-223.pdf#page=4","Abrir facsímil")</f>
        <v>Abrir facsímil</v>
      </c>
      <c r="K6018" s="3" t="s">
        <v>150</v>
      </c>
    </row>
    <row r="6019" spans="1:11" ht="42" customHeight="1">
      <c r="A6019" s="2" t="s">
        <v>15505</v>
      </c>
      <c r="B6019" s="2" t="s">
        <v>15506</v>
      </c>
      <c r="C6019" s="2" t="s">
        <v>17</v>
      </c>
      <c r="D6019" s="2" t="s">
        <v>18</v>
      </c>
      <c r="E6019" s="4">
        <v>-32323</v>
      </c>
      <c r="F6019" s="3" t="s">
        <v>322</v>
      </c>
      <c r="G6019" s="3" t="s">
        <v>2164</v>
      </c>
      <c r="H6019" s="2" t="s">
        <v>148</v>
      </c>
      <c r="I6019" s="2" t="s">
        <v>15507</v>
      </c>
      <c r="J6019" s="3" t="str">
        <f>HYPERLINK("https://www.boe.es/gazeta/dias/1811/07/02/pdfs/GEI-1811-87.pdf#page=7","Abrir facsímil")</f>
        <v>Abrir facsímil</v>
      </c>
      <c r="K6019" s="3" t="s">
        <v>150</v>
      </c>
    </row>
    <row r="6020" spans="1:11" ht="42" customHeight="1">
      <c r="A6020" s="2" t="s">
        <v>15508</v>
      </c>
      <c r="B6020" s="2" t="s">
        <v>15508</v>
      </c>
      <c r="C6020" s="2" t="s">
        <v>26</v>
      </c>
      <c r="D6020" s="2" t="s">
        <v>18</v>
      </c>
      <c r="E6020" s="4">
        <v>-32149</v>
      </c>
      <c r="F6020" s="3" t="s">
        <v>2292</v>
      </c>
      <c r="G6020" s="3" t="s">
        <v>91</v>
      </c>
      <c r="H6020" s="2" t="s">
        <v>148</v>
      </c>
      <c r="I6020" s="2" t="s">
        <v>15509</v>
      </c>
      <c r="J6020" s="3" t="str">
        <f>HYPERLINK("https://www.boe.es/gazeta/dias/1811/12/23/pdfs/GMD-1811-357.pdf#page=3","Abrir facsímil")</f>
        <v>Abrir facsímil</v>
      </c>
      <c r="K6020" s="3" t="s">
        <v>150</v>
      </c>
    </row>
    <row r="6021" spans="1:11" ht="42" customHeight="1">
      <c r="A6021" s="2" t="s">
        <v>15510</v>
      </c>
      <c r="B6021" s="2" t="s">
        <v>15511</v>
      </c>
      <c r="C6021" s="2" t="s">
        <v>26</v>
      </c>
      <c r="D6021" s="2" t="s">
        <v>18</v>
      </c>
      <c r="E6021" s="4">
        <v>-32155</v>
      </c>
      <c r="F6021" s="3" t="s">
        <v>263</v>
      </c>
      <c r="G6021" s="3" t="s">
        <v>1800</v>
      </c>
      <c r="H6021" s="2" t="s">
        <v>148</v>
      </c>
      <c r="I6021" s="2" t="s">
        <v>15512</v>
      </c>
      <c r="J6021" s="3" t="str">
        <f>HYPERLINK("https://www.boe.es/gazeta/dias/1811/12/17/pdfs/GEI-1811-163.pdf#page=7","Abrir facsímil")</f>
        <v>Abrir facsímil</v>
      </c>
      <c r="K6021" s="3" t="s">
        <v>150</v>
      </c>
    </row>
    <row r="6022" spans="1:11" ht="42" customHeight="1">
      <c r="A6022" s="2" t="s">
        <v>15513</v>
      </c>
      <c r="B6022" s="2" t="s">
        <v>15514</v>
      </c>
      <c r="C6022" s="2" t="s">
        <v>17</v>
      </c>
      <c r="D6022" s="2" t="s">
        <v>18</v>
      </c>
      <c r="E6022" s="4">
        <v>-32250</v>
      </c>
      <c r="F6022" s="3" t="s">
        <v>2823</v>
      </c>
      <c r="G6022" s="3" t="s">
        <v>11120</v>
      </c>
      <c r="H6022" s="2" t="s">
        <v>21</v>
      </c>
      <c r="I6022" s="2" t="s">
        <v>15515</v>
      </c>
      <c r="J6022" s="3" t="str">
        <f>HYPERLINK("https://www.boe.es/gazeta/dias/1811/09/13/pdfs/GMD-1811-256.pdf#page=1","Abrir facsímil")</f>
        <v>Abrir facsímil</v>
      </c>
      <c r="K6022" s="3" t="s">
        <v>23</v>
      </c>
    </row>
    <row r="6023" spans="1:11" ht="42" customHeight="1">
      <c r="A6023" s="2" t="s">
        <v>15516</v>
      </c>
      <c r="B6023" s="2" t="s">
        <v>15516</v>
      </c>
      <c r="C6023" s="2" t="s">
        <v>17</v>
      </c>
      <c r="D6023" s="2" t="s">
        <v>18</v>
      </c>
      <c r="E6023" s="4">
        <v>-32388</v>
      </c>
      <c r="F6023" s="3" t="s">
        <v>2772</v>
      </c>
      <c r="G6023" s="3" t="s">
        <v>976</v>
      </c>
      <c r="H6023" s="2" t="s">
        <v>148</v>
      </c>
      <c r="I6023" s="2" t="s">
        <v>15517</v>
      </c>
      <c r="J6023" s="3" t="str">
        <f>HYPERLINK("https://www.boe.es/gazeta/dias/1811/04/28/pdfs/GMD-1811-118.pdf#page=3","Abrir facsímil")</f>
        <v>Abrir facsímil</v>
      </c>
      <c r="K6023" s="3" t="s">
        <v>150</v>
      </c>
    </row>
    <row r="6024" spans="1:11" ht="42" customHeight="1">
      <c r="A6024" s="2" t="s">
        <v>15518</v>
      </c>
      <c r="B6024" s="2" t="s">
        <v>15519</v>
      </c>
      <c r="C6024" s="2" t="s">
        <v>26</v>
      </c>
      <c r="D6024" s="2" t="s">
        <v>18</v>
      </c>
      <c r="E6024" s="4">
        <v>-32295</v>
      </c>
      <c r="F6024" s="3" t="s">
        <v>279</v>
      </c>
      <c r="G6024" s="3" t="s">
        <v>44</v>
      </c>
      <c r="H6024" s="2" t="s">
        <v>148</v>
      </c>
      <c r="I6024" s="2" t="s">
        <v>15520</v>
      </c>
      <c r="J6024" s="3" t="str">
        <f>HYPERLINK("https://www.boe.es/gazeta/dias/1811/07/30/pdfs/GEI-1811-99.pdf#page=8","Abrir facsímil")</f>
        <v>Abrir facsímil</v>
      </c>
      <c r="K6024" s="3" t="s">
        <v>150</v>
      </c>
    </row>
    <row r="6025" spans="1:11" ht="42" customHeight="1">
      <c r="A6025" s="2" t="s">
        <v>15521</v>
      </c>
      <c r="B6025" s="2" t="s">
        <v>15521</v>
      </c>
      <c r="C6025" s="2" t="s">
        <v>17</v>
      </c>
      <c r="D6025" s="2" t="s">
        <v>141</v>
      </c>
      <c r="E6025" s="4">
        <v>-32211</v>
      </c>
      <c r="F6025" s="3" t="s">
        <v>2887</v>
      </c>
      <c r="G6025" s="3" t="s">
        <v>4068</v>
      </c>
      <c r="H6025" s="2" t="s">
        <v>148</v>
      </c>
      <c r="I6025" s="2" t="s">
        <v>15522</v>
      </c>
      <c r="J6025" s="3" t="str">
        <f>HYPERLINK("https://www.boe.es/gazeta/dias/1811/10/22/pdfs/GEI-D-1811-136.pdf#page=2","Abrir facsímil")</f>
        <v>Abrir facsímil</v>
      </c>
      <c r="K6025" s="3" t="s">
        <v>150</v>
      </c>
    </row>
    <row r="6026" spans="1:11" ht="42" customHeight="1">
      <c r="A6026" s="2" t="s">
        <v>15523</v>
      </c>
      <c r="B6026" s="2" t="s">
        <v>15524</v>
      </c>
      <c r="C6026" s="2" t="s">
        <v>26</v>
      </c>
      <c r="D6026" s="2" t="s">
        <v>18</v>
      </c>
      <c r="E6026" s="4">
        <v>-32283</v>
      </c>
      <c r="F6026" s="3" t="s">
        <v>90</v>
      </c>
      <c r="G6026" s="3" t="s">
        <v>91</v>
      </c>
      <c r="H6026" s="2" t="s">
        <v>148</v>
      </c>
      <c r="I6026" s="2" t="s">
        <v>15525</v>
      </c>
      <c r="J6026" s="3" t="str">
        <f>HYPERLINK("https://www.boe.es/gazeta/dias/1811/08/11/pdfs/GMD-1811-223.pdf#page=4","Abrir facsímil")</f>
        <v>Abrir facsímil</v>
      </c>
      <c r="K6026" s="3" t="s">
        <v>150</v>
      </c>
    </row>
    <row r="6027" spans="1:11" ht="42" customHeight="1">
      <c r="A6027" s="2" t="s">
        <v>15526</v>
      </c>
      <c r="B6027" s="2" t="s">
        <v>15527</v>
      </c>
      <c r="C6027" s="2" t="s">
        <v>841</v>
      </c>
      <c r="D6027" s="2" t="s">
        <v>18</v>
      </c>
      <c r="E6027" s="4">
        <v>-32379</v>
      </c>
      <c r="F6027" s="3" t="s">
        <v>462</v>
      </c>
      <c r="G6027" s="3" t="s">
        <v>463</v>
      </c>
      <c r="H6027" s="2" t="s">
        <v>148</v>
      </c>
      <c r="I6027" s="2" t="s">
        <v>15528</v>
      </c>
      <c r="J6027" s="3" t="str">
        <f>HYPERLINK("https://www.boe.es/gazeta/dias/1811/05/07/pdfs/GEI-1811-60.pdf#page=8","Abrir facsímil")</f>
        <v>Abrir facsímil</v>
      </c>
      <c r="K6027" s="3" t="s">
        <v>150</v>
      </c>
    </row>
    <row r="6028" spans="1:11" ht="42" customHeight="1">
      <c r="A6028" s="2" t="s">
        <v>15529</v>
      </c>
      <c r="B6028" s="2" t="s">
        <v>15530</v>
      </c>
      <c r="C6028" s="2" t="s">
        <v>841</v>
      </c>
      <c r="D6028" s="2" t="s">
        <v>18</v>
      </c>
      <c r="E6028" s="4">
        <v>-32379</v>
      </c>
      <c r="F6028" s="3" t="s">
        <v>462</v>
      </c>
      <c r="G6028" s="3" t="s">
        <v>463</v>
      </c>
      <c r="H6028" s="2" t="s">
        <v>148</v>
      </c>
      <c r="I6028" s="2" t="s">
        <v>15531</v>
      </c>
      <c r="J6028" s="3" t="str">
        <f>HYPERLINK("https://www.boe.es/gazeta/dias/1811/05/07/pdfs/GEI-1811-60.pdf#page=8","Abrir facsímil")</f>
        <v>Abrir facsímil</v>
      </c>
      <c r="K6028" s="3" t="s">
        <v>150</v>
      </c>
    </row>
    <row r="6029" spans="1:11" ht="42" customHeight="1">
      <c r="A6029" s="2" t="s">
        <v>15532</v>
      </c>
      <c r="B6029" s="2" t="s">
        <v>15533</v>
      </c>
      <c r="C6029" s="2" t="s">
        <v>26</v>
      </c>
      <c r="D6029" s="2" t="s">
        <v>141</v>
      </c>
      <c r="E6029" s="4">
        <v>-32280</v>
      </c>
      <c r="F6029" s="3" t="s">
        <v>142</v>
      </c>
      <c r="G6029" s="3" t="s">
        <v>47</v>
      </c>
      <c r="H6029" s="2" t="s">
        <v>148</v>
      </c>
      <c r="I6029" s="2" t="s">
        <v>15534</v>
      </c>
      <c r="J6029" s="3" t="str">
        <f>HYPERLINK("https://www.boe.es/gazeta/dias/1811/08/14/pdfs/GMD-C-1811-226.pdf#page=1","Abrir facsímil")</f>
        <v>Abrir facsímil</v>
      </c>
      <c r="K6029" s="3" t="s">
        <v>150</v>
      </c>
    </row>
    <row r="6030" spans="1:11" ht="42" customHeight="1">
      <c r="A6030" s="2" t="s">
        <v>15535</v>
      </c>
      <c r="B6030" s="2" t="s">
        <v>15536</v>
      </c>
      <c r="C6030" s="2" t="s">
        <v>84</v>
      </c>
      <c r="D6030" s="2" t="s">
        <v>18</v>
      </c>
      <c r="E6030" s="4">
        <v>-32145</v>
      </c>
      <c r="F6030" s="3" t="s">
        <v>417</v>
      </c>
      <c r="G6030" s="3" t="s">
        <v>418</v>
      </c>
      <c r="H6030" s="2" t="s">
        <v>148</v>
      </c>
      <c r="I6030" s="2" t="s">
        <v>15537</v>
      </c>
      <c r="J6030" s="3" t="str">
        <f>HYPERLINK("https://www.boe.es/gazeta/dias/1811/12/27/pdfs/GMD-1811-361.pdf#page=4","Abrir facsímil")</f>
        <v>Abrir facsímil</v>
      </c>
      <c r="K6030" s="3" t="s">
        <v>150</v>
      </c>
    </row>
    <row r="6031" spans="1:11" ht="42" customHeight="1">
      <c r="A6031" s="2" t="s">
        <v>15538</v>
      </c>
      <c r="B6031" s="2" t="s">
        <v>15539</v>
      </c>
      <c r="C6031" s="2" t="s">
        <v>26</v>
      </c>
      <c r="D6031" s="2" t="s">
        <v>18</v>
      </c>
      <c r="E6031" s="4">
        <v>-32396</v>
      </c>
      <c r="F6031" s="3" t="s">
        <v>1267</v>
      </c>
      <c r="G6031" s="3" t="s">
        <v>1143</v>
      </c>
      <c r="H6031" s="2" t="s">
        <v>148</v>
      </c>
      <c r="I6031" s="2" t="s">
        <v>15540</v>
      </c>
      <c r="J6031" s="3" t="str">
        <f>HYPERLINK("https://www.boe.es/gazeta/dias/1811/04/20/pdfs/GMD-1811-110.pdf#page=3","Abrir facsímil")</f>
        <v>Abrir facsímil</v>
      </c>
      <c r="K6031" s="3" t="s">
        <v>150</v>
      </c>
    </row>
    <row r="6032" spans="1:11" ht="42" customHeight="1">
      <c r="A6032" s="2" t="s">
        <v>15541</v>
      </c>
      <c r="B6032" s="2" t="s">
        <v>15541</v>
      </c>
      <c r="C6032" s="2" t="s">
        <v>17</v>
      </c>
      <c r="D6032" s="2" t="s">
        <v>18</v>
      </c>
      <c r="E6032" s="4">
        <v>-32200</v>
      </c>
      <c r="F6032" s="3" t="s">
        <v>8807</v>
      </c>
      <c r="G6032" s="3" t="s">
        <v>8808</v>
      </c>
      <c r="H6032" s="2" t="s">
        <v>148</v>
      </c>
      <c r="I6032" s="2" t="s">
        <v>15542</v>
      </c>
      <c r="J6032" s="3" t="str">
        <f>HYPERLINK("https://www.boe.es/gazeta/dias/1811/11/02/pdfs/GMD-1811-306.pdf#page=4","Abrir facsímil")</f>
        <v>Abrir facsímil</v>
      </c>
      <c r="K6032" s="3" t="s">
        <v>150</v>
      </c>
    </row>
    <row r="6033" spans="1:11" ht="42" customHeight="1">
      <c r="A6033" s="2" t="s">
        <v>15543</v>
      </c>
      <c r="B6033" s="2" t="s">
        <v>15544</v>
      </c>
      <c r="C6033" s="2" t="s">
        <v>17</v>
      </c>
      <c r="D6033" s="2" t="s">
        <v>18</v>
      </c>
      <c r="E6033" s="4">
        <v>-32187</v>
      </c>
      <c r="F6033" s="3" t="s">
        <v>1775</v>
      </c>
      <c r="G6033" s="3" t="s">
        <v>657</v>
      </c>
      <c r="H6033" s="2" t="s">
        <v>148</v>
      </c>
      <c r="I6033" s="2" t="s">
        <v>15545</v>
      </c>
      <c r="J6033" s="3" t="str">
        <f>HYPERLINK("https://www.boe.es/gazeta/dias/1811/11/15/pdfs/GMD-1811-319.pdf#page=4","Abrir facsímil")</f>
        <v>Abrir facsímil</v>
      </c>
      <c r="K6033" s="3" t="s">
        <v>150</v>
      </c>
    </row>
    <row r="6034" spans="1:11" ht="42" customHeight="1">
      <c r="A6034" s="2" t="s">
        <v>15546</v>
      </c>
      <c r="B6034" s="2" t="s">
        <v>15547</v>
      </c>
      <c r="C6034" s="2" t="s">
        <v>26</v>
      </c>
      <c r="D6034" s="2" t="s">
        <v>18</v>
      </c>
      <c r="E6034" s="4">
        <v>-32242</v>
      </c>
      <c r="F6034" s="3" t="s">
        <v>1295</v>
      </c>
      <c r="G6034" s="3" t="s">
        <v>1296</v>
      </c>
      <c r="H6034" s="2" t="s">
        <v>148</v>
      </c>
      <c r="I6034" s="2" t="s">
        <v>15548</v>
      </c>
      <c r="J6034" s="3" t="str">
        <f>HYPERLINK("https://www.boe.es/gazeta/dias/1811/09/21/pdfs/GEI-1811-122.pdf#page=8","Abrir facsímil")</f>
        <v>Abrir facsímil</v>
      </c>
      <c r="K6034" s="3" t="s">
        <v>150</v>
      </c>
    </row>
    <row r="6035" spans="1:11" ht="42" customHeight="1">
      <c r="A6035" s="2" t="s">
        <v>15549</v>
      </c>
      <c r="B6035" s="2" t="s">
        <v>15549</v>
      </c>
      <c r="C6035" s="2" t="s">
        <v>17</v>
      </c>
      <c r="D6035" s="2" t="s">
        <v>156</v>
      </c>
      <c r="E6035" s="4">
        <v>-32345</v>
      </c>
      <c r="F6035" s="3" t="s">
        <v>9686</v>
      </c>
      <c r="G6035" s="3" t="s">
        <v>178</v>
      </c>
      <c r="H6035" s="2" t="s">
        <v>148</v>
      </c>
      <c r="I6035" s="2" t="s">
        <v>15550</v>
      </c>
      <c r="J6035" s="3" t="str">
        <f>HYPERLINK("https://www.boe.es/gazeta/dias/1811/06/10/pdfs/GMD-1811-161.pdf#page=2","Abrir facsímil")</f>
        <v>Abrir facsímil</v>
      </c>
      <c r="K6035" s="3" t="s">
        <v>150</v>
      </c>
    </row>
    <row r="6036" spans="1:11" ht="42" customHeight="1">
      <c r="A6036" s="2" t="s">
        <v>15551</v>
      </c>
      <c r="B6036" s="2" t="s">
        <v>15551</v>
      </c>
      <c r="C6036" s="2" t="s">
        <v>17</v>
      </c>
      <c r="D6036" s="2" t="s">
        <v>18</v>
      </c>
      <c r="E6036" s="4">
        <v>-32405</v>
      </c>
      <c r="F6036" s="3" t="s">
        <v>1413</v>
      </c>
      <c r="G6036" s="3" t="s">
        <v>1414</v>
      </c>
      <c r="H6036" s="2" t="s">
        <v>148</v>
      </c>
      <c r="I6036" s="2" t="s">
        <v>15552</v>
      </c>
      <c r="J6036" s="3" t="str">
        <f>HYPERLINK("https://www.boe.es/gazeta/dias/1811/04/11/pdfs/GEI-1811-49.pdf#page=1","Abrir facsímil")</f>
        <v>Abrir facsímil</v>
      </c>
      <c r="K6036" s="3" t="s">
        <v>150</v>
      </c>
    </row>
    <row r="6037" spans="1:11" ht="42" customHeight="1">
      <c r="A6037" s="2" t="s">
        <v>15553</v>
      </c>
      <c r="B6037" s="2" t="s">
        <v>15554</v>
      </c>
      <c r="C6037" s="2" t="s">
        <v>26</v>
      </c>
      <c r="D6037" s="2" t="s">
        <v>18</v>
      </c>
      <c r="E6037" s="4">
        <v>-32468</v>
      </c>
      <c r="F6037" s="3" t="s">
        <v>683</v>
      </c>
      <c r="G6037" s="3" t="s">
        <v>334</v>
      </c>
      <c r="H6037" s="2" t="s">
        <v>148</v>
      </c>
      <c r="I6037" s="2" t="s">
        <v>15555</v>
      </c>
      <c r="J6037" s="3" t="str">
        <f>HYPERLINK("https://www.boe.es/gazeta/dias/1811/02/07/pdfs/GEI-1811-17.pdf#page=4","Abrir facsímil")</f>
        <v>Abrir facsímil</v>
      </c>
      <c r="K6037" s="3" t="s">
        <v>150</v>
      </c>
    </row>
    <row r="6038" spans="1:11" ht="42" customHeight="1">
      <c r="A6038" s="2" t="s">
        <v>15556</v>
      </c>
      <c r="B6038" s="2" t="s">
        <v>15557</v>
      </c>
      <c r="C6038" s="2" t="s">
        <v>26</v>
      </c>
      <c r="D6038" s="2" t="s">
        <v>18</v>
      </c>
      <c r="E6038" s="4">
        <v>-32286</v>
      </c>
      <c r="F6038" s="3" t="s">
        <v>754</v>
      </c>
      <c r="G6038" s="3" t="s">
        <v>1728</v>
      </c>
      <c r="H6038" s="2" t="s">
        <v>148</v>
      </c>
      <c r="I6038" s="2" t="s">
        <v>15558</v>
      </c>
      <c r="J6038" s="3" t="str">
        <f>HYPERLINK("https://www.boe.es/gazeta/dias/1811/08/08/pdfs/GEI-1811-103.pdf#page=8","Abrir facsímil")</f>
        <v>Abrir facsímil</v>
      </c>
      <c r="K6038" s="3" t="s">
        <v>150</v>
      </c>
    </row>
    <row r="6039" spans="1:11" ht="42" customHeight="1">
      <c r="A6039" s="2" t="s">
        <v>15559</v>
      </c>
      <c r="B6039" s="2" t="s">
        <v>15560</v>
      </c>
      <c r="C6039" s="2" t="s">
        <v>26</v>
      </c>
      <c r="D6039" s="2" t="s">
        <v>18</v>
      </c>
      <c r="E6039" s="4">
        <v>-32393</v>
      </c>
      <c r="F6039" s="3" t="s">
        <v>32</v>
      </c>
      <c r="G6039" s="3" t="s">
        <v>33</v>
      </c>
      <c r="H6039" s="2" t="s">
        <v>148</v>
      </c>
      <c r="I6039" s="2" t="s">
        <v>15561</v>
      </c>
      <c r="J6039" s="3" t="str">
        <f>HYPERLINK("https://www.boe.es/gazeta/dias/1811/04/23/pdfs/GEI-1811-54.pdf#page=8","Abrir facsímil")</f>
        <v>Abrir facsímil</v>
      </c>
      <c r="K6039" s="3" t="s">
        <v>150</v>
      </c>
    </row>
    <row r="6040" spans="1:11" ht="42" customHeight="1">
      <c r="A6040" s="2" t="s">
        <v>15562</v>
      </c>
      <c r="B6040" s="2" t="s">
        <v>15563</v>
      </c>
      <c r="C6040" s="2" t="s">
        <v>26</v>
      </c>
      <c r="D6040" s="2" t="s">
        <v>141</v>
      </c>
      <c r="E6040" s="4">
        <v>-32238</v>
      </c>
      <c r="F6040" s="3" t="s">
        <v>166</v>
      </c>
      <c r="G6040" s="3" t="s">
        <v>39</v>
      </c>
      <c r="H6040" s="2" t="s">
        <v>148</v>
      </c>
      <c r="I6040" s="2" t="s">
        <v>15564</v>
      </c>
      <c r="J6040" s="3" t="str">
        <f>HYPERLINK("https://www.boe.es/gazeta/dias/1811/09/25/pdfs/GMD-C-1811-268.pdf#page=2","Abrir facsímil")</f>
        <v>Abrir facsímil</v>
      </c>
      <c r="K6040" s="3" t="s">
        <v>150</v>
      </c>
    </row>
    <row r="6041" spans="1:11" ht="42" customHeight="1">
      <c r="A6041" s="2" t="s">
        <v>15565</v>
      </c>
      <c r="B6041" s="2" t="s">
        <v>15566</v>
      </c>
      <c r="C6041" s="2" t="s">
        <v>26</v>
      </c>
      <c r="D6041" s="2" t="s">
        <v>141</v>
      </c>
      <c r="E6041" s="4">
        <v>-32280</v>
      </c>
      <c r="F6041" s="3" t="s">
        <v>142</v>
      </c>
      <c r="G6041" s="3" t="s">
        <v>47</v>
      </c>
      <c r="H6041" s="2" t="s">
        <v>148</v>
      </c>
      <c r="I6041" s="2" t="s">
        <v>15567</v>
      </c>
      <c r="J6041" s="3" t="str">
        <f>HYPERLINK("https://www.boe.es/gazeta/dias/1811/08/14/pdfs/GMD-C-1811-226.pdf#page=1","Abrir facsímil")</f>
        <v>Abrir facsímil</v>
      </c>
      <c r="K6041" s="3" t="s">
        <v>150</v>
      </c>
    </row>
    <row r="6042" spans="1:11" ht="42" customHeight="1">
      <c r="A6042" s="2" t="s">
        <v>15568</v>
      </c>
      <c r="B6042" s="2" t="s">
        <v>15569</v>
      </c>
      <c r="C6042" s="2" t="s">
        <v>122</v>
      </c>
      <c r="D6042" s="2" t="s">
        <v>18</v>
      </c>
      <c r="E6042" s="4">
        <v>-32157</v>
      </c>
      <c r="F6042" s="3" t="s">
        <v>200</v>
      </c>
      <c r="G6042" s="3" t="s">
        <v>6869</v>
      </c>
      <c r="H6042" s="2" t="s">
        <v>148</v>
      </c>
      <c r="I6042" s="2" t="s">
        <v>15570</v>
      </c>
      <c r="J6042" s="3" t="str">
        <f>HYPERLINK("https://www.boe.es/gazeta/dias/1811/12/15/pdfs/GMD-1811-349.pdf#page=2","Abrir facsímil")</f>
        <v>Abrir facsímil</v>
      </c>
      <c r="K6042" s="3" t="s">
        <v>150</v>
      </c>
    </row>
    <row r="6043" spans="1:11" ht="42" customHeight="1">
      <c r="A6043" s="2" t="s">
        <v>15571</v>
      </c>
      <c r="B6043" s="2" t="s">
        <v>15571</v>
      </c>
      <c r="C6043" s="2" t="s">
        <v>104</v>
      </c>
      <c r="D6043" s="2" t="s">
        <v>18</v>
      </c>
      <c r="E6043" s="4">
        <v>-32218</v>
      </c>
      <c r="F6043" s="3" t="s">
        <v>545</v>
      </c>
      <c r="G6043" s="3" t="s">
        <v>546</v>
      </c>
      <c r="H6043" s="2" t="s">
        <v>148</v>
      </c>
      <c r="I6043" s="2" t="s">
        <v>15572</v>
      </c>
      <c r="J6043" s="3" t="str">
        <f>HYPERLINK("https://www.boe.es/gazeta/dias/1811/10/15/pdfs/GMD-1811-288.pdf#page=4","Abrir facsímil")</f>
        <v>Abrir facsímil</v>
      </c>
      <c r="K6043" s="3" t="s">
        <v>150</v>
      </c>
    </row>
    <row r="6044" spans="1:11" ht="42" customHeight="1">
      <c r="A6044" s="2" t="s">
        <v>15571</v>
      </c>
      <c r="B6044" s="2" t="s">
        <v>15571</v>
      </c>
      <c r="C6044" s="2" t="s">
        <v>26</v>
      </c>
      <c r="D6044" s="2" t="s">
        <v>18</v>
      </c>
      <c r="E6044" s="4">
        <v>-32206</v>
      </c>
      <c r="F6044" s="3" t="s">
        <v>9976</v>
      </c>
      <c r="G6044" s="3" t="s">
        <v>9977</v>
      </c>
      <c r="H6044" s="2" t="s">
        <v>148</v>
      </c>
      <c r="I6044" s="2" t="s">
        <v>15573</v>
      </c>
      <c r="J6044" s="3" t="str">
        <f>HYPERLINK("https://www.boe.es/gazeta/dias/1811/10/27/pdfs/GMD-1811-300.pdf#page=3","Abrir facsímil")</f>
        <v>Abrir facsímil</v>
      </c>
      <c r="K6044" s="3" t="s">
        <v>150</v>
      </c>
    </row>
    <row r="6045" spans="1:11" ht="42" customHeight="1">
      <c r="A6045" s="2" t="s">
        <v>15574</v>
      </c>
      <c r="B6045" s="2" t="s">
        <v>15575</v>
      </c>
      <c r="C6045" s="2" t="s">
        <v>26</v>
      </c>
      <c r="D6045" s="2" t="s">
        <v>18</v>
      </c>
      <c r="E6045" s="4">
        <v>-32258</v>
      </c>
      <c r="F6045" s="3" t="s">
        <v>449</v>
      </c>
      <c r="G6045" s="3" t="s">
        <v>903</v>
      </c>
      <c r="H6045" s="2" t="s">
        <v>148</v>
      </c>
      <c r="I6045" s="2" t="s">
        <v>15576</v>
      </c>
      <c r="J6045" s="3" t="str">
        <f>HYPERLINK("https://www.boe.es/gazeta/dias/1811/09/05/pdfs/GEI-1811-115.pdf#page=4","Abrir facsímil")</f>
        <v>Abrir facsímil</v>
      </c>
      <c r="K6045" s="3" t="s">
        <v>150</v>
      </c>
    </row>
    <row r="6046" spans="1:11" ht="42" customHeight="1">
      <c r="A6046" s="2" t="s">
        <v>15577</v>
      </c>
      <c r="B6046" s="2" t="s">
        <v>15578</v>
      </c>
      <c r="C6046" s="2" t="s">
        <v>37</v>
      </c>
      <c r="D6046" s="2" t="s">
        <v>105</v>
      </c>
      <c r="E6046" s="4">
        <v>-32283</v>
      </c>
      <c r="F6046" s="3" t="s">
        <v>90</v>
      </c>
      <c r="G6046" s="3" t="s">
        <v>91</v>
      </c>
      <c r="H6046" s="2" t="s">
        <v>148</v>
      </c>
      <c r="I6046" s="2" t="s">
        <v>15579</v>
      </c>
      <c r="J6046" s="3" t="str">
        <f>HYPERLINK("https://www.boe.es/gazeta/dias/1811/08/11/pdfs/GMD-1811-223.pdf#page=4","Abrir facsímil")</f>
        <v>Abrir facsímil</v>
      </c>
      <c r="K6046" s="3" t="s">
        <v>150</v>
      </c>
    </row>
    <row r="6047" spans="1:11" ht="42" customHeight="1">
      <c r="A6047" s="2" t="s">
        <v>15580</v>
      </c>
      <c r="B6047" s="2" t="s">
        <v>15581</v>
      </c>
      <c r="C6047" s="2" t="s">
        <v>26</v>
      </c>
      <c r="D6047" s="2" t="s">
        <v>18</v>
      </c>
      <c r="E6047" s="4">
        <v>-32286</v>
      </c>
      <c r="F6047" s="3" t="s">
        <v>754</v>
      </c>
      <c r="G6047" s="3" t="s">
        <v>1728</v>
      </c>
      <c r="H6047" s="2" t="s">
        <v>148</v>
      </c>
      <c r="I6047" s="2" t="s">
        <v>15582</v>
      </c>
      <c r="J6047" s="3" t="str">
        <f>HYPERLINK("https://www.boe.es/gazeta/dias/1811/08/08/pdfs/GEI-1811-103.pdf#page=8","Abrir facsímil")</f>
        <v>Abrir facsímil</v>
      </c>
      <c r="K6047" s="3" t="s">
        <v>150</v>
      </c>
    </row>
    <row r="6048" spans="1:11" ht="42" customHeight="1">
      <c r="A6048" s="2" t="s">
        <v>15583</v>
      </c>
      <c r="B6048" s="2" t="s">
        <v>15584</v>
      </c>
      <c r="C6048" s="2" t="s">
        <v>17</v>
      </c>
      <c r="D6048" s="2" t="s">
        <v>156</v>
      </c>
      <c r="E6048" s="4">
        <v>-32309</v>
      </c>
      <c r="F6048" s="3" t="s">
        <v>2496</v>
      </c>
      <c r="G6048" s="3" t="s">
        <v>47</v>
      </c>
      <c r="H6048" s="2" t="s">
        <v>148</v>
      </c>
      <c r="I6048" s="2" t="s">
        <v>15585</v>
      </c>
      <c r="J6048" s="3" t="str">
        <f>HYPERLINK("https://www.boe.es/gazeta/dias/1811/07/16/pdfs/GEI-1811-93.pdf#page=8","Abrir facsímil")</f>
        <v>Abrir facsímil</v>
      </c>
      <c r="K6048" s="3" t="s">
        <v>150</v>
      </c>
    </row>
    <row r="6049" spans="1:11" ht="42" customHeight="1">
      <c r="A6049" s="2" t="s">
        <v>15586</v>
      </c>
      <c r="B6049" s="2" t="s">
        <v>15586</v>
      </c>
      <c r="C6049" s="2" t="s">
        <v>17</v>
      </c>
      <c r="D6049" s="2" t="s">
        <v>18</v>
      </c>
      <c r="E6049" s="4">
        <v>-32321</v>
      </c>
      <c r="F6049" s="3" t="s">
        <v>1829</v>
      </c>
      <c r="G6049" s="3" t="s">
        <v>1832</v>
      </c>
      <c r="H6049" s="2" t="s">
        <v>148</v>
      </c>
      <c r="I6049" s="2" t="s">
        <v>15587</v>
      </c>
      <c r="J6049" s="3" t="str">
        <f>HYPERLINK("https://www.boe.es/gazeta/dias/1811/07/04/pdfs/GEI-1811-88.pdf#page=4","Abrir facsímil")</f>
        <v>Abrir facsímil</v>
      </c>
      <c r="K6049" s="3" t="s">
        <v>150</v>
      </c>
    </row>
    <row r="6050" spans="1:11" ht="42" customHeight="1">
      <c r="A6050" s="2" t="s">
        <v>15588</v>
      </c>
      <c r="B6050" s="2" t="s">
        <v>15588</v>
      </c>
      <c r="C6050" s="2" t="s">
        <v>17</v>
      </c>
      <c r="D6050" s="2" t="s">
        <v>156</v>
      </c>
      <c r="E6050" s="4">
        <v>-32277</v>
      </c>
      <c r="F6050" s="3" t="s">
        <v>1765</v>
      </c>
      <c r="G6050" s="3" t="s">
        <v>15589</v>
      </c>
      <c r="H6050" s="2" t="s">
        <v>148</v>
      </c>
      <c r="I6050" s="2" t="s">
        <v>15590</v>
      </c>
      <c r="J6050" s="3" t="str">
        <f>HYPERLINK("https://www.boe.es/gazeta/dias/1811/08/17/pdfs/GEI-1811-107.pdf#page=6","Abrir facsímil")</f>
        <v>Abrir facsímil</v>
      </c>
      <c r="K6050" s="3" t="s">
        <v>150</v>
      </c>
    </row>
    <row r="6051" spans="1:11" ht="42" customHeight="1">
      <c r="A6051" s="2" t="s">
        <v>15591</v>
      </c>
      <c r="B6051" s="2" t="s">
        <v>15592</v>
      </c>
      <c r="C6051" s="2" t="s">
        <v>84</v>
      </c>
      <c r="D6051" s="2" t="s">
        <v>18</v>
      </c>
      <c r="E6051" s="4">
        <v>-32181</v>
      </c>
      <c r="F6051" s="3" t="s">
        <v>1169</v>
      </c>
      <c r="G6051" s="3" t="s">
        <v>1170</v>
      </c>
      <c r="H6051" s="2" t="s">
        <v>148</v>
      </c>
      <c r="I6051" s="2" t="s">
        <v>15593</v>
      </c>
      <c r="J6051" s="3" t="str">
        <f>HYPERLINK("https://www.boe.es/gazeta/dias/1811/11/21/pdfs/GMD-1811-325.pdf#page=4","Abrir facsímil")</f>
        <v>Abrir facsímil</v>
      </c>
      <c r="K6051" s="3" t="s">
        <v>150</v>
      </c>
    </row>
    <row r="6052" spans="1:11" ht="42" customHeight="1">
      <c r="A6052" s="2" t="s">
        <v>15594</v>
      </c>
      <c r="B6052" s="2" t="s">
        <v>15595</v>
      </c>
      <c r="C6052" s="2" t="s">
        <v>17</v>
      </c>
      <c r="D6052" s="2" t="s">
        <v>18</v>
      </c>
      <c r="E6052" s="4">
        <v>-32379</v>
      </c>
      <c r="F6052" s="3" t="s">
        <v>462</v>
      </c>
      <c r="G6052" s="3" t="s">
        <v>228</v>
      </c>
      <c r="H6052" s="2" t="s">
        <v>148</v>
      </c>
      <c r="I6052" s="2" t="s">
        <v>15596</v>
      </c>
      <c r="J6052" s="3" t="str">
        <f>HYPERLINK("https://www.boe.es/gazeta/dias/1811/05/07/pdfs/GEI-1811-60.pdf#page=3","Abrir facsímil")</f>
        <v>Abrir facsímil</v>
      </c>
      <c r="K6052" s="3" t="s">
        <v>150</v>
      </c>
    </row>
    <row r="6053" spans="1:11" ht="42" customHeight="1">
      <c r="A6053" s="2" t="s">
        <v>15597</v>
      </c>
      <c r="B6053" s="2" t="s">
        <v>15598</v>
      </c>
      <c r="C6053" s="2" t="s">
        <v>84</v>
      </c>
      <c r="D6053" s="2" t="s">
        <v>18</v>
      </c>
      <c r="E6053" s="4">
        <v>-32468</v>
      </c>
      <c r="F6053" s="3" t="s">
        <v>683</v>
      </c>
      <c r="G6053" s="3" t="s">
        <v>62</v>
      </c>
      <c r="H6053" s="2" t="s">
        <v>148</v>
      </c>
      <c r="I6053" s="2" t="s">
        <v>15599</v>
      </c>
      <c r="J6053" s="3" t="str">
        <f>HYPERLINK("https://www.boe.es/gazeta/dias/1811/02/07/pdfs/GEI-1811-17.pdf#page=5","Abrir facsímil")</f>
        <v>Abrir facsímil</v>
      </c>
      <c r="K6053" s="3" t="s">
        <v>150</v>
      </c>
    </row>
    <row r="6054" spans="1:11" ht="42" customHeight="1">
      <c r="A6054" s="2" t="s">
        <v>15600</v>
      </c>
      <c r="B6054" s="2" t="s">
        <v>15600</v>
      </c>
      <c r="C6054" s="2" t="s">
        <v>17</v>
      </c>
      <c r="D6054" s="2" t="s">
        <v>18</v>
      </c>
      <c r="E6054" s="4">
        <v>-32294</v>
      </c>
      <c r="F6054" s="3" t="s">
        <v>3123</v>
      </c>
      <c r="G6054" s="3" t="s">
        <v>91</v>
      </c>
      <c r="H6054" s="2" t="s">
        <v>148</v>
      </c>
      <c r="I6054" s="2" t="s">
        <v>15601</v>
      </c>
      <c r="J6054" s="3" t="str">
        <f>HYPERLINK("https://www.boe.es/gazeta/dias/1811/07/31/pdfs/GMD-1811-212.pdf#page=2","Abrir facsímil")</f>
        <v>Abrir facsímil</v>
      </c>
      <c r="K6054" s="3" t="s">
        <v>150</v>
      </c>
    </row>
    <row r="6055" spans="1:11" ht="42" customHeight="1">
      <c r="A6055" s="2" t="s">
        <v>15602</v>
      </c>
      <c r="B6055" s="2" t="s">
        <v>15603</v>
      </c>
      <c r="C6055" s="2" t="s">
        <v>367</v>
      </c>
      <c r="D6055" s="2" t="s">
        <v>18</v>
      </c>
      <c r="E6055" s="4">
        <v>-32204</v>
      </c>
      <c r="F6055" s="3" t="s">
        <v>1053</v>
      </c>
      <c r="G6055" s="3" t="s">
        <v>62</v>
      </c>
      <c r="H6055" s="2" t="s">
        <v>148</v>
      </c>
      <c r="I6055" s="2" t="s">
        <v>15604</v>
      </c>
      <c r="J6055" s="3" t="str">
        <f>HYPERLINK("https://www.boe.es/gazeta/dias/1811/10/29/pdfs/GEI-1811-139.pdf#page=5","Abrir facsímil")</f>
        <v>Abrir facsímil</v>
      </c>
      <c r="K6055" s="3" t="s">
        <v>150</v>
      </c>
    </row>
    <row r="6056" spans="1:11" ht="42" customHeight="1">
      <c r="A6056" s="2" t="s">
        <v>15605</v>
      </c>
      <c r="B6056" s="2" t="s">
        <v>15606</v>
      </c>
      <c r="C6056" s="2" t="s">
        <v>17</v>
      </c>
      <c r="D6056" s="2" t="s">
        <v>156</v>
      </c>
      <c r="E6056" s="4">
        <v>-32176</v>
      </c>
      <c r="F6056" s="3" t="s">
        <v>638</v>
      </c>
      <c r="G6056" s="3" t="s">
        <v>639</v>
      </c>
      <c r="H6056" s="2" t="s">
        <v>148</v>
      </c>
      <c r="I6056" s="2" t="s">
        <v>15607</v>
      </c>
      <c r="J6056" s="3" t="str">
        <f>HYPERLINK("https://www.boe.es/gazeta/dias/1811/11/26/pdfs/GEI-1811-154.pdf#page=7","Abrir facsímil")</f>
        <v>Abrir facsímil</v>
      </c>
      <c r="K6056" s="3" t="s">
        <v>150</v>
      </c>
    </row>
    <row r="6057" spans="1:11" ht="42" customHeight="1">
      <c r="A6057" s="2" t="s">
        <v>15608</v>
      </c>
      <c r="B6057" s="2" t="s">
        <v>15609</v>
      </c>
      <c r="C6057" s="2" t="s">
        <v>84</v>
      </c>
      <c r="D6057" s="2" t="s">
        <v>18</v>
      </c>
      <c r="E6057" s="4">
        <v>-32230</v>
      </c>
      <c r="F6057" s="3" t="s">
        <v>625</v>
      </c>
      <c r="G6057" s="3" t="s">
        <v>1258</v>
      </c>
      <c r="H6057" s="2" t="s">
        <v>148</v>
      </c>
      <c r="I6057" s="2" t="s">
        <v>15610</v>
      </c>
      <c r="J6057" s="3" t="str">
        <f>HYPERLINK("https://www.boe.es/gazeta/dias/1811/10/03/pdfs/GEI-1811-127.pdf#page=8","Abrir facsímil")</f>
        <v>Abrir facsímil</v>
      </c>
      <c r="K6057" s="3" t="s">
        <v>150</v>
      </c>
    </row>
    <row r="6058" spans="1:11" ht="42" customHeight="1">
      <c r="A6058" s="2" t="s">
        <v>15611</v>
      </c>
      <c r="B6058" s="2" t="s">
        <v>15612</v>
      </c>
      <c r="C6058" s="2" t="s">
        <v>26</v>
      </c>
      <c r="D6058" s="2" t="s">
        <v>18</v>
      </c>
      <c r="E6058" s="4">
        <v>-32225</v>
      </c>
      <c r="F6058" s="3" t="s">
        <v>390</v>
      </c>
      <c r="G6058" s="3" t="s">
        <v>1368</v>
      </c>
      <c r="H6058" s="2" t="s">
        <v>148</v>
      </c>
      <c r="I6058" s="2" t="s">
        <v>15613</v>
      </c>
      <c r="J6058" s="3" t="str">
        <f>HYPERLINK("https://www.boe.es/gazeta/dias/1811/10/08/pdfs/GEI-1811-129.pdf#page=8","Abrir facsímil")</f>
        <v>Abrir facsímil</v>
      </c>
      <c r="K6058" s="3" t="s">
        <v>150</v>
      </c>
    </row>
    <row r="6059" spans="1:11" ht="42" customHeight="1">
      <c r="A6059" s="2" t="s">
        <v>15614</v>
      </c>
      <c r="B6059" s="2" t="s">
        <v>15614</v>
      </c>
      <c r="C6059" s="2" t="s">
        <v>104</v>
      </c>
      <c r="D6059" s="2" t="s">
        <v>18</v>
      </c>
      <c r="E6059" s="4">
        <v>-32299</v>
      </c>
      <c r="F6059" s="3" t="s">
        <v>2124</v>
      </c>
      <c r="G6059" s="3" t="s">
        <v>1505</v>
      </c>
      <c r="H6059" s="2" t="s">
        <v>148</v>
      </c>
      <c r="I6059" s="2" t="s">
        <v>15615</v>
      </c>
      <c r="J6059" s="3" t="str">
        <f>HYPERLINK("https://www.boe.es/gazeta/dias/1811/07/26/pdfs/GMD-1811-207.pdf#page=2","Abrir facsímil")</f>
        <v>Abrir facsímil</v>
      </c>
      <c r="K6059" s="3" t="s">
        <v>150</v>
      </c>
    </row>
    <row r="6060" spans="1:11" ht="42" customHeight="1">
      <c r="A6060" s="2" t="s">
        <v>15616</v>
      </c>
      <c r="B6060" s="2" t="s">
        <v>15616</v>
      </c>
      <c r="C6060" s="2" t="s">
        <v>104</v>
      </c>
      <c r="D6060" s="2" t="s">
        <v>204</v>
      </c>
      <c r="E6060" s="4">
        <v>-32279</v>
      </c>
      <c r="F6060" s="3" t="s">
        <v>444</v>
      </c>
      <c r="G6060" s="3" t="s">
        <v>44</v>
      </c>
      <c r="H6060" s="2" t="s">
        <v>148</v>
      </c>
      <c r="I6060" s="2" t="s">
        <v>15617</v>
      </c>
      <c r="J6060" s="3" t="str">
        <f>HYPERLINK("https://www.boe.es/gazeta/dias/1811/08/15/pdfs/GEI-1811-106.pdf#page=1","Abrir facsímil")</f>
        <v>Abrir facsímil</v>
      </c>
      <c r="K6060" s="3" t="s">
        <v>150</v>
      </c>
    </row>
    <row r="6061" spans="1:11" ht="42" customHeight="1">
      <c r="A6061" s="2" t="s">
        <v>15618</v>
      </c>
      <c r="B6061" s="2" t="s">
        <v>15619</v>
      </c>
      <c r="C6061" s="2" t="s">
        <v>26</v>
      </c>
      <c r="D6061" s="2" t="s">
        <v>105</v>
      </c>
      <c r="E6061" s="4">
        <v>-32238</v>
      </c>
      <c r="F6061" s="3" t="s">
        <v>166</v>
      </c>
      <c r="G6061" s="3" t="s">
        <v>657</v>
      </c>
      <c r="H6061" s="2" t="s">
        <v>148</v>
      </c>
      <c r="I6061" s="2" t="s">
        <v>15620</v>
      </c>
      <c r="J6061" s="3" t="str">
        <f>HYPERLINK("https://www.boe.es/gazeta/dias/1811/09/25/pdfs/GMD-C-1811-268.pdf#page=3","Abrir facsímil")</f>
        <v>Abrir facsímil</v>
      </c>
      <c r="K6061" s="3" t="s">
        <v>150</v>
      </c>
    </row>
    <row r="6062" spans="1:11" ht="42" customHeight="1">
      <c r="A6062" s="2" t="s">
        <v>15621</v>
      </c>
      <c r="B6062" s="2" t="s">
        <v>15622</v>
      </c>
      <c r="C6062" s="2" t="s">
        <v>17</v>
      </c>
      <c r="D6062" s="2" t="s">
        <v>156</v>
      </c>
      <c r="E6062" s="4">
        <v>-32225</v>
      </c>
      <c r="F6062" s="3" t="s">
        <v>390</v>
      </c>
      <c r="G6062" s="3" t="s">
        <v>1368</v>
      </c>
      <c r="H6062" s="2" t="s">
        <v>148</v>
      </c>
      <c r="I6062" s="2" t="s">
        <v>15623</v>
      </c>
      <c r="J6062" s="3" t="str">
        <f>HYPERLINK("https://www.boe.es/gazeta/dias/1811/10/08/pdfs/GEI-1811-129.pdf#page=8","Abrir facsímil")</f>
        <v>Abrir facsímil</v>
      </c>
      <c r="K6062" s="3" t="s">
        <v>150</v>
      </c>
    </row>
    <row r="6063" spans="1:11" ht="42" customHeight="1">
      <c r="A6063" s="2" t="s">
        <v>15624</v>
      </c>
      <c r="B6063" s="2" t="s">
        <v>15625</v>
      </c>
      <c r="C6063" s="2" t="s">
        <v>17</v>
      </c>
      <c r="D6063" s="2" t="s">
        <v>156</v>
      </c>
      <c r="E6063" s="4">
        <v>-32421</v>
      </c>
      <c r="F6063" s="3" t="s">
        <v>79</v>
      </c>
      <c r="G6063" s="3" t="s">
        <v>488</v>
      </c>
      <c r="H6063" s="2" t="s">
        <v>148</v>
      </c>
      <c r="I6063" s="2" t="s">
        <v>15626</v>
      </c>
      <c r="J6063" s="3" t="str">
        <f>HYPERLINK("https://www.boe.es/gazeta/dias/1811/03/26/pdfs/GEI-1811-42.pdf#page=8","Abrir facsímil")</f>
        <v>Abrir facsímil</v>
      </c>
      <c r="K6063" s="3" t="s">
        <v>150</v>
      </c>
    </row>
    <row r="6064" spans="1:11" ht="42" customHeight="1">
      <c r="A6064" s="2" t="s">
        <v>15627</v>
      </c>
      <c r="B6064" s="2" t="s">
        <v>15628</v>
      </c>
      <c r="C6064" s="2" t="s">
        <v>17</v>
      </c>
      <c r="D6064" s="2" t="s">
        <v>18</v>
      </c>
      <c r="E6064" s="4">
        <v>-32230</v>
      </c>
      <c r="F6064" s="3" t="s">
        <v>625</v>
      </c>
      <c r="G6064" s="3" t="s">
        <v>1258</v>
      </c>
      <c r="H6064" s="2" t="s">
        <v>148</v>
      </c>
      <c r="I6064" s="2" t="s">
        <v>15629</v>
      </c>
      <c r="J6064" s="3" t="str">
        <f>HYPERLINK("https://www.boe.es/gazeta/dias/1811/10/03/pdfs/GEI-1811-127.pdf#page=8","Abrir facsímil")</f>
        <v>Abrir facsímil</v>
      </c>
      <c r="K6064" s="3" t="s">
        <v>150</v>
      </c>
    </row>
    <row r="6065" spans="1:11" ht="42" customHeight="1">
      <c r="A6065" s="2" t="s">
        <v>15630</v>
      </c>
      <c r="B6065" s="2" t="s">
        <v>15630</v>
      </c>
      <c r="C6065" s="2" t="s">
        <v>17</v>
      </c>
      <c r="D6065" s="2" t="s">
        <v>156</v>
      </c>
      <c r="E6065" s="4">
        <v>-32223</v>
      </c>
      <c r="F6065" s="3" t="s">
        <v>1788</v>
      </c>
      <c r="G6065" s="3" t="s">
        <v>15631</v>
      </c>
      <c r="H6065" s="2" t="s">
        <v>148</v>
      </c>
      <c r="I6065" s="2" t="s">
        <v>15632</v>
      </c>
      <c r="J6065" s="3" t="str">
        <f>HYPERLINK("https://www.boe.es/gazeta/dias/1811/10/10/pdfs/GEI-1811-130.pdf#page=3","Abrir facsímil")</f>
        <v>Abrir facsímil</v>
      </c>
      <c r="K6065" s="3" t="s">
        <v>150</v>
      </c>
    </row>
    <row r="6066" spans="1:11" ht="42" customHeight="1">
      <c r="A6066" s="2" t="s">
        <v>15633</v>
      </c>
      <c r="B6066" s="2" t="s">
        <v>15633</v>
      </c>
      <c r="C6066" s="2" t="s">
        <v>17</v>
      </c>
      <c r="D6066" s="2" t="s">
        <v>156</v>
      </c>
      <c r="E6066" s="4">
        <v>-32345</v>
      </c>
      <c r="F6066" s="3" t="s">
        <v>9686</v>
      </c>
      <c r="G6066" s="3" t="s">
        <v>515</v>
      </c>
      <c r="H6066" s="2" t="s">
        <v>148</v>
      </c>
      <c r="I6066" s="2" t="s">
        <v>15634</v>
      </c>
      <c r="J6066" s="3" t="str">
        <f>HYPERLINK("https://www.boe.es/gazeta/dias/1811/06/10/pdfs/GMD-1811-161.pdf#page=3","Abrir facsímil")</f>
        <v>Abrir facsímil</v>
      </c>
      <c r="K6066" s="3" t="s">
        <v>150</v>
      </c>
    </row>
    <row r="6067" spans="1:11" ht="42" customHeight="1">
      <c r="A6067" s="2" t="s">
        <v>15635</v>
      </c>
      <c r="B6067" s="2" t="s">
        <v>15635</v>
      </c>
      <c r="C6067" s="2" t="s">
        <v>17</v>
      </c>
      <c r="D6067" s="2" t="s">
        <v>18</v>
      </c>
      <c r="E6067" s="4">
        <v>-32345</v>
      </c>
      <c r="F6067" s="3" t="s">
        <v>9686</v>
      </c>
      <c r="G6067" s="3" t="s">
        <v>178</v>
      </c>
      <c r="H6067" s="2" t="s">
        <v>148</v>
      </c>
      <c r="I6067" s="2" t="s">
        <v>15636</v>
      </c>
      <c r="J6067" s="3" t="str">
        <f>HYPERLINK("https://www.boe.es/gazeta/dias/1811/06/10/pdfs/GMD-1811-161.pdf#page=2","Abrir facsímil")</f>
        <v>Abrir facsímil</v>
      </c>
      <c r="K6067" s="3" t="s">
        <v>150</v>
      </c>
    </row>
    <row r="6068" spans="1:11" ht="42" customHeight="1">
      <c r="A6068" s="2" t="s">
        <v>15637</v>
      </c>
      <c r="B6068" s="2" t="s">
        <v>15637</v>
      </c>
      <c r="C6068" s="2" t="s">
        <v>17</v>
      </c>
      <c r="D6068" s="2" t="s">
        <v>528</v>
      </c>
      <c r="E6068" s="4">
        <v>-32198</v>
      </c>
      <c r="F6068" s="3" t="s">
        <v>6209</v>
      </c>
      <c r="G6068" s="3" t="s">
        <v>6210</v>
      </c>
      <c r="H6068" s="2" t="s">
        <v>148</v>
      </c>
      <c r="I6068" s="2" t="s">
        <v>15638</v>
      </c>
      <c r="J6068" s="3" t="str">
        <f>HYPERLINK("https://www.boe.es/gazeta/dias/1811/11/04/pdfs/GEI-1811-142E.pdf#page=3","Abrir facsímil")</f>
        <v>Abrir facsímil</v>
      </c>
      <c r="K6068" s="3" t="s">
        <v>150</v>
      </c>
    </row>
    <row r="6069" spans="1:11" ht="42" customHeight="1">
      <c r="A6069" s="2" t="s">
        <v>15639</v>
      </c>
      <c r="B6069" s="2" t="s">
        <v>15640</v>
      </c>
      <c r="C6069" s="2" t="s">
        <v>37</v>
      </c>
      <c r="D6069" s="2" t="s">
        <v>156</v>
      </c>
      <c r="E6069" s="4">
        <v>-32482</v>
      </c>
      <c r="F6069" s="3" t="s">
        <v>924</v>
      </c>
      <c r="G6069" s="3" t="s">
        <v>846</v>
      </c>
      <c r="H6069" s="2" t="s">
        <v>148</v>
      </c>
      <c r="I6069" s="2" t="s">
        <v>15641</v>
      </c>
      <c r="J6069" s="3" t="str">
        <f>HYPERLINK("https://www.boe.es/gazeta/dias/1811/01/24/pdfs/GEI-1811-11.pdf#page=8","Abrir facsímil")</f>
        <v>Abrir facsímil</v>
      </c>
      <c r="K6069" s="3" t="s">
        <v>150</v>
      </c>
    </row>
    <row r="6070" spans="1:11" ht="42" customHeight="1">
      <c r="A6070" s="2" t="s">
        <v>15642</v>
      </c>
      <c r="B6070" s="2" t="s">
        <v>15643</v>
      </c>
      <c r="C6070" s="2" t="s">
        <v>17</v>
      </c>
      <c r="D6070" s="2" t="s">
        <v>18</v>
      </c>
      <c r="E6070" s="4">
        <v>-32283</v>
      </c>
      <c r="F6070" s="3" t="s">
        <v>90</v>
      </c>
      <c r="G6070" s="3" t="s">
        <v>91</v>
      </c>
      <c r="H6070" s="2" t="s">
        <v>148</v>
      </c>
      <c r="I6070" s="2" t="s">
        <v>15644</v>
      </c>
      <c r="J6070" s="3" t="str">
        <f>HYPERLINK("https://www.boe.es/gazeta/dias/1811/08/11/pdfs/GMD-1811-223.pdf#page=4","Abrir facsímil")</f>
        <v>Abrir facsímil</v>
      </c>
      <c r="K6070" s="3" t="s">
        <v>150</v>
      </c>
    </row>
    <row r="6071" spans="1:11" ht="42" customHeight="1">
      <c r="A6071" s="2" t="s">
        <v>15645</v>
      </c>
      <c r="B6071" s="2" t="s">
        <v>15646</v>
      </c>
      <c r="C6071" s="2" t="s">
        <v>26</v>
      </c>
      <c r="D6071" s="2" t="s">
        <v>105</v>
      </c>
      <c r="E6071" s="4">
        <v>-32433</v>
      </c>
      <c r="F6071" s="3" t="s">
        <v>209</v>
      </c>
      <c r="G6071" s="3" t="s">
        <v>115</v>
      </c>
      <c r="H6071" s="2" t="s">
        <v>148</v>
      </c>
      <c r="I6071" s="2" t="s">
        <v>15647</v>
      </c>
      <c r="J6071" s="3" t="str">
        <f>HYPERLINK("https://www.boe.es/gazeta/dias/1811/03/14/pdfs/GMD-1811-73.pdf#page=3","Abrir facsímil")</f>
        <v>Abrir facsímil</v>
      </c>
      <c r="K6071" s="3" t="s">
        <v>150</v>
      </c>
    </row>
    <row r="6072" spans="1:11" ht="42" customHeight="1">
      <c r="A6072" s="2" t="s">
        <v>15648</v>
      </c>
      <c r="B6072" s="2" t="s">
        <v>15649</v>
      </c>
      <c r="C6072" s="2" t="s">
        <v>26</v>
      </c>
      <c r="D6072" s="2" t="s">
        <v>141</v>
      </c>
      <c r="E6072" s="4">
        <v>-32249</v>
      </c>
      <c r="F6072" s="3" t="s">
        <v>743</v>
      </c>
      <c r="G6072" s="3" t="s">
        <v>1021</v>
      </c>
      <c r="H6072" s="2" t="s">
        <v>148</v>
      </c>
      <c r="I6072" s="2" t="s">
        <v>15650</v>
      </c>
      <c r="J6072" s="3" t="str">
        <f>HYPERLINK("https://www.boe.es/gazeta/dias/1811/09/14/pdfs/GMD-C-1811-257.pdf#page=2","Abrir facsímil")</f>
        <v>Abrir facsímil</v>
      </c>
      <c r="K6072" s="3" t="s">
        <v>150</v>
      </c>
    </row>
    <row r="6073" spans="1:11" ht="42" customHeight="1">
      <c r="A6073" s="2" t="s">
        <v>15651</v>
      </c>
      <c r="B6073" s="2" t="s">
        <v>15652</v>
      </c>
      <c r="C6073" s="2" t="s">
        <v>26</v>
      </c>
      <c r="D6073" s="2" t="s">
        <v>105</v>
      </c>
      <c r="E6073" s="4">
        <v>-32155</v>
      </c>
      <c r="F6073" s="3" t="s">
        <v>99</v>
      </c>
      <c r="G6073" s="3" t="s">
        <v>100</v>
      </c>
      <c r="H6073" s="2" t="s">
        <v>148</v>
      </c>
      <c r="I6073" s="2" t="s">
        <v>15653</v>
      </c>
      <c r="J6073" s="3" t="str">
        <f>HYPERLINK("https://www.boe.es/gazeta/dias/1811/12/17/pdfs/GMD-1811-351.pdf#page=4","Abrir facsímil")</f>
        <v>Abrir facsímil</v>
      </c>
      <c r="K6073" s="3" t="s">
        <v>150</v>
      </c>
    </row>
    <row r="6074" spans="1:11" ht="42" customHeight="1">
      <c r="A6074" s="2" t="s">
        <v>15654</v>
      </c>
      <c r="B6074" s="2" t="s">
        <v>15655</v>
      </c>
      <c r="C6074" s="2" t="s">
        <v>26</v>
      </c>
      <c r="D6074" s="2" t="s">
        <v>18</v>
      </c>
      <c r="E6074" s="4">
        <v>-32379</v>
      </c>
      <c r="F6074" s="3" t="s">
        <v>462</v>
      </c>
      <c r="G6074" s="3" t="s">
        <v>463</v>
      </c>
      <c r="H6074" s="2" t="s">
        <v>148</v>
      </c>
      <c r="I6074" s="2" t="s">
        <v>15656</v>
      </c>
      <c r="J6074" s="3" t="str">
        <f>HYPERLINK("https://www.boe.es/gazeta/dias/1811/05/07/pdfs/GEI-1811-60.pdf#page=8","Abrir facsímil")</f>
        <v>Abrir facsímil</v>
      </c>
      <c r="K6074" s="3" t="s">
        <v>150</v>
      </c>
    </row>
    <row r="6075" spans="1:11" ht="42" customHeight="1">
      <c r="A6075" s="2" t="s">
        <v>15657</v>
      </c>
      <c r="B6075" s="2" t="s">
        <v>15658</v>
      </c>
      <c r="C6075" s="2" t="s">
        <v>26</v>
      </c>
      <c r="D6075" s="2" t="s">
        <v>18</v>
      </c>
      <c r="E6075" s="4">
        <v>-32188</v>
      </c>
      <c r="F6075" s="3" t="s">
        <v>356</v>
      </c>
      <c r="G6075" s="3" t="s">
        <v>248</v>
      </c>
      <c r="H6075" s="2" t="s">
        <v>148</v>
      </c>
      <c r="I6075" s="2" t="s">
        <v>15659</v>
      </c>
      <c r="J6075" s="3" t="str">
        <f>HYPERLINK("https://www.boe.es/gazeta/dias/1811/11/14/pdfs/GMD-1811-318.pdf#page=5","Abrir facsímil")</f>
        <v>Abrir facsímil</v>
      </c>
      <c r="K6075" s="3" t="s">
        <v>150</v>
      </c>
    </row>
    <row r="6076" spans="1:11" ht="42" customHeight="1">
      <c r="A6076" s="2" t="s">
        <v>15660</v>
      </c>
      <c r="B6076" s="2" t="s">
        <v>15661</v>
      </c>
      <c r="C6076" s="2" t="s">
        <v>17</v>
      </c>
      <c r="D6076" s="2" t="s">
        <v>156</v>
      </c>
      <c r="E6076" s="4">
        <v>-32489</v>
      </c>
      <c r="F6076" s="3" t="s">
        <v>2073</v>
      </c>
      <c r="G6076" s="3" t="s">
        <v>44</v>
      </c>
      <c r="H6076" s="2" t="s">
        <v>148</v>
      </c>
      <c r="I6076" s="2" t="s">
        <v>15662</v>
      </c>
      <c r="J6076" s="3" t="str">
        <f>HYPERLINK("https://www.boe.es/gazeta/dias/1811/01/17/pdfs/GEI-1811-8.pdf#page=8","Abrir facsímil")</f>
        <v>Abrir facsímil</v>
      </c>
      <c r="K6076" s="3" t="s">
        <v>150</v>
      </c>
    </row>
    <row r="6077" spans="1:11" ht="42" customHeight="1">
      <c r="A6077" s="2" t="s">
        <v>15663</v>
      </c>
      <c r="B6077" s="2" t="s">
        <v>15664</v>
      </c>
      <c r="C6077" s="2" t="s">
        <v>104</v>
      </c>
      <c r="D6077" s="2" t="s">
        <v>141</v>
      </c>
      <c r="E6077" s="4">
        <v>-32389</v>
      </c>
      <c r="F6077" s="3" t="s">
        <v>524</v>
      </c>
      <c r="G6077" s="3" t="s">
        <v>525</v>
      </c>
      <c r="H6077" s="2" t="s">
        <v>148</v>
      </c>
      <c r="I6077" s="2" t="s">
        <v>15665</v>
      </c>
      <c r="J6077" s="3" t="str">
        <f>HYPERLINK("https://www.boe.es/gazeta/dias/1811/04/27/pdfs/GEI-D-1811-56.pdf#page=4","Abrir facsímil")</f>
        <v>Abrir facsímil</v>
      </c>
      <c r="K6077" s="3" t="s">
        <v>150</v>
      </c>
    </row>
    <row r="6078" spans="1:11" ht="42" customHeight="1">
      <c r="A6078" s="2" t="s">
        <v>15666</v>
      </c>
      <c r="B6078" s="2" t="s">
        <v>15667</v>
      </c>
      <c r="C6078" s="2" t="s">
        <v>26</v>
      </c>
      <c r="D6078" s="2" t="s">
        <v>141</v>
      </c>
      <c r="E6078" s="4">
        <v>-32365</v>
      </c>
      <c r="F6078" s="3" t="s">
        <v>1304</v>
      </c>
      <c r="G6078" s="3" t="s">
        <v>120</v>
      </c>
      <c r="H6078" s="2" t="s">
        <v>148</v>
      </c>
      <c r="I6078" s="2" t="s">
        <v>15668</v>
      </c>
      <c r="J6078" s="3" t="str">
        <f>HYPERLINK("https://www.boe.es/gazeta/dias/1811/05/21/pdfs/GEI-D-1811-67.pdf#page=4","Abrir facsímil")</f>
        <v>Abrir facsímil</v>
      </c>
      <c r="K6078" s="3" t="s">
        <v>150</v>
      </c>
    </row>
    <row r="6079" spans="1:11" ht="42" customHeight="1">
      <c r="A6079" s="2" t="s">
        <v>15669</v>
      </c>
      <c r="B6079" s="2" t="s">
        <v>15670</v>
      </c>
      <c r="C6079" s="2" t="s">
        <v>17</v>
      </c>
      <c r="D6079" s="2" t="s">
        <v>156</v>
      </c>
      <c r="E6079" s="4">
        <v>-32232</v>
      </c>
      <c r="F6079" s="3" t="s">
        <v>1816</v>
      </c>
      <c r="G6079" s="3" t="s">
        <v>1817</v>
      </c>
      <c r="H6079" s="2" t="s">
        <v>148</v>
      </c>
      <c r="I6079" s="2" t="s">
        <v>15671</v>
      </c>
      <c r="J6079" s="3" t="str">
        <f>HYPERLINK("https://www.boe.es/gazeta/dias/1811/10/01/pdfs/GEI-1811-126.pdf#page=8","Abrir facsímil")</f>
        <v>Abrir facsímil</v>
      </c>
      <c r="K6079" s="3" t="s">
        <v>150</v>
      </c>
    </row>
    <row r="6080" spans="1:11" ht="42" customHeight="1">
      <c r="A6080" s="2" t="s">
        <v>15672</v>
      </c>
      <c r="B6080" s="2" t="s">
        <v>15673</v>
      </c>
      <c r="C6080" s="2" t="s">
        <v>122</v>
      </c>
      <c r="D6080" s="2" t="s">
        <v>18</v>
      </c>
      <c r="E6080" s="4">
        <v>-32153</v>
      </c>
      <c r="F6080" s="3" t="s">
        <v>123</v>
      </c>
      <c r="G6080" s="3" t="s">
        <v>124</v>
      </c>
      <c r="H6080" s="2" t="s">
        <v>148</v>
      </c>
      <c r="I6080" s="2" t="s">
        <v>15674</v>
      </c>
      <c r="J6080" s="3" t="str">
        <f>HYPERLINK("https://www.boe.es/gazeta/dias/1811/12/19/pdfs/GMD-1811-353.pdf#page=6","Abrir facsímil")</f>
        <v>Abrir facsímil</v>
      </c>
      <c r="K6080" s="3" t="s">
        <v>150</v>
      </c>
    </row>
    <row r="6081" spans="1:11" ht="42" customHeight="1">
      <c r="A6081" s="2" t="s">
        <v>15675</v>
      </c>
      <c r="B6081" s="2" t="s">
        <v>15676</v>
      </c>
      <c r="C6081" s="2" t="s">
        <v>37</v>
      </c>
      <c r="D6081" s="2" t="s">
        <v>18</v>
      </c>
      <c r="E6081" s="4">
        <v>-32361</v>
      </c>
      <c r="F6081" s="3" t="s">
        <v>1104</v>
      </c>
      <c r="G6081" s="3" t="s">
        <v>2213</v>
      </c>
      <c r="H6081" s="2" t="s">
        <v>148</v>
      </c>
      <c r="I6081" s="2" t="s">
        <v>15677</v>
      </c>
      <c r="J6081" s="3" t="str">
        <f>HYPERLINK("https://www.boe.es/gazeta/dias/1811/05/25/pdfs/GEI-1811-71.pdf#page=8","Abrir facsímil")</f>
        <v>Abrir facsímil</v>
      </c>
      <c r="K6081" s="3" t="s">
        <v>150</v>
      </c>
    </row>
    <row r="6082" spans="1:11" ht="42" customHeight="1">
      <c r="A6082" s="2" t="s">
        <v>15678</v>
      </c>
      <c r="B6082" s="2" t="s">
        <v>15679</v>
      </c>
      <c r="C6082" s="2" t="s">
        <v>26</v>
      </c>
      <c r="D6082" s="2" t="s">
        <v>105</v>
      </c>
      <c r="E6082" s="4">
        <v>-32155</v>
      </c>
      <c r="F6082" s="3" t="s">
        <v>99</v>
      </c>
      <c r="G6082" s="3" t="s">
        <v>100</v>
      </c>
      <c r="H6082" s="2" t="s">
        <v>148</v>
      </c>
      <c r="I6082" s="2" t="s">
        <v>15680</v>
      </c>
      <c r="J6082" s="3" t="str">
        <f>HYPERLINK("https://www.boe.es/gazeta/dias/1811/12/17/pdfs/GMD-1811-351.pdf#page=4","Abrir facsímil")</f>
        <v>Abrir facsímil</v>
      </c>
      <c r="K6082" s="3" t="s">
        <v>150</v>
      </c>
    </row>
    <row r="6083" spans="1:11" ht="42" customHeight="1">
      <c r="A6083" s="2" t="s">
        <v>15681</v>
      </c>
      <c r="B6083" s="2" t="s">
        <v>15682</v>
      </c>
      <c r="C6083" s="2" t="s">
        <v>26</v>
      </c>
      <c r="D6083" s="2" t="s">
        <v>18</v>
      </c>
      <c r="E6083" s="4">
        <v>-32235</v>
      </c>
      <c r="F6083" s="3" t="s">
        <v>190</v>
      </c>
      <c r="G6083" s="3" t="s">
        <v>188</v>
      </c>
      <c r="H6083" s="2" t="s">
        <v>148</v>
      </c>
      <c r="I6083" s="2" t="s">
        <v>15683</v>
      </c>
      <c r="J6083" s="3" t="str">
        <f>HYPERLINK("https://www.boe.es/gazeta/dias/1811/09/28/pdfs/GEI-1811-125.pdf#page=8","Abrir facsímil")</f>
        <v>Abrir facsímil</v>
      </c>
      <c r="K6083" s="3" t="s">
        <v>150</v>
      </c>
    </row>
    <row r="6084" spans="1:11" ht="42" customHeight="1">
      <c r="A6084" s="2" t="s">
        <v>15684</v>
      </c>
      <c r="B6084" s="2" t="s">
        <v>15685</v>
      </c>
      <c r="C6084" s="2" t="s">
        <v>26</v>
      </c>
      <c r="D6084" s="2" t="s">
        <v>18</v>
      </c>
      <c r="E6084" s="4">
        <v>-32258</v>
      </c>
      <c r="F6084" s="3" t="s">
        <v>449</v>
      </c>
      <c r="G6084" s="3" t="s">
        <v>10060</v>
      </c>
      <c r="H6084" s="2" t="s">
        <v>21</v>
      </c>
      <c r="I6084" s="2" t="s">
        <v>15686</v>
      </c>
      <c r="J6084" s="3" t="str">
        <f>HYPERLINK("https://www.boe.es/gazeta/dias/1811/09/05/pdfs/GEI-1811-115.pdf#page=2","Abrir facsímil")</f>
        <v>Abrir facsímil</v>
      </c>
      <c r="K6084" s="3" t="s">
        <v>23</v>
      </c>
    </row>
    <row r="6085" spans="1:11" ht="42" customHeight="1">
      <c r="A6085" s="2" t="s">
        <v>15687</v>
      </c>
      <c r="B6085" s="2" t="s">
        <v>15688</v>
      </c>
      <c r="C6085" s="2" t="s">
        <v>17</v>
      </c>
      <c r="D6085" s="2" t="s">
        <v>18</v>
      </c>
      <c r="E6085" s="4">
        <v>-32482</v>
      </c>
      <c r="F6085" s="3" t="s">
        <v>924</v>
      </c>
      <c r="G6085" s="3" t="s">
        <v>846</v>
      </c>
      <c r="H6085" s="2" t="s">
        <v>148</v>
      </c>
      <c r="I6085" s="2" t="s">
        <v>15689</v>
      </c>
      <c r="J6085" s="3" t="str">
        <f>HYPERLINK("https://www.boe.es/gazeta/dias/1811/01/24/pdfs/GEI-1811-11.pdf#page=8","Abrir facsímil")</f>
        <v>Abrir facsímil</v>
      </c>
      <c r="K6085" s="3" t="s">
        <v>150</v>
      </c>
    </row>
    <row r="6086" spans="1:11" ht="42" customHeight="1">
      <c r="A6086" s="2" t="s">
        <v>15690</v>
      </c>
      <c r="B6086" s="2" t="s">
        <v>15691</v>
      </c>
      <c r="C6086" s="2" t="s">
        <v>17</v>
      </c>
      <c r="D6086" s="2" t="s">
        <v>156</v>
      </c>
      <c r="E6086" s="4">
        <v>-32489</v>
      </c>
      <c r="F6086" s="3" t="s">
        <v>2073</v>
      </c>
      <c r="G6086" s="3" t="s">
        <v>44</v>
      </c>
      <c r="H6086" s="2" t="s">
        <v>148</v>
      </c>
      <c r="I6086" s="2" t="s">
        <v>15692</v>
      </c>
      <c r="J6086" s="3" t="str">
        <f>HYPERLINK("https://www.boe.es/gazeta/dias/1811/01/17/pdfs/GEI-1811-8.pdf#page=8","Abrir facsímil")</f>
        <v>Abrir facsímil</v>
      </c>
      <c r="K6086" s="3" t="s">
        <v>150</v>
      </c>
    </row>
    <row r="6087" spans="1:11" ht="42" customHeight="1">
      <c r="A6087" s="2" t="s">
        <v>15693</v>
      </c>
      <c r="B6087" s="2" t="s">
        <v>15694</v>
      </c>
      <c r="C6087" s="2" t="s">
        <v>26</v>
      </c>
      <c r="D6087" s="2" t="s">
        <v>18</v>
      </c>
      <c r="E6087" s="4">
        <v>-32200</v>
      </c>
      <c r="F6087" s="3" t="s">
        <v>109</v>
      </c>
      <c r="G6087" s="3" t="s">
        <v>268</v>
      </c>
      <c r="H6087" s="2" t="s">
        <v>148</v>
      </c>
      <c r="I6087" s="2" t="s">
        <v>15695</v>
      </c>
      <c r="J6087" s="3" t="str">
        <f>HYPERLINK("https://www.boe.es/gazeta/dias/1811/11/02/pdfs/GEI-1811-141.pdf#page=7","Abrir facsímil")</f>
        <v>Abrir facsímil</v>
      </c>
      <c r="K6087" s="3" t="s">
        <v>150</v>
      </c>
    </row>
    <row r="6088" spans="1:11" ht="42" customHeight="1">
      <c r="A6088" s="2" t="s">
        <v>15696</v>
      </c>
      <c r="B6088" s="2" t="s">
        <v>15697</v>
      </c>
      <c r="C6088" s="2" t="s">
        <v>37</v>
      </c>
      <c r="D6088" s="2" t="s">
        <v>18</v>
      </c>
      <c r="E6088" s="4">
        <v>-32396</v>
      </c>
      <c r="F6088" s="3" t="s">
        <v>1267</v>
      </c>
      <c r="G6088" s="3" t="s">
        <v>1143</v>
      </c>
      <c r="H6088" s="2" t="s">
        <v>148</v>
      </c>
      <c r="I6088" s="2" t="s">
        <v>15698</v>
      </c>
      <c r="J6088" s="3" t="str">
        <f>HYPERLINK("https://www.boe.es/gazeta/dias/1811/04/20/pdfs/GMD-1811-110.pdf#page=3","Abrir facsímil")</f>
        <v>Abrir facsímil</v>
      </c>
      <c r="K6088" s="3" t="s">
        <v>150</v>
      </c>
    </row>
    <row r="6089" spans="1:11" ht="42" customHeight="1">
      <c r="A6089" s="2" t="s">
        <v>15699</v>
      </c>
      <c r="B6089" s="2" t="s">
        <v>15700</v>
      </c>
      <c r="C6089" s="2" t="s">
        <v>37</v>
      </c>
      <c r="D6089" s="2" t="s">
        <v>156</v>
      </c>
      <c r="E6089" s="4">
        <v>-32270</v>
      </c>
      <c r="F6089" s="3" t="s">
        <v>431</v>
      </c>
      <c r="G6089" s="3" t="s">
        <v>432</v>
      </c>
      <c r="H6089" s="2" t="s">
        <v>148</v>
      </c>
      <c r="I6089" s="2" t="s">
        <v>15701</v>
      </c>
      <c r="J6089" s="3" t="str">
        <f>HYPERLINK("https://www.boe.es/gazeta/dias/1811/08/24/pdfs/GEI-1811-110.pdf#page=4","Abrir facsímil")</f>
        <v>Abrir facsímil</v>
      </c>
      <c r="K6089" s="3" t="s">
        <v>150</v>
      </c>
    </row>
    <row r="6090" spans="1:11" ht="42" customHeight="1">
      <c r="A6090" s="2" t="s">
        <v>15702</v>
      </c>
      <c r="B6090" s="2" t="s">
        <v>15702</v>
      </c>
      <c r="C6090" s="2" t="s">
        <v>17</v>
      </c>
      <c r="D6090" s="2" t="s">
        <v>18</v>
      </c>
      <c r="E6090" s="4">
        <v>-32494</v>
      </c>
      <c r="F6090" s="3" t="s">
        <v>585</v>
      </c>
      <c r="G6090" s="3" t="s">
        <v>586</v>
      </c>
      <c r="H6090" s="2" t="s">
        <v>148</v>
      </c>
      <c r="I6090" s="2" t="s">
        <v>15703</v>
      </c>
      <c r="J6090" s="3" t="str">
        <f>HYPERLINK("https://www.boe.es/gazeta/dias/1811/01/12/pdfs/GMD-1811-12.pdf#page=4","Abrir facsímil")</f>
        <v>Abrir facsímil</v>
      </c>
      <c r="K6090" s="3" t="s">
        <v>150</v>
      </c>
    </row>
    <row r="6091" spans="1:11" ht="42" customHeight="1">
      <c r="A6091" s="2" t="s">
        <v>15702</v>
      </c>
      <c r="B6091" s="2" t="s">
        <v>15702</v>
      </c>
      <c r="C6091" s="2" t="s">
        <v>17</v>
      </c>
      <c r="D6091" s="2" t="s">
        <v>18</v>
      </c>
      <c r="E6091" s="4">
        <v>-32491</v>
      </c>
      <c r="F6091" s="3" t="s">
        <v>533</v>
      </c>
      <c r="G6091" s="3" t="s">
        <v>162</v>
      </c>
      <c r="H6091" s="2" t="s">
        <v>148</v>
      </c>
      <c r="I6091" s="2" t="s">
        <v>15704</v>
      </c>
      <c r="J6091" s="3" t="str">
        <f>HYPERLINK("https://www.boe.es/gazeta/dias/1811/01/15/pdfs/GEI-1811-7.pdf#page=11","Abrir facsímil")</f>
        <v>Abrir facsímil</v>
      </c>
      <c r="K6091" s="3" t="s">
        <v>150</v>
      </c>
    </row>
    <row r="6092" spans="1:11" ht="42" customHeight="1">
      <c r="A6092" s="2" t="s">
        <v>15702</v>
      </c>
      <c r="B6092" s="2" t="s">
        <v>15702</v>
      </c>
      <c r="C6092" s="2" t="s">
        <v>17</v>
      </c>
      <c r="D6092" s="2" t="s">
        <v>18</v>
      </c>
      <c r="E6092" s="4">
        <v>-32294</v>
      </c>
      <c r="F6092" s="3" t="s">
        <v>3123</v>
      </c>
      <c r="G6092" s="3" t="s">
        <v>91</v>
      </c>
      <c r="H6092" s="2" t="s">
        <v>148</v>
      </c>
      <c r="I6092" s="2" t="s">
        <v>15705</v>
      </c>
      <c r="J6092" s="3" t="str">
        <f>HYPERLINK("https://www.boe.es/gazeta/dias/1811/07/31/pdfs/GMD-1811-212.pdf#page=2","Abrir facsímil")</f>
        <v>Abrir facsímil</v>
      </c>
      <c r="K6092" s="3" t="s">
        <v>150</v>
      </c>
    </row>
    <row r="6093" spans="1:11" ht="42" customHeight="1">
      <c r="A6093" s="2" t="s">
        <v>15702</v>
      </c>
      <c r="B6093" s="2" t="s">
        <v>15702</v>
      </c>
      <c r="C6093" s="2" t="s">
        <v>17</v>
      </c>
      <c r="D6093" s="2" t="s">
        <v>18</v>
      </c>
      <c r="E6093" s="4">
        <v>-32294</v>
      </c>
      <c r="F6093" s="3" t="s">
        <v>3123</v>
      </c>
      <c r="G6093" s="3" t="s">
        <v>2916</v>
      </c>
      <c r="H6093" s="2" t="s">
        <v>148</v>
      </c>
      <c r="I6093" s="2" t="s">
        <v>15706</v>
      </c>
      <c r="J6093" s="3" t="str">
        <f>HYPERLINK("https://www.boe.es/gazeta/dias/1811/07/31/pdfs/GMD-1811-212.pdf#page=3","Abrir facsímil")</f>
        <v>Abrir facsímil</v>
      </c>
      <c r="K6093" s="3" t="s">
        <v>150</v>
      </c>
    </row>
    <row r="6094" spans="1:11" ht="42" customHeight="1">
      <c r="A6094" s="2" t="s">
        <v>15707</v>
      </c>
      <c r="B6094" s="2" t="s">
        <v>15708</v>
      </c>
      <c r="C6094" s="2" t="s">
        <v>26</v>
      </c>
      <c r="D6094" s="2" t="s">
        <v>18</v>
      </c>
      <c r="E6094" s="4">
        <v>-32461</v>
      </c>
      <c r="F6094" s="3" t="s">
        <v>2429</v>
      </c>
      <c r="G6094" s="3" t="s">
        <v>553</v>
      </c>
      <c r="H6094" s="2" t="s">
        <v>148</v>
      </c>
      <c r="I6094" s="2" t="s">
        <v>15709</v>
      </c>
      <c r="J6094" s="3" t="str">
        <f>HYPERLINK("https://www.boe.es/gazeta/dias/1811/02/14/pdfs/GEI-1811-20.pdf#page=1","Abrir facsímil")</f>
        <v>Abrir facsímil</v>
      </c>
      <c r="K6094" s="3" t="s">
        <v>150</v>
      </c>
    </row>
    <row r="6095" spans="1:11" ht="42" customHeight="1">
      <c r="A6095" s="2" t="s">
        <v>15710</v>
      </c>
      <c r="B6095" s="2" t="s">
        <v>15711</v>
      </c>
      <c r="C6095" s="2" t="s">
        <v>26</v>
      </c>
      <c r="D6095" s="2" t="s">
        <v>18</v>
      </c>
      <c r="E6095" s="4">
        <v>-32505</v>
      </c>
      <c r="F6095" s="3" t="s">
        <v>475</v>
      </c>
      <c r="G6095" s="3" t="s">
        <v>755</v>
      </c>
      <c r="H6095" s="2" t="s">
        <v>148</v>
      </c>
      <c r="I6095" s="2" t="s">
        <v>15712</v>
      </c>
      <c r="J6095" s="3" t="str">
        <f>HYPERLINK("https://www.boe.es/gazeta/dias/1811/01/01/pdfs/GEI-1811-1.pdf#page=8","Abrir facsímil")</f>
        <v>Abrir facsímil</v>
      </c>
      <c r="K6095" s="3" t="s">
        <v>150</v>
      </c>
    </row>
    <row r="6096" spans="1:11" ht="42" customHeight="1">
      <c r="A6096" s="2" t="s">
        <v>15713</v>
      </c>
      <c r="B6096" s="2" t="s">
        <v>15713</v>
      </c>
      <c r="C6096" s="2" t="s">
        <v>17</v>
      </c>
      <c r="D6096" s="2" t="s">
        <v>204</v>
      </c>
      <c r="E6096" s="4">
        <v>-32416</v>
      </c>
      <c r="F6096" s="3" t="s">
        <v>954</v>
      </c>
      <c r="G6096" s="3" t="s">
        <v>47</v>
      </c>
      <c r="H6096" s="2" t="s">
        <v>148</v>
      </c>
      <c r="I6096" s="2" t="s">
        <v>15714</v>
      </c>
      <c r="J6096" s="3" t="str">
        <f>HYPERLINK("https://www.boe.es/gazeta/dias/1811/03/31/pdfs/GMD-1811-90.pdf#page=2","Abrir facsímil")</f>
        <v>Abrir facsímil</v>
      </c>
      <c r="K6096" s="3" t="s">
        <v>150</v>
      </c>
    </row>
    <row r="6097" spans="1:11" ht="42" customHeight="1">
      <c r="A6097" s="2" t="s">
        <v>15715</v>
      </c>
      <c r="B6097" s="2" t="s">
        <v>15716</v>
      </c>
      <c r="C6097" s="2" t="s">
        <v>17</v>
      </c>
      <c r="D6097" s="2" t="s">
        <v>156</v>
      </c>
      <c r="E6097" s="4">
        <v>-32146</v>
      </c>
      <c r="F6097" s="3" t="s">
        <v>777</v>
      </c>
      <c r="G6097" s="3" t="s">
        <v>846</v>
      </c>
      <c r="H6097" s="2" t="s">
        <v>148</v>
      </c>
      <c r="I6097" s="2" t="s">
        <v>15717</v>
      </c>
      <c r="J6097" s="3" t="str">
        <f>HYPERLINK("https://www.boe.es/gazeta/dias/1811/12/26/pdfs/GEI-1811-167.pdf#page=8","Abrir facsímil")</f>
        <v>Abrir facsímil</v>
      </c>
      <c r="K6097" s="3" t="s">
        <v>150</v>
      </c>
    </row>
    <row r="6098" spans="1:11" ht="42" customHeight="1">
      <c r="A6098" s="2" t="s">
        <v>15718</v>
      </c>
      <c r="B6098" s="2" t="s">
        <v>15719</v>
      </c>
      <c r="C6098" s="2" t="s">
        <v>26</v>
      </c>
      <c r="D6098" s="2" t="s">
        <v>18</v>
      </c>
      <c r="E6098" s="4">
        <v>-32144</v>
      </c>
      <c r="F6098" s="3" t="s">
        <v>1097</v>
      </c>
      <c r="G6098" s="3" t="s">
        <v>1098</v>
      </c>
      <c r="H6098" s="2" t="s">
        <v>148</v>
      </c>
      <c r="I6098" s="2" t="s">
        <v>15720</v>
      </c>
      <c r="J6098" s="3" t="str">
        <f>HYPERLINK("https://www.boe.es/gazeta/dias/1811/12/28/pdfs/GEI-1811-168.pdf#page=8","Abrir facsímil")</f>
        <v>Abrir facsímil</v>
      </c>
      <c r="K6098" s="3" t="s">
        <v>150</v>
      </c>
    </row>
    <row r="6099" spans="1:11" ht="42" customHeight="1">
      <c r="A6099" s="2" t="s">
        <v>15721</v>
      </c>
      <c r="B6099" s="2" t="s">
        <v>15721</v>
      </c>
      <c r="C6099" s="2" t="s">
        <v>17</v>
      </c>
      <c r="D6099" s="2" t="s">
        <v>18</v>
      </c>
      <c r="E6099" s="4">
        <v>-32414</v>
      </c>
      <c r="F6099" s="3" t="s">
        <v>2588</v>
      </c>
      <c r="G6099" s="3" t="s">
        <v>2714</v>
      </c>
      <c r="H6099" s="2" t="s">
        <v>148</v>
      </c>
      <c r="I6099" s="2" t="s">
        <v>15722</v>
      </c>
      <c r="J6099" s="3" t="str">
        <f>HYPERLINK("https://www.boe.es/gazeta/dias/1811/04/02/pdfs/GMD-1811-92.pdf#page=2","Abrir facsímil")</f>
        <v>Abrir facsímil</v>
      </c>
      <c r="K6099" s="3" t="s">
        <v>150</v>
      </c>
    </row>
    <row r="6100" spans="1:11" ht="42" customHeight="1">
      <c r="A6100" s="2" t="s">
        <v>15723</v>
      </c>
      <c r="B6100" s="2" t="s">
        <v>15723</v>
      </c>
      <c r="C6100" s="2" t="s">
        <v>17</v>
      </c>
      <c r="D6100" s="2" t="s">
        <v>156</v>
      </c>
      <c r="E6100" s="4">
        <v>-32486</v>
      </c>
      <c r="F6100" s="3" t="s">
        <v>556</v>
      </c>
      <c r="G6100" s="3" t="s">
        <v>1384</v>
      </c>
      <c r="H6100" s="2" t="s">
        <v>148</v>
      </c>
      <c r="I6100" s="2" t="s">
        <v>15724</v>
      </c>
      <c r="J6100" s="3" t="str">
        <f>HYPERLINK("https://www.boe.es/gazeta/dias/1811/01/20/pdfs/GMD-1811-20.pdf#page=1","Abrir facsímil")</f>
        <v>Abrir facsímil</v>
      </c>
      <c r="K6100" s="3" t="s">
        <v>150</v>
      </c>
    </row>
    <row r="6101" spans="1:11" ht="42" customHeight="1">
      <c r="A6101" s="2" t="s">
        <v>15723</v>
      </c>
      <c r="B6101" s="2" t="s">
        <v>15723</v>
      </c>
      <c r="C6101" s="2" t="s">
        <v>17</v>
      </c>
      <c r="D6101" s="2" t="s">
        <v>18</v>
      </c>
      <c r="E6101" s="4">
        <v>-32405</v>
      </c>
      <c r="F6101" s="3" t="s">
        <v>1413</v>
      </c>
      <c r="G6101" s="3" t="s">
        <v>3218</v>
      </c>
      <c r="H6101" s="2" t="s">
        <v>148</v>
      </c>
      <c r="I6101" s="2" t="s">
        <v>15725</v>
      </c>
      <c r="J6101" s="3" t="str">
        <f>HYPERLINK("https://www.boe.es/gazeta/dias/1811/04/11/pdfs/GEI-1811-49.pdf#page=2","Abrir facsímil")</f>
        <v>Abrir facsímil</v>
      </c>
      <c r="K6101" s="3" t="s">
        <v>150</v>
      </c>
    </row>
    <row r="6102" spans="1:11" ht="42" customHeight="1">
      <c r="A6102" s="2" t="s">
        <v>15726</v>
      </c>
      <c r="B6102" s="2" t="s">
        <v>15727</v>
      </c>
      <c r="C6102" s="2" t="s">
        <v>17</v>
      </c>
      <c r="D6102" s="2" t="s">
        <v>156</v>
      </c>
      <c r="E6102" s="4">
        <v>-32375</v>
      </c>
      <c r="F6102" s="3" t="s">
        <v>1209</v>
      </c>
      <c r="G6102" s="3" t="s">
        <v>248</v>
      </c>
      <c r="H6102" s="2" t="s">
        <v>148</v>
      </c>
      <c r="I6102" s="2" t="s">
        <v>15728</v>
      </c>
      <c r="J6102" s="3" t="str">
        <f>HYPERLINK("https://www.boe.es/gazeta/dias/1811/05/11/pdfs/GEI-1811-62.pdf#page=5","Abrir facsímil")</f>
        <v>Abrir facsímil</v>
      </c>
      <c r="K6102" s="3" t="s">
        <v>150</v>
      </c>
    </row>
    <row r="6103" spans="1:11" ht="42" customHeight="1">
      <c r="A6103" s="2" t="s">
        <v>15729</v>
      </c>
      <c r="B6103" s="2" t="s">
        <v>15730</v>
      </c>
      <c r="C6103" s="2" t="s">
        <v>26</v>
      </c>
      <c r="D6103" s="2" t="s">
        <v>18</v>
      </c>
      <c r="E6103" s="4">
        <v>-32384</v>
      </c>
      <c r="F6103" s="3" t="s">
        <v>338</v>
      </c>
      <c r="G6103" s="3" t="s">
        <v>339</v>
      </c>
      <c r="H6103" s="2" t="s">
        <v>148</v>
      </c>
      <c r="I6103" s="2" t="s">
        <v>15731</v>
      </c>
      <c r="J6103" s="3" t="str">
        <f>HYPERLINK("https://www.boe.es/gazeta/dias/1811/05/02/pdfs/GEI-1811-58.pdf#page=8","Abrir facsímil")</f>
        <v>Abrir facsímil</v>
      </c>
      <c r="K6103" s="3" t="s">
        <v>150</v>
      </c>
    </row>
    <row r="6104" spans="1:11" ht="42" customHeight="1">
      <c r="A6104" s="2" t="s">
        <v>15732</v>
      </c>
      <c r="B6104" s="2" t="s">
        <v>15733</v>
      </c>
      <c r="C6104" s="2" t="s">
        <v>17</v>
      </c>
      <c r="D6104" s="2" t="s">
        <v>156</v>
      </c>
      <c r="E6104" s="4">
        <v>-32442</v>
      </c>
      <c r="F6104" s="3" t="s">
        <v>634</v>
      </c>
      <c r="G6104" s="3" t="s">
        <v>3430</v>
      </c>
      <c r="H6104" s="2" t="s">
        <v>148</v>
      </c>
      <c r="I6104" s="2" t="s">
        <v>15734</v>
      </c>
      <c r="J6104" s="3" t="str">
        <f>HYPERLINK("https://www.boe.es/gazeta/dias/1811/03/05/pdfs/GEI-1811-29.pdf#page=3","Abrir facsímil")</f>
        <v>Abrir facsímil</v>
      </c>
      <c r="K6104" s="3" t="s">
        <v>150</v>
      </c>
    </row>
    <row r="6105" spans="1:11" ht="42" customHeight="1">
      <c r="A6105" s="2" t="s">
        <v>15735</v>
      </c>
      <c r="B6105" s="2" t="s">
        <v>15736</v>
      </c>
      <c r="C6105" s="2" t="s">
        <v>104</v>
      </c>
      <c r="D6105" s="2" t="s">
        <v>18</v>
      </c>
      <c r="E6105" s="4">
        <v>-32230</v>
      </c>
      <c r="F6105" s="3" t="s">
        <v>625</v>
      </c>
      <c r="G6105" s="3" t="s">
        <v>162</v>
      </c>
      <c r="H6105" s="2" t="s">
        <v>148</v>
      </c>
      <c r="I6105" s="2" t="s">
        <v>15737</v>
      </c>
      <c r="J6105" s="3" t="str">
        <f>HYPERLINK("https://www.boe.es/gazeta/dias/1811/10/03/pdfs/GEI-1811-127.pdf#page=7","Abrir facsímil")</f>
        <v>Abrir facsímil</v>
      </c>
      <c r="K6105" s="3" t="s">
        <v>150</v>
      </c>
    </row>
    <row r="6106" spans="1:11" ht="42" customHeight="1">
      <c r="A6106" s="2" t="s">
        <v>15738</v>
      </c>
      <c r="B6106" s="2" t="s">
        <v>15739</v>
      </c>
      <c r="C6106" s="2" t="s">
        <v>26</v>
      </c>
      <c r="D6106" s="2" t="s">
        <v>18</v>
      </c>
      <c r="E6106" s="4">
        <v>-32480</v>
      </c>
      <c r="F6106" s="3" t="s">
        <v>3061</v>
      </c>
      <c r="G6106" s="3" t="s">
        <v>47</v>
      </c>
      <c r="H6106" s="2" t="s">
        <v>148</v>
      </c>
      <c r="I6106" s="2" t="s">
        <v>15740</v>
      </c>
      <c r="J6106" s="3" t="str">
        <f>HYPERLINK("https://www.boe.es/gazeta/dias/1811/01/26/pdfs/GEI-1811-12.pdf#page=1","Abrir facsímil")</f>
        <v>Abrir facsímil</v>
      </c>
      <c r="K6106" s="3" t="s">
        <v>150</v>
      </c>
    </row>
    <row r="6107" spans="1:11" ht="42" customHeight="1">
      <c r="A6107" s="2" t="s">
        <v>15741</v>
      </c>
      <c r="B6107" s="2" t="s">
        <v>15741</v>
      </c>
      <c r="C6107" s="2" t="s">
        <v>37</v>
      </c>
      <c r="D6107" s="2" t="s">
        <v>156</v>
      </c>
      <c r="E6107" s="4">
        <v>-32169</v>
      </c>
      <c r="F6107" s="3" t="s">
        <v>4012</v>
      </c>
      <c r="G6107" s="3" t="s">
        <v>183</v>
      </c>
      <c r="H6107" s="2" t="s">
        <v>148</v>
      </c>
      <c r="I6107" s="2" t="s">
        <v>15742</v>
      </c>
      <c r="J6107" s="3" t="str">
        <f>HYPERLINK("https://www.boe.es/gazeta/dias/1811/12/03/pdfs/GMD-1811-337.pdf#page=4","Abrir facsímil")</f>
        <v>Abrir facsímil</v>
      </c>
      <c r="K6107" s="3" t="s">
        <v>150</v>
      </c>
    </row>
    <row r="6108" spans="1:11" ht="42" customHeight="1">
      <c r="A6108" s="2" t="s">
        <v>15743</v>
      </c>
      <c r="B6108" s="2" t="s">
        <v>15744</v>
      </c>
      <c r="C6108" s="2" t="s">
        <v>367</v>
      </c>
      <c r="D6108" s="2" t="s">
        <v>18</v>
      </c>
      <c r="E6108" s="4">
        <v>-32297</v>
      </c>
      <c r="F6108" s="3" t="s">
        <v>2174</v>
      </c>
      <c r="G6108" s="3" t="s">
        <v>183</v>
      </c>
      <c r="H6108" s="2" t="s">
        <v>148</v>
      </c>
      <c r="I6108" s="2" t="s">
        <v>15745</v>
      </c>
      <c r="J6108" s="3" t="str">
        <f>HYPERLINK("https://www.boe.es/gazeta/dias/1811/07/28/pdfs/GMD-1811-209.pdf#page=4","Abrir facsímil")</f>
        <v>Abrir facsímil</v>
      </c>
      <c r="K6108" s="3" t="s">
        <v>150</v>
      </c>
    </row>
    <row r="6109" spans="1:11" ht="42" customHeight="1">
      <c r="A6109" s="2" t="s">
        <v>15746</v>
      </c>
      <c r="B6109" s="2" t="s">
        <v>15747</v>
      </c>
      <c r="C6109" s="2" t="s">
        <v>17</v>
      </c>
      <c r="D6109" s="2" t="s">
        <v>141</v>
      </c>
      <c r="E6109" s="4">
        <v>-32365</v>
      </c>
      <c r="F6109" s="3" t="s">
        <v>1304</v>
      </c>
      <c r="G6109" s="3" t="s">
        <v>120</v>
      </c>
      <c r="H6109" s="2" t="s">
        <v>148</v>
      </c>
      <c r="I6109" s="2" t="s">
        <v>15748</v>
      </c>
      <c r="J6109" s="3" t="str">
        <f>HYPERLINK("https://www.boe.es/gazeta/dias/1811/05/21/pdfs/GEI-D-1811-67.pdf#page=4","Abrir facsímil")</f>
        <v>Abrir facsímil</v>
      </c>
      <c r="K6109" s="3" t="s">
        <v>150</v>
      </c>
    </row>
    <row r="6110" spans="1:11" ht="42" customHeight="1">
      <c r="A6110" s="2" t="s">
        <v>15749</v>
      </c>
      <c r="B6110" s="2" t="s">
        <v>15750</v>
      </c>
      <c r="C6110" s="2" t="s">
        <v>17</v>
      </c>
      <c r="D6110" s="2" t="s">
        <v>156</v>
      </c>
      <c r="E6110" s="4">
        <v>-32303</v>
      </c>
      <c r="F6110" s="3" t="s">
        <v>2811</v>
      </c>
      <c r="G6110" s="3" t="s">
        <v>3577</v>
      </c>
      <c r="H6110" s="2" t="s">
        <v>148</v>
      </c>
      <c r="I6110" s="2" t="s">
        <v>15751</v>
      </c>
      <c r="J6110" s="3" t="str">
        <f>HYPERLINK("https://www.boe.es/gazeta/dias/1811/07/22/pdfs/GMD-1811-203.pdf#page=4","Abrir facsímil")</f>
        <v>Abrir facsímil</v>
      </c>
      <c r="K6110" s="3" t="s">
        <v>150</v>
      </c>
    </row>
    <row r="6111" spans="1:11" ht="42" customHeight="1">
      <c r="A6111" s="2" t="s">
        <v>15752</v>
      </c>
      <c r="B6111" s="2" t="s">
        <v>15753</v>
      </c>
      <c r="C6111" s="2" t="s">
        <v>26</v>
      </c>
      <c r="D6111" s="2" t="s">
        <v>105</v>
      </c>
      <c r="E6111" s="4">
        <v>-32292</v>
      </c>
      <c r="F6111" s="3" t="s">
        <v>408</v>
      </c>
      <c r="G6111" s="3" t="s">
        <v>409</v>
      </c>
      <c r="H6111" s="2" t="s">
        <v>148</v>
      </c>
      <c r="I6111" s="2" t="s">
        <v>15754</v>
      </c>
      <c r="J6111" s="3" t="str">
        <f>HYPERLINK("https://www.boe.es/gazeta/dias/1811/08/02/pdfs/GMD-1811-214.pdf#page=4","Abrir facsímil")</f>
        <v>Abrir facsímil</v>
      </c>
      <c r="K6111" s="3" t="s">
        <v>150</v>
      </c>
    </row>
    <row r="6112" spans="1:11" ht="42" customHeight="1">
      <c r="A6112" s="2" t="s">
        <v>15755</v>
      </c>
      <c r="B6112" s="2" t="s">
        <v>15756</v>
      </c>
      <c r="C6112" s="2" t="s">
        <v>26</v>
      </c>
      <c r="D6112" s="2" t="s">
        <v>18</v>
      </c>
      <c r="E6112" s="4">
        <v>-32141</v>
      </c>
      <c r="F6112" s="3" t="s">
        <v>327</v>
      </c>
      <c r="G6112" s="3" t="s">
        <v>20</v>
      </c>
      <c r="H6112" s="2" t="s">
        <v>148</v>
      </c>
      <c r="I6112" s="2" t="s">
        <v>15757</v>
      </c>
      <c r="J6112" s="3" t="str">
        <f>HYPERLINK("https://www.boe.es/gazeta/dias/1811/12/31/pdfs/GMD-1811-365.pdf#page=4","Abrir facsímil")</f>
        <v>Abrir facsímil</v>
      </c>
      <c r="K6112" s="3" t="s">
        <v>150</v>
      </c>
    </row>
    <row r="6113" spans="1:11" ht="42" customHeight="1">
      <c r="A6113" s="2" t="s">
        <v>15758</v>
      </c>
      <c r="B6113" s="2" t="s">
        <v>15759</v>
      </c>
      <c r="C6113" s="2" t="s">
        <v>104</v>
      </c>
      <c r="D6113" s="2" t="s">
        <v>18</v>
      </c>
      <c r="E6113" s="4">
        <v>-32407</v>
      </c>
      <c r="F6113" s="3" t="s">
        <v>38</v>
      </c>
      <c r="G6113" s="3" t="s">
        <v>39</v>
      </c>
      <c r="H6113" s="2" t="s">
        <v>148</v>
      </c>
      <c r="I6113" s="2" t="s">
        <v>15760</v>
      </c>
      <c r="J6113" s="3" t="str">
        <f>HYPERLINK("https://www.boe.es/gazeta/dias/1811/04/09/pdfs/GEI-1811-48.pdf#page=3","Abrir facsímil")</f>
        <v>Abrir facsímil</v>
      </c>
      <c r="K6113" s="3" t="s">
        <v>150</v>
      </c>
    </row>
    <row r="6114" spans="1:11" ht="42" customHeight="1">
      <c r="A6114" s="2" t="s">
        <v>15761</v>
      </c>
      <c r="B6114" s="2" t="s">
        <v>15762</v>
      </c>
      <c r="C6114" s="2" t="s">
        <v>26</v>
      </c>
      <c r="D6114" s="2" t="s">
        <v>18</v>
      </c>
      <c r="E6114" s="4">
        <v>-32141</v>
      </c>
      <c r="F6114" s="3" t="s">
        <v>327</v>
      </c>
      <c r="G6114" s="3" t="s">
        <v>20</v>
      </c>
      <c r="H6114" s="2" t="s">
        <v>148</v>
      </c>
      <c r="I6114" s="2" t="s">
        <v>15763</v>
      </c>
      <c r="J6114" s="3" t="str">
        <f>HYPERLINK("https://www.boe.es/gazeta/dias/1811/12/31/pdfs/GMD-1811-365.pdf#page=4","Abrir facsímil")</f>
        <v>Abrir facsímil</v>
      </c>
      <c r="K6114" s="3" t="s">
        <v>150</v>
      </c>
    </row>
    <row r="6115" spans="1:11" ht="42" customHeight="1">
      <c r="A6115" s="2" t="s">
        <v>15764</v>
      </c>
      <c r="B6115" s="2" t="s">
        <v>15765</v>
      </c>
      <c r="C6115" s="2" t="s">
        <v>26</v>
      </c>
      <c r="D6115" s="2" t="s">
        <v>141</v>
      </c>
      <c r="E6115" s="4">
        <v>-32188</v>
      </c>
      <c r="F6115" s="3" t="s">
        <v>505</v>
      </c>
      <c r="G6115" s="3" t="s">
        <v>47</v>
      </c>
      <c r="H6115" s="2" t="s">
        <v>148</v>
      </c>
      <c r="I6115" s="2" t="s">
        <v>15766</v>
      </c>
      <c r="J6115" s="3" t="str">
        <f>HYPERLINK("https://www.boe.es/gazeta/dias/1811/11/14/pdfs/GEI-D-1811-149.pdf#page=3","Abrir facsímil")</f>
        <v>Abrir facsímil</v>
      </c>
      <c r="K6115" s="3" t="s">
        <v>150</v>
      </c>
    </row>
    <row r="6116" spans="1:11" ht="42" customHeight="1">
      <c r="A6116" s="2" t="s">
        <v>15767</v>
      </c>
      <c r="B6116" s="2" t="s">
        <v>15768</v>
      </c>
      <c r="C6116" s="2" t="s">
        <v>367</v>
      </c>
      <c r="D6116" s="2" t="s">
        <v>156</v>
      </c>
      <c r="E6116" s="4">
        <v>-32228</v>
      </c>
      <c r="F6116" s="3" t="s">
        <v>372</v>
      </c>
      <c r="G6116" s="3" t="s">
        <v>20</v>
      </c>
      <c r="H6116" s="2" t="s">
        <v>148</v>
      </c>
      <c r="I6116" s="2" t="s">
        <v>15769</v>
      </c>
      <c r="J6116" s="3" t="str">
        <f>HYPERLINK("https://www.boe.es/gazeta/dias/1811/10/05/pdfs/GEI-1811-128.pdf#page=8","Abrir facsímil")</f>
        <v>Abrir facsímil</v>
      </c>
      <c r="K6116" s="3" t="s">
        <v>150</v>
      </c>
    </row>
    <row r="6117" spans="1:11" ht="42" customHeight="1">
      <c r="A6117" s="2" t="s">
        <v>15770</v>
      </c>
      <c r="B6117" s="2" t="s">
        <v>15771</v>
      </c>
      <c r="C6117" s="2" t="s">
        <v>66</v>
      </c>
      <c r="D6117" s="2" t="s">
        <v>18</v>
      </c>
      <c r="E6117" s="4">
        <v>-32183</v>
      </c>
      <c r="F6117" s="3" t="s">
        <v>5972</v>
      </c>
      <c r="G6117" s="3" t="s">
        <v>15772</v>
      </c>
      <c r="H6117" s="2" t="s">
        <v>148</v>
      </c>
      <c r="I6117" s="2" t="s">
        <v>15773</v>
      </c>
      <c r="J6117" s="3" t="str">
        <f>HYPERLINK("https://www.boe.es/gazeta/dias/1811/11/19/pdfs/GMD-1811-323.pdf#page=4","Abrir facsímil")</f>
        <v>Abrir facsímil</v>
      </c>
      <c r="K6117" s="3" t="s">
        <v>150</v>
      </c>
    </row>
    <row r="6118" spans="1:11" ht="42" customHeight="1">
      <c r="A6118" s="2" t="s">
        <v>15770</v>
      </c>
      <c r="B6118" s="2" t="s">
        <v>15771</v>
      </c>
      <c r="C6118" s="2" t="s">
        <v>17</v>
      </c>
      <c r="D6118" s="2" t="s">
        <v>18</v>
      </c>
      <c r="E6118" s="4">
        <v>-32152</v>
      </c>
      <c r="F6118" s="3" t="s">
        <v>1673</v>
      </c>
      <c r="G6118" s="3" t="s">
        <v>183</v>
      </c>
      <c r="H6118" s="2" t="s">
        <v>148</v>
      </c>
      <c r="I6118" s="2" t="s">
        <v>15774</v>
      </c>
      <c r="J6118" s="3" t="str">
        <f>HYPERLINK("https://www.boe.es/gazeta/dias/1811/12/20/pdfs/GMD-1811-354.pdf#page=4","Abrir facsímil")</f>
        <v>Abrir facsímil</v>
      </c>
      <c r="K6118" s="3" t="s">
        <v>150</v>
      </c>
    </row>
    <row r="6119" spans="1:11" ht="42" customHeight="1">
      <c r="A6119" s="2" t="s">
        <v>15775</v>
      </c>
      <c r="B6119" s="2" t="s">
        <v>15776</v>
      </c>
      <c r="C6119" s="2" t="s">
        <v>26</v>
      </c>
      <c r="D6119" s="2" t="s">
        <v>141</v>
      </c>
      <c r="E6119" s="4">
        <v>-32280</v>
      </c>
      <c r="F6119" s="3" t="s">
        <v>142</v>
      </c>
      <c r="G6119" s="3" t="s">
        <v>47</v>
      </c>
      <c r="H6119" s="2" t="s">
        <v>148</v>
      </c>
      <c r="I6119" s="2" t="s">
        <v>15777</v>
      </c>
      <c r="J6119" s="3" t="str">
        <f>HYPERLINK("https://www.boe.es/gazeta/dias/1811/08/14/pdfs/GMD-C-1811-226.pdf#page=1","Abrir facsímil")</f>
        <v>Abrir facsímil</v>
      </c>
      <c r="K6119" s="3" t="s">
        <v>150</v>
      </c>
    </row>
    <row r="6120" spans="1:11" ht="42" customHeight="1">
      <c r="A6120" s="2" t="s">
        <v>15778</v>
      </c>
      <c r="B6120" s="2" t="s">
        <v>15779</v>
      </c>
      <c r="C6120" s="2" t="s">
        <v>26</v>
      </c>
      <c r="D6120" s="2" t="s">
        <v>18</v>
      </c>
      <c r="E6120" s="4">
        <v>-32157</v>
      </c>
      <c r="F6120" s="3" t="s">
        <v>200</v>
      </c>
      <c r="G6120" s="3" t="s">
        <v>6869</v>
      </c>
      <c r="H6120" s="2" t="s">
        <v>148</v>
      </c>
      <c r="I6120" s="2" t="s">
        <v>15780</v>
      </c>
      <c r="J6120" s="3" t="str">
        <f>HYPERLINK("https://www.boe.es/gazeta/dias/1811/12/15/pdfs/GMD-1811-349.pdf#page=2","Abrir facsímil")</f>
        <v>Abrir facsímil</v>
      </c>
      <c r="K6120" s="3" t="s">
        <v>150</v>
      </c>
    </row>
    <row r="6121" spans="1:11" ht="42" customHeight="1">
      <c r="A6121" s="2" t="s">
        <v>15781</v>
      </c>
      <c r="B6121" s="2" t="s">
        <v>15782</v>
      </c>
      <c r="C6121" s="2" t="s">
        <v>26</v>
      </c>
      <c r="D6121" s="2" t="s">
        <v>18</v>
      </c>
      <c r="E6121" s="4">
        <v>-32249</v>
      </c>
      <c r="F6121" s="3" t="s">
        <v>182</v>
      </c>
      <c r="G6121" s="3" t="s">
        <v>44</v>
      </c>
      <c r="H6121" s="2" t="s">
        <v>148</v>
      </c>
      <c r="I6121" s="2" t="s">
        <v>15783</v>
      </c>
      <c r="J6121" s="3" t="str">
        <f>HYPERLINK("https://www.boe.es/gazeta/dias/1811/09/14/pdfs/GMD-1811-257.pdf#page=3","Abrir facsímil")</f>
        <v>Abrir facsímil</v>
      </c>
      <c r="K6121" s="3" t="s">
        <v>150</v>
      </c>
    </row>
    <row r="6122" spans="1:11" ht="42" customHeight="1">
      <c r="A6122" s="2" t="s">
        <v>15784</v>
      </c>
      <c r="B6122" s="2" t="s">
        <v>15785</v>
      </c>
      <c r="C6122" s="2" t="s">
        <v>26</v>
      </c>
      <c r="D6122" s="2" t="s">
        <v>141</v>
      </c>
      <c r="E6122" s="4">
        <v>-32238</v>
      </c>
      <c r="F6122" s="3" t="s">
        <v>166</v>
      </c>
      <c r="G6122" s="3" t="s">
        <v>129</v>
      </c>
      <c r="H6122" s="2" t="s">
        <v>148</v>
      </c>
      <c r="I6122" s="2" t="s">
        <v>15786</v>
      </c>
      <c r="J6122" s="3" t="str">
        <f>HYPERLINK("https://www.boe.es/gazeta/dias/1811/09/25/pdfs/GMD-C-1811-268.pdf#page=1","Abrir facsímil")</f>
        <v>Abrir facsímil</v>
      </c>
      <c r="K6122" s="3" t="s">
        <v>150</v>
      </c>
    </row>
    <row r="6123" spans="1:11" ht="42" customHeight="1">
      <c r="A6123" s="2" t="s">
        <v>15784</v>
      </c>
      <c r="B6123" s="2" t="s">
        <v>15785</v>
      </c>
      <c r="C6123" s="2" t="s">
        <v>26</v>
      </c>
      <c r="D6123" s="2" t="s">
        <v>18</v>
      </c>
      <c r="E6123" s="4">
        <v>-32188</v>
      </c>
      <c r="F6123" s="3" t="s">
        <v>356</v>
      </c>
      <c r="G6123" s="3" t="s">
        <v>468</v>
      </c>
      <c r="H6123" s="2" t="s">
        <v>148</v>
      </c>
      <c r="I6123" s="2" t="s">
        <v>15787</v>
      </c>
      <c r="J6123" s="3" t="str">
        <f>HYPERLINK("https://www.boe.es/gazeta/dias/1811/11/14/pdfs/GMD-1811-318.pdf#page=6","Abrir facsímil")</f>
        <v>Abrir facsímil</v>
      </c>
      <c r="K6123" s="3" t="s">
        <v>150</v>
      </c>
    </row>
    <row r="6124" spans="1:11" ht="42" customHeight="1">
      <c r="A6124" s="2" t="s">
        <v>15788</v>
      </c>
      <c r="B6124" s="2" t="s">
        <v>15789</v>
      </c>
      <c r="C6124" s="2" t="s">
        <v>122</v>
      </c>
      <c r="D6124" s="2" t="s">
        <v>18</v>
      </c>
      <c r="E6124" s="4">
        <v>-32505</v>
      </c>
      <c r="F6124" s="3" t="s">
        <v>661</v>
      </c>
      <c r="G6124" s="3" t="s">
        <v>530</v>
      </c>
      <c r="H6124" s="2" t="s">
        <v>148</v>
      </c>
      <c r="I6124" s="2" t="s">
        <v>15790</v>
      </c>
      <c r="J6124" s="3" t="str">
        <f>HYPERLINK("https://www.boe.es/gazeta/dias/1811/01/01/pdfs/GMD-1811-1.pdf#page=3","Abrir facsímil")</f>
        <v>Abrir facsímil</v>
      </c>
      <c r="K6124" s="3" t="s">
        <v>150</v>
      </c>
    </row>
    <row r="6125" spans="1:11" ht="42" customHeight="1">
      <c r="A6125" s="2" t="s">
        <v>15791</v>
      </c>
      <c r="B6125" s="2" t="s">
        <v>15791</v>
      </c>
      <c r="C6125" s="2" t="s">
        <v>17</v>
      </c>
      <c r="D6125" s="2" t="s">
        <v>156</v>
      </c>
      <c r="E6125" s="4">
        <v>-32389</v>
      </c>
      <c r="F6125" s="3" t="s">
        <v>524</v>
      </c>
      <c r="G6125" s="3" t="s">
        <v>2573</v>
      </c>
      <c r="H6125" s="2" t="s">
        <v>148</v>
      </c>
      <c r="I6125" s="2" t="s">
        <v>15792</v>
      </c>
      <c r="J6125" s="3" t="str">
        <f>HYPERLINK("https://www.boe.es/gazeta/dias/1811/04/27/pdfs/GEI-D-1811-56.pdf#page=1","Abrir facsímil")</f>
        <v>Abrir facsímil</v>
      </c>
      <c r="K6125" s="3" t="s">
        <v>150</v>
      </c>
    </row>
    <row r="6126" spans="1:11" ht="42" customHeight="1">
      <c r="A6126" s="2" t="s">
        <v>15791</v>
      </c>
      <c r="B6126" s="2" t="s">
        <v>15791</v>
      </c>
      <c r="C6126" s="2" t="s">
        <v>17</v>
      </c>
      <c r="D6126" s="2" t="s">
        <v>105</v>
      </c>
      <c r="E6126" s="4">
        <v>-32333</v>
      </c>
      <c r="F6126" s="3" t="s">
        <v>292</v>
      </c>
      <c r="G6126" s="3" t="s">
        <v>10296</v>
      </c>
      <c r="H6126" s="2" t="s">
        <v>148</v>
      </c>
      <c r="I6126" s="2" t="s">
        <v>15793</v>
      </c>
      <c r="J6126" s="3" t="str">
        <f>HYPERLINK("https://www.boe.es/gazeta/dias/1811/06/22/pdfs/GEI-1811-83.pdf#page=2","Abrir facsímil")</f>
        <v>Abrir facsímil</v>
      </c>
      <c r="K6126" s="3" t="s">
        <v>150</v>
      </c>
    </row>
    <row r="6127" spans="1:11" ht="42" customHeight="1">
      <c r="A6127" s="2" t="s">
        <v>15794</v>
      </c>
      <c r="B6127" s="2" t="s">
        <v>15795</v>
      </c>
      <c r="C6127" s="2" t="s">
        <v>26</v>
      </c>
      <c r="D6127" s="2" t="s">
        <v>18</v>
      </c>
      <c r="E6127" s="4">
        <v>-32188</v>
      </c>
      <c r="F6127" s="3" t="s">
        <v>356</v>
      </c>
      <c r="G6127" s="3" t="s">
        <v>248</v>
      </c>
      <c r="H6127" s="2" t="s">
        <v>148</v>
      </c>
      <c r="I6127" s="2" t="s">
        <v>15796</v>
      </c>
      <c r="J6127" s="3" t="str">
        <f>HYPERLINK("https://www.boe.es/gazeta/dias/1811/11/14/pdfs/GMD-1811-318.pdf#page=5","Abrir facsímil")</f>
        <v>Abrir facsímil</v>
      </c>
      <c r="K6127" s="3" t="s">
        <v>150</v>
      </c>
    </row>
    <row r="6128" spans="1:11" ht="42" customHeight="1">
      <c r="A6128" s="2" t="s">
        <v>15797</v>
      </c>
      <c r="B6128" s="2" t="s">
        <v>15798</v>
      </c>
      <c r="C6128" s="2" t="s">
        <v>17</v>
      </c>
      <c r="D6128" s="2" t="s">
        <v>156</v>
      </c>
      <c r="E6128" s="4">
        <v>-32216</v>
      </c>
      <c r="F6128" s="3" t="s">
        <v>2739</v>
      </c>
      <c r="G6128" s="3" t="s">
        <v>510</v>
      </c>
      <c r="H6128" s="2" t="s">
        <v>148</v>
      </c>
      <c r="I6128" s="2" t="s">
        <v>15799</v>
      </c>
      <c r="J6128" s="3" t="str">
        <f>HYPERLINK("https://www.boe.es/gazeta/dias/1811/10/17/pdfs/GEI-1811-134.pdf#page=8","Abrir facsímil")</f>
        <v>Abrir facsímil</v>
      </c>
      <c r="K6128" s="3" t="s">
        <v>150</v>
      </c>
    </row>
    <row r="6129" spans="1:11" ht="42" customHeight="1">
      <c r="A6129" s="2" t="s">
        <v>15800</v>
      </c>
      <c r="B6129" s="2" t="s">
        <v>15801</v>
      </c>
      <c r="C6129" s="2" t="s">
        <v>26</v>
      </c>
      <c r="D6129" s="2" t="s">
        <v>141</v>
      </c>
      <c r="E6129" s="4">
        <v>-32167</v>
      </c>
      <c r="F6129" s="3" t="s">
        <v>347</v>
      </c>
      <c r="G6129" s="3" t="s">
        <v>183</v>
      </c>
      <c r="H6129" s="2" t="s">
        <v>148</v>
      </c>
      <c r="I6129" s="2" t="s">
        <v>15802</v>
      </c>
      <c r="J6129" s="3" t="str">
        <f>HYPERLINK("https://www.boe.es/gazeta/dias/1811/12/05/pdfs/GEI-D-1811-158.pdf#page=4","Abrir facsímil")</f>
        <v>Abrir facsímil</v>
      </c>
      <c r="K6129" s="3" t="s">
        <v>150</v>
      </c>
    </row>
    <row r="6130" spans="1:11" ht="42" customHeight="1">
      <c r="A6130" s="2" t="s">
        <v>15803</v>
      </c>
      <c r="B6130" s="2" t="s">
        <v>15804</v>
      </c>
      <c r="C6130" s="2" t="s">
        <v>37</v>
      </c>
      <c r="D6130" s="2" t="s">
        <v>156</v>
      </c>
      <c r="E6130" s="4">
        <v>-32365</v>
      </c>
      <c r="F6130" s="3" t="s">
        <v>1304</v>
      </c>
      <c r="G6130" s="3" t="s">
        <v>120</v>
      </c>
      <c r="H6130" s="2" t="s">
        <v>148</v>
      </c>
      <c r="I6130" s="2" t="s">
        <v>15805</v>
      </c>
      <c r="J6130" s="3" t="str">
        <f>HYPERLINK("https://www.boe.es/gazeta/dias/1811/05/21/pdfs/GEI-D-1811-67.pdf#page=4","Abrir facsímil")</f>
        <v>Abrir facsímil</v>
      </c>
      <c r="K6130" s="3" t="s">
        <v>150</v>
      </c>
    </row>
    <row r="6131" spans="1:11" ht="42" customHeight="1">
      <c r="A6131" s="2" t="s">
        <v>15806</v>
      </c>
      <c r="B6131" s="2" t="s">
        <v>15807</v>
      </c>
      <c r="C6131" s="2" t="s">
        <v>37</v>
      </c>
      <c r="D6131" s="2" t="s">
        <v>141</v>
      </c>
      <c r="E6131" s="4">
        <v>-32389</v>
      </c>
      <c r="F6131" s="3" t="s">
        <v>524</v>
      </c>
      <c r="G6131" s="3" t="s">
        <v>525</v>
      </c>
      <c r="H6131" s="2" t="s">
        <v>148</v>
      </c>
      <c r="I6131" s="2" t="s">
        <v>15808</v>
      </c>
      <c r="J6131" s="3" t="str">
        <f>HYPERLINK("https://www.boe.es/gazeta/dias/1811/04/27/pdfs/GEI-D-1811-56.pdf#page=4","Abrir facsímil")</f>
        <v>Abrir facsímil</v>
      </c>
      <c r="K6131" s="3" t="s">
        <v>150</v>
      </c>
    </row>
    <row r="6132" spans="1:11" ht="42" customHeight="1">
      <c r="A6132" s="2" t="s">
        <v>15809</v>
      </c>
      <c r="B6132" s="2" t="s">
        <v>15810</v>
      </c>
      <c r="C6132" s="2" t="s">
        <v>17</v>
      </c>
      <c r="D6132" s="2" t="s">
        <v>156</v>
      </c>
      <c r="E6132" s="4">
        <v>-32361</v>
      </c>
      <c r="F6132" s="3" t="s">
        <v>1104</v>
      </c>
      <c r="G6132" s="3" t="s">
        <v>2213</v>
      </c>
      <c r="H6132" s="2" t="s">
        <v>148</v>
      </c>
      <c r="I6132" s="2" t="s">
        <v>15811</v>
      </c>
      <c r="J6132" s="3" t="str">
        <f>HYPERLINK("https://www.boe.es/gazeta/dias/1811/05/25/pdfs/GEI-1811-71.pdf#page=8","Abrir facsímil")</f>
        <v>Abrir facsímil</v>
      </c>
      <c r="K6132" s="3" t="s">
        <v>150</v>
      </c>
    </row>
    <row r="6133" spans="1:11" ht="42" customHeight="1">
      <c r="A6133" s="2" t="s">
        <v>15812</v>
      </c>
      <c r="B6133" s="2" t="s">
        <v>15813</v>
      </c>
      <c r="C6133" s="2" t="s">
        <v>17</v>
      </c>
      <c r="D6133" s="2" t="s">
        <v>156</v>
      </c>
      <c r="E6133" s="4">
        <v>-32188</v>
      </c>
      <c r="F6133" s="3" t="s">
        <v>505</v>
      </c>
      <c r="G6133" s="3" t="s">
        <v>9436</v>
      </c>
      <c r="H6133" s="2" t="s">
        <v>148</v>
      </c>
      <c r="I6133" s="2" t="s">
        <v>15814</v>
      </c>
      <c r="J6133" s="3" t="str">
        <f>HYPERLINK("https://www.boe.es/gazeta/dias/1811/11/14/pdfs/GEI-D-1811-149.pdf#page=2","Abrir facsímil")</f>
        <v>Abrir facsímil</v>
      </c>
      <c r="K6133" s="3" t="s">
        <v>150</v>
      </c>
    </row>
    <row r="6134" spans="1:11" ht="42" customHeight="1">
      <c r="A6134" s="2" t="s">
        <v>15815</v>
      </c>
      <c r="B6134" s="2" t="s">
        <v>15816</v>
      </c>
      <c r="C6134" s="2" t="s">
        <v>26</v>
      </c>
      <c r="D6134" s="2" t="s">
        <v>18</v>
      </c>
      <c r="E6134" s="4">
        <v>-32179</v>
      </c>
      <c r="F6134" s="3" t="s">
        <v>614</v>
      </c>
      <c r="G6134" s="3" t="s">
        <v>47</v>
      </c>
      <c r="H6134" s="2" t="s">
        <v>148</v>
      </c>
      <c r="I6134" s="2" t="s">
        <v>15817</v>
      </c>
      <c r="J6134" s="3" t="str">
        <f>HYPERLINK("https://www.boe.es/gazeta/dias/1811/11/23/pdfs/GEI-1811-153.pdf#page=8","Abrir facsímil")</f>
        <v>Abrir facsímil</v>
      </c>
      <c r="K6134" s="3" t="s">
        <v>150</v>
      </c>
    </row>
    <row r="6135" spans="1:11" ht="42" customHeight="1">
      <c r="A6135" s="2" t="s">
        <v>15818</v>
      </c>
      <c r="B6135" s="2" t="s">
        <v>15819</v>
      </c>
      <c r="C6135" s="2" t="s">
        <v>26</v>
      </c>
      <c r="D6135" s="2" t="s">
        <v>18</v>
      </c>
      <c r="E6135" s="4">
        <v>-32505</v>
      </c>
      <c r="F6135" s="3" t="s">
        <v>475</v>
      </c>
      <c r="G6135" s="3" t="s">
        <v>755</v>
      </c>
      <c r="H6135" s="2" t="s">
        <v>148</v>
      </c>
      <c r="I6135" s="2" t="s">
        <v>15820</v>
      </c>
      <c r="J6135" s="3" t="str">
        <f>HYPERLINK("https://www.boe.es/gazeta/dias/1811/01/01/pdfs/GEI-1811-1.pdf#page=8","Abrir facsímil")</f>
        <v>Abrir facsímil</v>
      </c>
      <c r="K6135" s="3" t="s">
        <v>150</v>
      </c>
    </row>
    <row r="6136" spans="1:11" ht="42" customHeight="1">
      <c r="A6136" s="2" t="s">
        <v>15818</v>
      </c>
      <c r="B6136" s="2" t="s">
        <v>15819</v>
      </c>
      <c r="C6136" s="2" t="s">
        <v>26</v>
      </c>
      <c r="D6136" s="2" t="s">
        <v>18</v>
      </c>
      <c r="E6136" s="4">
        <v>-32179</v>
      </c>
      <c r="F6136" s="3" t="s">
        <v>614</v>
      </c>
      <c r="G6136" s="3" t="s">
        <v>47</v>
      </c>
      <c r="H6136" s="2" t="s">
        <v>148</v>
      </c>
      <c r="I6136" s="2" t="s">
        <v>15821</v>
      </c>
      <c r="J6136" s="3" t="str">
        <f>HYPERLINK("https://www.boe.es/gazeta/dias/1811/11/23/pdfs/GEI-1811-153.pdf#page=8","Abrir facsímil")</f>
        <v>Abrir facsímil</v>
      </c>
      <c r="K6136" s="3" t="s">
        <v>150</v>
      </c>
    </row>
    <row r="6137" spans="1:11" ht="42" customHeight="1">
      <c r="A6137" s="2" t="s">
        <v>15822</v>
      </c>
      <c r="B6137" s="2" t="s">
        <v>15823</v>
      </c>
      <c r="C6137" s="2" t="s">
        <v>26</v>
      </c>
      <c r="D6137" s="2" t="s">
        <v>105</v>
      </c>
      <c r="E6137" s="4">
        <v>-32205</v>
      </c>
      <c r="F6137" s="3" t="s">
        <v>7179</v>
      </c>
      <c r="G6137" s="3" t="s">
        <v>2196</v>
      </c>
      <c r="H6137" s="2" t="s">
        <v>148</v>
      </c>
      <c r="I6137" s="2" t="s">
        <v>15824</v>
      </c>
      <c r="J6137" s="3" t="str">
        <f>HYPERLINK("https://www.boe.es/gazeta/dias/1811/10/28/pdfs/GMD-1811-301.pdf#page=4","Abrir facsímil")</f>
        <v>Abrir facsímil</v>
      </c>
      <c r="K6137" s="3" t="s">
        <v>150</v>
      </c>
    </row>
    <row r="6138" spans="1:11" ht="42" customHeight="1">
      <c r="A6138" s="2" t="s">
        <v>15825</v>
      </c>
      <c r="B6138" s="2" t="s">
        <v>15826</v>
      </c>
      <c r="C6138" s="2" t="s">
        <v>26</v>
      </c>
      <c r="D6138" s="2" t="s">
        <v>105</v>
      </c>
      <c r="E6138" s="4">
        <v>-32192</v>
      </c>
      <c r="F6138" s="3" t="s">
        <v>673</v>
      </c>
      <c r="G6138" s="3" t="s">
        <v>305</v>
      </c>
      <c r="H6138" s="2" t="s">
        <v>148</v>
      </c>
      <c r="I6138" s="2" t="s">
        <v>15827</v>
      </c>
      <c r="J6138" s="3" t="str">
        <f>HYPERLINK("https://www.boe.es/gazeta/dias/1811/11/10/pdfs/GMD-1811-314.pdf#page=4","Abrir facsímil")</f>
        <v>Abrir facsímil</v>
      </c>
      <c r="K6138" s="3" t="s">
        <v>150</v>
      </c>
    </row>
    <row r="6139" spans="1:11" ht="42" customHeight="1">
      <c r="A6139" s="2" t="s">
        <v>15828</v>
      </c>
      <c r="B6139" s="2" t="s">
        <v>15829</v>
      </c>
      <c r="C6139" s="2" t="s">
        <v>26</v>
      </c>
      <c r="D6139" s="2" t="s">
        <v>141</v>
      </c>
      <c r="E6139" s="4">
        <v>-32238</v>
      </c>
      <c r="F6139" s="3" t="s">
        <v>166</v>
      </c>
      <c r="G6139" s="3" t="s">
        <v>657</v>
      </c>
      <c r="H6139" s="2" t="s">
        <v>148</v>
      </c>
      <c r="I6139" s="2" t="s">
        <v>15830</v>
      </c>
      <c r="J6139" s="3" t="str">
        <f>HYPERLINK("https://www.boe.es/gazeta/dias/1811/09/25/pdfs/GMD-C-1811-268.pdf#page=3","Abrir facsímil")</f>
        <v>Abrir facsímil</v>
      </c>
      <c r="K6139" s="3" t="s">
        <v>150</v>
      </c>
    </row>
    <row r="6140" spans="1:11" ht="42" customHeight="1">
      <c r="A6140" s="2" t="s">
        <v>15831</v>
      </c>
      <c r="B6140" s="2" t="s">
        <v>15832</v>
      </c>
      <c r="C6140" s="2" t="s">
        <v>26</v>
      </c>
      <c r="D6140" s="2" t="s">
        <v>18</v>
      </c>
      <c r="E6140" s="4">
        <v>-32305</v>
      </c>
      <c r="F6140" s="3" t="s">
        <v>1575</v>
      </c>
      <c r="G6140" s="3" t="s">
        <v>1054</v>
      </c>
      <c r="H6140" s="2" t="s">
        <v>148</v>
      </c>
      <c r="I6140" s="2" t="s">
        <v>15833</v>
      </c>
      <c r="J6140" s="3" t="str">
        <f>HYPERLINK("https://www.boe.es/gazeta/dias/1811/07/20/pdfs/GEI-1811-95.pdf#page=2","Abrir facsímil")</f>
        <v>Abrir facsímil</v>
      </c>
      <c r="K6140" s="3" t="s">
        <v>150</v>
      </c>
    </row>
    <row r="6141" spans="1:11" ht="42" customHeight="1">
      <c r="A6141" s="2" t="s">
        <v>15834</v>
      </c>
      <c r="B6141" s="2" t="s">
        <v>15835</v>
      </c>
      <c r="C6141" s="2" t="s">
        <v>26</v>
      </c>
      <c r="D6141" s="2" t="s">
        <v>18</v>
      </c>
      <c r="E6141" s="4">
        <v>-32297</v>
      </c>
      <c r="F6141" s="3" t="s">
        <v>2174</v>
      </c>
      <c r="G6141" s="3" t="s">
        <v>183</v>
      </c>
      <c r="H6141" s="2" t="s">
        <v>148</v>
      </c>
      <c r="I6141" s="2" t="s">
        <v>15836</v>
      </c>
      <c r="J6141" s="3" t="str">
        <f>HYPERLINK("https://www.boe.es/gazeta/dias/1811/07/28/pdfs/GMD-1811-209.pdf#page=4","Abrir facsímil")</f>
        <v>Abrir facsímil</v>
      </c>
      <c r="K6141" s="3" t="s">
        <v>150</v>
      </c>
    </row>
    <row r="6142" spans="1:11" ht="42" customHeight="1">
      <c r="A6142" s="2" t="s">
        <v>15837</v>
      </c>
      <c r="B6142" s="2" t="s">
        <v>15838</v>
      </c>
      <c r="C6142" s="2" t="s">
        <v>26</v>
      </c>
      <c r="D6142" s="2" t="s">
        <v>18</v>
      </c>
      <c r="E6142" s="4">
        <v>-32192</v>
      </c>
      <c r="F6142" s="3" t="s">
        <v>673</v>
      </c>
      <c r="G6142" s="3" t="s">
        <v>305</v>
      </c>
      <c r="H6142" s="2" t="s">
        <v>148</v>
      </c>
      <c r="I6142" s="2" t="s">
        <v>15839</v>
      </c>
      <c r="J6142" s="3" t="str">
        <f>HYPERLINK("https://www.boe.es/gazeta/dias/1811/11/10/pdfs/GMD-1811-314.pdf#page=4","Abrir facsímil")</f>
        <v>Abrir facsímil</v>
      </c>
      <c r="K6142" s="3" t="s">
        <v>150</v>
      </c>
    </row>
    <row r="6143" spans="1:11" ht="42" customHeight="1">
      <c r="A6143" s="2" t="s">
        <v>15840</v>
      </c>
      <c r="B6143" s="2" t="s">
        <v>15841</v>
      </c>
      <c r="C6143" s="2" t="s">
        <v>122</v>
      </c>
      <c r="D6143" s="2" t="s">
        <v>18</v>
      </c>
      <c r="E6143" s="4">
        <v>-32505</v>
      </c>
      <c r="F6143" s="3" t="s">
        <v>661</v>
      </c>
      <c r="G6143" s="3" t="s">
        <v>530</v>
      </c>
      <c r="H6143" s="2" t="s">
        <v>148</v>
      </c>
      <c r="I6143" s="2" t="s">
        <v>15842</v>
      </c>
      <c r="J6143" s="3" t="str">
        <f>HYPERLINK("https://www.boe.es/gazeta/dias/1811/01/01/pdfs/GMD-1811-1.pdf#page=3","Abrir facsímil")</f>
        <v>Abrir facsímil</v>
      </c>
      <c r="K6143" s="3" t="s">
        <v>150</v>
      </c>
    </row>
    <row r="6144" spans="1:11" ht="42" customHeight="1">
      <c r="A6144" s="2" t="s">
        <v>15843</v>
      </c>
      <c r="B6144" s="2" t="s">
        <v>15844</v>
      </c>
      <c r="C6144" s="2" t="s">
        <v>26</v>
      </c>
      <c r="D6144" s="2" t="s">
        <v>18</v>
      </c>
      <c r="E6144" s="4">
        <v>-32286</v>
      </c>
      <c r="F6144" s="3" t="s">
        <v>754</v>
      </c>
      <c r="G6144" s="3" t="s">
        <v>1728</v>
      </c>
      <c r="H6144" s="2" t="s">
        <v>148</v>
      </c>
      <c r="I6144" s="2" t="s">
        <v>15845</v>
      </c>
      <c r="J6144" s="3" t="str">
        <f>HYPERLINK("https://www.boe.es/gazeta/dias/1811/08/08/pdfs/GEI-1811-103.pdf#page=8","Abrir facsímil")</f>
        <v>Abrir facsímil</v>
      </c>
      <c r="K6144" s="3" t="s">
        <v>150</v>
      </c>
    </row>
    <row r="6145" spans="1:11" ht="42" customHeight="1">
      <c r="A6145" s="2" t="s">
        <v>15846</v>
      </c>
      <c r="B6145" s="2" t="s">
        <v>15847</v>
      </c>
      <c r="C6145" s="2" t="s">
        <v>26</v>
      </c>
      <c r="D6145" s="2" t="s">
        <v>18</v>
      </c>
      <c r="E6145" s="4">
        <v>-32241</v>
      </c>
      <c r="F6145" s="3" t="s">
        <v>514</v>
      </c>
      <c r="G6145" s="3" t="s">
        <v>515</v>
      </c>
      <c r="H6145" s="2" t="s">
        <v>148</v>
      </c>
      <c r="I6145" s="2" t="s">
        <v>15848</v>
      </c>
      <c r="J6145" s="3" t="str">
        <f>HYPERLINK("https://www.boe.es/gazeta/dias/1811/09/22/pdfs/GMD-1811-265.pdf#page=4","Abrir facsímil")</f>
        <v>Abrir facsímil</v>
      </c>
      <c r="K6145" s="3" t="s">
        <v>150</v>
      </c>
    </row>
    <row r="6146" spans="1:11" ht="42" customHeight="1">
      <c r="A6146" s="2" t="s">
        <v>15849</v>
      </c>
      <c r="B6146" s="2" t="s">
        <v>15850</v>
      </c>
      <c r="C6146" s="2" t="s">
        <v>26</v>
      </c>
      <c r="D6146" s="2" t="s">
        <v>18</v>
      </c>
      <c r="E6146" s="4">
        <v>-32153</v>
      </c>
      <c r="F6146" s="3" t="s">
        <v>123</v>
      </c>
      <c r="G6146" s="3" t="s">
        <v>124</v>
      </c>
      <c r="H6146" s="2" t="s">
        <v>148</v>
      </c>
      <c r="I6146" s="2" t="s">
        <v>15851</v>
      </c>
      <c r="J6146" s="3" t="str">
        <f>HYPERLINK("https://www.boe.es/gazeta/dias/1811/12/19/pdfs/GMD-1811-353.pdf#page=6","Abrir facsímil")</f>
        <v>Abrir facsímil</v>
      </c>
      <c r="K6146" s="3" t="s">
        <v>150</v>
      </c>
    </row>
    <row r="6147" spans="1:11" ht="42" customHeight="1">
      <c r="A6147" s="2" t="s">
        <v>15852</v>
      </c>
      <c r="B6147" s="2" t="s">
        <v>15853</v>
      </c>
      <c r="C6147" s="2" t="s">
        <v>26</v>
      </c>
      <c r="D6147" s="2" t="s">
        <v>18</v>
      </c>
      <c r="E6147" s="4">
        <v>-32390</v>
      </c>
      <c r="F6147" s="3" t="s">
        <v>6268</v>
      </c>
      <c r="G6147" s="3" t="s">
        <v>183</v>
      </c>
      <c r="H6147" s="2" t="s">
        <v>148</v>
      </c>
      <c r="I6147" s="2" t="s">
        <v>15854</v>
      </c>
      <c r="J6147" s="3" t="str">
        <f>HYPERLINK("https://www.boe.es/gazeta/dias/1811/04/26/pdfs/GMD-1811-116.pdf#page=4","Abrir facsímil")</f>
        <v>Abrir facsímil</v>
      </c>
      <c r="K6147" s="3" t="s">
        <v>150</v>
      </c>
    </row>
    <row r="6148" spans="1:11" ht="42" customHeight="1">
      <c r="A6148" s="2" t="s">
        <v>15855</v>
      </c>
      <c r="B6148" s="2" t="s">
        <v>15856</v>
      </c>
      <c r="C6148" s="2" t="s">
        <v>17</v>
      </c>
      <c r="D6148" s="2" t="s">
        <v>105</v>
      </c>
      <c r="E6148" s="4">
        <v>-32192</v>
      </c>
      <c r="F6148" s="3" t="s">
        <v>673</v>
      </c>
      <c r="G6148" s="3" t="s">
        <v>305</v>
      </c>
      <c r="H6148" s="2" t="s">
        <v>148</v>
      </c>
      <c r="I6148" s="2" t="s">
        <v>15857</v>
      </c>
      <c r="J6148" s="3" t="str">
        <f>HYPERLINK("https://www.boe.es/gazeta/dias/1811/11/10/pdfs/GMD-1811-314.pdf#page=4","Abrir facsímil")</f>
        <v>Abrir facsímil</v>
      </c>
      <c r="K6148" s="3" t="s">
        <v>150</v>
      </c>
    </row>
    <row r="6149" spans="1:11" ht="42" customHeight="1">
      <c r="A6149" s="2" t="s">
        <v>15858</v>
      </c>
      <c r="B6149" s="2" t="s">
        <v>15859</v>
      </c>
      <c r="C6149" s="2" t="s">
        <v>17</v>
      </c>
      <c r="D6149" s="2" t="s">
        <v>18</v>
      </c>
      <c r="E6149" s="4">
        <v>-32193</v>
      </c>
      <c r="F6149" s="3" t="s">
        <v>1037</v>
      </c>
      <c r="G6149" s="3" t="s">
        <v>44</v>
      </c>
      <c r="H6149" s="2" t="s">
        <v>148</v>
      </c>
      <c r="I6149" s="2" t="s">
        <v>15860</v>
      </c>
      <c r="J6149" s="3" t="str">
        <f>HYPERLINK("https://www.boe.es/gazeta/dias/1811/11/09/pdfs/GEI-1811-145.pdf#page=4","Abrir facsímil")</f>
        <v>Abrir facsímil</v>
      </c>
      <c r="K6149" s="3" t="s">
        <v>150</v>
      </c>
    </row>
    <row r="6150" spans="1:11" ht="42" customHeight="1">
      <c r="A6150" s="2" t="s">
        <v>15861</v>
      </c>
      <c r="B6150" s="2" t="s">
        <v>15862</v>
      </c>
      <c r="C6150" s="2" t="s">
        <v>26</v>
      </c>
      <c r="D6150" s="2" t="s">
        <v>18</v>
      </c>
      <c r="E6150" s="4">
        <v>-32155</v>
      </c>
      <c r="F6150" s="3" t="s">
        <v>263</v>
      </c>
      <c r="G6150" s="3" t="s">
        <v>1800</v>
      </c>
      <c r="H6150" s="2" t="s">
        <v>148</v>
      </c>
      <c r="I6150" s="2" t="s">
        <v>15863</v>
      </c>
      <c r="J6150" s="3" t="str">
        <f>HYPERLINK("https://www.boe.es/gazeta/dias/1811/12/17/pdfs/GEI-1811-163.pdf#page=7","Abrir facsímil")</f>
        <v>Abrir facsímil</v>
      </c>
      <c r="K6150" s="3" t="s">
        <v>150</v>
      </c>
    </row>
    <row r="6151" spans="1:11" ht="42" customHeight="1">
      <c r="A6151" s="2" t="s">
        <v>15864</v>
      </c>
      <c r="B6151" s="2" t="s">
        <v>15865</v>
      </c>
      <c r="C6151" s="2" t="s">
        <v>26</v>
      </c>
      <c r="D6151" s="2" t="s">
        <v>18</v>
      </c>
      <c r="E6151" s="4">
        <v>-32295</v>
      </c>
      <c r="F6151" s="3" t="s">
        <v>279</v>
      </c>
      <c r="G6151" s="3" t="s">
        <v>44</v>
      </c>
      <c r="H6151" s="2" t="s">
        <v>148</v>
      </c>
      <c r="I6151" s="2" t="s">
        <v>15866</v>
      </c>
      <c r="J6151" s="3" t="str">
        <f>HYPERLINK("https://www.boe.es/gazeta/dias/1811/07/30/pdfs/GEI-1811-99.pdf#page=8","Abrir facsímil")</f>
        <v>Abrir facsímil</v>
      </c>
      <c r="K6151" s="3" t="s">
        <v>150</v>
      </c>
    </row>
    <row r="6152" spans="1:11" ht="42" customHeight="1">
      <c r="A6152" s="2" t="s">
        <v>15867</v>
      </c>
      <c r="B6152" s="2" t="s">
        <v>15868</v>
      </c>
      <c r="C6152" s="2" t="s">
        <v>84</v>
      </c>
      <c r="D6152" s="2" t="s">
        <v>18</v>
      </c>
      <c r="E6152" s="4">
        <v>-32190</v>
      </c>
      <c r="F6152" s="3" t="s">
        <v>1282</v>
      </c>
      <c r="G6152" s="3" t="s">
        <v>468</v>
      </c>
      <c r="H6152" s="2" t="s">
        <v>148</v>
      </c>
      <c r="I6152" s="2" t="s">
        <v>15869</v>
      </c>
      <c r="J6152" s="3" t="str">
        <f>HYPERLINK("https://www.boe.es/gazeta/dias/1811/11/12/pdfs/GMD-1811-316.pdf#page=4","Abrir facsímil")</f>
        <v>Abrir facsímil</v>
      </c>
      <c r="K6152" s="3" t="s">
        <v>150</v>
      </c>
    </row>
    <row r="6153" spans="1:11" ht="42" customHeight="1">
      <c r="A6153" s="2" t="s">
        <v>15867</v>
      </c>
      <c r="B6153" s="2" t="s">
        <v>15868</v>
      </c>
      <c r="C6153" s="2" t="s">
        <v>26</v>
      </c>
      <c r="D6153" s="2" t="s">
        <v>18</v>
      </c>
      <c r="E6153" s="4">
        <v>-32171</v>
      </c>
      <c r="F6153" s="3" t="s">
        <v>157</v>
      </c>
      <c r="G6153" s="3" t="s">
        <v>44</v>
      </c>
      <c r="H6153" s="2" t="s">
        <v>148</v>
      </c>
      <c r="I6153" s="2" t="s">
        <v>15870</v>
      </c>
      <c r="J6153" s="3" t="str">
        <f>HYPERLINK("https://www.boe.es/gazeta/dias/1811/12/01/pdfs/GMD-1811-335.pdf#page=4","Abrir facsímil")</f>
        <v>Abrir facsímil</v>
      </c>
      <c r="K6153" s="3" t="s">
        <v>150</v>
      </c>
    </row>
    <row r="6154" spans="1:11" ht="42" customHeight="1">
      <c r="A6154" s="2" t="s">
        <v>15871</v>
      </c>
      <c r="B6154" s="2" t="s">
        <v>15872</v>
      </c>
      <c r="C6154" s="2" t="s">
        <v>26</v>
      </c>
      <c r="D6154" s="2" t="s">
        <v>18</v>
      </c>
      <c r="E6154" s="4">
        <v>-32170</v>
      </c>
      <c r="F6154" s="3" t="s">
        <v>1183</v>
      </c>
      <c r="G6154" s="3" t="s">
        <v>1184</v>
      </c>
      <c r="H6154" s="2" t="s">
        <v>148</v>
      </c>
      <c r="I6154" s="2" t="s">
        <v>15873</v>
      </c>
      <c r="J6154" s="3" t="str">
        <f>HYPERLINK("https://www.boe.es/gazeta/dias/1811/12/02/pdfs/GMD-1811-336.pdf#page=4","Abrir facsímil")</f>
        <v>Abrir facsímil</v>
      </c>
      <c r="K6154" s="3" t="s">
        <v>150</v>
      </c>
    </row>
    <row r="6155" spans="1:11" ht="42" customHeight="1">
      <c r="A6155" s="2" t="s">
        <v>15874</v>
      </c>
      <c r="B6155" s="2" t="s">
        <v>15874</v>
      </c>
      <c r="C6155" s="2" t="s">
        <v>26</v>
      </c>
      <c r="D6155" s="2" t="s">
        <v>18</v>
      </c>
      <c r="E6155" s="4">
        <v>-32181</v>
      </c>
      <c r="F6155" s="3" t="s">
        <v>1169</v>
      </c>
      <c r="G6155" s="3" t="s">
        <v>1170</v>
      </c>
      <c r="H6155" s="2" t="s">
        <v>148</v>
      </c>
      <c r="I6155" s="2" t="s">
        <v>15875</v>
      </c>
      <c r="J6155" s="3" t="str">
        <f>HYPERLINK("https://www.boe.es/gazeta/dias/1811/11/21/pdfs/GMD-1811-325.pdf#page=4","Abrir facsímil")</f>
        <v>Abrir facsímil</v>
      </c>
      <c r="K6155" s="3" t="s">
        <v>150</v>
      </c>
    </row>
    <row r="6156" spans="1:11" ht="42" customHeight="1">
      <c r="A6156" s="2" t="s">
        <v>15876</v>
      </c>
      <c r="B6156" s="2" t="s">
        <v>15877</v>
      </c>
      <c r="C6156" s="2" t="s">
        <v>17</v>
      </c>
      <c r="D6156" s="2" t="s">
        <v>156</v>
      </c>
      <c r="E6156" s="4">
        <v>-32235</v>
      </c>
      <c r="F6156" s="3" t="s">
        <v>190</v>
      </c>
      <c r="G6156" s="3" t="s">
        <v>188</v>
      </c>
      <c r="H6156" s="2" t="s">
        <v>148</v>
      </c>
      <c r="I6156" s="2" t="s">
        <v>15878</v>
      </c>
      <c r="J6156" s="3" t="str">
        <f>HYPERLINK("https://www.boe.es/gazeta/dias/1811/09/28/pdfs/GEI-1811-125.pdf#page=8","Abrir facsímil")</f>
        <v>Abrir facsímil</v>
      </c>
      <c r="K6156" s="3" t="s">
        <v>150</v>
      </c>
    </row>
    <row r="6157" spans="1:11" ht="42" customHeight="1">
      <c r="A6157" s="2" t="s">
        <v>15879</v>
      </c>
      <c r="B6157" s="2" t="s">
        <v>15880</v>
      </c>
      <c r="C6157" s="2" t="s">
        <v>26</v>
      </c>
      <c r="D6157" s="2" t="s">
        <v>18</v>
      </c>
      <c r="E6157" s="4">
        <v>-32379</v>
      </c>
      <c r="F6157" s="3" t="s">
        <v>462</v>
      </c>
      <c r="G6157" s="3" t="s">
        <v>463</v>
      </c>
      <c r="H6157" s="2" t="s">
        <v>148</v>
      </c>
      <c r="I6157" s="2" t="s">
        <v>15881</v>
      </c>
      <c r="J6157" s="3" t="str">
        <f>HYPERLINK("https://www.boe.es/gazeta/dias/1811/05/07/pdfs/GEI-1811-60.pdf#page=8","Abrir facsímil")</f>
        <v>Abrir facsímil</v>
      </c>
      <c r="K6157" s="3" t="s">
        <v>150</v>
      </c>
    </row>
    <row r="6158" spans="1:11" ht="42" customHeight="1">
      <c r="A6158" s="2" t="s">
        <v>15882</v>
      </c>
      <c r="B6158" s="2" t="s">
        <v>15883</v>
      </c>
      <c r="C6158" s="2" t="s">
        <v>17</v>
      </c>
      <c r="D6158" s="2" t="s">
        <v>156</v>
      </c>
      <c r="E6158" s="4">
        <v>-32165</v>
      </c>
      <c r="F6158" s="3" t="s">
        <v>1462</v>
      </c>
      <c r="G6158" s="3" t="s">
        <v>1463</v>
      </c>
      <c r="H6158" s="2" t="s">
        <v>148</v>
      </c>
      <c r="I6158" s="2" t="s">
        <v>15884</v>
      </c>
      <c r="J6158" s="3" t="str">
        <f>HYPERLINK("https://www.boe.es/gazeta/dias/1811/12/07/pdfs/GMD-1811-341.pdf#page=3","Abrir facsímil")</f>
        <v>Abrir facsímil</v>
      </c>
      <c r="K6158" s="3" t="s">
        <v>150</v>
      </c>
    </row>
    <row r="6159" spans="1:11" ht="42" customHeight="1">
      <c r="A6159" s="2" t="s">
        <v>15885</v>
      </c>
      <c r="B6159" s="2" t="s">
        <v>15886</v>
      </c>
      <c r="C6159" s="2" t="s">
        <v>26</v>
      </c>
      <c r="D6159" s="2" t="s">
        <v>18</v>
      </c>
      <c r="E6159" s="4">
        <v>-32153</v>
      </c>
      <c r="F6159" s="3" t="s">
        <v>235</v>
      </c>
      <c r="G6159" s="3" t="s">
        <v>2181</v>
      </c>
      <c r="H6159" s="2" t="s">
        <v>148</v>
      </c>
      <c r="I6159" s="2" t="s">
        <v>15887</v>
      </c>
      <c r="J6159" s="3" t="str">
        <f>HYPERLINK("https://www.boe.es/gazeta/dias/1811/12/19/pdfs/GEI-1811-164.pdf#page=8","Abrir facsímil")</f>
        <v>Abrir facsímil</v>
      </c>
      <c r="K6159" s="3" t="s">
        <v>150</v>
      </c>
    </row>
    <row r="6160" spans="1:11" ht="42" customHeight="1">
      <c r="A6160" s="2" t="s">
        <v>15888</v>
      </c>
      <c r="B6160" s="2" t="s">
        <v>15888</v>
      </c>
      <c r="C6160" s="2" t="s">
        <v>17</v>
      </c>
      <c r="D6160" s="2" t="s">
        <v>141</v>
      </c>
      <c r="E6160" s="4">
        <v>-32389</v>
      </c>
      <c r="F6160" s="3" t="s">
        <v>524</v>
      </c>
      <c r="G6160" s="3" t="s">
        <v>530</v>
      </c>
      <c r="H6160" s="2" t="s">
        <v>148</v>
      </c>
      <c r="I6160" s="2" t="s">
        <v>15889</v>
      </c>
      <c r="J6160" s="3" t="str">
        <f>HYPERLINK("https://www.boe.es/gazeta/dias/1811/04/27/pdfs/GEI-D-1811-56.pdf#page=2","Abrir facsímil")</f>
        <v>Abrir facsímil</v>
      </c>
      <c r="K6160" s="3" t="s">
        <v>150</v>
      </c>
    </row>
    <row r="6161" spans="1:11" ht="42" customHeight="1">
      <c r="A6161" s="2" t="s">
        <v>15888</v>
      </c>
      <c r="B6161" s="2" t="s">
        <v>15888</v>
      </c>
      <c r="C6161" s="2" t="s">
        <v>17</v>
      </c>
      <c r="D6161" s="2" t="s">
        <v>156</v>
      </c>
      <c r="E6161" s="4">
        <v>-32362</v>
      </c>
      <c r="F6161" s="3" t="s">
        <v>1990</v>
      </c>
      <c r="G6161" s="3" t="s">
        <v>2581</v>
      </c>
      <c r="H6161" s="2" t="s">
        <v>148</v>
      </c>
      <c r="I6161" s="2" t="s">
        <v>15890</v>
      </c>
      <c r="J6161" s="3" t="str">
        <f>HYPERLINK("https://www.boe.es/gazeta/dias/1811/05/24/pdfs/GEI-1811-70E.pdf#page=6","Abrir facsímil")</f>
        <v>Abrir facsímil</v>
      </c>
      <c r="K6161" s="3" t="s">
        <v>150</v>
      </c>
    </row>
    <row r="6162" spans="1:11" ht="42" customHeight="1">
      <c r="A6162" s="2" t="s">
        <v>15888</v>
      </c>
      <c r="B6162" s="2" t="s">
        <v>15888</v>
      </c>
      <c r="C6162" s="2" t="s">
        <v>17</v>
      </c>
      <c r="D6162" s="2" t="s">
        <v>156</v>
      </c>
      <c r="E6162" s="4">
        <v>-32335</v>
      </c>
      <c r="F6162" s="3" t="s">
        <v>3776</v>
      </c>
      <c r="G6162" s="3" t="s">
        <v>1179</v>
      </c>
      <c r="H6162" s="2" t="s">
        <v>148</v>
      </c>
      <c r="I6162" s="2" t="s">
        <v>15891</v>
      </c>
      <c r="J6162" s="3" t="str">
        <f>HYPERLINK("https://www.boe.es/gazeta/dias/1811/06/20/pdfs/GEI-1811-82.pdf#page=7","Abrir facsímil")</f>
        <v>Abrir facsímil</v>
      </c>
      <c r="K6162" s="3" t="s">
        <v>150</v>
      </c>
    </row>
    <row r="6163" spans="1:11" ht="42" customHeight="1">
      <c r="A6163" s="2" t="s">
        <v>15888</v>
      </c>
      <c r="B6163" s="2" t="s">
        <v>15888</v>
      </c>
      <c r="C6163" s="2" t="s">
        <v>17</v>
      </c>
      <c r="D6163" s="2" t="s">
        <v>105</v>
      </c>
      <c r="E6163" s="4">
        <v>-32284</v>
      </c>
      <c r="F6163" s="3" t="s">
        <v>170</v>
      </c>
      <c r="G6163" s="3" t="s">
        <v>386</v>
      </c>
      <c r="H6163" s="2" t="s">
        <v>148</v>
      </c>
      <c r="I6163" s="2" t="s">
        <v>15892</v>
      </c>
      <c r="J6163" s="3" t="str">
        <f>HYPERLINK("https://www.boe.es/gazeta/dias/1811/08/10/pdfs/GEI-1811-104.pdf#page=3","Abrir facsímil")</f>
        <v>Abrir facsímil</v>
      </c>
      <c r="K6163" s="3" t="s">
        <v>150</v>
      </c>
    </row>
    <row r="6164" spans="1:11" ht="42" customHeight="1">
      <c r="A6164" s="2" t="s">
        <v>15888</v>
      </c>
      <c r="B6164" s="2" t="s">
        <v>15888</v>
      </c>
      <c r="C6164" s="2" t="s">
        <v>17</v>
      </c>
      <c r="D6164" s="2" t="s">
        <v>18</v>
      </c>
      <c r="E6164" s="4">
        <v>-32260</v>
      </c>
      <c r="F6164" s="3" t="s">
        <v>27</v>
      </c>
      <c r="G6164" s="3" t="s">
        <v>248</v>
      </c>
      <c r="H6164" s="2" t="s">
        <v>148</v>
      </c>
      <c r="I6164" s="2" t="s">
        <v>15893</v>
      </c>
      <c r="J6164" s="3" t="str">
        <f>HYPERLINK("https://www.boe.es/gazeta/dias/1811/09/03/pdfs/GEI-1811-114.pdf#page=6","Abrir facsímil")</f>
        <v>Abrir facsímil</v>
      </c>
      <c r="K6164" s="3" t="s">
        <v>150</v>
      </c>
    </row>
    <row r="6165" spans="1:11" ht="42" customHeight="1">
      <c r="A6165" s="2" t="s">
        <v>15888</v>
      </c>
      <c r="B6165" s="2" t="s">
        <v>15888</v>
      </c>
      <c r="C6165" s="2" t="s">
        <v>17</v>
      </c>
      <c r="D6165" s="2" t="s">
        <v>156</v>
      </c>
      <c r="E6165" s="4">
        <v>-32235</v>
      </c>
      <c r="F6165" s="3" t="s">
        <v>190</v>
      </c>
      <c r="G6165" s="3" t="s">
        <v>2002</v>
      </c>
      <c r="H6165" s="2" t="s">
        <v>148</v>
      </c>
      <c r="I6165" s="2" t="s">
        <v>15894</v>
      </c>
      <c r="J6165" s="3" t="str">
        <f>HYPERLINK("https://www.boe.es/gazeta/dias/1811/09/28/pdfs/GEI-1811-125.pdf#page=2","Abrir facsímil")</f>
        <v>Abrir facsímil</v>
      </c>
      <c r="K6165" s="3" t="s">
        <v>150</v>
      </c>
    </row>
    <row r="6166" spans="1:11" ht="42" customHeight="1">
      <c r="A6166" s="2" t="s">
        <v>15888</v>
      </c>
      <c r="B6166" s="2" t="s">
        <v>15888</v>
      </c>
      <c r="C6166" s="2" t="s">
        <v>17</v>
      </c>
      <c r="D6166" s="2" t="s">
        <v>18</v>
      </c>
      <c r="E6166" s="4">
        <v>-32216</v>
      </c>
      <c r="F6166" s="3" t="s">
        <v>2739</v>
      </c>
      <c r="G6166" s="3" t="s">
        <v>4362</v>
      </c>
      <c r="H6166" s="2" t="s">
        <v>148</v>
      </c>
      <c r="I6166" s="2" t="s">
        <v>15895</v>
      </c>
      <c r="J6166" s="3" t="str">
        <f>HYPERLINK("https://www.boe.es/gazeta/dias/1811/10/17/pdfs/GEI-1811-134.pdf#page=3","Abrir facsímil")</f>
        <v>Abrir facsímil</v>
      </c>
      <c r="K6166" s="3" t="s">
        <v>150</v>
      </c>
    </row>
    <row r="6167" spans="1:11" ht="42" customHeight="1">
      <c r="A6167" s="2" t="s">
        <v>15888</v>
      </c>
      <c r="B6167" s="2" t="s">
        <v>15888</v>
      </c>
      <c r="C6167" s="2" t="s">
        <v>17</v>
      </c>
      <c r="D6167" s="2" t="s">
        <v>156</v>
      </c>
      <c r="E6167" s="4">
        <v>-32193</v>
      </c>
      <c r="F6167" s="3" t="s">
        <v>1037</v>
      </c>
      <c r="G6167" s="3" t="s">
        <v>1038</v>
      </c>
      <c r="H6167" s="2" t="s">
        <v>148</v>
      </c>
      <c r="I6167" s="2" t="s">
        <v>15896</v>
      </c>
      <c r="J6167" s="3" t="str">
        <f>HYPERLINK("https://www.boe.es/gazeta/dias/1811/11/09/pdfs/GEI-1811-145.pdf#page=3","Abrir facsímil")</f>
        <v>Abrir facsímil</v>
      </c>
      <c r="K6167" s="3" t="s">
        <v>150</v>
      </c>
    </row>
    <row r="6168" spans="1:11" ht="42" customHeight="1">
      <c r="A6168" s="2" t="s">
        <v>15888</v>
      </c>
      <c r="B6168" s="2" t="s">
        <v>15888</v>
      </c>
      <c r="C6168" s="2" t="s">
        <v>26</v>
      </c>
      <c r="D6168" s="2" t="s">
        <v>18</v>
      </c>
      <c r="E6168" s="4">
        <v>-32181</v>
      </c>
      <c r="F6168" s="3" t="s">
        <v>368</v>
      </c>
      <c r="G6168" s="3" t="s">
        <v>305</v>
      </c>
      <c r="H6168" s="2" t="s">
        <v>148</v>
      </c>
      <c r="I6168" s="2" t="s">
        <v>15897</v>
      </c>
      <c r="J6168" s="3" t="str">
        <f>HYPERLINK("https://www.boe.es/gazeta/dias/1811/11/21/pdfs/GEI-1811-152.pdf#page=5","Abrir facsímil")</f>
        <v>Abrir facsímil</v>
      </c>
      <c r="K6168" s="3" t="s">
        <v>150</v>
      </c>
    </row>
    <row r="6169" spans="1:11" ht="42" customHeight="1">
      <c r="A6169" s="2" t="s">
        <v>15898</v>
      </c>
      <c r="B6169" s="2" t="s">
        <v>15899</v>
      </c>
      <c r="C6169" s="2" t="s">
        <v>26</v>
      </c>
      <c r="D6169" s="2" t="s">
        <v>18</v>
      </c>
      <c r="E6169" s="4">
        <v>-32330</v>
      </c>
      <c r="F6169" s="3" t="s">
        <v>1824</v>
      </c>
      <c r="G6169" s="3" t="s">
        <v>1105</v>
      </c>
      <c r="H6169" s="2" t="s">
        <v>148</v>
      </c>
      <c r="I6169" s="2" t="s">
        <v>15900</v>
      </c>
      <c r="J6169" s="3" t="str">
        <f>HYPERLINK("https://www.boe.es/gazeta/dias/1811/06/25/pdfs/GEI-1811-84.pdf#page=7","Abrir facsímil")</f>
        <v>Abrir facsímil</v>
      </c>
      <c r="K6169" s="3" t="s">
        <v>150</v>
      </c>
    </row>
    <row r="6170" spans="1:11" ht="42" customHeight="1">
      <c r="A6170" s="2" t="s">
        <v>15901</v>
      </c>
      <c r="B6170" s="2" t="s">
        <v>15901</v>
      </c>
      <c r="C6170" s="2" t="s">
        <v>122</v>
      </c>
      <c r="D6170" s="2" t="s">
        <v>105</v>
      </c>
      <c r="E6170" s="4">
        <v>-32487</v>
      </c>
      <c r="F6170" s="3" t="s">
        <v>842</v>
      </c>
      <c r="G6170" s="3" t="s">
        <v>1930</v>
      </c>
      <c r="H6170" s="2" t="s">
        <v>148</v>
      </c>
      <c r="I6170" s="2" t="s">
        <v>15902</v>
      </c>
      <c r="J6170" s="3" t="str">
        <f>HYPERLINK("https://www.boe.es/gazeta/dias/1811/01/19/pdfs/GEI-1811-9.pdf#page=3","Abrir facsímil")</f>
        <v>Abrir facsímil</v>
      </c>
      <c r="K6170" s="3" t="s">
        <v>150</v>
      </c>
    </row>
    <row r="6171" spans="1:11" ht="42" customHeight="1">
      <c r="A6171" s="2" t="s">
        <v>15901</v>
      </c>
      <c r="B6171" s="2" t="s">
        <v>15901</v>
      </c>
      <c r="C6171" s="2" t="s">
        <v>17</v>
      </c>
      <c r="D6171" s="2" t="s">
        <v>156</v>
      </c>
      <c r="E6171" s="4">
        <v>-32436</v>
      </c>
      <c r="F6171" s="3" t="s">
        <v>1972</v>
      </c>
      <c r="G6171" s="3" t="s">
        <v>20</v>
      </c>
      <c r="H6171" s="2" t="s">
        <v>148</v>
      </c>
      <c r="I6171" s="2" t="s">
        <v>15903</v>
      </c>
      <c r="J6171" s="3" t="str">
        <f>HYPERLINK("https://www.boe.es/gazeta/dias/1811/03/11/pdfs/GMD-1811-70.pdf#page=2","Abrir facsímil")</f>
        <v>Abrir facsímil</v>
      </c>
      <c r="K6171" s="3" t="s">
        <v>150</v>
      </c>
    </row>
    <row r="6172" spans="1:11" ht="42" customHeight="1">
      <c r="A6172" s="2" t="s">
        <v>15901</v>
      </c>
      <c r="B6172" s="2" t="s">
        <v>15901</v>
      </c>
      <c r="C6172" s="2" t="s">
        <v>17</v>
      </c>
      <c r="D6172" s="2" t="s">
        <v>156</v>
      </c>
      <c r="E6172" s="4">
        <v>-32431</v>
      </c>
      <c r="F6172" s="3" t="s">
        <v>668</v>
      </c>
      <c r="G6172" s="3" t="s">
        <v>669</v>
      </c>
      <c r="H6172" s="2" t="s">
        <v>148</v>
      </c>
      <c r="I6172" s="2" t="s">
        <v>15904</v>
      </c>
      <c r="J6172" s="3" t="str">
        <f>HYPERLINK("https://www.boe.es/gazeta/dias/1811/03/16/pdfs/GMD-1811-75.pdf#page=1","Abrir facsímil")</f>
        <v>Abrir facsímil</v>
      </c>
      <c r="K6172" s="3" t="s">
        <v>150</v>
      </c>
    </row>
    <row r="6173" spans="1:11" ht="42" customHeight="1">
      <c r="A6173" s="2" t="s">
        <v>15905</v>
      </c>
      <c r="B6173" s="2" t="s">
        <v>15906</v>
      </c>
      <c r="C6173" s="2" t="s">
        <v>26</v>
      </c>
      <c r="D6173" s="2" t="s">
        <v>18</v>
      </c>
      <c r="E6173" s="4">
        <v>-32204</v>
      </c>
      <c r="F6173" s="3" t="s">
        <v>177</v>
      </c>
      <c r="G6173" s="3" t="s">
        <v>178</v>
      </c>
      <c r="H6173" s="2" t="s">
        <v>148</v>
      </c>
      <c r="I6173" s="2" t="s">
        <v>15907</v>
      </c>
      <c r="J6173" s="3" t="str">
        <f>HYPERLINK("https://www.boe.es/gazeta/dias/1811/10/29/pdfs/GMD-1811-302.pdf#page=4","Abrir facsímil")</f>
        <v>Abrir facsímil</v>
      </c>
      <c r="K6173" s="3" t="s">
        <v>150</v>
      </c>
    </row>
    <row r="6174" spans="1:11" ht="42" customHeight="1">
      <c r="A6174" s="2" t="s">
        <v>15908</v>
      </c>
      <c r="B6174" s="2" t="s">
        <v>15909</v>
      </c>
      <c r="C6174" s="2" t="s">
        <v>26</v>
      </c>
      <c r="D6174" s="2" t="s">
        <v>18</v>
      </c>
      <c r="E6174" s="4">
        <v>-32213</v>
      </c>
      <c r="F6174" s="3" t="s">
        <v>4653</v>
      </c>
      <c r="G6174" s="3" t="s">
        <v>1930</v>
      </c>
      <c r="H6174" s="2" t="s">
        <v>148</v>
      </c>
      <c r="I6174" s="2" t="s">
        <v>15910</v>
      </c>
      <c r="J6174" s="3" t="str">
        <f>HYPERLINK("https://www.boe.es/gazeta/dias/1811/10/20/pdfs/GMD-1811-293.pdf#page=4","Abrir facsímil")</f>
        <v>Abrir facsímil</v>
      </c>
      <c r="K6174" s="3" t="s">
        <v>150</v>
      </c>
    </row>
    <row r="6175" spans="1:11" ht="42" customHeight="1">
      <c r="A6175" s="2" t="s">
        <v>15911</v>
      </c>
      <c r="B6175" s="2" t="s">
        <v>15912</v>
      </c>
      <c r="C6175" s="2" t="s">
        <v>26</v>
      </c>
      <c r="D6175" s="2" t="s">
        <v>18</v>
      </c>
      <c r="E6175" s="4">
        <v>-32141</v>
      </c>
      <c r="F6175" s="3" t="s">
        <v>327</v>
      </c>
      <c r="G6175" s="3" t="s">
        <v>115</v>
      </c>
      <c r="H6175" s="2" t="s">
        <v>148</v>
      </c>
      <c r="I6175" s="2" t="s">
        <v>15913</v>
      </c>
      <c r="J6175" s="3" t="str">
        <f>HYPERLINK("https://www.boe.es/gazeta/dias/1811/12/31/pdfs/GMD-1811-365.pdf#page=3","Abrir facsímil")</f>
        <v>Abrir facsímil</v>
      </c>
      <c r="K6175" s="3" t="s">
        <v>150</v>
      </c>
    </row>
    <row r="6176" spans="1:11" ht="42" customHeight="1">
      <c r="A6176" s="2" t="s">
        <v>15914</v>
      </c>
      <c r="B6176" s="2" t="s">
        <v>15915</v>
      </c>
      <c r="C6176" s="2" t="s">
        <v>26</v>
      </c>
      <c r="D6176" s="2" t="s">
        <v>18</v>
      </c>
      <c r="E6176" s="4">
        <v>-32288</v>
      </c>
      <c r="F6176" s="3" t="s">
        <v>95</v>
      </c>
      <c r="G6176" s="3" t="s">
        <v>47</v>
      </c>
      <c r="H6176" s="2" t="s">
        <v>148</v>
      </c>
      <c r="I6176" s="2" t="s">
        <v>15916</v>
      </c>
      <c r="J6176" s="3" t="str">
        <f>HYPERLINK("https://www.boe.es/gazeta/dias/1811/08/06/pdfs/GEI-1811-102.pdf#page=8","Abrir facsímil")</f>
        <v>Abrir facsímil</v>
      </c>
      <c r="K6176" s="3" t="s">
        <v>150</v>
      </c>
    </row>
    <row r="6177" spans="1:11" ht="42" customHeight="1">
      <c r="A6177" s="2" t="s">
        <v>15917</v>
      </c>
      <c r="B6177" s="2" t="s">
        <v>15917</v>
      </c>
      <c r="C6177" s="2" t="s">
        <v>37</v>
      </c>
      <c r="D6177" s="2" t="s">
        <v>18</v>
      </c>
      <c r="E6177" s="4">
        <v>-32333</v>
      </c>
      <c r="F6177" s="3" t="s">
        <v>11259</v>
      </c>
      <c r="G6177" s="3" t="s">
        <v>488</v>
      </c>
      <c r="H6177" s="2" t="s">
        <v>148</v>
      </c>
      <c r="I6177" s="2" t="s">
        <v>15918</v>
      </c>
      <c r="J6177" s="3" t="str">
        <f>HYPERLINK("https://www.boe.es/gazeta/dias/1811/06/22/pdfs/GMD-1811-173.pdf#page=3","Abrir facsímil")</f>
        <v>Abrir facsímil</v>
      </c>
      <c r="K6177" s="3" t="s">
        <v>150</v>
      </c>
    </row>
    <row r="6178" spans="1:11" ht="42" customHeight="1">
      <c r="A6178" s="2" t="s">
        <v>15919</v>
      </c>
      <c r="B6178" s="2" t="s">
        <v>15920</v>
      </c>
      <c r="C6178" s="2" t="s">
        <v>26</v>
      </c>
      <c r="D6178" s="2" t="s">
        <v>18</v>
      </c>
      <c r="E6178" s="4">
        <v>-32235</v>
      </c>
      <c r="F6178" s="3" t="s">
        <v>190</v>
      </c>
      <c r="G6178" s="3" t="s">
        <v>188</v>
      </c>
      <c r="H6178" s="2" t="s">
        <v>148</v>
      </c>
      <c r="I6178" s="2" t="s">
        <v>15921</v>
      </c>
      <c r="J6178" s="3" t="str">
        <f>HYPERLINK("https://www.boe.es/gazeta/dias/1811/09/28/pdfs/GEI-1811-125.pdf#page=8","Abrir facsímil")</f>
        <v>Abrir facsímil</v>
      </c>
      <c r="K6178" s="3" t="s">
        <v>150</v>
      </c>
    </row>
    <row r="6179" spans="1:11" ht="42" customHeight="1">
      <c r="A6179" s="2" t="s">
        <v>15922</v>
      </c>
      <c r="B6179" s="2" t="s">
        <v>15922</v>
      </c>
      <c r="C6179" s="2" t="s">
        <v>17</v>
      </c>
      <c r="D6179" s="2" t="s">
        <v>156</v>
      </c>
      <c r="E6179" s="4">
        <v>-32355</v>
      </c>
      <c r="F6179" s="3" t="s">
        <v>2342</v>
      </c>
      <c r="G6179" s="3" t="s">
        <v>20</v>
      </c>
      <c r="H6179" s="2" t="s">
        <v>148</v>
      </c>
      <c r="I6179" s="2" t="s">
        <v>15923</v>
      </c>
      <c r="J6179" s="3" t="str">
        <f>HYPERLINK("https://www.boe.es/gazeta/dias/1811/05/31/pdfs/GMD-1811-151.pdf#page=4","Abrir facsímil")</f>
        <v>Abrir facsímil</v>
      </c>
      <c r="K6179" s="3" t="s">
        <v>150</v>
      </c>
    </row>
    <row r="6180" spans="1:11" ht="42" customHeight="1">
      <c r="A6180" s="2" t="s">
        <v>15924</v>
      </c>
      <c r="B6180" s="2" t="s">
        <v>15925</v>
      </c>
      <c r="C6180" s="2" t="s">
        <v>17</v>
      </c>
      <c r="D6180" s="2" t="s">
        <v>156</v>
      </c>
      <c r="E6180" s="4">
        <v>-32235</v>
      </c>
      <c r="F6180" s="3" t="s">
        <v>190</v>
      </c>
      <c r="G6180" s="3" t="s">
        <v>188</v>
      </c>
      <c r="H6180" s="2" t="s">
        <v>148</v>
      </c>
      <c r="I6180" s="2" t="s">
        <v>15926</v>
      </c>
      <c r="J6180" s="3" t="str">
        <f>HYPERLINK("https://www.boe.es/gazeta/dias/1811/09/28/pdfs/GEI-1811-125.pdf#page=8","Abrir facsímil")</f>
        <v>Abrir facsímil</v>
      </c>
      <c r="K6180" s="3" t="s">
        <v>150</v>
      </c>
    </row>
    <row r="6181" spans="1:11" ht="42" customHeight="1">
      <c r="A6181" s="2" t="s">
        <v>15927</v>
      </c>
      <c r="B6181" s="2" t="s">
        <v>15928</v>
      </c>
      <c r="C6181" s="2" t="s">
        <v>26</v>
      </c>
      <c r="D6181" s="2" t="s">
        <v>18</v>
      </c>
      <c r="E6181" s="4">
        <v>-32200</v>
      </c>
      <c r="F6181" s="3" t="s">
        <v>109</v>
      </c>
      <c r="G6181" s="3" t="s">
        <v>268</v>
      </c>
      <c r="H6181" s="2" t="s">
        <v>148</v>
      </c>
      <c r="I6181" s="2" t="s">
        <v>15929</v>
      </c>
      <c r="J6181" s="3" t="str">
        <f>HYPERLINK("https://www.boe.es/gazeta/dias/1811/11/02/pdfs/GEI-1811-141.pdf#page=7","Abrir facsímil")</f>
        <v>Abrir facsímil</v>
      </c>
      <c r="K6181" s="3" t="s">
        <v>150</v>
      </c>
    </row>
    <row r="6182" spans="1:11" ht="42" customHeight="1">
      <c r="A6182" s="2" t="s">
        <v>15930</v>
      </c>
      <c r="B6182" s="2" t="s">
        <v>15931</v>
      </c>
      <c r="C6182" s="2" t="s">
        <v>26</v>
      </c>
      <c r="D6182" s="2" t="s">
        <v>18</v>
      </c>
      <c r="E6182" s="4">
        <v>-32200</v>
      </c>
      <c r="F6182" s="3" t="s">
        <v>109</v>
      </c>
      <c r="G6182" s="3" t="s">
        <v>268</v>
      </c>
      <c r="H6182" s="2" t="s">
        <v>148</v>
      </c>
      <c r="I6182" s="2" t="s">
        <v>15932</v>
      </c>
      <c r="J6182" s="3" t="str">
        <f>HYPERLINK("https://www.boe.es/gazeta/dias/1811/11/02/pdfs/GEI-1811-141.pdf#page=7","Abrir facsímil")</f>
        <v>Abrir facsímil</v>
      </c>
      <c r="K6182" s="3" t="s">
        <v>150</v>
      </c>
    </row>
    <row r="6183" spans="1:11" ht="42" customHeight="1">
      <c r="A6183" s="2" t="s">
        <v>15933</v>
      </c>
      <c r="B6183" s="2" t="s">
        <v>15934</v>
      </c>
      <c r="C6183" s="2" t="s">
        <v>17</v>
      </c>
      <c r="D6183" s="2" t="s">
        <v>156</v>
      </c>
      <c r="E6183" s="4">
        <v>-32228</v>
      </c>
      <c r="F6183" s="3" t="s">
        <v>372</v>
      </c>
      <c r="G6183" s="3" t="s">
        <v>373</v>
      </c>
      <c r="H6183" s="2" t="s">
        <v>148</v>
      </c>
      <c r="I6183" s="2" t="s">
        <v>15935</v>
      </c>
      <c r="J6183" s="3" t="str">
        <f>HYPERLINK("https://www.boe.es/gazeta/dias/1811/10/05/pdfs/GEI-1811-128.pdf#page=7","Abrir facsímil")</f>
        <v>Abrir facsímil</v>
      </c>
      <c r="K6183" s="3" t="s">
        <v>150</v>
      </c>
    </row>
    <row r="6184" spans="1:11" ht="42" customHeight="1">
      <c r="A6184" s="2" t="s">
        <v>15936</v>
      </c>
      <c r="B6184" s="2" t="s">
        <v>15937</v>
      </c>
      <c r="C6184" s="2" t="s">
        <v>17</v>
      </c>
      <c r="D6184" s="2" t="s">
        <v>18</v>
      </c>
      <c r="E6184" s="4">
        <v>-32256</v>
      </c>
      <c r="F6184" s="3" t="s">
        <v>161</v>
      </c>
      <c r="G6184" s="3" t="s">
        <v>162</v>
      </c>
      <c r="H6184" s="2" t="s">
        <v>148</v>
      </c>
      <c r="I6184" s="2" t="s">
        <v>15938</v>
      </c>
      <c r="J6184" s="3" t="str">
        <f>HYPERLINK("https://www.boe.es/gazeta/dias/1811/09/07/pdfs/GEI-1811-116.pdf#page=6","Abrir facsímil")</f>
        <v>Abrir facsímil</v>
      </c>
      <c r="K6184" s="3" t="s">
        <v>150</v>
      </c>
    </row>
    <row r="6185" spans="1:11" ht="42" customHeight="1">
      <c r="A6185" s="2" t="s">
        <v>15939</v>
      </c>
      <c r="B6185" s="2" t="s">
        <v>15940</v>
      </c>
      <c r="C6185" s="2" t="s">
        <v>37</v>
      </c>
      <c r="D6185" s="2" t="s">
        <v>18</v>
      </c>
      <c r="E6185" s="4">
        <v>-32192</v>
      </c>
      <c r="F6185" s="3" t="s">
        <v>673</v>
      </c>
      <c r="G6185" s="3" t="s">
        <v>305</v>
      </c>
      <c r="H6185" s="2" t="s">
        <v>148</v>
      </c>
      <c r="I6185" s="2" t="s">
        <v>15941</v>
      </c>
      <c r="J6185" s="3" t="str">
        <f>HYPERLINK("https://www.boe.es/gazeta/dias/1811/11/10/pdfs/GMD-1811-314.pdf#page=4","Abrir facsímil")</f>
        <v>Abrir facsímil</v>
      </c>
      <c r="K6185" s="3" t="s">
        <v>150</v>
      </c>
    </row>
    <row r="6186" spans="1:11" ht="42" customHeight="1">
      <c r="A6186" s="2" t="s">
        <v>15942</v>
      </c>
      <c r="B6186" s="2" t="s">
        <v>15943</v>
      </c>
      <c r="C6186" s="2" t="s">
        <v>17</v>
      </c>
      <c r="D6186" s="2" t="s">
        <v>156</v>
      </c>
      <c r="E6186" s="4">
        <v>-32195</v>
      </c>
      <c r="F6186" s="3" t="s">
        <v>439</v>
      </c>
      <c r="G6186" s="3" t="s">
        <v>162</v>
      </c>
      <c r="H6186" s="2" t="s">
        <v>148</v>
      </c>
      <c r="I6186" s="2" t="s">
        <v>15944</v>
      </c>
      <c r="J6186" s="3" t="str">
        <f>HYPERLINK("https://www.boe.es/gazeta/dias/1811/11/07/pdfs/GEI-1811-144.pdf#page=5","Abrir facsímil")</f>
        <v>Abrir facsímil</v>
      </c>
      <c r="K6186" s="3" t="s">
        <v>150</v>
      </c>
    </row>
    <row r="6187" spans="1:11" ht="42" customHeight="1">
      <c r="A6187" s="2" t="s">
        <v>15945</v>
      </c>
      <c r="B6187" s="2" t="s">
        <v>15946</v>
      </c>
      <c r="C6187" s="2" t="s">
        <v>17</v>
      </c>
      <c r="D6187" s="2" t="s">
        <v>156</v>
      </c>
      <c r="E6187" s="4">
        <v>-32407</v>
      </c>
      <c r="F6187" s="3" t="s">
        <v>38</v>
      </c>
      <c r="G6187" s="3" t="s">
        <v>2379</v>
      </c>
      <c r="H6187" s="2" t="s">
        <v>21</v>
      </c>
      <c r="I6187" s="2" t="s">
        <v>15947</v>
      </c>
      <c r="J6187" s="3" t="str">
        <f>HYPERLINK("https://www.boe.es/gazeta/dias/1811/04/09/pdfs/GEI-1811-48.pdf#page=10","Abrir facsímil")</f>
        <v>Abrir facsímil</v>
      </c>
      <c r="K6187" s="3" t="s">
        <v>23</v>
      </c>
    </row>
    <row r="6188" spans="1:11" ht="42" customHeight="1">
      <c r="A6188" s="2" t="s">
        <v>15948</v>
      </c>
      <c r="B6188" s="2" t="s">
        <v>15948</v>
      </c>
      <c r="C6188" s="2" t="s">
        <v>17</v>
      </c>
      <c r="D6188" s="2" t="s">
        <v>204</v>
      </c>
      <c r="E6188" s="4">
        <v>-32343</v>
      </c>
      <c r="F6188" s="3" t="s">
        <v>6073</v>
      </c>
      <c r="G6188" s="3" t="s">
        <v>284</v>
      </c>
      <c r="H6188" s="2" t="s">
        <v>148</v>
      </c>
      <c r="I6188" s="2" t="s">
        <v>15949</v>
      </c>
      <c r="J6188" s="3" t="str">
        <f>HYPERLINK("https://www.boe.es/gazeta/dias/1811/06/12/pdfs/GMD-1811-163.pdf#page=1","Abrir facsímil")</f>
        <v>Abrir facsímil</v>
      </c>
      <c r="K6188" s="3" t="s">
        <v>150</v>
      </c>
    </row>
    <row r="6189" spans="1:11" ht="42" customHeight="1">
      <c r="A6189" s="2" t="s">
        <v>15950</v>
      </c>
      <c r="B6189" s="2" t="s">
        <v>15950</v>
      </c>
      <c r="C6189" s="2" t="s">
        <v>17</v>
      </c>
      <c r="D6189" s="2" t="s">
        <v>18</v>
      </c>
      <c r="E6189" s="4">
        <v>-32456</v>
      </c>
      <c r="F6189" s="3" t="s">
        <v>1261</v>
      </c>
      <c r="G6189" s="3" t="s">
        <v>1844</v>
      </c>
      <c r="H6189" s="2" t="s">
        <v>148</v>
      </c>
      <c r="I6189" s="2" t="s">
        <v>15951</v>
      </c>
      <c r="J6189" s="3" t="str">
        <f>HYPERLINK("https://www.boe.es/gazeta/dias/1811/02/19/pdfs/GEI-1811-22.pdf#page=1","Abrir facsímil")</f>
        <v>Abrir facsímil</v>
      </c>
      <c r="K6189" s="3" t="s">
        <v>150</v>
      </c>
    </row>
    <row r="6190" spans="1:11" ht="42" customHeight="1">
      <c r="A6190" s="2" t="s">
        <v>15952</v>
      </c>
      <c r="B6190" s="2" t="s">
        <v>15953</v>
      </c>
      <c r="C6190" s="2" t="s">
        <v>37</v>
      </c>
      <c r="D6190" s="2" t="s">
        <v>156</v>
      </c>
      <c r="E6190" s="4">
        <v>-32169</v>
      </c>
      <c r="F6190" s="3" t="s">
        <v>1702</v>
      </c>
      <c r="G6190" s="3" t="s">
        <v>15197</v>
      </c>
      <c r="H6190" s="2" t="s">
        <v>148</v>
      </c>
      <c r="I6190" s="2" t="s">
        <v>15954</v>
      </c>
      <c r="J6190" s="3" t="str">
        <f>HYPERLINK("https://www.boe.es/gazeta/dias/1811/12/03/pdfs/GEI-1811-157.pdf#page=2","Abrir facsímil")</f>
        <v>Abrir facsímil</v>
      </c>
      <c r="K6190" s="3" t="s">
        <v>150</v>
      </c>
    </row>
    <row r="6191" spans="1:11" ht="42" customHeight="1">
      <c r="A6191" s="2" t="s">
        <v>15955</v>
      </c>
      <c r="B6191" s="2" t="s">
        <v>15955</v>
      </c>
      <c r="C6191" s="2" t="s">
        <v>17</v>
      </c>
      <c r="D6191" s="2" t="s">
        <v>156</v>
      </c>
      <c r="E6191" s="4">
        <v>-32494</v>
      </c>
      <c r="F6191" s="3" t="s">
        <v>585</v>
      </c>
      <c r="G6191" s="3" t="s">
        <v>586</v>
      </c>
      <c r="H6191" s="2" t="s">
        <v>148</v>
      </c>
      <c r="I6191" s="2" t="s">
        <v>15956</v>
      </c>
      <c r="J6191" s="3" t="str">
        <f>HYPERLINK("https://www.boe.es/gazeta/dias/1811/01/12/pdfs/GMD-1811-12.pdf#page=4","Abrir facsímil")</f>
        <v>Abrir facsímil</v>
      </c>
      <c r="K6191" s="3" t="s">
        <v>150</v>
      </c>
    </row>
    <row r="6192" spans="1:11" ht="42" customHeight="1">
      <c r="A6192" s="2" t="s">
        <v>15957</v>
      </c>
      <c r="B6192" s="2" t="s">
        <v>15958</v>
      </c>
      <c r="C6192" s="2" t="s">
        <v>26</v>
      </c>
      <c r="D6192" s="2" t="s">
        <v>18</v>
      </c>
      <c r="E6192" s="4">
        <v>-32300</v>
      </c>
      <c r="F6192" s="3" t="s">
        <v>492</v>
      </c>
      <c r="G6192" s="3" t="s">
        <v>493</v>
      </c>
      <c r="H6192" s="2" t="s">
        <v>148</v>
      </c>
      <c r="I6192" s="2" t="s">
        <v>15959</v>
      </c>
      <c r="J6192" s="3" t="str">
        <f>HYPERLINK("https://www.boe.es/gazeta/dias/1811/07/25/pdfs/GMD-1811-206.pdf#page=4","Abrir facsímil")</f>
        <v>Abrir facsímil</v>
      </c>
      <c r="K6192" s="3" t="s">
        <v>150</v>
      </c>
    </row>
    <row r="6193" spans="1:11" ht="42" customHeight="1">
      <c r="A6193" s="2" t="s">
        <v>15960</v>
      </c>
      <c r="B6193" s="2" t="s">
        <v>15961</v>
      </c>
      <c r="C6193" s="2" t="s">
        <v>26</v>
      </c>
      <c r="D6193" s="2" t="s">
        <v>141</v>
      </c>
      <c r="E6193" s="4">
        <v>-32188</v>
      </c>
      <c r="F6193" s="3" t="s">
        <v>505</v>
      </c>
      <c r="G6193" s="3" t="s">
        <v>47</v>
      </c>
      <c r="H6193" s="2" t="s">
        <v>148</v>
      </c>
      <c r="I6193" s="2" t="s">
        <v>15962</v>
      </c>
      <c r="J6193" s="3" t="str">
        <f>HYPERLINK("https://www.boe.es/gazeta/dias/1811/11/14/pdfs/GEI-D-1811-149.pdf#page=3","Abrir facsímil")</f>
        <v>Abrir facsímil</v>
      </c>
      <c r="K6193" s="3" t="s">
        <v>150</v>
      </c>
    </row>
    <row r="6194" spans="1:11" ht="42" customHeight="1">
      <c r="A6194" s="2" t="s">
        <v>15963</v>
      </c>
      <c r="B6194" s="2" t="s">
        <v>15964</v>
      </c>
      <c r="C6194" s="2" t="s">
        <v>26</v>
      </c>
      <c r="D6194" s="2" t="s">
        <v>18</v>
      </c>
      <c r="E6194" s="4">
        <v>-32145</v>
      </c>
      <c r="F6194" s="3" t="s">
        <v>417</v>
      </c>
      <c r="G6194" s="3" t="s">
        <v>418</v>
      </c>
      <c r="H6194" s="2" t="s">
        <v>148</v>
      </c>
      <c r="I6194" s="2" t="s">
        <v>15965</v>
      </c>
      <c r="J6194" s="3" t="str">
        <f>HYPERLINK("https://www.boe.es/gazeta/dias/1811/12/27/pdfs/GMD-1811-361.pdf#page=4","Abrir facsímil")</f>
        <v>Abrir facsímil</v>
      </c>
      <c r="K6194" s="3" t="s">
        <v>150</v>
      </c>
    </row>
    <row r="6195" spans="1:11" ht="42" customHeight="1">
      <c r="A6195" s="2" t="s">
        <v>15966</v>
      </c>
      <c r="B6195" s="2" t="s">
        <v>15967</v>
      </c>
      <c r="C6195" s="2" t="s">
        <v>26</v>
      </c>
      <c r="D6195" s="2" t="s">
        <v>18</v>
      </c>
      <c r="E6195" s="4">
        <v>-32300</v>
      </c>
      <c r="F6195" s="3" t="s">
        <v>492</v>
      </c>
      <c r="G6195" s="3" t="s">
        <v>493</v>
      </c>
      <c r="H6195" s="2" t="s">
        <v>148</v>
      </c>
      <c r="I6195" s="2" t="s">
        <v>15968</v>
      </c>
      <c r="J6195" s="3" t="str">
        <f>HYPERLINK("https://www.boe.es/gazeta/dias/1811/07/25/pdfs/GMD-1811-206.pdf#page=4","Abrir facsímil")</f>
        <v>Abrir facsímil</v>
      </c>
      <c r="K6195" s="3" t="s">
        <v>150</v>
      </c>
    </row>
    <row r="6196" spans="1:11" ht="42" customHeight="1">
      <c r="A6196" s="2" t="s">
        <v>15969</v>
      </c>
      <c r="B6196" s="2" t="s">
        <v>15969</v>
      </c>
      <c r="C6196" s="2" t="s">
        <v>17</v>
      </c>
      <c r="D6196" s="2" t="s">
        <v>18</v>
      </c>
      <c r="E6196" s="4">
        <v>-32264</v>
      </c>
      <c r="F6196" s="3" t="s">
        <v>3038</v>
      </c>
      <c r="G6196" s="3" t="s">
        <v>178</v>
      </c>
      <c r="H6196" s="2" t="s">
        <v>148</v>
      </c>
      <c r="I6196" s="2" t="s">
        <v>15970</v>
      </c>
      <c r="J6196" s="3" t="str">
        <f>HYPERLINK("https://www.boe.es/gazeta/dias/1811/08/30/pdfs/GMD-1811-242.pdf#page=2","Abrir facsímil")</f>
        <v>Abrir facsímil</v>
      </c>
      <c r="K6196" s="3" t="s">
        <v>150</v>
      </c>
    </row>
    <row r="6197" spans="1:11" ht="42" customHeight="1">
      <c r="A6197" s="2" t="s">
        <v>15971</v>
      </c>
      <c r="B6197" s="2" t="s">
        <v>15972</v>
      </c>
      <c r="C6197" s="2" t="s">
        <v>26</v>
      </c>
      <c r="D6197" s="2" t="s">
        <v>18</v>
      </c>
      <c r="E6197" s="4">
        <v>-32195</v>
      </c>
      <c r="F6197" s="3" t="s">
        <v>439</v>
      </c>
      <c r="G6197" s="3" t="s">
        <v>440</v>
      </c>
      <c r="H6197" s="2" t="s">
        <v>148</v>
      </c>
      <c r="I6197" s="2" t="s">
        <v>15973</v>
      </c>
      <c r="J6197" s="3" t="str">
        <f>HYPERLINK("https://www.boe.es/gazeta/dias/1811/11/07/pdfs/GEI-1811-144.pdf#page=8","Abrir facsímil")</f>
        <v>Abrir facsímil</v>
      </c>
      <c r="K6197" s="3" t="s">
        <v>150</v>
      </c>
    </row>
    <row r="6198" spans="1:11" ht="42" customHeight="1">
      <c r="A6198" s="2" t="s">
        <v>15974</v>
      </c>
      <c r="B6198" s="2" t="s">
        <v>15975</v>
      </c>
      <c r="C6198" s="2" t="s">
        <v>26</v>
      </c>
      <c r="D6198" s="2" t="s">
        <v>18</v>
      </c>
      <c r="E6198" s="4">
        <v>-32297</v>
      </c>
      <c r="F6198" s="3" t="s">
        <v>2174</v>
      </c>
      <c r="G6198" s="3" t="s">
        <v>183</v>
      </c>
      <c r="H6198" s="2" t="s">
        <v>148</v>
      </c>
      <c r="I6198" s="2" t="s">
        <v>15976</v>
      </c>
      <c r="J6198" s="3" t="str">
        <f>HYPERLINK("https://www.boe.es/gazeta/dias/1811/07/28/pdfs/GMD-1811-209.pdf#page=4","Abrir facsímil")</f>
        <v>Abrir facsímil</v>
      </c>
      <c r="K6198" s="3" t="s">
        <v>150</v>
      </c>
    </row>
    <row r="6199" spans="1:11" ht="42" customHeight="1">
      <c r="A6199" s="2" t="s">
        <v>15977</v>
      </c>
      <c r="B6199" s="2" t="s">
        <v>15978</v>
      </c>
      <c r="C6199" s="2" t="s">
        <v>17</v>
      </c>
      <c r="D6199" s="2" t="s">
        <v>18</v>
      </c>
      <c r="E6199" s="4">
        <v>-32389</v>
      </c>
      <c r="F6199" s="3" t="s">
        <v>5683</v>
      </c>
      <c r="G6199" s="3" t="s">
        <v>12646</v>
      </c>
      <c r="H6199" s="2" t="s">
        <v>148</v>
      </c>
      <c r="I6199" s="2" t="s">
        <v>15979</v>
      </c>
      <c r="J6199" s="3" t="str">
        <f>HYPERLINK("https://www.boe.es/gazeta/dias/1811/04/27/pdfs/GMD-1811-117.pdf#page=1","Abrir facsímil")</f>
        <v>Abrir facsímil</v>
      </c>
      <c r="K6199" s="3" t="s">
        <v>150</v>
      </c>
    </row>
    <row r="6200" spans="1:11" ht="42" customHeight="1">
      <c r="A6200" s="2" t="s">
        <v>15980</v>
      </c>
      <c r="B6200" s="2" t="s">
        <v>15981</v>
      </c>
      <c r="C6200" s="2" t="s">
        <v>17</v>
      </c>
      <c r="D6200" s="2" t="s">
        <v>105</v>
      </c>
      <c r="E6200" s="4">
        <v>-32288</v>
      </c>
      <c r="F6200" s="3" t="s">
        <v>95</v>
      </c>
      <c r="G6200" s="3" t="s">
        <v>4290</v>
      </c>
      <c r="H6200" s="2" t="s">
        <v>148</v>
      </c>
      <c r="I6200" s="2" t="s">
        <v>15982</v>
      </c>
      <c r="J6200" s="3" t="str">
        <f>HYPERLINK("https://www.boe.es/gazeta/dias/1811/08/06/pdfs/GEI-1811-102.pdf#page=5","Abrir facsímil")</f>
        <v>Abrir facsímil</v>
      </c>
      <c r="K6200" s="3" t="s">
        <v>150</v>
      </c>
    </row>
    <row r="6201" spans="1:11" ht="42" customHeight="1">
      <c r="A6201" s="2" t="s">
        <v>15983</v>
      </c>
      <c r="B6201" s="2" t="s">
        <v>15984</v>
      </c>
      <c r="C6201" s="2" t="s">
        <v>17</v>
      </c>
      <c r="D6201" s="2" t="s">
        <v>18</v>
      </c>
      <c r="E6201" s="4">
        <v>-32300</v>
      </c>
      <c r="F6201" s="3" t="s">
        <v>61</v>
      </c>
      <c r="G6201" s="3" t="s">
        <v>62</v>
      </c>
      <c r="H6201" s="2" t="s">
        <v>148</v>
      </c>
      <c r="I6201" s="2" t="s">
        <v>15985</v>
      </c>
      <c r="J6201" s="3" t="str">
        <f>HYPERLINK("https://www.boe.es/gazeta/dias/1811/07/25/pdfs/GEI-1811-97.pdf#page=5","Abrir facsímil")</f>
        <v>Abrir facsímil</v>
      </c>
      <c r="K6201" s="3" t="s">
        <v>150</v>
      </c>
    </row>
    <row r="6202" spans="1:11" ht="42" customHeight="1">
      <c r="A6202" s="2" t="s">
        <v>15986</v>
      </c>
      <c r="B6202" s="2" t="s">
        <v>15987</v>
      </c>
      <c r="C6202" s="2" t="s">
        <v>17</v>
      </c>
      <c r="D6202" s="2" t="s">
        <v>156</v>
      </c>
      <c r="E6202" s="4">
        <v>-32188</v>
      </c>
      <c r="F6202" s="3" t="s">
        <v>74</v>
      </c>
      <c r="G6202" s="3" t="s">
        <v>530</v>
      </c>
      <c r="H6202" s="2" t="s">
        <v>148</v>
      </c>
      <c r="I6202" s="2" t="s">
        <v>15988</v>
      </c>
      <c r="J6202" s="3" t="str">
        <f>HYPERLINK("https://www.boe.es/gazeta/dias/1811/11/14/pdfs/GEI-1811-149.pdf#page=6","Abrir facsímil")</f>
        <v>Abrir facsímil</v>
      </c>
      <c r="K6202" s="3" t="s">
        <v>150</v>
      </c>
    </row>
    <row r="6203" spans="1:11" ht="42" customHeight="1">
      <c r="A6203" s="2" t="s">
        <v>15989</v>
      </c>
      <c r="B6203" s="2" t="s">
        <v>15989</v>
      </c>
      <c r="C6203" s="2" t="s">
        <v>17</v>
      </c>
      <c r="D6203" s="2" t="s">
        <v>156</v>
      </c>
      <c r="E6203" s="4">
        <v>-32216</v>
      </c>
      <c r="F6203" s="3" t="s">
        <v>2739</v>
      </c>
      <c r="G6203" s="3" t="s">
        <v>4362</v>
      </c>
      <c r="H6203" s="2" t="s">
        <v>148</v>
      </c>
      <c r="I6203" s="2" t="s">
        <v>15990</v>
      </c>
      <c r="J6203" s="3" t="str">
        <f>HYPERLINK("https://www.boe.es/gazeta/dias/1811/10/17/pdfs/GEI-1811-134.pdf#page=3","Abrir facsímil")</f>
        <v>Abrir facsímil</v>
      </c>
      <c r="K6203" s="3" t="s">
        <v>150</v>
      </c>
    </row>
    <row r="6204" spans="1:11" ht="42" customHeight="1">
      <c r="A6204" s="2" t="s">
        <v>15991</v>
      </c>
      <c r="B6204" s="2" t="s">
        <v>15991</v>
      </c>
      <c r="C6204" s="2" t="s">
        <v>26</v>
      </c>
      <c r="D6204" s="2" t="s">
        <v>18</v>
      </c>
      <c r="E6204" s="4">
        <v>-32426</v>
      </c>
      <c r="F6204" s="3" t="s">
        <v>244</v>
      </c>
      <c r="G6204" s="3" t="s">
        <v>44</v>
      </c>
      <c r="H6204" s="2" t="s">
        <v>148</v>
      </c>
      <c r="I6204" s="2" t="s">
        <v>15992</v>
      </c>
      <c r="J6204" s="3" t="str">
        <f>HYPERLINK("https://www.boe.es/gazeta/dias/1811/03/21/pdfs/GMD-1811-80.pdf#page=4","Abrir facsímil")</f>
        <v>Abrir facsímil</v>
      </c>
      <c r="K6204" s="3" t="s">
        <v>150</v>
      </c>
    </row>
    <row r="6205" spans="1:11" ht="42" customHeight="1">
      <c r="A6205" s="2" t="s">
        <v>15993</v>
      </c>
      <c r="B6205" s="2" t="s">
        <v>15994</v>
      </c>
      <c r="C6205" s="2" t="s">
        <v>17</v>
      </c>
      <c r="D6205" s="2" t="s">
        <v>18</v>
      </c>
      <c r="E6205" s="4">
        <v>-32152</v>
      </c>
      <c r="F6205" s="3" t="s">
        <v>1673</v>
      </c>
      <c r="G6205" s="3" t="s">
        <v>183</v>
      </c>
      <c r="H6205" s="2" t="s">
        <v>148</v>
      </c>
      <c r="I6205" s="2" t="s">
        <v>15995</v>
      </c>
      <c r="J6205" s="3" t="str">
        <f>HYPERLINK("https://www.boe.es/gazeta/dias/1811/12/20/pdfs/GMD-1811-354.pdf#page=4","Abrir facsímil")</f>
        <v>Abrir facsímil</v>
      </c>
      <c r="K6205" s="3" t="s">
        <v>150</v>
      </c>
    </row>
    <row r="6206" spans="1:11" ht="42" customHeight="1">
      <c r="A6206" s="2" t="s">
        <v>15996</v>
      </c>
      <c r="B6206" s="2" t="s">
        <v>15997</v>
      </c>
      <c r="C6206" s="2" t="s">
        <v>17</v>
      </c>
      <c r="D6206" s="2" t="s">
        <v>156</v>
      </c>
      <c r="E6206" s="4">
        <v>-32202</v>
      </c>
      <c r="F6206" s="3" t="s">
        <v>2194</v>
      </c>
      <c r="G6206" s="3" t="s">
        <v>14316</v>
      </c>
      <c r="H6206" s="2" t="s">
        <v>148</v>
      </c>
      <c r="I6206" s="2" t="s">
        <v>15998</v>
      </c>
      <c r="J6206" s="3" t="str">
        <f>HYPERLINK("https://www.boe.es/gazeta/dias/1811/10/31/pdfs/GEI-1811-140.pdf#page=2","Abrir facsímil")</f>
        <v>Abrir facsímil</v>
      </c>
      <c r="K6206" s="3" t="s">
        <v>150</v>
      </c>
    </row>
    <row r="6207" spans="1:11" ht="42" customHeight="1">
      <c r="A6207" s="2" t="s">
        <v>15999</v>
      </c>
      <c r="B6207" s="2" t="s">
        <v>16000</v>
      </c>
      <c r="C6207" s="2" t="s">
        <v>17</v>
      </c>
      <c r="D6207" s="2" t="s">
        <v>18</v>
      </c>
      <c r="E6207" s="4">
        <v>-32344</v>
      </c>
      <c r="F6207" s="3" t="s">
        <v>761</v>
      </c>
      <c r="G6207" s="3" t="s">
        <v>28</v>
      </c>
      <c r="H6207" s="2" t="s">
        <v>148</v>
      </c>
      <c r="I6207" s="2" t="s">
        <v>16001</v>
      </c>
      <c r="J6207" s="3" t="str">
        <f>HYPERLINK("https://www.boe.es/gazeta/dias/1811/06/11/pdfs/GEI-1811-78.pdf#page=8","Abrir facsímil")</f>
        <v>Abrir facsímil</v>
      </c>
      <c r="K6207" s="3" t="s">
        <v>150</v>
      </c>
    </row>
    <row r="6208" spans="1:11" ht="42" customHeight="1">
      <c r="A6208" s="2" t="s">
        <v>16002</v>
      </c>
      <c r="B6208" s="2" t="s">
        <v>16003</v>
      </c>
      <c r="C6208" s="2" t="s">
        <v>17</v>
      </c>
      <c r="D6208" s="2" t="s">
        <v>156</v>
      </c>
      <c r="E6208" s="4">
        <v>-32244</v>
      </c>
      <c r="F6208" s="3" t="s">
        <v>4301</v>
      </c>
      <c r="G6208" s="3" t="s">
        <v>755</v>
      </c>
      <c r="H6208" s="2" t="s">
        <v>148</v>
      </c>
      <c r="I6208" s="2" t="s">
        <v>16004</v>
      </c>
      <c r="J6208" s="3" t="str">
        <f>HYPERLINK("https://www.boe.es/gazeta/dias/1811/09/19/pdfs/GEI-1811-121.pdf#page=6","Abrir facsímil")</f>
        <v>Abrir facsímil</v>
      </c>
      <c r="K6208" s="3" t="s">
        <v>150</v>
      </c>
    </row>
    <row r="6209" spans="1:11" ht="42" customHeight="1">
      <c r="A6209" s="2" t="s">
        <v>16005</v>
      </c>
      <c r="B6209" s="2" t="s">
        <v>16005</v>
      </c>
      <c r="C6209" s="2" t="s">
        <v>26</v>
      </c>
      <c r="D6209" s="2" t="s">
        <v>18</v>
      </c>
      <c r="E6209" s="4">
        <v>-32326</v>
      </c>
      <c r="F6209" s="3" t="s">
        <v>43</v>
      </c>
      <c r="G6209" s="3" t="s">
        <v>91</v>
      </c>
      <c r="H6209" s="2" t="s">
        <v>148</v>
      </c>
      <c r="I6209" s="2" t="s">
        <v>16006</v>
      </c>
      <c r="J6209" s="3" t="str">
        <f>HYPERLINK("https://www.boe.es/gazeta/dias/1811/06/29/pdfs/GEI-1811-86.pdf#page=7","Abrir facsímil")</f>
        <v>Abrir facsímil</v>
      </c>
      <c r="K6209" s="3" t="s">
        <v>150</v>
      </c>
    </row>
    <row r="6210" spans="1:11" ht="42" customHeight="1">
      <c r="A6210" s="2" t="s">
        <v>16007</v>
      </c>
      <c r="B6210" s="2" t="s">
        <v>16008</v>
      </c>
      <c r="C6210" s="2" t="s">
        <v>26</v>
      </c>
      <c r="D6210" s="2" t="s">
        <v>18</v>
      </c>
      <c r="E6210" s="4">
        <v>-32200</v>
      </c>
      <c r="F6210" s="3" t="s">
        <v>109</v>
      </c>
      <c r="G6210" s="3" t="s">
        <v>268</v>
      </c>
      <c r="H6210" s="2" t="s">
        <v>148</v>
      </c>
      <c r="I6210" s="2" t="s">
        <v>16009</v>
      </c>
      <c r="J6210" s="3" t="str">
        <f>HYPERLINK("https://www.boe.es/gazeta/dias/1811/11/02/pdfs/GEI-1811-141.pdf#page=7","Abrir facsímil")</f>
        <v>Abrir facsímil</v>
      </c>
      <c r="K6210" s="3" t="s">
        <v>150</v>
      </c>
    </row>
    <row r="6211" spans="1:11" ht="42" customHeight="1">
      <c r="A6211" s="2" t="s">
        <v>16010</v>
      </c>
      <c r="B6211" s="2" t="s">
        <v>16010</v>
      </c>
      <c r="C6211" s="2" t="s">
        <v>17</v>
      </c>
      <c r="D6211" s="2" t="s">
        <v>18</v>
      </c>
      <c r="E6211" s="4">
        <v>-32153</v>
      </c>
      <c r="F6211" s="3" t="s">
        <v>235</v>
      </c>
      <c r="G6211" s="3" t="s">
        <v>3296</v>
      </c>
      <c r="H6211" s="2" t="s">
        <v>148</v>
      </c>
      <c r="I6211" s="2" t="s">
        <v>16011</v>
      </c>
      <c r="J6211" s="3" t="str">
        <f>HYPERLINK("https://www.boe.es/gazeta/dias/1811/12/19/pdfs/GEI-1811-164.pdf#page=1","Abrir facsímil")</f>
        <v>Abrir facsímil</v>
      </c>
      <c r="K6211" s="3" t="s">
        <v>150</v>
      </c>
    </row>
    <row r="6212" spans="1:11" ht="42" customHeight="1">
      <c r="A6212" s="2" t="s">
        <v>16012</v>
      </c>
      <c r="B6212" s="2" t="s">
        <v>16012</v>
      </c>
      <c r="C6212" s="2" t="s">
        <v>17</v>
      </c>
      <c r="D6212" s="2" t="s">
        <v>18</v>
      </c>
      <c r="E6212" s="4">
        <v>-32300</v>
      </c>
      <c r="F6212" s="3" t="s">
        <v>61</v>
      </c>
      <c r="G6212" s="3" t="s">
        <v>62</v>
      </c>
      <c r="H6212" s="2" t="s">
        <v>148</v>
      </c>
      <c r="I6212" s="2" t="s">
        <v>16013</v>
      </c>
      <c r="J6212" s="3" t="str">
        <f>HYPERLINK("https://www.boe.es/gazeta/dias/1811/07/25/pdfs/GEI-1811-97.pdf#page=5","Abrir facsímil")</f>
        <v>Abrir facsímil</v>
      </c>
      <c r="K6212" s="3" t="s">
        <v>150</v>
      </c>
    </row>
    <row r="6213" spans="1:11" ht="42" customHeight="1">
      <c r="A6213" s="2" t="s">
        <v>16014</v>
      </c>
      <c r="B6213" s="2" t="s">
        <v>16015</v>
      </c>
      <c r="C6213" s="2" t="s">
        <v>17</v>
      </c>
      <c r="D6213" s="2" t="s">
        <v>18</v>
      </c>
      <c r="E6213" s="4">
        <v>-32494</v>
      </c>
      <c r="F6213" s="3" t="s">
        <v>3050</v>
      </c>
      <c r="G6213" s="3" t="s">
        <v>3619</v>
      </c>
      <c r="H6213" s="2" t="s">
        <v>148</v>
      </c>
      <c r="I6213" s="2" t="s">
        <v>16016</v>
      </c>
      <c r="J6213" s="3" t="str">
        <f>HYPERLINK("https://www.boe.es/gazeta/dias/1811/01/12/pdfs/GEI-1811-6.pdf#page=8","Abrir facsímil")</f>
        <v>Abrir facsímil</v>
      </c>
      <c r="K6213" s="3" t="s">
        <v>150</v>
      </c>
    </row>
    <row r="6214" spans="1:11" ht="42" customHeight="1">
      <c r="A6214" s="2" t="s">
        <v>16017</v>
      </c>
      <c r="B6214" s="2" t="s">
        <v>16017</v>
      </c>
      <c r="C6214" s="2" t="s">
        <v>122</v>
      </c>
      <c r="D6214" s="2" t="s">
        <v>18</v>
      </c>
      <c r="E6214" s="4">
        <v>-32326</v>
      </c>
      <c r="F6214" s="3" t="s">
        <v>2321</v>
      </c>
      <c r="G6214" s="3" t="s">
        <v>91</v>
      </c>
      <c r="H6214" s="2" t="s">
        <v>148</v>
      </c>
      <c r="I6214" s="2" t="s">
        <v>16018</v>
      </c>
      <c r="J6214" s="3" t="str">
        <f>HYPERLINK("https://www.boe.es/gazeta/dias/1811/06/29/pdfs/GMD-1811-180.pdf#page=2","Abrir facsímil")</f>
        <v>Abrir facsímil</v>
      </c>
      <c r="K6214" s="3" t="s">
        <v>150</v>
      </c>
    </row>
    <row r="6215" spans="1:11" ht="42" customHeight="1">
      <c r="A6215" s="2" t="s">
        <v>16017</v>
      </c>
      <c r="B6215" s="2" t="s">
        <v>16017</v>
      </c>
      <c r="C6215" s="2" t="s">
        <v>26</v>
      </c>
      <c r="D6215" s="2" t="s">
        <v>18</v>
      </c>
      <c r="E6215" s="4">
        <v>-32265</v>
      </c>
      <c r="F6215" s="3" t="s">
        <v>12728</v>
      </c>
      <c r="G6215" s="3" t="s">
        <v>183</v>
      </c>
      <c r="H6215" s="2" t="s">
        <v>148</v>
      </c>
      <c r="I6215" s="2" t="s">
        <v>16019</v>
      </c>
      <c r="J6215" s="3" t="str">
        <f>HYPERLINK("https://www.boe.es/gazeta/dias/1811/08/29/pdfs/GMD-1811-241.pdf#page=4","Abrir facsímil")</f>
        <v>Abrir facsímil</v>
      </c>
      <c r="K6215" s="3" t="s">
        <v>150</v>
      </c>
    </row>
    <row r="6216" spans="1:11" ht="42" customHeight="1">
      <c r="A6216" s="2" t="s">
        <v>16020</v>
      </c>
      <c r="B6216" s="2" t="s">
        <v>16021</v>
      </c>
      <c r="C6216" s="2" t="s">
        <v>26</v>
      </c>
      <c r="D6216" s="2" t="s">
        <v>18</v>
      </c>
      <c r="E6216" s="4">
        <v>-32501</v>
      </c>
      <c r="F6216" s="3" t="s">
        <v>509</v>
      </c>
      <c r="G6216" s="3" t="s">
        <v>510</v>
      </c>
      <c r="H6216" s="2" t="s">
        <v>148</v>
      </c>
      <c r="I6216" s="2" t="s">
        <v>16022</v>
      </c>
      <c r="J6216" s="3" t="str">
        <f>HYPERLINK("https://www.boe.es/gazeta/dias/1811/01/05/pdfs/GEI-1811-3.pdf#page=8","Abrir facsímil")</f>
        <v>Abrir facsímil</v>
      </c>
      <c r="K6216" s="3" t="s">
        <v>150</v>
      </c>
    </row>
    <row r="6217" spans="1:11" ht="42" customHeight="1">
      <c r="A6217" s="2" t="s">
        <v>16023</v>
      </c>
      <c r="B6217" s="2" t="s">
        <v>16024</v>
      </c>
      <c r="C6217" s="2" t="s">
        <v>26</v>
      </c>
      <c r="D6217" s="2" t="s">
        <v>18</v>
      </c>
      <c r="E6217" s="4">
        <v>-32195</v>
      </c>
      <c r="F6217" s="3" t="s">
        <v>439</v>
      </c>
      <c r="G6217" s="3" t="s">
        <v>440</v>
      </c>
      <c r="H6217" s="2" t="s">
        <v>148</v>
      </c>
      <c r="I6217" s="2" t="s">
        <v>16025</v>
      </c>
      <c r="J6217" s="3" t="str">
        <f>HYPERLINK("https://www.boe.es/gazeta/dias/1811/11/07/pdfs/GEI-1811-144.pdf#page=8","Abrir facsímil")</f>
        <v>Abrir facsímil</v>
      </c>
      <c r="K6217" s="3" t="s">
        <v>150</v>
      </c>
    </row>
    <row r="6218" spans="1:11" ht="42" customHeight="1">
      <c r="A6218" s="2" t="s">
        <v>16026</v>
      </c>
      <c r="B6218" s="2" t="s">
        <v>16027</v>
      </c>
      <c r="C6218" s="2" t="s">
        <v>26</v>
      </c>
      <c r="D6218" s="2" t="s">
        <v>141</v>
      </c>
      <c r="E6218" s="4">
        <v>-32249</v>
      </c>
      <c r="F6218" s="3" t="s">
        <v>743</v>
      </c>
      <c r="G6218" s="3" t="s">
        <v>1021</v>
      </c>
      <c r="H6218" s="2" t="s">
        <v>148</v>
      </c>
      <c r="I6218" s="2" t="s">
        <v>16028</v>
      </c>
      <c r="J6218" s="3" t="str">
        <f>HYPERLINK("https://www.boe.es/gazeta/dias/1811/09/14/pdfs/GMD-C-1811-257.pdf#page=2","Abrir facsímil")</f>
        <v>Abrir facsímil</v>
      </c>
      <c r="K6218" s="3" t="s">
        <v>150</v>
      </c>
    </row>
    <row r="6219" spans="1:11" ht="42" customHeight="1">
      <c r="A6219" s="2" t="s">
        <v>16029</v>
      </c>
      <c r="B6219" s="2" t="s">
        <v>16030</v>
      </c>
      <c r="C6219" s="2" t="s">
        <v>26</v>
      </c>
      <c r="D6219" s="2" t="s">
        <v>18</v>
      </c>
      <c r="E6219" s="4">
        <v>-32297</v>
      </c>
      <c r="F6219" s="3" t="s">
        <v>2174</v>
      </c>
      <c r="G6219" s="3" t="s">
        <v>183</v>
      </c>
      <c r="H6219" s="2" t="s">
        <v>148</v>
      </c>
      <c r="I6219" s="2" t="s">
        <v>16031</v>
      </c>
      <c r="J6219" s="3" t="str">
        <f>HYPERLINK("https://www.boe.es/gazeta/dias/1811/07/28/pdfs/GMD-1811-209.pdf#page=4","Abrir facsímil")</f>
        <v>Abrir facsímil</v>
      </c>
      <c r="K6219" s="3" t="s">
        <v>150</v>
      </c>
    </row>
    <row r="6220" spans="1:11" ht="42" customHeight="1">
      <c r="A6220" s="2" t="s">
        <v>16032</v>
      </c>
      <c r="B6220" s="2" t="s">
        <v>16033</v>
      </c>
      <c r="C6220" s="2" t="s">
        <v>37</v>
      </c>
      <c r="D6220" s="2" t="s">
        <v>105</v>
      </c>
      <c r="E6220" s="4">
        <v>-32433</v>
      </c>
      <c r="F6220" s="3" t="s">
        <v>209</v>
      </c>
      <c r="G6220" s="3" t="s">
        <v>488</v>
      </c>
      <c r="H6220" s="2" t="s">
        <v>148</v>
      </c>
      <c r="I6220" s="2" t="s">
        <v>16034</v>
      </c>
      <c r="J6220" s="3" t="str">
        <f>HYPERLINK("https://www.boe.es/gazeta/dias/1811/03/14/pdfs/GMD-1811-73.pdf#page=2","Abrir facsímil")</f>
        <v>Abrir facsímil</v>
      </c>
      <c r="K6220" s="3" t="s">
        <v>150</v>
      </c>
    </row>
    <row r="6221" spans="1:11" ht="42" customHeight="1">
      <c r="A6221" s="2" t="s">
        <v>16035</v>
      </c>
      <c r="B6221" s="2" t="s">
        <v>16036</v>
      </c>
      <c r="C6221" s="2" t="s">
        <v>37</v>
      </c>
      <c r="D6221" s="2" t="s">
        <v>204</v>
      </c>
      <c r="E6221" s="4">
        <v>-32480</v>
      </c>
      <c r="F6221" s="3" t="s">
        <v>2421</v>
      </c>
      <c r="G6221" s="3" t="s">
        <v>20</v>
      </c>
      <c r="H6221" s="2" t="s">
        <v>148</v>
      </c>
      <c r="I6221" s="2" t="s">
        <v>16037</v>
      </c>
      <c r="J6221" s="3" t="str">
        <f>HYPERLINK("https://www.boe.es/gazeta/dias/1811/01/26/pdfs/GMD-1811-26.pdf#page=4","Abrir facsímil")</f>
        <v>Abrir facsímil</v>
      </c>
      <c r="K6221" s="3" t="s">
        <v>150</v>
      </c>
    </row>
    <row r="6222" spans="1:11" ht="42" customHeight="1">
      <c r="A6222" s="2" t="s">
        <v>16035</v>
      </c>
      <c r="B6222" s="2" t="s">
        <v>16036</v>
      </c>
      <c r="C6222" s="2" t="s">
        <v>26</v>
      </c>
      <c r="D6222" s="2" t="s">
        <v>18</v>
      </c>
      <c r="E6222" s="4">
        <v>-32172</v>
      </c>
      <c r="F6222" s="3" t="s">
        <v>300</v>
      </c>
      <c r="G6222" s="3" t="s">
        <v>305</v>
      </c>
      <c r="H6222" s="2" t="s">
        <v>148</v>
      </c>
      <c r="I6222" s="2" t="s">
        <v>16038</v>
      </c>
      <c r="J6222" s="3" t="str">
        <f>HYPERLINK("https://www.boe.es/gazeta/dias/1811/11/30/pdfs/GMD-1811-334.pdf#page=3","Abrir facsímil")</f>
        <v>Abrir facsímil</v>
      </c>
      <c r="K6222" s="3" t="s">
        <v>150</v>
      </c>
    </row>
    <row r="6223" spans="1:11" ht="42" customHeight="1">
      <c r="A6223" s="2" t="s">
        <v>16039</v>
      </c>
      <c r="B6223" s="2" t="s">
        <v>16040</v>
      </c>
      <c r="C6223" s="2" t="s">
        <v>17</v>
      </c>
      <c r="D6223" s="2" t="s">
        <v>18</v>
      </c>
      <c r="E6223" s="4">
        <v>-32428</v>
      </c>
      <c r="F6223" s="3" t="s">
        <v>1974</v>
      </c>
      <c r="G6223" s="3" t="s">
        <v>4738</v>
      </c>
      <c r="H6223" s="2" t="s">
        <v>148</v>
      </c>
      <c r="I6223" s="2" t="s">
        <v>16041</v>
      </c>
      <c r="J6223" s="3" t="str">
        <f>HYPERLINK("https://www.boe.es/gazeta/dias/1811/03/19/pdfs/GEI-1811-39.pdf#page=8","Abrir facsímil")</f>
        <v>Abrir facsímil</v>
      </c>
      <c r="K6223" s="3" t="s">
        <v>150</v>
      </c>
    </row>
    <row r="6224" spans="1:11" ht="42" customHeight="1">
      <c r="A6224" s="2" t="s">
        <v>16039</v>
      </c>
      <c r="B6224" s="2" t="s">
        <v>16040</v>
      </c>
      <c r="C6224" s="2" t="s">
        <v>26</v>
      </c>
      <c r="D6224" s="2" t="s">
        <v>105</v>
      </c>
      <c r="E6224" s="4">
        <v>-32238</v>
      </c>
      <c r="F6224" s="3" t="s">
        <v>166</v>
      </c>
      <c r="G6224" s="3" t="s">
        <v>657</v>
      </c>
      <c r="H6224" s="2" t="s">
        <v>148</v>
      </c>
      <c r="I6224" s="2" t="s">
        <v>16042</v>
      </c>
      <c r="J6224" s="3" t="str">
        <f>HYPERLINK("https://www.boe.es/gazeta/dias/1811/09/25/pdfs/GMD-C-1811-268.pdf#page=3","Abrir facsímil")</f>
        <v>Abrir facsímil</v>
      </c>
      <c r="K6224" s="3" t="s">
        <v>150</v>
      </c>
    </row>
    <row r="6225" spans="1:11" ht="42" customHeight="1">
      <c r="A6225" s="2" t="s">
        <v>16043</v>
      </c>
      <c r="B6225" s="2" t="s">
        <v>16044</v>
      </c>
      <c r="C6225" s="2" t="s">
        <v>17</v>
      </c>
      <c r="D6225" s="2" t="s">
        <v>18</v>
      </c>
      <c r="E6225" s="4">
        <v>-32153</v>
      </c>
      <c r="F6225" s="3" t="s">
        <v>235</v>
      </c>
      <c r="G6225" s="3" t="s">
        <v>2181</v>
      </c>
      <c r="H6225" s="2" t="s">
        <v>148</v>
      </c>
      <c r="I6225" s="2" t="s">
        <v>16045</v>
      </c>
      <c r="J6225" s="3" t="str">
        <f>HYPERLINK("https://www.boe.es/gazeta/dias/1811/12/19/pdfs/GEI-1811-164.pdf#page=8","Abrir facsímil")</f>
        <v>Abrir facsímil</v>
      </c>
      <c r="K6225" s="3" t="s">
        <v>150</v>
      </c>
    </row>
    <row r="6226" spans="1:11" ht="42" customHeight="1">
      <c r="A6226" s="2" t="s">
        <v>16046</v>
      </c>
      <c r="B6226" s="2" t="s">
        <v>16047</v>
      </c>
      <c r="C6226" s="2" t="s">
        <v>17</v>
      </c>
      <c r="D6226" s="2" t="s">
        <v>156</v>
      </c>
      <c r="E6226" s="4">
        <v>-32272</v>
      </c>
      <c r="F6226" s="3" t="s">
        <v>1121</v>
      </c>
      <c r="G6226" s="3" t="s">
        <v>12540</v>
      </c>
      <c r="H6226" s="2" t="s">
        <v>148</v>
      </c>
      <c r="I6226" s="2" t="s">
        <v>16048</v>
      </c>
      <c r="J6226" s="3" t="str">
        <f>HYPERLINK("https://www.boe.es/gazeta/dias/1811/08/22/pdfs/GEI-1811-109.pdf#page=6","Abrir facsímil")</f>
        <v>Abrir facsímil</v>
      </c>
      <c r="K6226" s="3" t="s">
        <v>150</v>
      </c>
    </row>
    <row r="6227" spans="1:11" ht="42" customHeight="1">
      <c r="A6227" s="2" t="s">
        <v>16046</v>
      </c>
      <c r="B6227" s="2" t="s">
        <v>16047</v>
      </c>
      <c r="C6227" s="2" t="s">
        <v>17</v>
      </c>
      <c r="D6227" s="2" t="s">
        <v>18</v>
      </c>
      <c r="E6227" s="4">
        <v>-32230</v>
      </c>
      <c r="F6227" s="3" t="s">
        <v>625</v>
      </c>
      <c r="G6227" s="3" t="s">
        <v>162</v>
      </c>
      <c r="H6227" s="2" t="s">
        <v>148</v>
      </c>
      <c r="I6227" s="2" t="s">
        <v>16049</v>
      </c>
      <c r="J6227" s="3" t="str">
        <f>HYPERLINK("https://www.boe.es/gazeta/dias/1811/10/03/pdfs/GEI-1811-127.pdf#page=7","Abrir facsímil")</f>
        <v>Abrir facsímil</v>
      </c>
      <c r="K6227" s="3" t="s">
        <v>150</v>
      </c>
    </row>
    <row r="6228" spans="1:11" ht="42" customHeight="1">
      <c r="A6228" s="2" t="s">
        <v>16050</v>
      </c>
      <c r="B6228" s="2" t="s">
        <v>16051</v>
      </c>
      <c r="C6228" s="2" t="s">
        <v>26</v>
      </c>
      <c r="D6228" s="2" t="s">
        <v>18</v>
      </c>
      <c r="E6228" s="4">
        <v>-32249</v>
      </c>
      <c r="F6228" s="3" t="s">
        <v>182</v>
      </c>
      <c r="G6228" s="3" t="s">
        <v>44</v>
      </c>
      <c r="H6228" s="2" t="s">
        <v>148</v>
      </c>
      <c r="I6228" s="2" t="s">
        <v>16052</v>
      </c>
      <c r="J6228" s="3" t="str">
        <f>HYPERLINK("https://www.boe.es/gazeta/dias/1811/09/14/pdfs/GMD-1811-257.pdf#page=3","Abrir facsímil")</f>
        <v>Abrir facsímil</v>
      </c>
      <c r="K6228" s="3" t="s">
        <v>150</v>
      </c>
    </row>
    <row r="6229" spans="1:11" ht="42" customHeight="1">
      <c r="A6229" s="2" t="s">
        <v>16053</v>
      </c>
      <c r="B6229" s="2" t="s">
        <v>16054</v>
      </c>
      <c r="C6229" s="2" t="s">
        <v>26</v>
      </c>
      <c r="D6229" s="2" t="s">
        <v>18</v>
      </c>
      <c r="E6229" s="4">
        <v>-32396</v>
      </c>
      <c r="F6229" s="3" t="s">
        <v>1267</v>
      </c>
      <c r="G6229" s="3" t="s">
        <v>382</v>
      </c>
      <c r="H6229" s="2" t="s">
        <v>148</v>
      </c>
      <c r="I6229" s="2" t="s">
        <v>16055</v>
      </c>
      <c r="J6229" s="3" t="str">
        <f>HYPERLINK("https://www.boe.es/gazeta/dias/1811/04/20/pdfs/GMD-1811-110.pdf#page=2","Abrir facsímil")</f>
        <v>Abrir facsímil</v>
      </c>
      <c r="K6229" s="3" t="s">
        <v>150</v>
      </c>
    </row>
    <row r="6230" spans="1:11" ht="42" customHeight="1">
      <c r="A6230" s="2" t="s">
        <v>16056</v>
      </c>
      <c r="B6230" s="2" t="s">
        <v>16057</v>
      </c>
      <c r="C6230" s="2" t="s">
        <v>104</v>
      </c>
      <c r="D6230" s="2" t="s">
        <v>18</v>
      </c>
      <c r="E6230" s="4">
        <v>-32323</v>
      </c>
      <c r="F6230" s="3" t="s">
        <v>322</v>
      </c>
      <c r="G6230" s="3" t="s">
        <v>2164</v>
      </c>
      <c r="H6230" s="2" t="s">
        <v>148</v>
      </c>
      <c r="I6230" s="2" t="s">
        <v>16058</v>
      </c>
      <c r="J6230" s="3" t="str">
        <f>HYPERLINK("https://www.boe.es/gazeta/dias/1811/07/02/pdfs/GEI-1811-87.pdf#page=7","Abrir facsímil")</f>
        <v>Abrir facsímil</v>
      </c>
      <c r="K6230" s="3" t="s">
        <v>150</v>
      </c>
    </row>
    <row r="6231" spans="1:11" ht="42" customHeight="1">
      <c r="A6231" s="2" t="s">
        <v>16056</v>
      </c>
      <c r="B6231" s="2" t="s">
        <v>16057</v>
      </c>
      <c r="C6231" s="2" t="s">
        <v>26</v>
      </c>
      <c r="D6231" s="2" t="s">
        <v>18</v>
      </c>
      <c r="E6231" s="4">
        <v>-32230</v>
      </c>
      <c r="F6231" s="3" t="s">
        <v>625</v>
      </c>
      <c r="G6231" s="3" t="s">
        <v>1258</v>
      </c>
      <c r="H6231" s="2" t="s">
        <v>148</v>
      </c>
      <c r="I6231" s="2" t="s">
        <v>16059</v>
      </c>
      <c r="J6231" s="3" t="str">
        <f>HYPERLINK("https://www.boe.es/gazeta/dias/1811/10/03/pdfs/GEI-1811-127.pdf#page=8","Abrir facsímil")</f>
        <v>Abrir facsímil</v>
      </c>
      <c r="K6231" s="3" t="s">
        <v>150</v>
      </c>
    </row>
    <row r="6232" spans="1:11" ht="42" customHeight="1">
      <c r="A6232" s="2" t="s">
        <v>16060</v>
      </c>
      <c r="B6232" s="2" t="s">
        <v>16060</v>
      </c>
      <c r="C6232" s="2" t="s">
        <v>26</v>
      </c>
      <c r="D6232" s="2" t="s">
        <v>105</v>
      </c>
      <c r="E6232" s="4">
        <v>-32393</v>
      </c>
      <c r="F6232" s="3" t="s">
        <v>32</v>
      </c>
      <c r="G6232" s="3" t="s">
        <v>33</v>
      </c>
      <c r="H6232" s="2" t="s">
        <v>148</v>
      </c>
      <c r="I6232" s="2" t="s">
        <v>16061</v>
      </c>
      <c r="J6232" s="3" t="str">
        <f>HYPERLINK("https://www.boe.es/gazeta/dias/1811/04/23/pdfs/GEI-1811-54.pdf#page=8","Abrir facsímil")</f>
        <v>Abrir facsímil</v>
      </c>
      <c r="K6232" s="3" t="s">
        <v>150</v>
      </c>
    </row>
    <row r="6233" spans="1:11" ht="42" customHeight="1">
      <c r="A6233" s="2" t="s">
        <v>16062</v>
      </c>
      <c r="B6233" s="2" t="s">
        <v>16063</v>
      </c>
      <c r="C6233" s="2" t="s">
        <v>26</v>
      </c>
      <c r="D6233" s="2" t="s">
        <v>18</v>
      </c>
      <c r="E6233" s="4">
        <v>-32416</v>
      </c>
      <c r="F6233" s="3" t="s">
        <v>954</v>
      </c>
      <c r="G6233" s="3" t="s">
        <v>47</v>
      </c>
      <c r="H6233" s="2" t="s">
        <v>148</v>
      </c>
      <c r="I6233" s="2" t="s">
        <v>16064</v>
      </c>
      <c r="J6233" s="3" t="str">
        <f>HYPERLINK("https://www.boe.es/gazeta/dias/1811/03/31/pdfs/GMD-1811-90.pdf#page=3","Abrir facsímil")</f>
        <v>Abrir facsímil</v>
      </c>
      <c r="K6233" s="3" t="s">
        <v>150</v>
      </c>
    </row>
    <row r="6234" spans="1:11" ht="42" customHeight="1">
      <c r="A6234" s="2" t="s">
        <v>16065</v>
      </c>
      <c r="B6234" s="2" t="s">
        <v>16066</v>
      </c>
      <c r="C6234" s="2" t="s">
        <v>26</v>
      </c>
      <c r="D6234" s="2" t="s">
        <v>18</v>
      </c>
      <c r="E6234" s="4">
        <v>-32155</v>
      </c>
      <c r="F6234" s="3" t="s">
        <v>263</v>
      </c>
      <c r="G6234" s="3" t="s">
        <v>1800</v>
      </c>
      <c r="H6234" s="2" t="s">
        <v>148</v>
      </c>
      <c r="I6234" s="2" t="s">
        <v>16067</v>
      </c>
      <c r="J6234" s="3" t="str">
        <f>HYPERLINK("https://www.boe.es/gazeta/dias/1811/12/17/pdfs/GEI-1811-163.pdf#page=7","Abrir facsímil")</f>
        <v>Abrir facsímil</v>
      </c>
      <c r="K6234" s="3" t="s">
        <v>150</v>
      </c>
    </row>
    <row r="6235" spans="1:11" ht="42" customHeight="1">
      <c r="A6235" s="2" t="s">
        <v>16068</v>
      </c>
      <c r="B6235" s="2" t="s">
        <v>16069</v>
      </c>
      <c r="C6235" s="2" t="s">
        <v>17</v>
      </c>
      <c r="D6235" s="2" t="s">
        <v>18</v>
      </c>
      <c r="E6235" s="4">
        <v>-32188</v>
      </c>
      <c r="F6235" s="3" t="s">
        <v>356</v>
      </c>
      <c r="G6235" s="3" t="s">
        <v>248</v>
      </c>
      <c r="H6235" s="2" t="s">
        <v>148</v>
      </c>
      <c r="I6235" s="2" t="s">
        <v>16070</v>
      </c>
      <c r="J6235" s="3" t="str">
        <f>HYPERLINK("https://www.boe.es/gazeta/dias/1811/11/14/pdfs/GMD-1811-318.pdf#page=5","Abrir facsímil")</f>
        <v>Abrir facsímil</v>
      </c>
      <c r="K6235" s="3" t="s">
        <v>150</v>
      </c>
    </row>
    <row r="6236" spans="1:11" ht="42" customHeight="1">
      <c r="A6236" s="2" t="s">
        <v>16068</v>
      </c>
      <c r="B6236" s="2" t="s">
        <v>16069</v>
      </c>
      <c r="C6236" s="2" t="s">
        <v>26</v>
      </c>
      <c r="D6236" s="2" t="s">
        <v>18</v>
      </c>
      <c r="E6236" s="4">
        <v>-32188</v>
      </c>
      <c r="F6236" s="3" t="s">
        <v>356</v>
      </c>
      <c r="G6236" s="3" t="s">
        <v>468</v>
      </c>
      <c r="H6236" s="2" t="s">
        <v>148</v>
      </c>
      <c r="I6236" s="2" t="s">
        <v>16071</v>
      </c>
      <c r="J6236" s="3" t="str">
        <f>HYPERLINK("https://www.boe.es/gazeta/dias/1811/11/14/pdfs/GMD-1811-318.pdf#page=6","Abrir facsímil")</f>
        <v>Abrir facsímil</v>
      </c>
      <c r="K6236" s="3" t="s">
        <v>150</v>
      </c>
    </row>
    <row r="6237" spans="1:11" ht="42" customHeight="1">
      <c r="A6237" s="2" t="s">
        <v>16072</v>
      </c>
      <c r="B6237" s="2" t="s">
        <v>16073</v>
      </c>
      <c r="C6237" s="2" t="s">
        <v>37</v>
      </c>
      <c r="D6237" s="2" t="s">
        <v>18</v>
      </c>
      <c r="E6237" s="4">
        <v>-32368</v>
      </c>
      <c r="F6237" s="3" t="s">
        <v>1561</v>
      </c>
      <c r="G6237" s="3" t="s">
        <v>57</v>
      </c>
      <c r="H6237" s="2" t="s">
        <v>148</v>
      </c>
      <c r="I6237" s="2" t="s">
        <v>16074</v>
      </c>
      <c r="J6237" s="3" t="str">
        <f>HYPERLINK("https://www.boe.es/gazeta/dias/1811/05/18/pdfs/GMD-1811-138.pdf#page=2","Abrir facsímil")</f>
        <v>Abrir facsímil</v>
      </c>
      <c r="K6237" s="3" t="s">
        <v>150</v>
      </c>
    </row>
    <row r="6238" spans="1:11" ht="42" customHeight="1">
      <c r="A6238" s="2" t="s">
        <v>16075</v>
      </c>
      <c r="B6238" s="2" t="s">
        <v>16075</v>
      </c>
      <c r="C6238" s="2" t="s">
        <v>37</v>
      </c>
      <c r="D6238" s="2" t="s">
        <v>18</v>
      </c>
      <c r="E6238" s="4">
        <v>-32416</v>
      </c>
      <c r="F6238" s="3" t="s">
        <v>954</v>
      </c>
      <c r="G6238" s="3" t="s">
        <v>9734</v>
      </c>
      <c r="H6238" s="2" t="s">
        <v>148</v>
      </c>
      <c r="I6238" s="2" t="s">
        <v>16076</v>
      </c>
      <c r="J6238" s="3" t="str">
        <f>HYPERLINK("https://www.boe.es/gazeta/dias/1811/03/31/pdfs/GMD-1811-90.pdf#page=1","Abrir facsímil")</f>
        <v>Abrir facsímil</v>
      </c>
      <c r="K6238" s="3" t="s">
        <v>150</v>
      </c>
    </row>
    <row r="6239" spans="1:11" ht="42" customHeight="1">
      <c r="A6239" s="2" t="s">
        <v>16077</v>
      </c>
      <c r="B6239" s="2" t="s">
        <v>16077</v>
      </c>
      <c r="C6239" s="2" t="s">
        <v>17</v>
      </c>
      <c r="D6239" s="2" t="s">
        <v>18</v>
      </c>
      <c r="E6239" s="4">
        <v>-32414</v>
      </c>
      <c r="F6239" s="3" t="s">
        <v>213</v>
      </c>
      <c r="G6239" s="3" t="s">
        <v>91</v>
      </c>
      <c r="H6239" s="2" t="s">
        <v>148</v>
      </c>
      <c r="I6239" s="2" t="s">
        <v>16078</v>
      </c>
      <c r="J6239" s="3" t="str">
        <f>HYPERLINK("https://www.boe.es/gazeta/dias/1811/04/02/pdfs/GEI-1811-45.pdf#page=2","Abrir facsímil")</f>
        <v>Abrir facsímil</v>
      </c>
      <c r="K6239" s="3" t="s">
        <v>150</v>
      </c>
    </row>
    <row r="6240" spans="1:11" ht="42" customHeight="1">
      <c r="A6240" s="2" t="s">
        <v>16079</v>
      </c>
      <c r="B6240" s="2" t="s">
        <v>16079</v>
      </c>
      <c r="C6240" s="2" t="s">
        <v>17</v>
      </c>
      <c r="D6240" s="2" t="s">
        <v>18</v>
      </c>
      <c r="E6240" s="4">
        <v>-32494</v>
      </c>
      <c r="F6240" s="3" t="s">
        <v>585</v>
      </c>
      <c r="G6240" s="3" t="s">
        <v>586</v>
      </c>
      <c r="H6240" s="2" t="s">
        <v>148</v>
      </c>
      <c r="I6240" s="2" t="s">
        <v>16080</v>
      </c>
      <c r="J6240" s="3" t="str">
        <f>HYPERLINK("https://www.boe.es/gazeta/dias/1811/01/12/pdfs/GMD-1811-12.pdf#page=4","Abrir facsímil")</f>
        <v>Abrir facsímil</v>
      </c>
      <c r="K6240" s="3" t="s">
        <v>150</v>
      </c>
    </row>
    <row r="6241" spans="1:11" ht="42" customHeight="1">
      <c r="A6241" s="2" t="s">
        <v>16081</v>
      </c>
      <c r="B6241" s="2" t="s">
        <v>16081</v>
      </c>
      <c r="C6241" s="2" t="s">
        <v>17</v>
      </c>
      <c r="D6241" s="2" t="s">
        <v>18</v>
      </c>
      <c r="E6241" s="4">
        <v>-32494</v>
      </c>
      <c r="F6241" s="3" t="s">
        <v>585</v>
      </c>
      <c r="G6241" s="3" t="s">
        <v>586</v>
      </c>
      <c r="H6241" s="2" t="s">
        <v>148</v>
      </c>
      <c r="I6241" s="2" t="s">
        <v>16082</v>
      </c>
      <c r="J6241" s="3" t="str">
        <f>HYPERLINK("https://www.boe.es/gazeta/dias/1811/01/12/pdfs/GMD-1811-12.pdf#page=4","Abrir facsímil")</f>
        <v>Abrir facsímil</v>
      </c>
      <c r="K6241" s="3" t="s">
        <v>150</v>
      </c>
    </row>
    <row r="6242" spans="1:11" ht="42" customHeight="1">
      <c r="A6242" s="2" t="s">
        <v>16083</v>
      </c>
      <c r="B6242" s="2" t="s">
        <v>16084</v>
      </c>
      <c r="C6242" s="2" t="s">
        <v>122</v>
      </c>
      <c r="D6242" s="2" t="s">
        <v>18</v>
      </c>
      <c r="E6242" s="4">
        <v>-32188</v>
      </c>
      <c r="F6242" s="3" t="s">
        <v>356</v>
      </c>
      <c r="G6242" s="3" t="s">
        <v>468</v>
      </c>
      <c r="H6242" s="2" t="s">
        <v>148</v>
      </c>
      <c r="I6242" s="2" t="s">
        <v>16085</v>
      </c>
      <c r="J6242" s="3" t="str">
        <f>HYPERLINK("https://www.boe.es/gazeta/dias/1811/11/14/pdfs/GMD-1811-318.pdf#page=6","Abrir facsímil")</f>
        <v>Abrir facsímil</v>
      </c>
      <c r="K6242" s="3" t="s">
        <v>150</v>
      </c>
    </row>
    <row r="6243" spans="1:11" ht="42" customHeight="1">
      <c r="A6243" s="2" t="s">
        <v>16086</v>
      </c>
      <c r="B6243" s="2" t="s">
        <v>16086</v>
      </c>
      <c r="C6243" s="2" t="s">
        <v>17</v>
      </c>
      <c r="D6243" s="2" t="s">
        <v>18</v>
      </c>
      <c r="E6243" s="4">
        <v>-32475</v>
      </c>
      <c r="F6243" s="3" t="s">
        <v>6882</v>
      </c>
      <c r="G6243" s="3" t="s">
        <v>13945</v>
      </c>
      <c r="H6243" s="2" t="s">
        <v>148</v>
      </c>
      <c r="I6243" s="2" t="s">
        <v>16087</v>
      </c>
      <c r="J6243" s="3" t="str">
        <f>HYPERLINK("https://www.boe.es/gazeta/dias/1811/01/31/pdfs/GEI-1811-14.pdf#page=4","Abrir facsímil")</f>
        <v>Abrir facsímil</v>
      </c>
      <c r="K6243" s="3" t="s">
        <v>150</v>
      </c>
    </row>
    <row r="6244" spans="1:11" ht="42" customHeight="1">
      <c r="A6244" s="2" t="s">
        <v>16086</v>
      </c>
      <c r="B6244" s="2" t="s">
        <v>16086</v>
      </c>
      <c r="C6244" s="2" t="s">
        <v>17</v>
      </c>
      <c r="D6244" s="2" t="s">
        <v>18</v>
      </c>
      <c r="E6244" s="4">
        <v>-32459</v>
      </c>
      <c r="F6244" s="3" t="s">
        <v>227</v>
      </c>
      <c r="G6244" s="3" t="s">
        <v>228</v>
      </c>
      <c r="H6244" s="2" t="s">
        <v>148</v>
      </c>
      <c r="I6244" s="2" t="s">
        <v>16088</v>
      </c>
      <c r="J6244" s="3" t="str">
        <f>HYPERLINK("https://www.boe.es/gazeta/dias/1811/02/16/pdfs/GMD-1811-47.pdf#page=3","Abrir facsímil")</f>
        <v>Abrir facsímil</v>
      </c>
      <c r="K6244" s="3" t="s">
        <v>150</v>
      </c>
    </row>
    <row r="6245" spans="1:11" ht="42" customHeight="1">
      <c r="A6245" s="2" t="s">
        <v>16086</v>
      </c>
      <c r="B6245" s="2" t="s">
        <v>16086</v>
      </c>
      <c r="C6245" s="2" t="s">
        <v>37</v>
      </c>
      <c r="D6245" s="2" t="s">
        <v>156</v>
      </c>
      <c r="E6245" s="4">
        <v>-32423</v>
      </c>
      <c r="F6245" s="3" t="s">
        <v>6379</v>
      </c>
      <c r="G6245" s="3" t="s">
        <v>245</v>
      </c>
      <c r="H6245" s="2" t="s">
        <v>148</v>
      </c>
      <c r="I6245" s="2" t="s">
        <v>16089</v>
      </c>
      <c r="J6245" s="3" t="str">
        <f>HYPERLINK("https://www.boe.es/gazeta/dias/1811/03/24/pdfs/GMD-1811-83.pdf#page=3","Abrir facsímil")</f>
        <v>Abrir facsímil</v>
      </c>
      <c r="K6245" s="3" t="s">
        <v>150</v>
      </c>
    </row>
    <row r="6246" spans="1:11" ht="42" customHeight="1">
      <c r="A6246" s="2" t="s">
        <v>16090</v>
      </c>
      <c r="B6246" s="2" t="s">
        <v>16090</v>
      </c>
      <c r="C6246" s="2" t="s">
        <v>17</v>
      </c>
      <c r="D6246" s="2" t="s">
        <v>18</v>
      </c>
      <c r="E6246" s="4">
        <v>-32218</v>
      </c>
      <c r="F6246" s="3" t="s">
        <v>938</v>
      </c>
      <c r="G6246" s="3" t="s">
        <v>9561</v>
      </c>
      <c r="H6246" s="2" t="s">
        <v>148</v>
      </c>
      <c r="I6246" s="2" t="s">
        <v>16091</v>
      </c>
      <c r="J6246" s="3" t="str">
        <f>HYPERLINK("https://www.boe.es/gazeta/dias/1811/10/15/pdfs/GEI-1811-133.pdf#page=3","Abrir facsímil")</f>
        <v>Abrir facsímil</v>
      </c>
      <c r="K6246" s="3" t="s">
        <v>150</v>
      </c>
    </row>
    <row r="6247" spans="1:11" ht="42" customHeight="1">
      <c r="A6247" s="2" t="s">
        <v>16092</v>
      </c>
      <c r="B6247" s="2" t="s">
        <v>16092</v>
      </c>
      <c r="C6247" s="2" t="s">
        <v>17</v>
      </c>
      <c r="D6247" s="2" t="s">
        <v>18</v>
      </c>
      <c r="E6247" s="4">
        <v>-32494</v>
      </c>
      <c r="F6247" s="3" t="s">
        <v>585</v>
      </c>
      <c r="G6247" s="3" t="s">
        <v>586</v>
      </c>
      <c r="H6247" s="2" t="s">
        <v>148</v>
      </c>
      <c r="I6247" s="2" t="s">
        <v>16093</v>
      </c>
      <c r="J6247" s="3" t="str">
        <f>HYPERLINK("https://www.boe.es/gazeta/dias/1811/01/12/pdfs/GMD-1811-12.pdf#page=4","Abrir facsímil")</f>
        <v>Abrir facsímil</v>
      </c>
      <c r="K6247" s="3" t="s">
        <v>150</v>
      </c>
    </row>
    <row r="6248" spans="1:11" ht="42" customHeight="1">
      <c r="A6248" s="2" t="s">
        <v>16094</v>
      </c>
      <c r="B6248" s="2" t="s">
        <v>16094</v>
      </c>
      <c r="C6248" s="2" t="s">
        <v>17</v>
      </c>
      <c r="D6248" s="2" t="s">
        <v>18</v>
      </c>
      <c r="E6248" s="4">
        <v>-32434</v>
      </c>
      <c r="F6248" s="3" t="s">
        <v>1932</v>
      </c>
      <c r="G6248" s="3" t="s">
        <v>178</v>
      </c>
      <c r="H6248" s="2" t="s">
        <v>148</v>
      </c>
      <c r="I6248" s="2" t="s">
        <v>16095</v>
      </c>
      <c r="J6248" s="3" t="str">
        <f>HYPERLINK("https://www.boe.es/gazeta/dias/1811/03/13/pdfs/GMD-1811-72.pdf#page=2","Abrir facsímil")</f>
        <v>Abrir facsímil</v>
      </c>
      <c r="K6248" s="3" t="s">
        <v>150</v>
      </c>
    </row>
    <row r="6249" spans="1:11" ht="42" customHeight="1">
      <c r="A6249" s="2" t="s">
        <v>16096</v>
      </c>
      <c r="B6249" s="2" t="s">
        <v>16097</v>
      </c>
      <c r="C6249" s="2" t="s">
        <v>26</v>
      </c>
      <c r="D6249" s="2" t="s">
        <v>141</v>
      </c>
      <c r="E6249" s="4">
        <v>-32238</v>
      </c>
      <c r="F6249" s="3" t="s">
        <v>166</v>
      </c>
      <c r="G6249" s="3" t="s">
        <v>178</v>
      </c>
      <c r="H6249" s="2" t="s">
        <v>148</v>
      </c>
      <c r="I6249" s="2" t="s">
        <v>16098</v>
      </c>
      <c r="J6249" s="3" t="str">
        <f>HYPERLINK("https://www.boe.es/gazeta/dias/1811/09/25/pdfs/GMD-C-1811-268.pdf#page=4","Abrir facsímil")</f>
        <v>Abrir facsímil</v>
      </c>
      <c r="K6249" s="3" t="s">
        <v>150</v>
      </c>
    </row>
    <row r="6250" spans="1:11" ht="42" customHeight="1">
      <c r="A6250" s="2" t="s">
        <v>16099</v>
      </c>
      <c r="B6250" s="2" t="s">
        <v>16100</v>
      </c>
      <c r="C6250" s="2" t="s">
        <v>26</v>
      </c>
      <c r="D6250" s="2" t="s">
        <v>18</v>
      </c>
      <c r="E6250" s="4">
        <v>-32270</v>
      </c>
      <c r="F6250" s="3" t="s">
        <v>431</v>
      </c>
      <c r="G6250" s="3" t="s">
        <v>2080</v>
      </c>
      <c r="H6250" s="2" t="s">
        <v>148</v>
      </c>
      <c r="I6250" s="2" t="s">
        <v>16101</v>
      </c>
      <c r="J6250" s="3" t="str">
        <f>HYPERLINK("https://www.boe.es/gazeta/dias/1811/08/24/pdfs/GEI-1811-110.pdf#page=5","Abrir facsímil")</f>
        <v>Abrir facsímil</v>
      </c>
      <c r="K6250" s="3" t="s">
        <v>150</v>
      </c>
    </row>
    <row r="6251" spans="1:11" ht="42" customHeight="1">
      <c r="A6251" s="2" t="s">
        <v>16102</v>
      </c>
      <c r="B6251" s="2" t="s">
        <v>16103</v>
      </c>
      <c r="C6251" s="2" t="s">
        <v>17</v>
      </c>
      <c r="D6251" s="2" t="s">
        <v>18</v>
      </c>
      <c r="E6251" s="4">
        <v>-32494</v>
      </c>
      <c r="F6251" s="3" t="s">
        <v>3050</v>
      </c>
      <c r="G6251" s="3" t="s">
        <v>3619</v>
      </c>
      <c r="H6251" s="2" t="s">
        <v>148</v>
      </c>
      <c r="I6251" s="2" t="s">
        <v>16104</v>
      </c>
      <c r="J6251" s="3" t="str">
        <f>HYPERLINK("https://www.boe.es/gazeta/dias/1811/01/12/pdfs/GEI-1811-6.pdf#page=8","Abrir facsímil")</f>
        <v>Abrir facsímil</v>
      </c>
      <c r="K6251" s="3" t="s">
        <v>150</v>
      </c>
    </row>
    <row r="6252" spans="1:11" ht="42" customHeight="1">
      <c r="A6252" s="2" t="s">
        <v>16105</v>
      </c>
      <c r="B6252" s="2" t="s">
        <v>16106</v>
      </c>
      <c r="C6252" s="2" t="s">
        <v>26</v>
      </c>
      <c r="D6252" s="2" t="s">
        <v>18</v>
      </c>
      <c r="E6252" s="4">
        <v>-32210</v>
      </c>
      <c r="F6252" s="3" t="s">
        <v>1737</v>
      </c>
      <c r="G6252" s="3" t="s">
        <v>91</v>
      </c>
      <c r="H6252" s="2" t="s">
        <v>148</v>
      </c>
      <c r="I6252" s="2" t="s">
        <v>16107</v>
      </c>
      <c r="J6252" s="3" t="str">
        <f>HYPERLINK("https://www.boe.es/gazeta/dias/1811/10/23/pdfs/GMD-1811-296.pdf#page=2","Abrir facsímil")</f>
        <v>Abrir facsímil</v>
      </c>
      <c r="K6252" s="3" t="s">
        <v>150</v>
      </c>
    </row>
    <row r="6253" spans="1:11" ht="42" customHeight="1">
      <c r="A6253" s="2" t="s">
        <v>16108</v>
      </c>
      <c r="B6253" s="2" t="s">
        <v>16109</v>
      </c>
      <c r="C6253" s="2" t="s">
        <v>26</v>
      </c>
      <c r="D6253" s="2" t="s">
        <v>528</v>
      </c>
      <c r="E6253" s="4">
        <v>-32435</v>
      </c>
      <c r="F6253" s="3" t="s">
        <v>11833</v>
      </c>
      <c r="G6253" s="3" t="s">
        <v>47</v>
      </c>
      <c r="H6253" s="2" t="s">
        <v>21</v>
      </c>
      <c r="I6253" s="2" t="s">
        <v>16110</v>
      </c>
      <c r="J6253" s="3" t="str">
        <f>HYPERLINK("https://www.boe.es/gazeta/dias/1811/03/12/pdfs/GEI-1811-36E.pdf#page=4","Abrir facsímil")</f>
        <v>Abrir facsímil</v>
      </c>
      <c r="K6253" s="3" t="s">
        <v>23</v>
      </c>
    </row>
    <row r="6254" spans="1:11" ht="42" customHeight="1">
      <c r="A6254" s="2" t="s">
        <v>16111</v>
      </c>
      <c r="B6254" s="2" t="s">
        <v>16111</v>
      </c>
      <c r="C6254" s="2" t="s">
        <v>26</v>
      </c>
      <c r="D6254" s="2" t="s">
        <v>204</v>
      </c>
      <c r="E6254" s="4">
        <v>-32363</v>
      </c>
      <c r="F6254" s="3" t="s">
        <v>1645</v>
      </c>
      <c r="G6254" s="3" t="s">
        <v>8256</v>
      </c>
      <c r="H6254" s="2" t="s">
        <v>148</v>
      </c>
      <c r="I6254" s="2" t="s">
        <v>16112</v>
      </c>
      <c r="J6254" s="3" t="str">
        <f>HYPERLINK("https://www.boe.es/gazeta/dias/1811/05/23/pdfs/GEI-1811-68.pdf#page=3","Abrir facsímil")</f>
        <v>Abrir facsímil</v>
      </c>
      <c r="K6254" s="3" t="s">
        <v>150</v>
      </c>
    </row>
    <row r="6255" spans="1:11" ht="42" customHeight="1">
      <c r="A6255" s="2" t="s">
        <v>16113</v>
      </c>
      <c r="B6255" s="2" t="s">
        <v>16114</v>
      </c>
      <c r="C6255" s="2" t="s">
        <v>367</v>
      </c>
      <c r="D6255" s="2" t="s">
        <v>18</v>
      </c>
      <c r="E6255" s="4">
        <v>-32325</v>
      </c>
      <c r="F6255" s="3" t="s">
        <v>552</v>
      </c>
      <c r="G6255" s="3" t="s">
        <v>553</v>
      </c>
      <c r="H6255" s="2" t="s">
        <v>148</v>
      </c>
      <c r="I6255" s="2" t="s">
        <v>16115</v>
      </c>
      <c r="J6255" s="3" t="str">
        <f>HYPERLINK("https://www.boe.es/gazeta/dias/1811/06/30/pdfs/GMD-1811-181.pdf#page=3","Abrir facsímil")</f>
        <v>Abrir facsímil</v>
      </c>
      <c r="K6255" s="3" t="s">
        <v>150</v>
      </c>
    </row>
    <row r="6256" spans="1:11" ht="42" customHeight="1">
      <c r="A6256" s="2" t="s">
        <v>16116</v>
      </c>
      <c r="B6256" s="2" t="s">
        <v>16117</v>
      </c>
      <c r="C6256" s="2" t="s">
        <v>26</v>
      </c>
      <c r="D6256" s="2" t="s">
        <v>141</v>
      </c>
      <c r="E6256" s="4">
        <v>-32238</v>
      </c>
      <c r="F6256" s="3" t="s">
        <v>166</v>
      </c>
      <c r="G6256" s="3" t="s">
        <v>178</v>
      </c>
      <c r="H6256" s="2" t="s">
        <v>148</v>
      </c>
      <c r="I6256" s="2" t="s">
        <v>16118</v>
      </c>
      <c r="J6256" s="3" t="str">
        <f>HYPERLINK("https://www.boe.es/gazeta/dias/1811/09/25/pdfs/GMD-C-1811-268.pdf#page=4","Abrir facsímil")</f>
        <v>Abrir facsímil</v>
      </c>
      <c r="K6256" s="3" t="s">
        <v>150</v>
      </c>
    </row>
    <row r="6257" spans="1:11" ht="42" customHeight="1">
      <c r="A6257" s="2" t="s">
        <v>16119</v>
      </c>
      <c r="B6257" s="2" t="s">
        <v>16120</v>
      </c>
      <c r="C6257" s="2" t="s">
        <v>122</v>
      </c>
      <c r="D6257" s="2" t="s">
        <v>18</v>
      </c>
      <c r="E6257" s="4">
        <v>-32310</v>
      </c>
      <c r="F6257" s="3" t="s">
        <v>2317</v>
      </c>
      <c r="G6257" s="3" t="s">
        <v>2318</v>
      </c>
      <c r="H6257" s="2" t="s">
        <v>148</v>
      </c>
      <c r="I6257" s="2" t="s">
        <v>16121</v>
      </c>
      <c r="J6257" s="3" t="str">
        <f>HYPERLINK("https://www.boe.es/gazeta/dias/1811/07/15/pdfs/GMD-1811-196.pdf#page=3","Abrir facsímil")</f>
        <v>Abrir facsímil</v>
      </c>
      <c r="K6257" s="3" t="s">
        <v>150</v>
      </c>
    </row>
    <row r="6258" spans="1:11" ht="42" customHeight="1">
      <c r="A6258" s="2" t="s">
        <v>16122</v>
      </c>
      <c r="B6258" s="2" t="s">
        <v>16123</v>
      </c>
      <c r="C6258" s="2" t="s">
        <v>26</v>
      </c>
      <c r="D6258" s="2" t="s">
        <v>18</v>
      </c>
      <c r="E6258" s="4">
        <v>-32253</v>
      </c>
      <c r="F6258" s="3" t="s">
        <v>581</v>
      </c>
      <c r="G6258" s="3" t="s">
        <v>4450</v>
      </c>
      <c r="H6258" s="2" t="s">
        <v>148</v>
      </c>
      <c r="I6258" s="2" t="s">
        <v>16124</v>
      </c>
      <c r="J6258" s="3" t="str">
        <f>HYPERLINK("https://www.boe.es/gazeta/dias/1811/09/10/pdfs/GEI-1811-117.pdf#page=8","Abrir facsímil")</f>
        <v>Abrir facsímil</v>
      </c>
      <c r="K6258" s="3" t="s">
        <v>150</v>
      </c>
    </row>
    <row r="6259" spans="1:11" ht="42" customHeight="1">
      <c r="A6259" s="2" t="s">
        <v>16125</v>
      </c>
      <c r="B6259" s="2" t="s">
        <v>16125</v>
      </c>
      <c r="C6259" s="2" t="s">
        <v>104</v>
      </c>
      <c r="D6259" s="2" t="s">
        <v>105</v>
      </c>
      <c r="E6259" s="4">
        <v>-32417</v>
      </c>
      <c r="F6259" s="3" t="s">
        <v>604</v>
      </c>
      <c r="G6259" s="3" t="s">
        <v>178</v>
      </c>
      <c r="H6259" s="2" t="s">
        <v>148</v>
      </c>
      <c r="I6259" s="2" t="s">
        <v>16126</v>
      </c>
      <c r="J6259" s="3" t="str">
        <f>HYPERLINK("https://www.boe.es/gazeta/dias/1811/03/30/pdfs/GMD-1811-89.pdf#page=3","Abrir facsímil")</f>
        <v>Abrir facsímil</v>
      </c>
      <c r="K6259" s="3" t="s">
        <v>150</v>
      </c>
    </row>
    <row r="6260" spans="1:11" ht="42" customHeight="1">
      <c r="A6260" s="2" t="s">
        <v>16127</v>
      </c>
      <c r="B6260" s="2" t="s">
        <v>16128</v>
      </c>
      <c r="C6260" s="2" t="s">
        <v>104</v>
      </c>
      <c r="D6260" s="2" t="s">
        <v>105</v>
      </c>
      <c r="E6260" s="4">
        <v>-32188</v>
      </c>
      <c r="F6260" s="3" t="s">
        <v>74</v>
      </c>
      <c r="G6260" s="3" t="s">
        <v>16129</v>
      </c>
      <c r="H6260" s="2" t="s">
        <v>148</v>
      </c>
      <c r="I6260" s="2" t="s">
        <v>16130</v>
      </c>
      <c r="J6260" s="3" t="str">
        <f>HYPERLINK("https://www.boe.es/gazeta/dias/1811/11/14/pdfs/GEI-1811-149.pdf#page=1","Abrir facsímil")</f>
        <v>Abrir facsímil</v>
      </c>
      <c r="K6260" s="3" t="s">
        <v>150</v>
      </c>
    </row>
    <row r="6261" spans="1:11" ht="42" customHeight="1">
      <c r="A6261" s="2" t="s">
        <v>16131</v>
      </c>
      <c r="B6261" s="2" t="s">
        <v>16132</v>
      </c>
      <c r="C6261" s="2" t="s">
        <v>26</v>
      </c>
      <c r="D6261" s="2" t="s">
        <v>204</v>
      </c>
      <c r="E6261" s="4">
        <v>-32399</v>
      </c>
      <c r="F6261" s="3" t="s">
        <v>6015</v>
      </c>
      <c r="G6261" s="3" t="s">
        <v>134</v>
      </c>
      <c r="H6261" s="2" t="s">
        <v>148</v>
      </c>
      <c r="I6261" s="2" t="s">
        <v>16133</v>
      </c>
      <c r="J6261" s="3" t="str">
        <f>HYPERLINK("https://www.boe.es/gazeta/dias/1811/04/17/pdfs/GMD-1811-107.pdf#page=2","Abrir facsímil")</f>
        <v>Abrir facsímil</v>
      </c>
      <c r="K6261" s="3" t="s">
        <v>150</v>
      </c>
    </row>
    <row r="6262" spans="1:11" ht="42" customHeight="1">
      <c r="A6262" s="2" t="s">
        <v>16131</v>
      </c>
      <c r="B6262" s="2" t="s">
        <v>16132</v>
      </c>
      <c r="C6262" s="2" t="s">
        <v>66</v>
      </c>
      <c r="D6262" s="2" t="s">
        <v>18</v>
      </c>
      <c r="E6262" s="4">
        <v>-32398</v>
      </c>
      <c r="F6262" s="3" t="s">
        <v>14898</v>
      </c>
      <c r="G6262" s="3" t="s">
        <v>16134</v>
      </c>
      <c r="H6262" s="2" t="s">
        <v>148</v>
      </c>
      <c r="I6262" s="2" t="s">
        <v>16135</v>
      </c>
      <c r="J6262" s="3" t="str">
        <f>HYPERLINK("https://www.boe.es/gazeta/dias/1811/04/18/pdfs/GMD-1811-108.pdf#page=2","Abrir facsímil")</f>
        <v>Abrir facsímil</v>
      </c>
      <c r="K6262" s="3" t="s">
        <v>150</v>
      </c>
    </row>
    <row r="6263" spans="1:11" ht="42" customHeight="1">
      <c r="A6263" s="2" t="s">
        <v>16136</v>
      </c>
      <c r="B6263" s="2" t="s">
        <v>16136</v>
      </c>
      <c r="C6263" s="2" t="s">
        <v>104</v>
      </c>
      <c r="D6263" s="2" t="s">
        <v>18</v>
      </c>
      <c r="E6263" s="4">
        <v>-32377</v>
      </c>
      <c r="F6263" s="3" t="s">
        <v>2461</v>
      </c>
      <c r="G6263" s="3" t="s">
        <v>162</v>
      </c>
      <c r="H6263" s="2" t="s">
        <v>148</v>
      </c>
      <c r="I6263" s="2" t="s">
        <v>16137</v>
      </c>
      <c r="J6263" s="3" t="str">
        <f>HYPERLINK("https://www.boe.es/gazeta/dias/1811/05/09/pdfs/GMD-1811-129.pdf#page=1","Abrir facsímil")</f>
        <v>Abrir facsímil</v>
      </c>
      <c r="K6263" s="3" t="s">
        <v>150</v>
      </c>
    </row>
    <row r="6264" spans="1:11" ht="42" customHeight="1">
      <c r="A6264" s="2" t="s">
        <v>16138</v>
      </c>
      <c r="B6264" s="2" t="s">
        <v>16138</v>
      </c>
      <c r="C6264" s="2" t="s">
        <v>17</v>
      </c>
      <c r="D6264" s="2" t="s">
        <v>18</v>
      </c>
      <c r="E6264" s="4">
        <v>-32501</v>
      </c>
      <c r="F6264" s="3" t="s">
        <v>1679</v>
      </c>
      <c r="G6264" s="3" t="s">
        <v>305</v>
      </c>
      <c r="H6264" s="2" t="s">
        <v>148</v>
      </c>
      <c r="I6264" s="2" t="s">
        <v>16139</v>
      </c>
      <c r="J6264" s="3" t="str">
        <f>HYPERLINK("https://www.boe.es/gazeta/dias/1811/01/05/pdfs/GMD-1811-5.pdf#page=2","Abrir facsímil")</f>
        <v>Abrir facsímil</v>
      </c>
      <c r="K6264" s="3" t="s">
        <v>150</v>
      </c>
    </row>
    <row r="6265" spans="1:11" ht="42" customHeight="1">
      <c r="A6265" s="2" t="s">
        <v>16138</v>
      </c>
      <c r="B6265" s="2" t="s">
        <v>16138</v>
      </c>
      <c r="C6265" s="2" t="s">
        <v>122</v>
      </c>
      <c r="D6265" s="2" t="s">
        <v>18</v>
      </c>
      <c r="E6265" s="4">
        <v>-32492</v>
      </c>
      <c r="F6265" s="3" t="s">
        <v>1512</v>
      </c>
      <c r="G6265" s="3" t="s">
        <v>846</v>
      </c>
      <c r="H6265" s="2" t="s">
        <v>148</v>
      </c>
      <c r="I6265" s="2" t="s">
        <v>16140</v>
      </c>
      <c r="J6265" s="3" t="str">
        <f>HYPERLINK("https://www.boe.es/gazeta/dias/1811/01/14/pdfs/GMD-1811-14.pdf#page=1","Abrir facsímil")</f>
        <v>Abrir facsímil</v>
      </c>
      <c r="K6265" s="3" t="s">
        <v>150</v>
      </c>
    </row>
    <row r="6266" spans="1:11" ht="42" customHeight="1">
      <c r="A6266" s="2" t="s">
        <v>16138</v>
      </c>
      <c r="B6266" s="2" t="s">
        <v>16138</v>
      </c>
      <c r="C6266" s="2" t="s">
        <v>17</v>
      </c>
      <c r="D6266" s="2" t="s">
        <v>18</v>
      </c>
      <c r="E6266" s="4">
        <v>-32480</v>
      </c>
      <c r="F6266" s="3" t="s">
        <v>3061</v>
      </c>
      <c r="G6266" s="3" t="s">
        <v>510</v>
      </c>
      <c r="H6266" s="2" t="s">
        <v>148</v>
      </c>
      <c r="I6266" s="2" t="s">
        <v>16141</v>
      </c>
      <c r="J6266" s="3" t="str">
        <f>HYPERLINK("https://www.boe.es/gazeta/dias/1811/01/26/pdfs/GEI-1811-12.pdf#page=8","Abrir facsímil")</f>
        <v>Abrir facsímil</v>
      </c>
      <c r="K6266" s="3" t="s">
        <v>150</v>
      </c>
    </row>
    <row r="6267" spans="1:11" ht="42" customHeight="1">
      <c r="A6267" s="2" t="s">
        <v>16138</v>
      </c>
      <c r="B6267" s="2" t="s">
        <v>16138</v>
      </c>
      <c r="C6267" s="2" t="s">
        <v>104</v>
      </c>
      <c r="D6267" s="2" t="s">
        <v>18</v>
      </c>
      <c r="E6267" s="4">
        <v>-32476</v>
      </c>
      <c r="F6267" s="3" t="s">
        <v>1896</v>
      </c>
      <c r="G6267" s="3" t="s">
        <v>8703</v>
      </c>
      <c r="H6267" s="2" t="s">
        <v>148</v>
      </c>
      <c r="I6267" s="2" t="s">
        <v>16142</v>
      </c>
      <c r="J6267" s="3" t="str">
        <f>HYPERLINK("https://www.boe.es/gazeta/dias/1811/01/30/pdfs/GMD-1811-30.pdf#page=1","Abrir facsímil")</f>
        <v>Abrir facsímil</v>
      </c>
      <c r="K6267" s="3" t="s">
        <v>150</v>
      </c>
    </row>
    <row r="6268" spans="1:11" ht="42" customHeight="1">
      <c r="A6268" s="2" t="s">
        <v>16138</v>
      </c>
      <c r="B6268" s="2" t="s">
        <v>16138</v>
      </c>
      <c r="C6268" s="2" t="s">
        <v>104</v>
      </c>
      <c r="D6268" s="2" t="s">
        <v>18</v>
      </c>
      <c r="E6268" s="4">
        <v>-32459</v>
      </c>
      <c r="F6268" s="3" t="s">
        <v>227</v>
      </c>
      <c r="G6268" s="3" t="s">
        <v>488</v>
      </c>
      <c r="H6268" s="2" t="s">
        <v>148</v>
      </c>
      <c r="I6268" s="2" t="s">
        <v>16143</v>
      </c>
      <c r="J6268" s="3" t="str">
        <f>HYPERLINK("https://www.boe.es/gazeta/dias/1811/02/16/pdfs/GMD-1811-47.pdf#page=2","Abrir facsímil")</f>
        <v>Abrir facsímil</v>
      </c>
      <c r="K6268" s="3" t="s">
        <v>150</v>
      </c>
    </row>
    <row r="6269" spans="1:11" ht="42" customHeight="1">
      <c r="A6269" s="2" t="s">
        <v>16138</v>
      </c>
      <c r="B6269" s="2" t="s">
        <v>16138</v>
      </c>
      <c r="C6269" s="2" t="s">
        <v>104</v>
      </c>
      <c r="D6269" s="2" t="s">
        <v>18</v>
      </c>
      <c r="E6269" s="4">
        <v>-32435</v>
      </c>
      <c r="F6269" s="3" t="s">
        <v>6110</v>
      </c>
      <c r="G6269" s="3" t="s">
        <v>16144</v>
      </c>
      <c r="H6269" s="2" t="s">
        <v>148</v>
      </c>
      <c r="I6269" s="2" t="s">
        <v>16145</v>
      </c>
      <c r="J6269" s="3" t="str">
        <f>HYPERLINK("https://www.boe.es/gazeta/dias/1811/03/12/pdfs/GMD-1811-71.pdf#page=1","Abrir facsímil")</f>
        <v>Abrir facsímil</v>
      </c>
      <c r="K6269" s="3" t="s">
        <v>150</v>
      </c>
    </row>
    <row r="6270" spans="1:11" ht="42" customHeight="1">
      <c r="A6270" s="2" t="s">
        <v>16138</v>
      </c>
      <c r="B6270" s="2" t="s">
        <v>16138</v>
      </c>
      <c r="C6270" s="2" t="s">
        <v>104</v>
      </c>
      <c r="D6270" s="2" t="s">
        <v>18</v>
      </c>
      <c r="E6270" s="4">
        <v>-32421</v>
      </c>
      <c r="F6270" s="3" t="s">
        <v>6279</v>
      </c>
      <c r="G6270" s="3" t="s">
        <v>115</v>
      </c>
      <c r="H6270" s="2" t="s">
        <v>148</v>
      </c>
      <c r="I6270" s="2" t="s">
        <v>16146</v>
      </c>
      <c r="J6270" s="3" t="str">
        <f>HYPERLINK("https://www.boe.es/gazeta/dias/1811/03/26/pdfs/GMD-1811-85.pdf#page=3","Abrir facsímil")</f>
        <v>Abrir facsímil</v>
      </c>
      <c r="K6270" s="3" t="s">
        <v>150</v>
      </c>
    </row>
    <row r="6271" spans="1:11" ht="42" customHeight="1">
      <c r="A6271" s="2" t="s">
        <v>16138</v>
      </c>
      <c r="B6271" s="2" t="s">
        <v>16138</v>
      </c>
      <c r="C6271" s="2" t="s">
        <v>367</v>
      </c>
      <c r="D6271" s="2" t="s">
        <v>204</v>
      </c>
      <c r="E6271" s="4">
        <v>-32411</v>
      </c>
      <c r="F6271" s="3" t="s">
        <v>986</v>
      </c>
      <c r="G6271" s="3" t="s">
        <v>755</v>
      </c>
      <c r="H6271" s="2" t="s">
        <v>148</v>
      </c>
      <c r="I6271" s="2" t="s">
        <v>16147</v>
      </c>
      <c r="J6271" s="3" t="str">
        <f>HYPERLINK("https://www.boe.es/gazeta/dias/1811/04/05/pdfs/GMD-1811-95.pdf#page=2","Abrir facsímil")</f>
        <v>Abrir facsímil</v>
      </c>
      <c r="K6271" s="3" t="s">
        <v>150</v>
      </c>
    </row>
    <row r="6272" spans="1:11" ht="42" customHeight="1">
      <c r="A6272" s="2" t="s">
        <v>16138</v>
      </c>
      <c r="B6272" s="2" t="s">
        <v>16138</v>
      </c>
      <c r="C6272" s="2" t="s">
        <v>104</v>
      </c>
      <c r="D6272" s="2" t="s">
        <v>18</v>
      </c>
      <c r="E6272" s="4">
        <v>-32411</v>
      </c>
      <c r="F6272" s="3" t="s">
        <v>986</v>
      </c>
      <c r="G6272" s="3" t="s">
        <v>16148</v>
      </c>
      <c r="H6272" s="2" t="s">
        <v>148</v>
      </c>
      <c r="I6272" s="2" t="s">
        <v>16149</v>
      </c>
      <c r="J6272" s="3" t="str">
        <f>HYPERLINK("https://www.boe.es/gazeta/dias/1811/04/05/pdfs/GMD-1811-95.pdf#page=3","Abrir facsímil")</f>
        <v>Abrir facsímil</v>
      </c>
      <c r="K6272" s="3" t="s">
        <v>150</v>
      </c>
    </row>
    <row r="6273" spans="1:11" ht="42" customHeight="1">
      <c r="A6273" s="2" t="s">
        <v>16138</v>
      </c>
      <c r="B6273" s="2" t="s">
        <v>16138</v>
      </c>
      <c r="C6273" s="2" t="s">
        <v>17</v>
      </c>
      <c r="D6273" s="2" t="s">
        <v>18</v>
      </c>
      <c r="E6273" s="4">
        <v>-32410</v>
      </c>
      <c r="F6273" s="3" t="s">
        <v>2678</v>
      </c>
      <c r="G6273" s="3" t="s">
        <v>515</v>
      </c>
      <c r="H6273" s="2" t="s">
        <v>148</v>
      </c>
      <c r="I6273" s="2" t="s">
        <v>16150</v>
      </c>
      <c r="J6273" s="3" t="str">
        <f>HYPERLINK("https://www.boe.es/gazeta/dias/1811/04/06/pdfs/GEI-1811-47.pdf#page=3","Abrir facsímil")</f>
        <v>Abrir facsímil</v>
      </c>
      <c r="K6273" s="3" t="s">
        <v>150</v>
      </c>
    </row>
    <row r="6274" spans="1:11" ht="42" customHeight="1">
      <c r="A6274" s="2" t="s">
        <v>16138</v>
      </c>
      <c r="B6274" s="2" t="s">
        <v>16138</v>
      </c>
      <c r="C6274" s="2" t="s">
        <v>122</v>
      </c>
      <c r="D6274" s="2" t="s">
        <v>18</v>
      </c>
      <c r="E6274" s="4">
        <v>-32393</v>
      </c>
      <c r="F6274" s="3" t="s">
        <v>2467</v>
      </c>
      <c r="G6274" s="3" t="s">
        <v>16151</v>
      </c>
      <c r="H6274" s="2" t="s">
        <v>148</v>
      </c>
      <c r="I6274" s="2" t="s">
        <v>16152</v>
      </c>
      <c r="J6274" s="3" t="str">
        <f>HYPERLINK("https://www.boe.es/gazeta/dias/1811/04/23/pdfs/GMD-1811-113.pdf#page=1","Abrir facsímil")</f>
        <v>Abrir facsímil</v>
      </c>
      <c r="K6274" s="3" t="s">
        <v>150</v>
      </c>
    </row>
    <row r="6275" spans="1:11" ht="42" customHeight="1">
      <c r="A6275" s="2" t="s">
        <v>16138</v>
      </c>
      <c r="B6275" s="2" t="s">
        <v>16138</v>
      </c>
      <c r="C6275" s="2" t="s">
        <v>104</v>
      </c>
      <c r="D6275" s="2" t="s">
        <v>18</v>
      </c>
      <c r="E6275" s="4">
        <v>-32382</v>
      </c>
      <c r="F6275" s="3" t="s">
        <v>6451</v>
      </c>
      <c r="G6275" s="3" t="s">
        <v>178</v>
      </c>
      <c r="H6275" s="2" t="s">
        <v>148</v>
      </c>
      <c r="I6275" s="2" t="s">
        <v>16153</v>
      </c>
      <c r="J6275" s="3" t="str">
        <f>HYPERLINK("https://www.boe.es/gazeta/dias/1811/05/04/pdfs/GMD-1811-124.pdf#page=2","Abrir facsímil")</f>
        <v>Abrir facsímil</v>
      </c>
      <c r="K6275" s="3" t="s">
        <v>150</v>
      </c>
    </row>
    <row r="6276" spans="1:11" ht="42" customHeight="1">
      <c r="A6276" s="2" t="s">
        <v>16138</v>
      </c>
      <c r="B6276" s="2" t="s">
        <v>16138</v>
      </c>
      <c r="C6276" s="2" t="s">
        <v>104</v>
      </c>
      <c r="D6276" s="2" t="s">
        <v>18</v>
      </c>
      <c r="E6276" s="4">
        <v>-32381</v>
      </c>
      <c r="F6276" s="3" t="s">
        <v>1698</v>
      </c>
      <c r="G6276" s="3" t="s">
        <v>12649</v>
      </c>
      <c r="H6276" s="2" t="s">
        <v>148</v>
      </c>
      <c r="I6276" s="2" t="s">
        <v>16154</v>
      </c>
      <c r="J6276" s="3" t="str">
        <f>HYPERLINK("https://www.boe.es/gazeta/dias/1811/05/05/pdfs/GMD-1811-125.pdf#page=1","Abrir facsímil")</f>
        <v>Abrir facsímil</v>
      </c>
      <c r="K6276" s="3" t="s">
        <v>150</v>
      </c>
    </row>
    <row r="6277" spans="1:11" ht="42" customHeight="1">
      <c r="A6277" s="2" t="s">
        <v>16138</v>
      </c>
      <c r="B6277" s="2" t="s">
        <v>16138</v>
      </c>
      <c r="C6277" s="2" t="s">
        <v>104</v>
      </c>
      <c r="D6277" s="2" t="s">
        <v>18</v>
      </c>
      <c r="E6277" s="4">
        <v>-32369</v>
      </c>
      <c r="F6277" s="3" t="s">
        <v>896</v>
      </c>
      <c r="G6277" s="3" t="s">
        <v>236</v>
      </c>
      <c r="H6277" s="2" t="s">
        <v>148</v>
      </c>
      <c r="I6277" s="2" t="s">
        <v>16155</v>
      </c>
      <c r="J6277" s="3" t="str">
        <f>HYPERLINK("https://www.boe.es/gazeta/dias/1811/05/17/pdfs/GMD-1811-137.pdf#page=1","Abrir facsímil")</f>
        <v>Abrir facsímil</v>
      </c>
      <c r="K6277" s="3" t="s">
        <v>150</v>
      </c>
    </row>
    <row r="6278" spans="1:11" ht="42" customHeight="1">
      <c r="A6278" s="2" t="s">
        <v>16138</v>
      </c>
      <c r="B6278" s="2" t="s">
        <v>16138</v>
      </c>
      <c r="C6278" s="2" t="s">
        <v>104</v>
      </c>
      <c r="D6278" s="2" t="s">
        <v>18</v>
      </c>
      <c r="E6278" s="4">
        <v>-32363</v>
      </c>
      <c r="F6278" s="3" t="s">
        <v>4788</v>
      </c>
      <c r="G6278" s="3" t="s">
        <v>4789</v>
      </c>
      <c r="H6278" s="2" t="s">
        <v>148</v>
      </c>
      <c r="I6278" s="2" t="s">
        <v>16156</v>
      </c>
      <c r="J6278" s="3" t="str">
        <f>HYPERLINK("https://www.boe.es/gazeta/dias/1811/05/23/pdfs/GMD-1811-143.pdf#page=1","Abrir facsímil")</f>
        <v>Abrir facsímil</v>
      </c>
      <c r="K6278" s="3" t="s">
        <v>150</v>
      </c>
    </row>
    <row r="6279" spans="1:11" ht="42" customHeight="1">
      <c r="A6279" s="2" t="s">
        <v>16138</v>
      </c>
      <c r="B6279" s="2" t="s">
        <v>16138</v>
      </c>
      <c r="C6279" s="2" t="s">
        <v>122</v>
      </c>
      <c r="D6279" s="2" t="s">
        <v>18</v>
      </c>
      <c r="E6279" s="4">
        <v>-32358</v>
      </c>
      <c r="F6279" s="3" t="s">
        <v>3186</v>
      </c>
      <c r="G6279" s="3" t="s">
        <v>2604</v>
      </c>
      <c r="H6279" s="2" t="s">
        <v>148</v>
      </c>
      <c r="I6279" s="2" t="s">
        <v>16157</v>
      </c>
      <c r="J6279" s="3" t="str">
        <f>HYPERLINK("https://www.boe.es/gazeta/dias/1811/05/28/pdfs/GMD-1811-148.pdf#page=3","Abrir facsímil")</f>
        <v>Abrir facsímil</v>
      </c>
      <c r="K6279" s="3" t="s">
        <v>150</v>
      </c>
    </row>
    <row r="6280" spans="1:11" ht="42" customHeight="1">
      <c r="A6280" s="2" t="s">
        <v>16138</v>
      </c>
      <c r="B6280" s="2" t="s">
        <v>16138</v>
      </c>
      <c r="C6280" s="2" t="s">
        <v>104</v>
      </c>
      <c r="D6280" s="2" t="s">
        <v>105</v>
      </c>
      <c r="E6280" s="4">
        <v>-32347</v>
      </c>
      <c r="F6280" s="3" t="s">
        <v>5230</v>
      </c>
      <c r="G6280" s="3" t="s">
        <v>248</v>
      </c>
      <c r="H6280" s="2" t="s">
        <v>148</v>
      </c>
      <c r="I6280" s="2" t="s">
        <v>16158</v>
      </c>
      <c r="J6280" s="3" t="str">
        <f>HYPERLINK("https://www.boe.es/gazeta/dias/1811/06/08/pdfs/GMD-1811-159.pdf#page=4","Abrir facsímil")</f>
        <v>Abrir facsímil</v>
      </c>
      <c r="K6280" s="3" t="s">
        <v>150</v>
      </c>
    </row>
    <row r="6281" spans="1:11" ht="42" customHeight="1">
      <c r="A6281" s="2" t="s">
        <v>16138</v>
      </c>
      <c r="B6281" s="2" t="s">
        <v>16138</v>
      </c>
      <c r="C6281" s="2" t="s">
        <v>104</v>
      </c>
      <c r="D6281" s="2" t="s">
        <v>18</v>
      </c>
      <c r="E6281" s="4">
        <v>-32342</v>
      </c>
      <c r="F6281" s="3" t="s">
        <v>16159</v>
      </c>
      <c r="G6281" s="3" t="s">
        <v>91</v>
      </c>
      <c r="H6281" s="2" t="s">
        <v>148</v>
      </c>
      <c r="I6281" s="2" t="s">
        <v>16160</v>
      </c>
      <c r="J6281" s="3" t="str">
        <f>HYPERLINK("https://www.boe.es/gazeta/dias/1811/06/13/pdfs/GMD-1811-164.pdf#page=2","Abrir facsímil")</f>
        <v>Abrir facsímil</v>
      </c>
      <c r="K6281" s="3" t="s">
        <v>150</v>
      </c>
    </row>
    <row r="6282" spans="1:11" ht="42" customHeight="1">
      <c r="A6282" s="2" t="s">
        <v>16138</v>
      </c>
      <c r="B6282" s="2" t="s">
        <v>16138</v>
      </c>
      <c r="C6282" s="2" t="s">
        <v>104</v>
      </c>
      <c r="D6282" s="2" t="s">
        <v>18</v>
      </c>
      <c r="E6282" s="4">
        <v>-32282</v>
      </c>
      <c r="F6282" s="3" t="s">
        <v>10800</v>
      </c>
      <c r="G6282" s="3" t="s">
        <v>1688</v>
      </c>
      <c r="H6282" s="2" t="s">
        <v>148</v>
      </c>
      <c r="I6282" s="2" t="s">
        <v>16161</v>
      </c>
      <c r="J6282" s="3" t="str">
        <f>HYPERLINK("https://www.boe.es/gazeta/dias/1811/08/12/pdfs/GMD-1811-224.pdf#page=1","Abrir facsímil")</f>
        <v>Abrir facsímil</v>
      </c>
      <c r="K6282" s="3" t="s">
        <v>150</v>
      </c>
    </row>
    <row r="6283" spans="1:11" ht="42" customHeight="1">
      <c r="A6283" s="2" t="s">
        <v>16138</v>
      </c>
      <c r="B6283" s="2" t="s">
        <v>16138</v>
      </c>
      <c r="C6283" s="2" t="s">
        <v>104</v>
      </c>
      <c r="D6283" s="2" t="s">
        <v>18</v>
      </c>
      <c r="E6283" s="4">
        <v>-32230</v>
      </c>
      <c r="F6283" s="3" t="s">
        <v>625</v>
      </c>
      <c r="G6283" s="3" t="s">
        <v>626</v>
      </c>
      <c r="H6283" s="2" t="s">
        <v>148</v>
      </c>
      <c r="I6283" s="2" t="s">
        <v>16162</v>
      </c>
      <c r="J6283" s="3" t="str">
        <f>HYPERLINK("https://www.boe.es/gazeta/dias/1811/10/03/pdfs/GEI-1811-127.pdf#page=1","Abrir facsímil")</f>
        <v>Abrir facsímil</v>
      </c>
      <c r="K6283" s="3" t="s">
        <v>150</v>
      </c>
    </row>
    <row r="6284" spans="1:11" ht="42" customHeight="1">
      <c r="A6284" s="2" t="s">
        <v>16138</v>
      </c>
      <c r="B6284" s="2" t="s">
        <v>16138</v>
      </c>
      <c r="C6284" s="2" t="s">
        <v>104</v>
      </c>
      <c r="D6284" s="2" t="s">
        <v>18</v>
      </c>
      <c r="E6284" s="4">
        <v>-32216</v>
      </c>
      <c r="F6284" s="3" t="s">
        <v>5136</v>
      </c>
      <c r="G6284" s="3" t="s">
        <v>16163</v>
      </c>
      <c r="H6284" s="2" t="s">
        <v>148</v>
      </c>
      <c r="I6284" s="2" t="s">
        <v>16164</v>
      </c>
      <c r="J6284" s="3" t="str">
        <f>HYPERLINK("https://www.boe.es/gazeta/dias/1811/10/17/pdfs/GMD-1811-290.pdf#page=3","Abrir facsímil")</f>
        <v>Abrir facsímil</v>
      </c>
      <c r="K6284" s="3" t="s">
        <v>150</v>
      </c>
    </row>
    <row r="6285" spans="1:11" ht="42" customHeight="1">
      <c r="A6285" s="2" t="s">
        <v>16138</v>
      </c>
      <c r="B6285" s="2" t="s">
        <v>16138</v>
      </c>
      <c r="C6285" s="2" t="s">
        <v>104</v>
      </c>
      <c r="D6285" s="2" t="s">
        <v>18</v>
      </c>
      <c r="E6285" s="4">
        <v>-32194</v>
      </c>
      <c r="F6285" s="3" t="s">
        <v>1062</v>
      </c>
      <c r="G6285" s="3" t="s">
        <v>39</v>
      </c>
      <c r="H6285" s="2" t="s">
        <v>148</v>
      </c>
      <c r="I6285" s="2" t="s">
        <v>16165</v>
      </c>
      <c r="J6285" s="3" t="str">
        <f>HYPERLINK("https://www.boe.es/gazeta/dias/1811/11/08/pdfs/GMD-1811-312.pdf#page=2","Abrir facsímil")</f>
        <v>Abrir facsímil</v>
      </c>
      <c r="K6285" s="3" t="s">
        <v>150</v>
      </c>
    </row>
    <row r="6286" spans="1:11" ht="42" customHeight="1">
      <c r="A6286" s="2" t="s">
        <v>16166</v>
      </c>
      <c r="B6286" s="2" t="s">
        <v>16167</v>
      </c>
      <c r="C6286" s="2" t="s">
        <v>37</v>
      </c>
      <c r="D6286" s="2" t="s">
        <v>204</v>
      </c>
      <c r="E6286" s="4">
        <v>-32417</v>
      </c>
      <c r="F6286" s="3" t="s">
        <v>604</v>
      </c>
      <c r="G6286" s="3" t="s">
        <v>178</v>
      </c>
      <c r="H6286" s="2" t="s">
        <v>148</v>
      </c>
      <c r="I6286" s="2" t="s">
        <v>16168</v>
      </c>
      <c r="J6286" s="3" t="str">
        <f>HYPERLINK("https://www.boe.es/gazeta/dias/1811/03/30/pdfs/GMD-1811-89.pdf#page=3","Abrir facsímil")</f>
        <v>Abrir facsímil</v>
      </c>
      <c r="K6286" s="3" t="s">
        <v>150</v>
      </c>
    </row>
    <row r="6287" spans="1:11" ht="42" customHeight="1">
      <c r="A6287" s="2" t="s">
        <v>16166</v>
      </c>
      <c r="B6287" s="2" t="s">
        <v>16167</v>
      </c>
      <c r="C6287" s="2" t="s">
        <v>26</v>
      </c>
      <c r="D6287" s="2" t="s">
        <v>204</v>
      </c>
      <c r="E6287" s="4">
        <v>-32412</v>
      </c>
      <c r="F6287" s="3" t="s">
        <v>5296</v>
      </c>
      <c r="G6287" s="3" t="s">
        <v>115</v>
      </c>
      <c r="H6287" s="2" t="s">
        <v>148</v>
      </c>
      <c r="I6287" s="2" t="s">
        <v>16169</v>
      </c>
      <c r="J6287" s="3" t="str">
        <f>HYPERLINK("https://www.boe.es/gazeta/dias/1811/04/04/pdfs/GMD-1811-94.pdf#page=3","Abrir facsímil")</f>
        <v>Abrir facsímil</v>
      </c>
      <c r="K6287" s="3" t="s">
        <v>150</v>
      </c>
    </row>
    <row r="6288" spans="1:11" ht="42" customHeight="1">
      <c r="A6288" s="2" t="s">
        <v>16166</v>
      </c>
      <c r="B6288" s="2" t="s">
        <v>16167</v>
      </c>
      <c r="C6288" s="2" t="s">
        <v>17</v>
      </c>
      <c r="D6288" s="2" t="s">
        <v>204</v>
      </c>
      <c r="E6288" s="4">
        <v>-32404</v>
      </c>
      <c r="F6288" s="3" t="s">
        <v>911</v>
      </c>
      <c r="G6288" s="3" t="s">
        <v>468</v>
      </c>
      <c r="H6288" s="2" t="s">
        <v>148</v>
      </c>
      <c r="I6288" s="2" t="s">
        <v>16170</v>
      </c>
      <c r="J6288" s="3" t="str">
        <f>HYPERLINK("https://www.boe.es/gazeta/dias/1811/04/12/pdfs/GMD-1811-102.pdf#page=3","Abrir facsímil")</f>
        <v>Abrir facsímil</v>
      </c>
      <c r="K6288" s="3" t="s">
        <v>150</v>
      </c>
    </row>
    <row r="6289" spans="1:11" ht="42" customHeight="1">
      <c r="A6289" s="2" t="s">
        <v>16171</v>
      </c>
      <c r="B6289" s="2" t="s">
        <v>16172</v>
      </c>
      <c r="C6289" s="2" t="s">
        <v>104</v>
      </c>
      <c r="D6289" s="2" t="s">
        <v>18</v>
      </c>
      <c r="E6289" s="4">
        <v>-32324</v>
      </c>
      <c r="F6289" s="3" t="s">
        <v>730</v>
      </c>
      <c r="G6289" s="3" t="s">
        <v>57</v>
      </c>
      <c r="H6289" s="2" t="s">
        <v>148</v>
      </c>
      <c r="I6289" s="2" t="s">
        <v>16173</v>
      </c>
      <c r="J6289" s="3" t="str">
        <f>HYPERLINK("https://www.boe.es/gazeta/dias/1811/07/01/pdfs/GMD-1811-182.pdf#page=2","Abrir facsímil")</f>
        <v>Abrir facsímil</v>
      </c>
      <c r="K6289" s="3" t="s">
        <v>150</v>
      </c>
    </row>
    <row r="6290" spans="1:11" ht="42" customHeight="1">
      <c r="A6290" s="2" t="s">
        <v>16171</v>
      </c>
      <c r="B6290" s="2" t="s">
        <v>16172</v>
      </c>
      <c r="C6290" s="2" t="s">
        <v>26</v>
      </c>
      <c r="D6290" s="2" t="s">
        <v>204</v>
      </c>
      <c r="E6290" s="4">
        <v>-32320</v>
      </c>
      <c r="F6290" s="3" t="s">
        <v>3234</v>
      </c>
      <c r="G6290" s="3" t="s">
        <v>57</v>
      </c>
      <c r="H6290" s="2" t="s">
        <v>148</v>
      </c>
      <c r="I6290" s="2" t="s">
        <v>16174</v>
      </c>
      <c r="J6290" s="3" t="str">
        <f>HYPERLINK("https://www.boe.es/gazeta/dias/1811/07/05/pdfs/GMD-1811-186.pdf#page=2","Abrir facsímil")</f>
        <v>Abrir facsímil</v>
      </c>
      <c r="K6290" s="3" t="s">
        <v>150</v>
      </c>
    </row>
    <row r="6291" spans="1:11" ht="42" customHeight="1">
      <c r="A6291" s="2" t="s">
        <v>16175</v>
      </c>
      <c r="B6291" s="2" t="s">
        <v>16176</v>
      </c>
      <c r="C6291" s="2" t="s">
        <v>84</v>
      </c>
      <c r="D6291" s="2" t="s">
        <v>204</v>
      </c>
      <c r="E6291" s="4">
        <v>-32267</v>
      </c>
      <c r="F6291" s="3" t="s">
        <v>1045</v>
      </c>
      <c r="G6291" s="3" t="s">
        <v>8282</v>
      </c>
      <c r="H6291" s="2" t="s">
        <v>148</v>
      </c>
      <c r="I6291" s="2" t="s">
        <v>16177</v>
      </c>
      <c r="J6291" s="3" t="str">
        <f>HYPERLINK("https://www.boe.es/gazeta/dias/1811/08/27/pdfs/GEI-1811-111.pdf#page=8","Abrir facsímil")</f>
        <v>Abrir facsímil</v>
      </c>
      <c r="K6291" s="3" t="s">
        <v>150</v>
      </c>
    </row>
    <row r="6292" spans="1:11" ht="42" customHeight="1">
      <c r="A6292" s="2" t="s">
        <v>16178</v>
      </c>
      <c r="B6292" s="2" t="s">
        <v>16179</v>
      </c>
      <c r="C6292" s="2" t="s">
        <v>26</v>
      </c>
      <c r="D6292" s="2" t="s">
        <v>18</v>
      </c>
      <c r="E6292" s="4">
        <v>-32397</v>
      </c>
      <c r="F6292" s="3" t="s">
        <v>359</v>
      </c>
      <c r="G6292" s="3" t="s">
        <v>57</v>
      </c>
      <c r="H6292" s="2" t="s">
        <v>148</v>
      </c>
      <c r="I6292" s="2" t="s">
        <v>16180</v>
      </c>
      <c r="J6292" s="3" t="str">
        <f>HYPERLINK("https://www.boe.es/gazeta/dias/1811/04/19/pdfs/GMD-1811-109.pdf#page=2","Abrir facsímil")</f>
        <v>Abrir facsímil</v>
      </c>
      <c r="K6292" s="3" t="s">
        <v>150</v>
      </c>
    </row>
    <row r="6293" spans="1:11" ht="42" customHeight="1">
      <c r="A6293" s="2" t="s">
        <v>16178</v>
      </c>
      <c r="B6293" s="2" t="s">
        <v>16179</v>
      </c>
      <c r="C6293" s="2" t="s">
        <v>84</v>
      </c>
      <c r="D6293" s="2" t="s">
        <v>18</v>
      </c>
      <c r="E6293" s="4">
        <v>-32397</v>
      </c>
      <c r="F6293" s="3" t="s">
        <v>359</v>
      </c>
      <c r="G6293" s="3" t="s">
        <v>91</v>
      </c>
      <c r="H6293" s="2" t="s">
        <v>148</v>
      </c>
      <c r="I6293" s="2" t="s">
        <v>16181</v>
      </c>
      <c r="J6293" s="3" t="str">
        <f>HYPERLINK("https://www.boe.es/gazeta/dias/1811/04/19/pdfs/GMD-1811-109.pdf#page=3","Abrir facsímil")</f>
        <v>Abrir facsímil</v>
      </c>
      <c r="K6293" s="3" t="s">
        <v>150</v>
      </c>
    </row>
    <row r="6294" spans="1:11" ht="42" customHeight="1">
      <c r="A6294" s="2" t="s">
        <v>16178</v>
      </c>
      <c r="B6294" s="2" t="s">
        <v>16179</v>
      </c>
      <c r="C6294" s="2" t="s">
        <v>17</v>
      </c>
      <c r="D6294" s="2" t="s">
        <v>18</v>
      </c>
      <c r="E6294" s="4">
        <v>-32394</v>
      </c>
      <c r="F6294" s="3" t="s">
        <v>1709</v>
      </c>
      <c r="G6294" s="3" t="s">
        <v>248</v>
      </c>
      <c r="H6294" s="2" t="s">
        <v>148</v>
      </c>
      <c r="I6294" s="2" t="s">
        <v>16182</v>
      </c>
      <c r="J6294" s="3" t="str">
        <f>HYPERLINK("https://www.boe.es/gazeta/dias/1811/04/22/pdfs/GMD-1811-112.pdf#page=2","Abrir facsímil")</f>
        <v>Abrir facsímil</v>
      </c>
      <c r="K6294" s="3" t="s">
        <v>150</v>
      </c>
    </row>
    <row r="6295" spans="1:11" ht="42" customHeight="1">
      <c r="A6295" s="2" t="s">
        <v>16178</v>
      </c>
      <c r="B6295" s="2" t="s">
        <v>16179</v>
      </c>
      <c r="C6295" s="2" t="s">
        <v>26</v>
      </c>
      <c r="D6295" s="2" t="s">
        <v>18</v>
      </c>
      <c r="E6295" s="4">
        <v>-32255</v>
      </c>
      <c r="F6295" s="3" t="s">
        <v>187</v>
      </c>
      <c r="G6295" s="3" t="s">
        <v>8547</v>
      </c>
      <c r="H6295" s="2" t="s">
        <v>148</v>
      </c>
      <c r="I6295" s="2" t="s">
        <v>16183</v>
      </c>
      <c r="J6295" s="3" t="str">
        <f>HYPERLINK("https://www.boe.es/gazeta/dias/1811/09/08/pdfs/GMD-1811-251.pdf#page=3","Abrir facsímil")</f>
        <v>Abrir facsímil</v>
      </c>
      <c r="K6295" s="3" t="s">
        <v>150</v>
      </c>
    </row>
    <row r="6296" spans="1:11" ht="42" customHeight="1">
      <c r="A6296" s="2" t="s">
        <v>16178</v>
      </c>
      <c r="B6296" s="2" t="s">
        <v>16179</v>
      </c>
      <c r="C6296" s="2" t="s">
        <v>26</v>
      </c>
      <c r="D6296" s="2" t="s">
        <v>18</v>
      </c>
      <c r="E6296" s="4">
        <v>-32255</v>
      </c>
      <c r="F6296" s="3" t="s">
        <v>187</v>
      </c>
      <c r="G6296" s="3" t="s">
        <v>91</v>
      </c>
      <c r="H6296" s="2" t="s">
        <v>148</v>
      </c>
      <c r="I6296" s="2" t="s">
        <v>16184</v>
      </c>
      <c r="J6296" s="3" t="str">
        <f>HYPERLINK("https://www.boe.es/gazeta/dias/1811/09/08/pdfs/GMD-1811-251.pdf#page=4","Abrir facsímil")</f>
        <v>Abrir facsímil</v>
      </c>
      <c r="K6296" s="3" t="s">
        <v>150</v>
      </c>
    </row>
    <row r="6297" spans="1:11" ht="42" customHeight="1">
      <c r="A6297" s="2" t="s">
        <v>16185</v>
      </c>
      <c r="B6297" s="2" t="s">
        <v>16186</v>
      </c>
      <c r="C6297" s="2" t="s">
        <v>104</v>
      </c>
      <c r="D6297" s="2" t="s">
        <v>18</v>
      </c>
      <c r="E6297" s="4">
        <v>-32235</v>
      </c>
      <c r="F6297" s="3" t="s">
        <v>376</v>
      </c>
      <c r="G6297" s="3" t="s">
        <v>391</v>
      </c>
      <c r="H6297" s="2" t="s">
        <v>148</v>
      </c>
      <c r="I6297" s="2" t="s">
        <v>16187</v>
      </c>
      <c r="J6297" s="3" t="str">
        <f>HYPERLINK("https://www.boe.es/gazeta/dias/1811/09/28/pdfs/GMD-1811-271.pdf#page=3","Abrir facsímil")</f>
        <v>Abrir facsímil</v>
      </c>
      <c r="K6297" s="3" t="s">
        <v>150</v>
      </c>
    </row>
    <row r="6298" spans="1:11" ht="42" customHeight="1">
      <c r="A6298" s="2" t="s">
        <v>16178</v>
      </c>
      <c r="B6298" s="2" t="s">
        <v>16179</v>
      </c>
      <c r="C6298" s="2" t="s">
        <v>104</v>
      </c>
      <c r="D6298" s="2" t="s">
        <v>105</v>
      </c>
      <c r="E6298" s="4">
        <v>-32165</v>
      </c>
      <c r="F6298" s="3" t="s">
        <v>1462</v>
      </c>
      <c r="G6298" s="3" t="s">
        <v>1463</v>
      </c>
      <c r="H6298" s="2" t="s">
        <v>148</v>
      </c>
      <c r="I6298" s="2" t="s">
        <v>16188</v>
      </c>
      <c r="J6298" s="3" t="str">
        <f>HYPERLINK("https://www.boe.es/gazeta/dias/1811/12/07/pdfs/GMD-1811-341.pdf#page=3","Abrir facsímil")</f>
        <v>Abrir facsímil</v>
      </c>
      <c r="K6298" s="3" t="s">
        <v>150</v>
      </c>
    </row>
    <row r="6299" spans="1:11" ht="42" customHeight="1">
      <c r="A6299" s="2" t="s">
        <v>16189</v>
      </c>
      <c r="B6299" s="2" t="s">
        <v>16190</v>
      </c>
      <c r="C6299" s="2" t="s">
        <v>367</v>
      </c>
      <c r="D6299" s="2" t="s">
        <v>18</v>
      </c>
      <c r="E6299" s="4">
        <v>-32324</v>
      </c>
      <c r="F6299" s="3" t="s">
        <v>730</v>
      </c>
      <c r="G6299" s="3" t="s">
        <v>57</v>
      </c>
      <c r="H6299" s="2" t="s">
        <v>148</v>
      </c>
      <c r="I6299" s="2" t="s">
        <v>16191</v>
      </c>
      <c r="J6299" s="3" t="str">
        <f>HYPERLINK("https://www.boe.es/gazeta/dias/1811/07/01/pdfs/GMD-1811-182.pdf#page=2","Abrir facsímil")</f>
        <v>Abrir facsímil</v>
      </c>
      <c r="K6299" s="3" t="s">
        <v>150</v>
      </c>
    </row>
    <row r="6300" spans="1:11" ht="42" customHeight="1">
      <c r="A6300" s="2" t="s">
        <v>16192</v>
      </c>
      <c r="B6300" s="2" t="s">
        <v>16193</v>
      </c>
      <c r="C6300" s="2" t="s">
        <v>17</v>
      </c>
      <c r="D6300" s="2" t="s">
        <v>18</v>
      </c>
      <c r="E6300" s="4">
        <v>-32451</v>
      </c>
      <c r="F6300" s="3" t="s">
        <v>2651</v>
      </c>
      <c r="G6300" s="3" t="s">
        <v>2652</v>
      </c>
      <c r="H6300" s="2" t="s">
        <v>148</v>
      </c>
      <c r="I6300" s="2" t="s">
        <v>16194</v>
      </c>
      <c r="J6300" s="3" t="str">
        <f>HYPERLINK("https://www.boe.es/gazeta/dias/1811/02/24/pdfs/GMD-1811-55.pdf#page=4","Abrir facsímil")</f>
        <v>Abrir facsímil</v>
      </c>
      <c r="K6300" s="3" t="s">
        <v>150</v>
      </c>
    </row>
    <row r="6301" spans="1:11" ht="42" customHeight="1">
      <c r="A6301" s="2" t="s">
        <v>16195</v>
      </c>
      <c r="B6301" s="2" t="s">
        <v>16195</v>
      </c>
      <c r="C6301" s="2" t="s">
        <v>104</v>
      </c>
      <c r="D6301" s="2" t="s">
        <v>18</v>
      </c>
      <c r="E6301" s="4">
        <v>-32404</v>
      </c>
      <c r="F6301" s="3" t="s">
        <v>911</v>
      </c>
      <c r="G6301" s="3" t="s">
        <v>44</v>
      </c>
      <c r="H6301" s="2" t="s">
        <v>148</v>
      </c>
      <c r="I6301" s="2" t="s">
        <v>16196</v>
      </c>
      <c r="J6301" s="3" t="str">
        <f>HYPERLINK("https://www.boe.es/gazeta/dias/1811/04/12/pdfs/GMD-1811-102.pdf#page=4","Abrir facsímil")</f>
        <v>Abrir facsímil</v>
      </c>
      <c r="K6301" s="3" t="s">
        <v>150</v>
      </c>
    </row>
    <row r="6302" spans="1:11" ht="42" customHeight="1">
      <c r="A6302" s="2" t="s">
        <v>16197</v>
      </c>
      <c r="B6302" s="2" t="s">
        <v>16198</v>
      </c>
      <c r="C6302" s="2" t="s">
        <v>17</v>
      </c>
      <c r="D6302" s="2" t="s">
        <v>18</v>
      </c>
      <c r="E6302" s="4">
        <v>-32323</v>
      </c>
      <c r="F6302" s="3" t="s">
        <v>322</v>
      </c>
      <c r="G6302" s="3" t="s">
        <v>2164</v>
      </c>
      <c r="H6302" s="2" t="s">
        <v>148</v>
      </c>
      <c r="I6302" s="2" t="s">
        <v>16199</v>
      </c>
      <c r="J6302" s="3" t="str">
        <f>HYPERLINK("https://www.boe.es/gazeta/dias/1811/07/02/pdfs/GEI-1811-87.pdf#page=7","Abrir facsímil")</f>
        <v>Abrir facsímil</v>
      </c>
      <c r="K6302" s="3" t="s">
        <v>150</v>
      </c>
    </row>
    <row r="6303" spans="1:11" ht="42" customHeight="1">
      <c r="A6303" s="2" t="s">
        <v>16200</v>
      </c>
      <c r="B6303" s="2" t="s">
        <v>16201</v>
      </c>
      <c r="C6303" s="2" t="s">
        <v>17</v>
      </c>
      <c r="D6303" s="2" t="s">
        <v>18</v>
      </c>
      <c r="E6303" s="4">
        <v>-32284</v>
      </c>
      <c r="F6303" s="3" t="s">
        <v>170</v>
      </c>
      <c r="G6303" s="3" t="s">
        <v>1388</v>
      </c>
      <c r="H6303" s="2" t="s">
        <v>148</v>
      </c>
      <c r="I6303" s="2" t="s">
        <v>16202</v>
      </c>
      <c r="J6303" s="3" t="str">
        <f>HYPERLINK("https://www.boe.es/gazeta/dias/1811/08/10/pdfs/GEI-1811-104.pdf#page=8","Abrir facsímil")</f>
        <v>Abrir facsímil</v>
      </c>
      <c r="K6303" s="3" t="s">
        <v>150</v>
      </c>
    </row>
    <row r="6304" spans="1:11" ht="42" customHeight="1">
      <c r="A6304" s="2" t="s">
        <v>16200</v>
      </c>
      <c r="B6304" s="2" t="s">
        <v>16201</v>
      </c>
      <c r="C6304" s="2" t="s">
        <v>17</v>
      </c>
      <c r="D6304" s="2" t="s">
        <v>18</v>
      </c>
      <c r="E6304" s="4">
        <v>-32251</v>
      </c>
      <c r="F6304" s="3" t="s">
        <v>726</v>
      </c>
      <c r="G6304" s="3" t="s">
        <v>727</v>
      </c>
      <c r="H6304" s="2" t="s">
        <v>148</v>
      </c>
      <c r="I6304" s="2" t="s">
        <v>16203</v>
      </c>
      <c r="J6304" s="3" t="str">
        <f>HYPERLINK("https://www.boe.es/gazeta/dias/1811/09/12/pdfs/GEI-1811-118.pdf#page=8","Abrir facsímil")</f>
        <v>Abrir facsímil</v>
      </c>
      <c r="K6304" s="3" t="s">
        <v>150</v>
      </c>
    </row>
    <row r="6305" spans="1:11" ht="42" customHeight="1">
      <c r="A6305" s="2" t="s">
        <v>16200</v>
      </c>
      <c r="B6305" s="2" t="s">
        <v>16201</v>
      </c>
      <c r="C6305" s="2" t="s">
        <v>26</v>
      </c>
      <c r="D6305" s="2" t="s">
        <v>18</v>
      </c>
      <c r="E6305" s="4">
        <v>-32230</v>
      </c>
      <c r="F6305" s="3" t="s">
        <v>625</v>
      </c>
      <c r="G6305" s="3" t="s">
        <v>1258</v>
      </c>
      <c r="H6305" s="2" t="s">
        <v>148</v>
      </c>
      <c r="I6305" s="2" t="s">
        <v>16204</v>
      </c>
      <c r="J6305" s="3" t="str">
        <f>HYPERLINK("https://www.boe.es/gazeta/dias/1811/10/03/pdfs/GEI-1811-127.pdf#page=8","Abrir facsímil")</f>
        <v>Abrir facsímil</v>
      </c>
      <c r="K6305" s="3" t="s">
        <v>150</v>
      </c>
    </row>
    <row r="6306" spans="1:11" ht="42" customHeight="1">
      <c r="A6306" s="2" t="s">
        <v>16200</v>
      </c>
      <c r="B6306" s="2" t="s">
        <v>16201</v>
      </c>
      <c r="C6306" s="2" t="s">
        <v>17</v>
      </c>
      <c r="D6306" s="2" t="s">
        <v>156</v>
      </c>
      <c r="E6306" s="4">
        <v>-32200</v>
      </c>
      <c r="F6306" s="3" t="s">
        <v>109</v>
      </c>
      <c r="G6306" s="3" t="s">
        <v>586</v>
      </c>
      <c r="H6306" s="2" t="s">
        <v>148</v>
      </c>
      <c r="I6306" s="2" t="s">
        <v>16205</v>
      </c>
      <c r="J6306" s="3" t="str">
        <f>HYPERLINK("https://www.boe.es/gazeta/dias/1811/11/02/pdfs/GEI-1811-141.pdf#page=8","Abrir facsímil")</f>
        <v>Abrir facsímil</v>
      </c>
      <c r="K6306" s="3" t="s">
        <v>150</v>
      </c>
    </row>
    <row r="6307" spans="1:11" ht="42" customHeight="1">
      <c r="A6307" s="2" t="s">
        <v>16206</v>
      </c>
      <c r="B6307" s="2" t="s">
        <v>16206</v>
      </c>
      <c r="C6307" s="2" t="s">
        <v>26</v>
      </c>
      <c r="D6307" s="2" t="s">
        <v>18</v>
      </c>
      <c r="E6307" s="4">
        <v>-32452</v>
      </c>
      <c r="F6307" s="3" t="s">
        <v>106</v>
      </c>
      <c r="G6307" s="3" t="s">
        <v>20</v>
      </c>
      <c r="H6307" s="2" t="s">
        <v>148</v>
      </c>
      <c r="I6307" s="2" t="s">
        <v>16207</v>
      </c>
      <c r="J6307" s="3" t="str">
        <f>HYPERLINK("https://www.boe.es/gazeta/dias/1811/02/23/pdfs/GEI-1811-24.pdf#page=8","Abrir facsímil")</f>
        <v>Abrir facsímil</v>
      </c>
      <c r="K6307" s="3" t="s">
        <v>150</v>
      </c>
    </row>
    <row r="6308" spans="1:11" ht="42" customHeight="1">
      <c r="A6308" s="2" t="s">
        <v>16206</v>
      </c>
      <c r="B6308" s="2" t="s">
        <v>16206</v>
      </c>
      <c r="C6308" s="2" t="s">
        <v>17</v>
      </c>
      <c r="D6308" s="2" t="s">
        <v>18</v>
      </c>
      <c r="E6308" s="4">
        <v>-32450</v>
      </c>
      <c r="F6308" s="3" t="s">
        <v>794</v>
      </c>
      <c r="G6308" s="3" t="s">
        <v>795</v>
      </c>
      <c r="H6308" s="2" t="s">
        <v>148</v>
      </c>
      <c r="I6308" s="2" t="s">
        <v>16208</v>
      </c>
      <c r="J6308" s="3" t="str">
        <f>HYPERLINK("https://www.boe.es/gazeta/dias/1811/02/25/pdfs/GMD-1811-56.pdf#page=3","Abrir facsímil")</f>
        <v>Abrir facsímil</v>
      </c>
      <c r="K6308" s="3" t="s">
        <v>150</v>
      </c>
    </row>
    <row r="6309" spans="1:11" ht="42" customHeight="1">
      <c r="A6309" s="2" t="s">
        <v>16206</v>
      </c>
      <c r="B6309" s="2" t="s">
        <v>16206</v>
      </c>
      <c r="C6309" s="2" t="s">
        <v>26</v>
      </c>
      <c r="D6309" s="2" t="s">
        <v>18</v>
      </c>
      <c r="E6309" s="4">
        <v>-32162</v>
      </c>
      <c r="F6309" s="3" t="s">
        <v>317</v>
      </c>
      <c r="G6309" s="3" t="s">
        <v>318</v>
      </c>
      <c r="H6309" s="2" t="s">
        <v>148</v>
      </c>
      <c r="I6309" s="2" t="s">
        <v>16209</v>
      </c>
      <c r="J6309" s="3" t="str">
        <f>HYPERLINK("https://www.boe.es/gazeta/dias/1811/12/10/pdfs/GEI-1811-160.pdf#page=8","Abrir facsímil")</f>
        <v>Abrir facsímil</v>
      </c>
      <c r="K6309" s="3" t="s">
        <v>150</v>
      </c>
    </row>
    <row r="6310" spans="1:11" ht="42" customHeight="1">
      <c r="A6310" s="2" t="s">
        <v>16210</v>
      </c>
      <c r="B6310" s="2" t="s">
        <v>16210</v>
      </c>
      <c r="C6310" s="2" t="s">
        <v>26</v>
      </c>
      <c r="D6310" s="2" t="s">
        <v>18</v>
      </c>
      <c r="E6310" s="4">
        <v>-32177</v>
      </c>
      <c r="F6310" s="3" t="s">
        <v>402</v>
      </c>
      <c r="G6310" s="3" t="s">
        <v>178</v>
      </c>
      <c r="H6310" s="2" t="s">
        <v>148</v>
      </c>
      <c r="I6310" s="2" t="s">
        <v>16211</v>
      </c>
      <c r="J6310" s="3" t="str">
        <f>HYPERLINK("https://www.boe.es/gazeta/dias/1811/11/25/pdfs/GMD-1811-329.pdf#page=4","Abrir facsímil")</f>
        <v>Abrir facsímil</v>
      </c>
      <c r="K6310" s="3" t="s">
        <v>150</v>
      </c>
    </row>
    <row r="6311" spans="1:11" ht="42" customHeight="1">
      <c r="A6311" s="2" t="s">
        <v>16212</v>
      </c>
      <c r="B6311" s="2" t="s">
        <v>16213</v>
      </c>
      <c r="C6311" s="2" t="s">
        <v>26</v>
      </c>
      <c r="D6311" s="2" t="s">
        <v>18</v>
      </c>
      <c r="E6311" s="4">
        <v>-32412</v>
      </c>
      <c r="F6311" s="3" t="s">
        <v>998</v>
      </c>
      <c r="G6311" s="3" t="s">
        <v>16214</v>
      </c>
      <c r="H6311" s="2" t="s">
        <v>148</v>
      </c>
      <c r="I6311" s="2" t="s">
        <v>16215</v>
      </c>
      <c r="J6311" s="3" t="str">
        <f>HYPERLINK("https://www.boe.es/gazeta/dias/1811/04/04/pdfs/GEI-1811-46.pdf#page=6","Abrir facsímil")</f>
        <v>Abrir facsímil</v>
      </c>
      <c r="K6311" s="3" t="s">
        <v>150</v>
      </c>
    </row>
    <row r="6312" spans="1:11" ht="42" customHeight="1">
      <c r="A6312" s="2" t="s">
        <v>16216</v>
      </c>
      <c r="B6312" s="2" t="s">
        <v>16216</v>
      </c>
      <c r="C6312" s="2" t="s">
        <v>17</v>
      </c>
      <c r="D6312" s="2" t="s">
        <v>18</v>
      </c>
      <c r="E6312" s="4">
        <v>-32358</v>
      </c>
      <c r="F6312" s="3" t="s">
        <v>3186</v>
      </c>
      <c r="G6312" s="3" t="s">
        <v>4049</v>
      </c>
      <c r="H6312" s="2" t="s">
        <v>148</v>
      </c>
      <c r="I6312" s="2" t="s">
        <v>16217</v>
      </c>
      <c r="J6312" s="3" t="str">
        <f>HYPERLINK("https://www.boe.es/gazeta/dias/1811/05/28/pdfs/GMD-1811-148.pdf#page=4","Abrir facsímil")</f>
        <v>Abrir facsímil</v>
      </c>
      <c r="K6312" s="3" t="s">
        <v>150</v>
      </c>
    </row>
    <row r="6313" spans="1:11" ht="42" customHeight="1">
      <c r="A6313" s="2" t="s">
        <v>16218</v>
      </c>
      <c r="B6313" s="2" t="s">
        <v>16219</v>
      </c>
      <c r="C6313" s="2" t="s">
        <v>26</v>
      </c>
      <c r="D6313" s="2" t="s">
        <v>18</v>
      </c>
      <c r="E6313" s="4">
        <v>-32162</v>
      </c>
      <c r="F6313" s="3" t="s">
        <v>317</v>
      </c>
      <c r="G6313" s="3" t="s">
        <v>1170</v>
      </c>
      <c r="H6313" s="2" t="s">
        <v>148</v>
      </c>
      <c r="I6313" s="2" t="s">
        <v>16220</v>
      </c>
      <c r="J6313" s="3" t="str">
        <f>HYPERLINK("https://www.boe.es/gazeta/dias/1811/12/10/pdfs/GEI-1811-160.pdf#page=6","Abrir facsímil")</f>
        <v>Abrir facsímil</v>
      </c>
      <c r="K6313" s="3" t="s">
        <v>150</v>
      </c>
    </row>
    <row r="6314" spans="1:11" ht="42" customHeight="1">
      <c r="A6314" s="2" t="s">
        <v>16221</v>
      </c>
      <c r="B6314" s="2" t="s">
        <v>16222</v>
      </c>
      <c r="C6314" s="2" t="s">
        <v>17</v>
      </c>
      <c r="D6314" s="2" t="s">
        <v>18</v>
      </c>
      <c r="E6314" s="4">
        <v>-32300</v>
      </c>
      <c r="F6314" s="3" t="s">
        <v>61</v>
      </c>
      <c r="G6314" s="3" t="s">
        <v>221</v>
      </c>
      <c r="H6314" s="2" t="s">
        <v>148</v>
      </c>
      <c r="I6314" s="2" t="s">
        <v>16223</v>
      </c>
      <c r="J6314" s="3" t="str">
        <f>HYPERLINK("https://www.boe.es/gazeta/dias/1811/07/25/pdfs/GEI-1811-97.pdf#page=4","Abrir facsímil")</f>
        <v>Abrir facsímil</v>
      </c>
      <c r="K6314" s="3" t="s">
        <v>150</v>
      </c>
    </row>
    <row r="6315" spans="1:11" ht="42" customHeight="1">
      <c r="A6315" s="2" t="s">
        <v>16224</v>
      </c>
      <c r="B6315" s="2" t="s">
        <v>16225</v>
      </c>
      <c r="C6315" s="2" t="s">
        <v>17</v>
      </c>
      <c r="D6315" s="2" t="s">
        <v>18</v>
      </c>
      <c r="E6315" s="4">
        <v>-32300</v>
      </c>
      <c r="F6315" s="3" t="s">
        <v>492</v>
      </c>
      <c r="G6315" s="3" t="s">
        <v>493</v>
      </c>
      <c r="H6315" s="2" t="s">
        <v>148</v>
      </c>
      <c r="I6315" s="2" t="s">
        <v>16226</v>
      </c>
      <c r="J6315" s="3" t="str">
        <f>HYPERLINK("https://www.boe.es/gazeta/dias/1811/07/25/pdfs/GMD-1811-206.pdf#page=4","Abrir facsímil")</f>
        <v>Abrir facsímil</v>
      </c>
      <c r="K6315" s="3" t="s">
        <v>150</v>
      </c>
    </row>
    <row r="6316" spans="1:11" ht="42" customHeight="1">
      <c r="A6316" s="2" t="s">
        <v>16227</v>
      </c>
      <c r="B6316" s="2" t="s">
        <v>16228</v>
      </c>
      <c r="C6316" s="2" t="s">
        <v>104</v>
      </c>
      <c r="D6316" s="2" t="s">
        <v>18</v>
      </c>
      <c r="E6316" s="4">
        <v>-32503</v>
      </c>
      <c r="F6316" s="3" t="s">
        <v>487</v>
      </c>
      <c r="G6316" s="3" t="s">
        <v>28</v>
      </c>
      <c r="H6316" s="2" t="s">
        <v>148</v>
      </c>
      <c r="I6316" s="2" t="s">
        <v>16229</v>
      </c>
      <c r="J6316" s="3" t="str">
        <f>HYPERLINK("https://www.boe.es/gazeta/dias/1811/01/03/pdfs/GEI-1811-2.pdf#page=7","Abrir facsímil")</f>
        <v>Abrir facsímil</v>
      </c>
      <c r="K6316" s="3" t="s">
        <v>150</v>
      </c>
    </row>
    <row r="6317" spans="1:11" ht="42" customHeight="1">
      <c r="A6317" s="2" t="s">
        <v>16230</v>
      </c>
      <c r="B6317" s="2" t="s">
        <v>16231</v>
      </c>
      <c r="C6317" s="2" t="s">
        <v>84</v>
      </c>
      <c r="D6317" s="2" t="s">
        <v>18</v>
      </c>
      <c r="E6317" s="4">
        <v>-32217</v>
      </c>
      <c r="F6317" s="3" t="s">
        <v>1351</v>
      </c>
      <c r="G6317" s="3" t="s">
        <v>91</v>
      </c>
      <c r="H6317" s="2" t="s">
        <v>148</v>
      </c>
      <c r="I6317" s="2" t="s">
        <v>16232</v>
      </c>
      <c r="J6317" s="3" t="str">
        <f>HYPERLINK("https://www.boe.es/gazeta/dias/1811/10/16/pdfs/GMD-1811-289.pdf#page=4","Abrir facsímil")</f>
        <v>Abrir facsímil</v>
      </c>
      <c r="K6317" s="3" t="s">
        <v>150</v>
      </c>
    </row>
    <row r="6318" spans="1:11" ht="42" customHeight="1">
      <c r="A6318" s="2" t="s">
        <v>16233</v>
      </c>
      <c r="B6318" s="2" t="s">
        <v>16234</v>
      </c>
      <c r="C6318" s="2" t="s">
        <v>26</v>
      </c>
      <c r="D6318" s="2" t="s">
        <v>18</v>
      </c>
      <c r="E6318" s="4">
        <v>-32473</v>
      </c>
      <c r="F6318" s="3" t="s">
        <v>1109</v>
      </c>
      <c r="G6318" s="3" t="s">
        <v>162</v>
      </c>
      <c r="H6318" s="2" t="s">
        <v>148</v>
      </c>
      <c r="I6318" s="2" t="s">
        <v>16235</v>
      </c>
      <c r="J6318" s="3" t="str">
        <f>HYPERLINK("https://www.boe.es/gazeta/dias/1811/02/02/pdfs/GMD-1811-33.pdf#page=3","Abrir facsímil")</f>
        <v>Abrir facsímil</v>
      </c>
      <c r="K6318" s="3" t="s">
        <v>150</v>
      </c>
    </row>
    <row r="6319" spans="1:11" ht="42" customHeight="1">
      <c r="A6319" s="2" t="s">
        <v>16236</v>
      </c>
      <c r="B6319" s="2" t="s">
        <v>16237</v>
      </c>
      <c r="C6319" s="2" t="s">
        <v>26</v>
      </c>
      <c r="D6319" s="2" t="s">
        <v>141</v>
      </c>
      <c r="E6319" s="4">
        <v>-32249</v>
      </c>
      <c r="F6319" s="3" t="s">
        <v>743</v>
      </c>
      <c r="G6319" s="3" t="s">
        <v>1021</v>
      </c>
      <c r="H6319" s="2" t="s">
        <v>148</v>
      </c>
      <c r="I6319" s="2" t="s">
        <v>16238</v>
      </c>
      <c r="J6319" s="3" t="str">
        <f>HYPERLINK("https://www.boe.es/gazeta/dias/1811/09/14/pdfs/GMD-C-1811-257.pdf#page=2","Abrir facsímil")</f>
        <v>Abrir facsímil</v>
      </c>
      <c r="K6319" s="3" t="s">
        <v>150</v>
      </c>
    </row>
    <row r="6320" spans="1:11" ht="42" customHeight="1">
      <c r="A6320" s="2" t="s">
        <v>16239</v>
      </c>
      <c r="B6320" s="2" t="s">
        <v>16240</v>
      </c>
      <c r="C6320" s="2" t="s">
        <v>26</v>
      </c>
      <c r="D6320" s="2" t="s">
        <v>18</v>
      </c>
      <c r="E6320" s="4">
        <v>-32188</v>
      </c>
      <c r="F6320" s="3" t="s">
        <v>356</v>
      </c>
      <c r="G6320" s="3" t="s">
        <v>248</v>
      </c>
      <c r="H6320" s="2" t="s">
        <v>148</v>
      </c>
      <c r="I6320" s="2" t="s">
        <v>16241</v>
      </c>
      <c r="J6320" s="3" t="str">
        <f>HYPERLINK("https://www.boe.es/gazeta/dias/1811/11/14/pdfs/GMD-1811-318.pdf#page=5","Abrir facsímil")</f>
        <v>Abrir facsímil</v>
      </c>
      <c r="K6320" s="3" t="s">
        <v>150</v>
      </c>
    </row>
    <row r="6321" spans="1:11" ht="42" customHeight="1">
      <c r="A6321" s="2" t="s">
        <v>16242</v>
      </c>
      <c r="B6321" s="2" t="s">
        <v>16243</v>
      </c>
      <c r="C6321" s="2" t="s">
        <v>26</v>
      </c>
      <c r="D6321" s="2" t="s">
        <v>18</v>
      </c>
      <c r="E6321" s="4">
        <v>-32237</v>
      </c>
      <c r="F6321" s="3" t="s">
        <v>717</v>
      </c>
      <c r="G6321" s="3" t="s">
        <v>9576</v>
      </c>
      <c r="H6321" s="2" t="s">
        <v>148</v>
      </c>
      <c r="I6321" s="2" t="s">
        <v>16244</v>
      </c>
      <c r="J6321" s="3" t="str">
        <f>HYPERLINK("https://www.boe.es/gazeta/dias/1811/09/26/pdfs/GEI-1811-124.pdf#page=7","Abrir facsímil")</f>
        <v>Abrir facsímil</v>
      </c>
      <c r="K6321" s="3" t="s">
        <v>150</v>
      </c>
    </row>
    <row r="6322" spans="1:11" ht="42" customHeight="1">
      <c r="A6322" s="2" t="s">
        <v>16245</v>
      </c>
      <c r="B6322" s="2" t="s">
        <v>16246</v>
      </c>
      <c r="C6322" s="2" t="s">
        <v>17</v>
      </c>
      <c r="D6322" s="2" t="s">
        <v>156</v>
      </c>
      <c r="E6322" s="4">
        <v>-32165</v>
      </c>
      <c r="F6322" s="3" t="s">
        <v>1462</v>
      </c>
      <c r="G6322" s="3" t="s">
        <v>3610</v>
      </c>
      <c r="H6322" s="2" t="s">
        <v>148</v>
      </c>
      <c r="I6322" s="2" t="s">
        <v>16247</v>
      </c>
      <c r="J6322" s="3" t="str">
        <f>HYPERLINK("https://www.boe.es/gazeta/dias/1811/12/07/pdfs/GMD-1811-341.pdf#page=4","Abrir facsímil")</f>
        <v>Abrir facsímil</v>
      </c>
      <c r="K6322" s="3" t="s">
        <v>150</v>
      </c>
    </row>
    <row r="6323" spans="1:11" ht="42" customHeight="1">
      <c r="A6323" s="2" t="s">
        <v>16248</v>
      </c>
      <c r="B6323" s="2" t="s">
        <v>16249</v>
      </c>
      <c r="C6323" s="2" t="s">
        <v>122</v>
      </c>
      <c r="D6323" s="2" t="s">
        <v>18</v>
      </c>
      <c r="E6323" s="4">
        <v>-32190</v>
      </c>
      <c r="F6323" s="3" t="s">
        <v>1282</v>
      </c>
      <c r="G6323" s="3" t="s">
        <v>47</v>
      </c>
      <c r="H6323" s="2" t="s">
        <v>148</v>
      </c>
      <c r="I6323" s="2" t="s">
        <v>16250</v>
      </c>
      <c r="J6323" s="3" t="str">
        <f>HYPERLINK("https://www.boe.es/gazeta/dias/1811/11/12/pdfs/GMD-1811-316.pdf#page=3","Abrir facsímil")</f>
        <v>Abrir facsímil</v>
      </c>
      <c r="K6323" s="3" t="s">
        <v>150</v>
      </c>
    </row>
    <row r="6324" spans="1:11" ht="42" customHeight="1">
      <c r="A6324" s="2" t="s">
        <v>16251</v>
      </c>
      <c r="B6324" s="2" t="s">
        <v>16252</v>
      </c>
      <c r="C6324" s="2" t="s">
        <v>84</v>
      </c>
      <c r="D6324" s="2" t="s">
        <v>18</v>
      </c>
      <c r="E6324" s="4">
        <v>-32210</v>
      </c>
      <c r="F6324" s="3" t="s">
        <v>1737</v>
      </c>
      <c r="G6324" s="3" t="s">
        <v>248</v>
      </c>
      <c r="H6324" s="2" t="s">
        <v>148</v>
      </c>
      <c r="I6324" s="2" t="s">
        <v>16253</v>
      </c>
      <c r="J6324" s="3" t="str">
        <f>HYPERLINK("https://www.boe.es/gazeta/dias/1811/10/23/pdfs/GMD-1811-296.pdf#page=5","Abrir facsímil")</f>
        <v>Abrir facsímil</v>
      </c>
      <c r="K6324" s="3" t="s">
        <v>150</v>
      </c>
    </row>
    <row r="6325" spans="1:11" ht="42" customHeight="1">
      <c r="A6325" s="2" t="s">
        <v>16254</v>
      </c>
      <c r="B6325" s="2" t="s">
        <v>16255</v>
      </c>
      <c r="C6325" s="2" t="s">
        <v>26</v>
      </c>
      <c r="D6325" s="2" t="s">
        <v>18</v>
      </c>
      <c r="E6325" s="4">
        <v>-32200</v>
      </c>
      <c r="F6325" s="3" t="s">
        <v>109</v>
      </c>
      <c r="G6325" s="3" t="s">
        <v>110</v>
      </c>
      <c r="H6325" s="2" t="s">
        <v>148</v>
      </c>
      <c r="I6325" s="2" t="s">
        <v>16256</v>
      </c>
      <c r="J6325" s="3" t="str">
        <f>HYPERLINK("https://www.boe.es/gazeta/dias/1811/11/02/pdfs/GEI-1811-141.pdf#page=6","Abrir facsímil")</f>
        <v>Abrir facsímil</v>
      </c>
      <c r="K6325" s="3" t="s">
        <v>150</v>
      </c>
    </row>
    <row r="6326" spans="1:11" ht="42" customHeight="1">
      <c r="A6326" s="2" t="s">
        <v>16257</v>
      </c>
      <c r="B6326" s="2" t="s">
        <v>16258</v>
      </c>
      <c r="C6326" s="2" t="s">
        <v>26</v>
      </c>
      <c r="D6326" s="2" t="s">
        <v>18</v>
      </c>
      <c r="E6326" s="4">
        <v>-32210</v>
      </c>
      <c r="F6326" s="3" t="s">
        <v>1737</v>
      </c>
      <c r="G6326" s="3" t="s">
        <v>9169</v>
      </c>
      <c r="H6326" s="2" t="s">
        <v>148</v>
      </c>
      <c r="I6326" s="2" t="s">
        <v>16259</v>
      </c>
      <c r="J6326" s="3" t="str">
        <f>HYPERLINK("https://www.boe.es/gazeta/dias/1811/10/23/pdfs/GMD-1811-296.pdf#page=4","Abrir facsímil")</f>
        <v>Abrir facsímil</v>
      </c>
      <c r="K6326" s="3" t="s">
        <v>150</v>
      </c>
    </row>
    <row r="6327" spans="1:11" ht="42" customHeight="1">
      <c r="A6327" s="2" t="s">
        <v>16260</v>
      </c>
      <c r="B6327" s="2" t="s">
        <v>16261</v>
      </c>
      <c r="C6327" s="2" t="s">
        <v>26</v>
      </c>
      <c r="D6327" s="2" t="s">
        <v>18</v>
      </c>
      <c r="E6327" s="4">
        <v>-32489</v>
      </c>
      <c r="F6327" s="3" t="s">
        <v>2073</v>
      </c>
      <c r="G6327" s="3" t="s">
        <v>44</v>
      </c>
      <c r="H6327" s="2" t="s">
        <v>148</v>
      </c>
      <c r="I6327" s="2" t="s">
        <v>16262</v>
      </c>
      <c r="J6327" s="3" t="str">
        <f>HYPERLINK("https://www.boe.es/gazeta/dias/1811/01/17/pdfs/GEI-1811-8.pdf#page=8","Abrir facsímil")</f>
        <v>Abrir facsímil</v>
      </c>
      <c r="K6327" s="3" t="s">
        <v>150</v>
      </c>
    </row>
    <row r="6328" spans="1:11" ht="42" customHeight="1">
      <c r="A6328" s="2" t="s">
        <v>16263</v>
      </c>
      <c r="B6328" s="2" t="s">
        <v>16264</v>
      </c>
      <c r="C6328" s="2" t="s">
        <v>17</v>
      </c>
      <c r="D6328" s="2" t="s">
        <v>18</v>
      </c>
      <c r="E6328" s="4">
        <v>-32155</v>
      </c>
      <c r="F6328" s="3" t="s">
        <v>263</v>
      </c>
      <c r="G6328" s="3" t="s">
        <v>264</v>
      </c>
      <c r="H6328" s="2" t="s">
        <v>148</v>
      </c>
      <c r="I6328" s="2" t="s">
        <v>16265</v>
      </c>
      <c r="J6328" s="3" t="str">
        <f>HYPERLINK("https://www.boe.es/gazeta/dias/1811/12/17/pdfs/GEI-1811-163.pdf#page=8","Abrir facsímil")</f>
        <v>Abrir facsímil</v>
      </c>
      <c r="K6328" s="3" t="s">
        <v>150</v>
      </c>
    </row>
    <row r="6329" spans="1:11" ht="42" customHeight="1">
      <c r="A6329" s="2" t="s">
        <v>16266</v>
      </c>
      <c r="B6329" s="2" t="s">
        <v>16267</v>
      </c>
      <c r="C6329" s="2" t="s">
        <v>26</v>
      </c>
      <c r="D6329" s="2" t="s">
        <v>18</v>
      </c>
      <c r="E6329" s="4">
        <v>-32501</v>
      </c>
      <c r="F6329" s="3" t="s">
        <v>509</v>
      </c>
      <c r="G6329" s="3" t="s">
        <v>510</v>
      </c>
      <c r="H6329" s="2" t="s">
        <v>148</v>
      </c>
      <c r="I6329" s="2" t="s">
        <v>16268</v>
      </c>
      <c r="J6329" s="3" t="str">
        <f>HYPERLINK("https://www.boe.es/gazeta/dias/1811/01/05/pdfs/GEI-1811-3.pdf#page=8","Abrir facsímil")</f>
        <v>Abrir facsímil</v>
      </c>
      <c r="K6329" s="3" t="s">
        <v>150</v>
      </c>
    </row>
    <row r="6330" spans="1:11" ht="42" customHeight="1">
      <c r="A6330" s="2" t="s">
        <v>16269</v>
      </c>
      <c r="B6330" s="2" t="s">
        <v>16270</v>
      </c>
      <c r="C6330" s="2" t="s">
        <v>26</v>
      </c>
      <c r="D6330" s="2" t="s">
        <v>141</v>
      </c>
      <c r="E6330" s="4">
        <v>-32249</v>
      </c>
      <c r="F6330" s="3" t="s">
        <v>743</v>
      </c>
      <c r="G6330" s="3" t="s">
        <v>468</v>
      </c>
      <c r="H6330" s="2" t="s">
        <v>148</v>
      </c>
      <c r="I6330" s="2" t="s">
        <v>16271</v>
      </c>
      <c r="J6330" s="3" t="str">
        <f>HYPERLINK("https://www.boe.es/gazeta/dias/1811/09/14/pdfs/GMD-C-1811-257.pdf#page=1","Abrir facsímil")</f>
        <v>Abrir facsímil</v>
      </c>
      <c r="K6330" s="3" t="s">
        <v>150</v>
      </c>
    </row>
    <row r="6331" spans="1:11" ht="42" customHeight="1">
      <c r="A6331" s="2" t="s">
        <v>16272</v>
      </c>
      <c r="B6331" s="2" t="s">
        <v>16273</v>
      </c>
      <c r="C6331" s="2" t="s">
        <v>26</v>
      </c>
      <c r="D6331" s="2" t="s">
        <v>18</v>
      </c>
      <c r="E6331" s="4">
        <v>-32155</v>
      </c>
      <c r="F6331" s="3" t="s">
        <v>263</v>
      </c>
      <c r="G6331" s="3" t="s">
        <v>264</v>
      </c>
      <c r="H6331" s="2" t="s">
        <v>148</v>
      </c>
      <c r="I6331" s="2" t="s">
        <v>16274</v>
      </c>
      <c r="J6331" s="3" t="str">
        <f>HYPERLINK("https://www.boe.es/gazeta/dias/1811/12/17/pdfs/GEI-1811-163.pdf#page=8","Abrir facsímil")</f>
        <v>Abrir facsímil</v>
      </c>
      <c r="K6331" s="3" t="s">
        <v>150</v>
      </c>
    </row>
    <row r="6332" spans="1:11" ht="42" customHeight="1">
      <c r="A6332" s="2" t="s">
        <v>16275</v>
      </c>
      <c r="B6332" s="2" t="s">
        <v>16276</v>
      </c>
      <c r="C6332" s="2" t="s">
        <v>17</v>
      </c>
      <c r="D6332" s="2" t="s">
        <v>156</v>
      </c>
      <c r="E6332" s="4">
        <v>-32384</v>
      </c>
      <c r="F6332" s="3" t="s">
        <v>338</v>
      </c>
      <c r="G6332" s="3" t="s">
        <v>339</v>
      </c>
      <c r="H6332" s="2" t="s">
        <v>148</v>
      </c>
      <c r="I6332" s="2" t="s">
        <v>16277</v>
      </c>
      <c r="J6332" s="3" t="str">
        <f>HYPERLINK("https://www.boe.es/gazeta/dias/1811/05/02/pdfs/GEI-1811-58.pdf#page=8","Abrir facsímil")</f>
        <v>Abrir facsímil</v>
      </c>
      <c r="K6332" s="3" t="s">
        <v>150</v>
      </c>
    </row>
    <row r="6333" spans="1:11" ht="42" customHeight="1">
      <c r="A6333" s="2" t="s">
        <v>16278</v>
      </c>
      <c r="B6333" s="2" t="s">
        <v>16279</v>
      </c>
      <c r="C6333" s="2" t="s">
        <v>17</v>
      </c>
      <c r="D6333" s="2" t="s">
        <v>156</v>
      </c>
      <c r="E6333" s="4">
        <v>-32143</v>
      </c>
      <c r="F6333" s="3" t="s">
        <v>1455</v>
      </c>
      <c r="G6333" s="3" t="s">
        <v>284</v>
      </c>
      <c r="H6333" s="2" t="s">
        <v>148</v>
      </c>
      <c r="I6333" s="2" t="s">
        <v>16280</v>
      </c>
      <c r="J6333" s="3" t="str">
        <f>HYPERLINK("https://www.boe.es/gazeta/dias/1811/12/29/pdfs/GMD-1811-363.pdf#page=3","Abrir facsímil")</f>
        <v>Abrir facsímil</v>
      </c>
      <c r="K6333" s="3" t="s">
        <v>150</v>
      </c>
    </row>
    <row r="6334" spans="1:11" ht="42" customHeight="1">
      <c r="A6334" s="2" t="s">
        <v>16281</v>
      </c>
      <c r="B6334" s="2" t="s">
        <v>16282</v>
      </c>
      <c r="C6334" s="2" t="s">
        <v>26</v>
      </c>
      <c r="D6334" s="2" t="s">
        <v>18</v>
      </c>
      <c r="E6334" s="4">
        <v>-32172</v>
      </c>
      <c r="F6334" s="3" t="s">
        <v>300</v>
      </c>
      <c r="G6334" s="3" t="s">
        <v>301</v>
      </c>
      <c r="H6334" s="2" t="s">
        <v>148</v>
      </c>
      <c r="I6334" s="2" t="s">
        <v>16283</v>
      </c>
      <c r="J6334" s="3" t="str">
        <f>HYPERLINK("https://www.boe.es/gazeta/dias/1811/11/30/pdfs/GMD-1811-334.pdf#page=4","Abrir facsímil")</f>
        <v>Abrir facsímil</v>
      </c>
      <c r="K6334" s="3" t="s">
        <v>150</v>
      </c>
    </row>
    <row r="6335" spans="1:11" ht="42" customHeight="1">
      <c r="A6335" s="2" t="s">
        <v>16284</v>
      </c>
      <c r="B6335" s="2" t="s">
        <v>16285</v>
      </c>
      <c r="C6335" s="2" t="s">
        <v>17</v>
      </c>
      <c r="D6335" s="2" t="s">
        <v>18</v>
      </c>
      <c r="E6335" s="4">
        <v>-32447</v>
      </c>
      <c r="F6335" s="3" t="s">
        <v>3655</v>
      </c>
      <c r="G6335" s="3" t="s">
        <v>476</v>
      </c>
      <c r="H6335" s="2" t="s">
        <v>148</v>
      </c>
      <c r="I6335" s="2" t="s">
        <v>16286</v>
      </c>
      <c r="J6335" s="3" t="str">
        <f>HYPERLINK("https://www.boe.es/gazeta/dias/1811/02/28/pdfs/GEI-1811-26.pdf#page=7","Abrir facsímil")</f>
        <v>Abrir facsímil</v>
      </c>
      <c r="K6335" s="3" t="s">
        <v>150</v>
      </c>
    </row>
    <row r="6336" spans="1:11" ht="42" customHeight="1">
      <c r="A6336" s="2" t="s">
        <v>16287</v>
      </c>
      <c r="B6336" s="2" t="s">
        <v>16288</v>
      </c>
      <c r="C6336" s="2" t="s">
        <v>26</v>
      </c>
      <c r="D6336" s="2" t="s">
        <v>18</v>
      </c>
      <c r="E6336" s="4">
        <v>-32179</v>
      </c>
      <c r="F6336" s="3" t="s">
        <v>614</v>
      </c>
      <c r="G6336" s="3" t="s">
        <v>11939</v>
      </c>
      <c r="H6336" s="2" t="s">
        <v>148</v>
      </c>
      <c r="I6336" s="2" t="s">
        <v>16289</v>
      </c>
      <c r="J6336" s="3" t="str">
        <f>HYPERLINK("https://www.boe.es/gazeta/dias/1811/11/23/pdfs/GEI-1811-153.pdf#page=3","Abrir facsímil")</f>
        <v>Abrir facsímil</v>
      </c>
      <c r="K6336" s="3" t="s">
        <v>150</v>
      </c>
    </row>
    <row r="6337" spans="1:11" ht="42" customHeight="1">
      <c r="A6337" s="2" t="s">
        <v>16290</v>
      </c>
      <c r="B6337" s="2" t="s">
        <v>16291</v>
      </c>
      <c r="C6337" s="2" t="s">
        <v>26</v>
      </c>
      <c r="D6337" s="2" t="s">
        <v>18</v>
      </c>
      <c r="E6337" s="4">
        <v>-32416</v>
      </c>
      <c r="F6337" s="3" t="s">
        <v>954</v>
      </c>
      <c r="G6337" s="3" t="s">
        <v>47</v>
      </c>
      <c r="H6337" s="2" t="s">
        <v>148</v>
      </c>
      <c r="I6337" s="2" t="s">
        <v>16292</v>
      </c>
      <c r="J6337" s="3" t="str">
        <f>HYPERLINK("https://www.boe.es/gazeta/dias/1811/03/31/pdfs/GMD-1811-90.pdf#page=3","Abrir facsímil")</f>
        <v>Abrir facsímil</v>
      </c>
      <c r="K6337" s="3" t="s">
        <v>150</v>
      </c>
    </row>
    <row r="6338" spans="1:11" ht="42" customHeight="1">
      <c r="A6338" s="2" t="s">
        <v>16293</v>
      </c>
      <c r="B6338" s="2" t="s">
        <v>16294</v>
      </c>
      <c r="C6338" s="2" t="s">
        <v>17</v>
      </c>
      <c r="D6338" s="2" t="s">
        <v>156</v>
      </c>
      <c r="E6338" s="4">
        <v>-32298</v>
      </c>
      <c r="F6338" s="3" t="s">
        <v>133</v>
      </c>
      <c r="G6338" s="3" t="s">
        <v>134</v>
      </c>
      <c r="H6338" s="2" t="s">
        <v>148</v>
      </c>
      <c r="I6338" s="2" t="s">
        <v>16295</v>
      </c>
      <c r="J6338" s="3" t="str">
        <f>HYPERLINK("https://www.boe.es/gazeta/dias/1811/07/27/pdfs/GEI-1811-98.pdf#page=7","Abrir facsímil")</f>
        <v>Abrir facsímil</v>
      </c>
      <c r="K6338" s="3" t="s">
        <v>150</v>
      </c>
    </row>
    <row r="6339" spans="1:11" ht="42" customHeight="1">
      <c r="A6339" s="2" t="s">
        <v>16296</v>
      </c>
      <c r="B6339" s="2" t="s">
        <v>16296</v>
      </c>
      <c r="C6339" s="2" t="s">
        <v>17</v>
      </c>
      <c r="D6339" s="2" t="s">
        <v>156</v>
      </c>
      <c r="E6339" s="4">
        <v>-32310</v>
      </c>
      <c r="F6339" s="3" t="s">
        <v>2317</v>
      </c>
      <c r="G6339" s="3" t="s">
        <v>11905</v>
      </c>
      <c r="H6339" s="2" t="s">
        <v>148</v>
      </c>
      <c r="I6339" s="2" t="s">
        <v>16297</v>
      </c>
      <c r="J6339" s="3" t="str">
        <f>HYPERLINK("https://www.boe.es/gazeta/dias/1811/07/15/pdfs/GMD-1811-196.pdf#page=1","Abrir facsímil")</f>
        <v>Abrir facsímil</v>
      </c>
      <c r="K6339" s="3" t="s">
        <v>150</v>
      </c>
    </row>
    <row r="6340" spans="1:11" ht="42" customHeight="1">
      <c r="A6340" s="2" t="s">
        <v>16298</v>
      </c>
      <c r="B6340" s="2" t="s">
        <v>16298</v>
      </c>
      <c r="C6340" s="2" t="s">
        <v>17</v>
      </c>
      <c r="D6340" s="2" t="s">
        <v>18</v>
      </c>
      <c r="E6340" s="4">
        <v>-32494</v>
      </c>
      <c r="F6340" s="3" t="s">
        <v>3050</v>
      </c>
      <c r="G6340" s="3" t="s">
        <v>2442</v>
      </c>
      <c r="H6340" s="2" t="s">
        <v>148</v>
      </c>
      <c r="I6340" s="2" t="s">
        <v>16299</v>
      </c>
      <c r="J6340" s="3" t="str">
        <f>HYPERLINK("https://www.boe.es/gazeta/dias/1811/01/12/pdfs/GEI-1811-6.pdf#page=3","Abrir facsímil")</f>
        <v>Abrir facsímil</v>
      </c>
      <c r="K6340" s="3" t="s">
        <v>150</v>
      </c>
    </row>
    <row r="6341" spans="1:11" ht="42" customHeight="1">
      <c r="A6341" s="2" t="s">
        <v>16300</v>
      </c>
      <c r="B6341" s="2" t="s">
        <v>16301</v>
      </c>
      <c r="C6341" s="2" t="s">
        <v>26</v>
      </c>
      <c r="D6341" s="2" t="s">
        <v>18</v>
      </c>
      <c r="E6341" s="4">
        <v>-32200</v>
      </c>
      <c r="F6341" s="3" t="s">
        <v>109</v>
      </c>
      <c r="G6341" s="3" t="s">
        <v>268</v>
      </c>
      <c r="H6341" s="2" t="s">
        <v>148</v>
      </c>
      <c r="I6341" s="2" t="s">
        <v>16302</v>
      </c>
      <c r="J6341" s="3" t="str">
        <f>HYPERLINK("https://www.boe.es/gazeta/dias/1811/11/02/pdfs/GEI-1811-141.pdf#page=7","Abrir facsímil")</f>
        <v>Abrir facsímil</v>
      </c>
      <c r="K6341" s="3" t="s">
        <v>150</v>
      </c>
    </row>
    <row r="6342" spans="1:11" ht="42" customHeight="1">
      <c r="A6342" s="2" t="s">
        <v>16303</v>
      </c>
      <c r="B6342" s="2" t="s">
        <v>16304</v>
      </c>
      <c r="C6342" s="2" t="s">
        <v>84</v>
      </c>
      <c r="D6342" s="2" t="s">
        <v>18</v>
      </c>
      <c r="E6342" s="4">
        <v>-32155</v>
      </c>
      <c r="F6342" s="3" t="s">
        <v>99</v>
      </c>
      <c r="G6342" s="3" t="s">
        <v>100</v>
      </c>
      <c r="H6342" s="2" t="s">
        <v>148</v>
      </c>
      <c r="I6342" s="2" t="s">
        <v>16305</v>
      </c>
      <c r="J6342" s="3" t="str">
        <f>HYPERLINK("https://www.boe.es/gazeta/dias/1811/12/17/pdfs/GMD-1811-351.pdf#page=4","Abrir facsímil")</f>
        <v>Abrir facsímil</v>
      </c>
      <c r="K6342" s="3" t="s">
        <v>150</v>
      </c>
    </row>
    <row r="6343" spans="1:11" ht="42" customHeight="1">
      <c r="A6343" s="2" t="s">
        <v>16306</v>
      </c>
      <c r="B6343" s="2" t="s">
        <v>16306</v>
      </c>
      <c r="C6343" s="2" t="s">
        <v>17</v>
      </c>
      <c r="D6343" s="2" t="s">
        <v>18</v>
      </c>
      <c r="E6343" s="4">
        <v>-32232</v>
      </c>
      <c r="F6343" s="3" t="s">
        <v>1879</v>
      </c>
      <c r="G6343" s="3" t="s">
        <v>120</v>
      </c>
      <c r="H6343" s="2" t="s">
        <v>148</v>
      </c>
      <c r="I6343" s="2" t="s">
        <v>16307</v>
      </c>
      <c r="J6343" s="3" t="str">
        <f>HYPERLINK("https://www.boe.es/gazeta/dias/1811/10/01/pdfs/GMD-1811-274.pdf#page=1","Abrir facsímil")</f>
        <v>Abrir facsímil</v>
      </c>
      <c r="K6343" s="3" t="s">
        <v>150</v>
      </c>
    </row>
    <row r="6344" spans="1:11" ht="42" customHeight="1">
      <c r="A6344" s="2" t="s">
        <v>16308</v>
      </c>
      <c r="B6344" s="2" t="s">
        <v>16309</v>
      </c>
      <c r="C6344" s="2" t="s">
        <v>26</v>
      </c>
      <c r="D6344" s="2" t="s">
        <v>141</v>
      </c>
      <c r="E6344" s="4">
        <v>-32249</v>
      </c>
      <c r="F6344" s="3" t="s">
        <v>743</v>
      </c>
      <c r="G6344" s="3" t="s">
        <v>468</v>
      </c>
      <c r="H6344" s="2" t="s">
        <v>148</v>
      </c>
      <c r="I6344" s="2" t="s">
        <v>16310</v>
      </c>
      <c r="J6344" s="3" t="str">
        <f>HYPERLINK("https://www.boe.es/gazeta/dias/1811/09/14/pdfs/GMD-C-1811-257.pdf#page=1","Abrir facsímil")</f>
        <v>Abrir facsímil</v>
      </c>
      <c r="K6344" s="3" t="s">
        <v>150</v>
      </c>
    </row>
    <row r="6345" spans="1:11" ht="42" customHeight="1">
      <c r="A6345" s="2" t="s">
        <v>16311</v>
      </c>
      <c r="B6345" s="2" t="s">
        <v>16312</v>
      </c>
      <c r="C6345" s="2" t="s">
        <v>37</v>
      </c>
      <c r="D6345" s="2" t="s">
        <v>156</v>
      </c>
      <c r="E6345" s="4">
        <v>-32286</v>
      </c>
      <c r="F6345" s="3" t="s">
        <v>754</v>
      </c>
      <c r="G6345" s="3" t="s">
        <v>16313</v>
      </c>
      <c r="H6345" s="2" t="s">
        <v>148</v>
      </c>
      <c r="I6345" s="2" t="s">
        <v>16314</v>
      </c>
      <c r="J6345" s="3" t="str">
        <f>HYPERLINK("https://www.boe.es/gazeta/dias/1811/08/08/pdfs/GEI-1811-103.pdf#page=5","Abrir facsímil")</f>
        <v>Abrir facsímil</v>
      </c>
      <c r="K6345" s="3" t="s">
        <v>150</v>
      </c>
    </row>
    <row r="6346" spans="1:11" ht="42" customHeight="1">
      <c r="A6346" s="2" t="s">
        <v>16315</v>
      </c>
      <c r="B6346" s="2" t="s">
        <v>16316</v>
      </c>
      <c r="C6346" s="2" t="s">
        <v>26</v>
      </c>
      <c r="D6346" s="2" t="s">
        <v>18</v>
      </c>
      <c r="E6346" s="4">
        <v>-32326</v>
      </c>
      <c r="F6346" s="3" t="s">
        <v>43</v>
      </c>
      <c r="G6346" s="3" t="s">
        <v>4089</v>
      </c>
      <c r="H6346" s="2" t="s">
        <v>148</v>
      </c>
      <c r="I6346" s="2" t="s">
        <v>16317</v>
      </c>
      <c r="J6346" s="3" t="str">
        <f>HYPERLINK("https://www.boe.es/gazeta/dias/1811/06/29/pdfs/GEI-1811-86.pdf#page=5","Abrir facsímil")</f>
        <v>Abrir facsímil</v>
      </c>
      <c r="K6346" s="3" t="s">
        <v>150</v>
      </c>
    </row>
    <row r="6347" spans="1:11" ht="42" customHeight="1">
      <c r="A6347" s="2" t="s">
        <v>16318</v>
      </c>
      <c r="B6347" s="2" t="s">
        <v>16319</v>
      </c>
      <c r="C6347" s="2" t="s">
        <v>26</v>
      </c>
      <c r="D6347" s="2" t="s">
        <v>18</v>
      </c>
      <c r="E6347" s="4">
        <v>-32412</v>
      </c>
      <c r="F6347" s="3" t="s">
        <v>998</v>
      </c>
      <c r="G6347" s="3" t="s">
        <v>1939</v>
      </c>
      <c r="H6347" s="2" t="s">
        <v>148</v>
      </c>
      <c r="I6347" s="2" t="s">
        <v>16320</v>
      </c>
      <c r="J6347" s="3" t="str">
        <f>HYPERLINK("https://www.boe.es/gazeta/dias/1811/04/04/pdfs/GEI-1811-46.pdf#page=4","Abrir facsímil")</f>
        <v>Abrir facsímil</v>
      </c>
      <c r="K6347" s="3" t="s">
        <v>150</v>
      </c>
    </row>
    <row r="6348" spans="1:11" ht="42" customHeight="1">
      <c r="A6348" s="2" t="s">
        <v>16321</v>
      </c>
      <c r="B6348" s="2" t="s">
        <v>16322</v>
      </c>
      <c r="C6348" s="2" t="s">
        <v>26</v>
      </c>
      <c r="D6348" s="2" t="s">
        <v>18</v>
      </c>
      <c r="E6348" s="4">
        <v>-32326</v>
      </c>
      <c r="F6348" s="3" t="s">
        <v>43</v>
      </c>
      <c r="G6348" s="3" t="s">
        <v>44</v>
      </c>
      <c r="H6348" s="2" t="s">
        <v>148</v>
      </c>
      <c r="I6348" s="2" t="s">
        <v>16323</v>
      </c>
      <c r="J6348" s="3" t="str">
        <f>HYPERLINK("https://www.boe.es/gazeta/dias/1811/06/29/pdfs/GEI-1811-86.pdf#page=6","Abrir facsímil")</f>
        <v>Abrir facsímil</v>
      </c>
      <c r="K6348" s="3" t="s">
        <v>150</v>
      </c>
    </row>
    <row r="6349" spans="1:11" ht="42" customHeight="1">
      <c r="A6349" s="2" t="s">
        <v>16324</v>
      </c>
      <c r="B6349" s="2" t="s">
        <v>16325</v>
      </c>
      <c r="C6349" s="2" t="s">
        <v>26</v>
      </c>
      <c r="D6349" s="2" t="s">
        <v>18</v>
      </c>
      <c r="E6349" s="4">
        <v>-32433</v>
      </c>
      <c r="F6349" s="3" t="s">
        <v>209</v>
      </c>
      <c r="G6349" s="3" t="s">
        <v>115</v>
      </c>
      <c r="H6349" s="2" t="s">
        <v>148</v>
      </c>
      <c r="I6349" s="2" t="s">
        <v>16326</v>
      </c>
      <c r="J6349" s="3" t="str">
        <f>HYPERLINK("https://www.boe.es/gazeta/dias/1811/03/14/pdfs/GMD-1811-73.pdf#page=3","Abrir facsímil")</f>
        <v>Abrir facsímil</v>
      </c>
      <c r="K6349" s="3" t="s">
        <v>150</v>
      </c>
    </row>
    <row r="6350" spans="1:11" ht="42" customHeight="1">
      <c r="A6350" s="2" t="s">
        <v>16327</v>
      </c>
      <c r="B6350" s="2" t="s">
        <v>16327</v>
      </c>
      <c r="C6350" s="2" t="s">
        <v>17</v>
      </c>
      <c r="D6350" s="2" t="s">
        <v>18</v>
      </c>
      <c r="E6350" s="4">
        <v>-32460</v>
      </c>
      <c r="F6350" s="3" t="s">
        <v>4783</v>
      </c>
      <c r="G6350" s="3" t="s">
        <v>468</v>
      </c>
      <c r="H6350" s="2" t="s">
        <v>148</v>
      </c>
      <c r="I6350" s="2" t="s">
        <v>16328</v>
      </c>
      <c r="J6350" s="3" t="str">
        <f>HYPERLINK("https://www.boe.es/gazeta/dias/1811/02/15/pdfs/GMD-1811-46.pdf#page=2","Abrir facsímil")</f>
        <v>Abrir facsímil</v>
      </c>
      <c r="K6350" s="3" t="s">
        <v>150</v>
      </c>
    </row>
    <row r="6351" spans="1:11" ht="42" customHeight="1">
      <c r="A6351" s="2" t="s">
        <v>16329</v>
      </c>
      <c r="B6351" s="2" t="s">
        <v>16330</v>
      </c>
      <c r="C6351" s="2" t="s">
        <v>841</v>
      </c>
      <c r="D6351" s="2" t="s">
        <v>18</v>
      </c>
      <c r="E6351" s="4">
        <v>-32501</v>
      </c>
      <c r="F6351" s="3" t="s">
        <v>509</v>
      </c>
      <c r="G6351" s="3" t="s">
        <v>510</v>
      </c>
      <c r="H6351" s="2" t="s">
        <v>148</v>
      </c>
      <c r="I6351" s="2" t="s">
        <v>16331</v>
      </c>
      <c r="J6351" s="3" t="str">
        <f>HYPERLINK("https://www.boe.es/gazeta/dias/1811/01/05/pdfs/GEI-1811-3.pdf#page=8","Abrir facsímil")</f>
        <v>Abrir facsímil</v>
      </c>
      <c r="K6351" s="3" t="s">
        <v>150</v>
      </c>
    </row>
    <row r="6352" spans="1:11" ht="42" customHeight="1">
      <c r="A6352" s="2" t="s">
        <v>16332</v>
      </c>
      <c r="B6352" s="2" t="s">
        <v>16332</v>
      </c>
      <c r="C6352" s="2" t="s">
        <v>26</v>
      </c>
      <c r="D6352" s="2" t="s">
        <v>18</v>
      </c>
      <c r="E6352" s="4">
        <v>-32461</v>
      </c>
      <c r="F6352" s="3" t="s">
        <v>1383</v>
      </c>
      <c r="G6352" s="3" t="s">
        <v>178</v>
      </c>
      <c r="H6352" s="2" t="s">
        <v>148</v>
      </c>
      <c r="I6352" s="2" t="s">
        <v>16333</v>
      </c>
      <c r="J6352" s="3" t="str">
        <f>HYPERLINK("https://www.boe.es/gazeta/dias/1811/02/14/pdfs/GMD-1811-45.pdf#page=2","Abrir facsímil")</f>
        <v>Abrir facsímil</v>
      </c>
      <c r="K6352" s="3" t="s">
        <v>150</v>
      </c>
    </row>
    <row r="6353" spans="1:11" ht="42" customHeight="1">
      <c r="A6353" s="2" t="s">
        <v>16334</v>
      </c>
      <c r="B6353" s="2" t="s">
        <v>16335</v>
      </c>
      <c r="C6353" s="2" t="s">
        <v>17</v>
      </c>
      <c r="D6353" s="2" t="s">
        <v>528</v>
      </c>
      <c r="E6353" s="4">
        <v>-32219</v>
      </c>
      <c r="F6353" s="3" t="s">
        <v>529</v>
      </c>
      <c r="G6353" s="3" t="s">
        <v>530</v>
      </c>
      <c r="H6353" s="2" t="s">
        <v>148</v>
      </c>
      <c r="I6353" s="2" t="s">
        <v>16336</v>
      </c>
      <c r="J6353" s="3" t="str">
        <f>HYPERLINK("https://www.boe.es/gazeta/dias/1811/10/14/pdfs/GEI-1811-132E.pdf#page=4","Abrir facsímil")</f>
        <v>Abrir facsímil</v>
      </c>
      <c r="K6353" s="3" t="s">
        <v>150</v>
      </c>
    </row>
    <row r="6354" spans="1:11" ht="42" customHeight="1">
      <c r="A6354" s="2" t="s">
        <v>16337</v>
      </c>
      <c r="B6354" s="2" t="s">
        <v>16337</v>
      </c>
      <c r="C6354" s="2" t="s">
        <v>17</v>
      </c>
      <c r="D6354" s="2" t="s">
        <v>156</v>
      </c>
      <c r="E6354" s="4">
        <v>-32279</v>
      </c>
      <c r="F6354" s="3" t="s">
        <v>540</v>
      </c>
      <c r="G6354" s="3" t="s">
        <v>91</v>
      </c>
      <c r="H6354" s="2" t="s">
        <v>148</v>
      </c>
      <c r="I6354" s="2" t="s">
        <v>16338</v>
      </c>
      <c r="J6354" s="3" t="str">
        <f>HYPERLINK("https://www.boe.es/gazeta/dias/1811/08/15/pdfs/GMD-1811-227.pdf#page=3","Abrir facsímil")</f>
        <v>Abrir facsímil</v>
      </c>
      <c r="K6354" s="3" t="s">
        <v>150</v>
      </c>
    </row>
    <row r="6355" spans="1:11" ht="42" customHeight="1">
      <c r="A6355" s="2" t="s">
        <v>16339</v>
      </c>
      <c r="B6355" s="2" t="s">
        <v>16339</v>
      </c>
      <c r="C6355" s="2" t="s">
        <v>367</v>
      </c>
      <c r="D6355" s="2" t="s">
        <v>18</v>
      </c>
      <c r="E6355" s="4">
        <v>-32344</v>
      </c>
      <c r="F6355" s="3" t="s">
        <v>16340</v>
      </c>
      <c r="G6355" s="3" t="s">
        <v>248</v>
      </c>
      <c r="H6355" s="2" t="s">
        <v>148</v>
      </c>
      <c r="I6355" s="2" t="s">
        <v>16341</v>
      </c>
      <c r="J6355" s="3" t="str">
        <f>HYPERLINK("https://www.boe.es/gazeta/dias/1811/06/11/pdfs/GMD-1811-162.pdf#page=1","Abrir facsímil")</f>
        <v>Abrir facsímil</v>
      </c>
      <c r="K6355" s="3" t="s">
        <v>150</v>
      </c>
    </row>
    <row r="6356" spans="1:11" ht="42" customHeight="1">
      <c r="A6356" s="2" t="s">
        <v>16342</v>
      </c>
      <c r="B6356" s="2" t="s">
        <v>16343</v>
      </c>
      <c r="C6356" s="2" t="s">
        <v>26</v>
      </c>
      <c r="D6356" s="2" t="s">
        <v>18</v>
      </c>
      <c r="E6356" s="4">
        <v>-32300</v>
      </c>
      <c r="F6356" s="3" t="s">
        <v>492</v>
      </c>
      <c r="G6356" s="3" t="s">
        <v>493</v>
      </c>
      <c r="H6356" s="2" t="s">
        <v>148</v>
      </c>
      <c r="I6356" s="2" t="s">
        <v>16344</v>
      </c>
      <c r="J6356" s="3" t="str">
        <f>HYPERLINK("https://www.boe.es/gazeta/dias/1811/07/25/pdfs/GMD-1811-206.pdf#page=4","Abrir facsímil")</f>
        <v>Abrir facsímil</v>
      </c>
      <c r="K6356" s="3" t="s">
        <v>150</v>
      </c>
    </row>
    <row r="6357" spans="1:11" ht="42" customHeight="1">
      <c r="A6357" s="2" t="s">
        <v>16345</v>
      </c>
      <c r="B6357" s="2" t="s">
        <v>16345</v>
      </c>
      <c r="C6357" s="2" t="s">
        <v>17</v>
      </c>
      <c r="D6357" s="2" t="s">
        <v>156</v>
      </c>
      <c r="E6357" s="4">
        <v>-32186</v>
      </c>
      <c r="F6357" s="3" t="s">
        <v>1425</v>
      </c>
      <c r="G6357" s="3" t="s">
        <v>47</v>
      </c>
      <c r="H6357" s="2" t="s">
        <v>148</v>
      </c>
      <c r="I6357" s="2" t="s">
        <v>16346</v>
      </c>
      <c r="J6357" s="3" t="str">
        <f>HYPERLINK("https://www.boe.es/gazeta/dias/1811/11/16/pdfs/GEI-1811-150.pdf#page=1","Abrir facsímil")</f>
        <v>Abrir facsímil</v>
      </c>
      <c r="K6357" s="3" t="s">
        <v>150</v>
      </c>
    </row>
    <row r="6358" spans="1:11" ht="42" customHeight="1">
      <c r="A6358" s="2" t="s">
        <v>16347</v>
      </c>
      <c r="B6358" s="2" t="s">
        <v>16347</v>
      </c>
      <c r="C6358" s="2" t="s">
        <v>17</v>
      </c>
      <c r="D6358" s="2" t="s">
        <v>156</v>
      </c>
      <c r="E6358" s="4">
        <v>-32319</v>
      </c>
      <c r="F6358" s="3" t="s">
        <v>975</v>
      </c>
      <c r="G6358" s="3" t="s">
        <v>976</v>
      </c>
      <c r="H6358" s="2" t="s">
        <v>148</v>
      </c>
      <c r="I6358" s="2" t="s">
        <v>16348</v>
      </c>
      <c r="J6358" s="3" t="str">
        <f>HYPERLINK("https://www.boe.es/gazeta/dias/1811/07/06/pdfs/GEI-1811-89.pdf#page=2","Abrir facsímil")</f>
        <v>Abrir facsímil</v>
      </c>
      <c r="K6358" s="3" t="s">
        <v>150</v>
      </c>
    </row>
    <row r="6359" spans="1:11" ht="42" customHeight="1">
      <c r="A6359" s="2" t="s">
        <v>16349</v>
      </c>
      <c r="B6359" s="2" t="s">
        <v>16349</v>
      </c>
      <c r="C6359" s="2" t="s">
        <v>17</v>
      </c>
      <c r="D6359" s="2" t="s">
        <v>156</v>
      </c>
      <c r="E6359" s="4">
        <v>-32325</v>
      </c>
      <c r="F6359" s="3" t="s">
        <v>552</v>
      </c>
      <c r="G6359" s="3" t="s">
        <v>515</v>
      </c>
      <c r="H6359" s="2" t="s">
        <v>148</v>
      </c>
      <c r="I6359" s="2" t="s">
        <v>16350</v>
      </c>
      <c r="J6359" s="3" t="str">
        <f>HYPERLINK("https://www.boe.es/gazeta/dias/1811/06/30/pdfs/GMD-1811-181.pdf#page=2","Abrir facsímil")</f>
        <v>Abrir facsímil</v>
      </c>
      <c r="K6359" s="3" t="s">
        <v>150</v>
      </c>
    </row>
    <row r="6360" spans="1:11" ht="42" customHeight="1">
      <c r="A6360" s="2" t="s">
        <v>16351</v>
      </c>
      <c r="B6360" s="2" t="s">
        <v>16352</v>
      </c>
      <c r="C6360" s="2" t="s">
        <v>841</v>
      </c>
      <c r="D6360" s="2" t="s">
        <v>18</v>
      </c>
      <c r="E6360" s="4">
        <v>-32251</v>
      </c>
      <c r="F6360" s="3" t="s">
        <v>726</v>
      </c>
      <c r="G6360" s="3" t="s">
        <v>727</v>
      </c>
      <c r="H6360" s="2" t="s">
        <v>148</v>
      </c>
      <c r="I6360" s="2" t="s">
        <v>16353</v>
      </c>
      <c r="J6360" s="3" t="str">
        <f>HYPERLINK("https://www.boe.es/gazeta/dias/1811/09/12/pdfs/GEI-1811-118.pdf#page=8","Abrir facsímil")</f>
        <v>Abrir facsímil</v>
      </c>
      <c r="K6360" s="3" t="s">
        <v>150</v>
      </c>
    </row>
    <row r="6361" spans="1:11" ht="42" customHeight="1">
      <c r="A6361" s="2" t="s">
        <v>16354</v>
      </c>
      <c r="B6361" s="2" t="s">
        <v>16355</v>
      </c>
      <c r="C6361" s="2" t="s">
        <v>26</v>
      </c>
      <c r="D6361" s="2" t="s">
        <v>18</v>
      </c>
      <c r="E6361" s="4">
        <v>-32157</v>
      </c>
      <c r="F6361" s="3" t="s">
        <v>200</v>
      </c>
      <c r="G6361" s="3" t="s">
        <v>6869</v>
      </c>
      <c r="H6361" s="2" t="s">
        <v>148</v>
      </c>
      <c r="I6361" s="2" t="s">
        <v>16356</v>
      </c>
      <c r="J6361" s="3" t="str">
        <f>HYPERLINK("https://www.boe.es/gazeta/dias/1811/12/15/pdfs/GMD-1811-349.pdf#page=2","Abrir facsímil")</f>
        <v>Abrir facsímil</v>
      </c>
      <c r="K6361" s="3" t="s">
        <v>150</v>
      </c>
    </row>
    <row r="6362" spans="1:11" ht="42" customHeight="1">
      <c r="A6362" s="2" t="s">
        <v>16357</v>
      </c>
      <c r="B6362" s="2" t="s">
        <v>16357</v>
      </c>
      <c r="C6362" s="2" t="s">
        <v>17</v>
      </c>
      <c r="D6362" s="2" t="s">
        <v>18</v>
      </c>
      <c r="E6362" s="4">
        <v>-32300</v>
      </c>
      <c r="F6362" s="3" t="s">
        <v>61</v>
      </c>
      <c r="G6362" s="3" t="s">
        <v>62</v>
      </c>
      <c r="H6362" s="2" t="s">
        <v>148</v>
      </c>
      <c r="I6362" s="2" t="s">
        <v>16358</v>
      </c>
      <c r="J6362" s="3" t="str">
        <f>HYPERLINK("https://www.boe.es/gazeta/dias/1811/07/25/pdfs/GEI-1811-97.pdf#page=5","Abrir facsímil")</f>
        <v>Abrir facsímil</v>
      </c>
      <c r="K6362" s="3" t="s">
        <v>150</v>
      </c>
    </row>
    <row r="6363" spans="1:11" ht="42" customHeight="1">
      <c r="A6363" s="2" t="s">
        <v>16359</v>
      </c>
      <c r="B6363" s="2" t="s">
        <v>16359</v>
      </c>
      <c r="C6363" s="2" t="s">
        <v>26</v>
      </c>
      <c r="D6363" s="2" t="s">
        <v>18</v>
      </c>
      <c r="E6363" s="4">
        <v>-32475</v>
      </c>
      <c r="F6363" s="3" t="s">
        <v>6882</v>
      </c>
      <c r="G6363" s="3" t="s">
        <v>1565</v>
      </c>
      <c r="H6363" s="2" t="s">
        <v>148</v>
      </c>
      <c r="I6363" s="2" t="s">
        <v>16360</v>
      </c>
      <c r="J6363" s="3" t="str">
        <f>HYPERLINK("https://www.boe.es/gazeta/dias/1811/01/31/pdfs/GEI-1811-14.pdf#page=8","Abrir facsímil")</f>
        <v>Abrir facsímil</v>
      </c>
      <c r="K6363" s="3" t="s">
        <v>150</v>
      </c>
    </row>
    <row r="6364" spans="1:11" ht="42" customHeight="1">
      <c r="A6364" s="2" t="s">
        <v>16359</v>
      </c>
      <c r="B6364" s="2" t="s">
        <v>16359</v>
      </c>
      <c r="C6364" s="2" t="s">
        <v>26</v>
      </c>
      <c r="D6364" s="2" t="s">
        <v>18</v>
      </c>
      <c r="E6364" s="4">
        <v>-32468</v>
      </c>
      <c r="F6364" s="3" t="s">
        <v>683</v>
      </c>
      <c r="G6364" s="3" t="s">
        <v>214</v>
      </c>
      <c r="H6364" s="2" t="s">
        <v>148</v>
      </c>
      <c r="I6364" s="2" t="s">
        <v>16361</v>
      </c>
      <c r="J6364" s="3" t="str">
        <f>HYPERLINK("https://www.boe.es/gazeta/dias/1811/02/07/pdfs/GEI-1811-17.pdf#page=6","Abrir facsímil")</f>
        <v>Abrir facsímil</v>
      </c>
      <c r="K6364" s="3" t="s">
        <v>150</v>
      </c>
    </row>
    <row r="6365" spans="1:11" ht="42" customHeight="1">
      <c r="A6365" s="2" t="s">
        <v>16359</v>
      </c>
      <c r="B6365" s="2" t="s">
        <v>16359</v>
      </c>
      <c r="C6365" s="2" t="s">
        <v>17</v>
      </c>
      <c r="D6365" s="2" t="s">
        <v>156</v>
      </c>
      <c r="E6365" s="4">
        <v>-32428</v>
      </c>
      <c r="F6365" s="3" t="s">
        <v>351</v>
      </c>
      <c r="G6365" s="3" t="s">
        <v>115</v>
      </c>
      <c r="H6365" s="2" t="s">
        <v>148</v>
      </c>
      <c r="I6365" s="2" t="s">
        <v>16362</v>
      </c>
      <c r="J6365" s="3" t="str">
        <f>HYPERLINK("https://www.boe.es/gazeta/dias/1811/03/19/pdfs/GMD-1811-78.pdf#page=3","Abrir facsímil")</f>
        <v>Abrir facsímil</v>
      </c>
      <c r="K6365" s="3" t="s">
        <v>150</v>
      </c>
    </row>
    <row r="6366" spans="1:11" ht="42" customHeight="1">
      <c r="A6366" s="2" t="s">
        <v>16359</v>
      </c>
      <c r="B6366" s="2" t="s">
        <v>16359</v>
      </c>
      <c r="C6366" s="2" t="s">
        <v>26</v>
      </c>
      <c r="D6366" s="2" t="s">
        <v>18</v>
      </c>
      <c r="E6366" s="4">
        <v>-32300</v>
      </c>
      <c r="F6366" s="3" t="s">
        <v>61</v>
      </c>
      <c r="G6366" s="3" t="s">
        <v>129</v>
      </c>
      <c r="H6366" s="2" t="s">
        <v>148</v>
      </c>
      <c r="I6366" s="2" t="s">
        <v>16363</v>
      </c>
      <c r="J6366" s="3" t="str">
        <f>HYPERLINK("https://www.boe.es/gazeta/dias/1811/07/25/pdfs/GEI-1811-97.pdf#page=2","Abrir facsímil")</f>
        <v>Abrir facsímil</v>
      </c>
      <c r="K6366" s="3" t="s">
        <v>150</v>
      </c>
    </row>
    <row r="6367" spans="1:11" ht="42" customHeight="1">
      <c r="A6367" s="2" t="s">
        <v>16359</v>
      </c>
      <c r="B6367" s="2" t="s">
        <v>16359</v>
      </c>
      <c r="C6367" s="2" t="s">
        <v>26</v>
      </c>
      <c r="D6367" s="2" t="s">
        <v>18</v>
      </c>
      <c r="E6367" s="4">
        <v>-32295</v>
      </c>
      <c r="F6367" s="3" t="s">
        <v>279</v>
      </c>
      <c r="G6367" s="3" t="s">
        <v>44</v>
      </c>
      <c r="H6367" s="2" t="s">
        <v>148</v>
      </c>
      <c r="I6367" s="2" t="s">
        <v>16364</v>
      </c>
      <c r="J6367" s="3" t="str">
        <f>HYPERLINK("https://www.boe.es/gazeta/dias/1811/07/30/pdfs/GEI-1811-99.pdf#page=8","Abrir facsímil")</f>
        <v>Abrir facsímil</v>
      </c>
      <c r="K6367" s="3" t="s">
        <v>150</v>
      </c>
    </row>
    <row r="6368" spans="1:11" ht="42" customHeight="1">
      <c r="A6368" s="2" t="s">
        <v>16359</v>
      </c>
      <c r="B6368" s="2" t="s">
        <v>16359</v>
      </c>
      <c r="C6368" s="2" t="s">
        <v>17</v>
      </c>
      <c r="D6368" s="2" t="s">
        <v>18</v>
      </c>
      <c r="E6368" s="4">
        <v>-32279</v>
      </c>
      <c r="F6368" s="3" t="s">
        <v>540</v>
      </c>
      <c r="G6368" s="3" t="s">
        <v>20</v>
      </c>
      <c r="H6368" s="2" t="s">
        <v>148</v>
      </c>
      <c r="I6368" s="2" t="s">
        <v>16365</v>
      </c>
      <c r="J6368" s="3" t="str">
        <f>HYPERLINK("https://www.boe.es/gazeta/dias/1811/08/15/pdfs/GMD-1811-227.pdf#page=4","Abrir facsímil")</f>
        <v>Abrir facsímil</v>
      </c>
      <c r="K6368" s="3" t="s">
        <v>150</v>
      </c>
    </row>
    <row r="6369" spans="1:11" ht="42" customHeight="1">
      <c r="A6369" s="2" t="s">
        <v>16366</v>
      </c>
      <c r="B6369" s="2" t="s">
        <v>16366</v>
      </c>
      <c r="C6369" s="2" t="s">
        <v>17</v>
      </c>
      <c r="D6369" s="2" t="s">
        <v>18</v>
      </c>
      <c r="E6369" s="4">
        <v>-32305</v>
      </c>
      <c r="F6369" s="3" t="s">
        <v>1575</v>
      </c>
      <c r="G6369" s="3" t="s">
        <v>1054</v>
      </c>
      <c r="H6369" s="2" t="s">
        <v>148</v>
      </c>
      <c r="I6369" s="2" t="s">
        <v>16367</v>
      </c>
      <c r="J6369" s="3" t="str">
        <f>HYPERLINK("https://www.boe.es/gazeta/dias/1811/07/20/pdfs/GEI-1811-95.pdf#page=2","Abrir facsímil")</f>
        <v>Abrir facsímil</v>
      </c>
      <c r="K6369" s="3" t="s">
        <v>150</v>
      </c>
    </row>
    <row r="6370" spans="1:11" ht="42" customHeight="1">
      <c r="A6370" s="2" t="s">
        <v>16366</v>
      </c>
      <c r="B6370" s="2" t="s">
        <v>16366</v>
      </c>
      <c r="C6370" s="2" t="s">
        <v>17</v>
      </c>
      <c r="D6370" s="2" t="s">
        <v>18</v>
      </c>
      <c r="E6370" s="4">
        <v>-32305</v>
      </c>
      <c r="F6370" s="3" t="s">
        <v>1575</v>
      </c>
      <c r="G6370" s="3" t="s">
        <v>1761</v>
      </c>
      <c r="H6370" s="2" t="s">
        <v>148</v>
      </c>
      <c r="I6370" s="2" t="s">
        <v>16368</v>
      </c>
      <c r="J6370" s="3" t="str">
        <f>HYPERLINK("https://www.boe.es/gazeta/dias/1811/07/20/pdfs/GEI-1811-95.pdf#page=4","Abrir facsímil")</f>
        <v>Abrir facsímil</v>
      </c>
      <c r="K6370" s="3" t="s">
        <v>150</v>
      </c>
    </row>
    <row r="6371" spans="1:11" ht="42" customHeight="1">
      <c r="A6371" s="2" t="s">
        <v>16369</v>
      </c>
      <c r="B6371" s="2" t="s">
        <v>16370</v>
      </c>
      <c r="C6371" s="2" t="s">
        <v>17</v>
      </c>
      <c r="D6371" s="2" t="s">
        <v>156</v>
      </c>
      <c r="E6371" s="4">
        <v>-32323</v>
      </c>
      <c r="F6371" s="3" t="s">
        <v>322</v>
      </c>
      <c r="G6371" s="3" t="s">
        <v>2164</v>
      </c>
      <c r="H6371" s="2" t="s">
        <v>148</v>
      </c>
      <c r="I6371" s="2" t="s">
        <v>16371</v>
      </c>
      <c r="J6371" s="3" t="str">
        <f>HYPERLINK("https://www.boe.es/gazeta/dias/1811/07/02/pdfs/GEI-1811-87.pdf#page=7","Abrir facsímil")</f>
        <v>Abrir facsímil</v>
      </c>
      <c r="K6371" s="3" t="s">
        <v>150</v>
      </c>
    </row>
    <row r="6372" spans="1:11" ht="42" customHeight="1">
      <c r="A6372" s="2" t="s">
        <v>16369</v>
      </c>
      <c r="B6372" s="2" t="s">
        <v>16370</v>
      </c>
      <c r="C6372" s="2" t="s">
        <v>26</v>
      </c>
      <c r="D6372" s="2" t="s">
        <v>18</v>
      </c>
      <c r="E6372" s="4">
        <v>-32235</v>
      </c>
      <c r="F6372" s="3" t="s">
        <v>190</v>
      </c>
      <c r="G6372" s="3" t="s">
        <v>188</v>
      </c>
      <c r="H6372" s="2" t="s">
        <v>148</v>
      </c>
      <c r="I6372" s="2" t="s">
        <v>16372</v>
      </c>
      <c r="J6372" s="3" t="str">
        <f>HYPERLINK("https://www.boe.es/gazeta/dias/1811/09/28/pdfs/GEI-1811-125.pdf#page=8","Abrir facsímil")</f>
        <v>Abrir facsímil</v>
      </c>
      <c r="K6372" s="3" t="s">
        <v>150</v>
      </c>
    </row>
    <row r="6373" spans="1:11" ht="42" customHeight="1">
      <c r="A6373" s="2" t="s">
        <v>16373</v>
      </c>
      <c r="B6373" s="2" t="s">
        <v>16374</v>
      </c>
      <c r="C6373" s="2" t="s">
        <v>367</v>
      </c>
      <c r="D6373" s="2" t="s">
        <v>18</v>
      </c>
      <c r="E6373" s="4">
        <v>-32141</v>
      </c>
      <c r="F6373" s="3" t="s">
        <v>327</v>
      </c>
      <c r="G6373" s="3" t="s">
        <v>20</v>
      </c>
      <c r="H6373" s="2" t="s">
        <v>148</v>
      </c>
      <c r="I6373" s="2" t="s">
        <v>16375</v>
      </c>
      <c r="J6373" s="3" t="str">
        <f>HYPERLINK("https://www.boe.es/gazeta/dias/1811/12/31/pdfs/GMD-1811-365.pdf#page=4","Abrir facsímil")</f>
        <v>Abrir facsímil</v>
      </c>
      <c r="K6373" s="3" t="s">
        <v>150</v>
      </c>
    </row>
    <row r="6374" spans="1:11" ht="42" customHeight="1">
      <c r="A6374" s="2" t="s">
        <v>16376</v>
      </c>
      <c r="B6374" s="2" t="s">
        <v>16377</v>
      </c>
      <c r="C6374" s="2" t="s">
        <v>26</v>
      </c>
      <c r="D6374" s="2" t="s">
        <v>105</v>
      </c>
      <c r="E6374" s="4">
        <v>-32197</v>
      </c>
      <c r="F6374" s="3" t="s">
        <v>687</v>
      </c>
      <c r="G6374" s="3" t="s">
        <v>1240</v>
      </c>
      <c r="H6374" s="2" t="s">
        <v>148</v>
      </c>
      <c r="I6374" s="2" t="s">
        <v>16378</v>
      </c>
      <c r="J6374" s="3" t="str">
        <f>HYPERLINK("https://www.boe.es/gazeta/dias/1811/11/05/pdfs/GEI-1811-143.pdf#page=8","Abrir facsímil")</f>
        <v>Abrir facsímil</v>
      </c>
      <c r="K6374" s="3" t="s">
        <v>150</v>
      </c>
    </row>
    <row r="6375" spans="1:11" ht="42" customHeight="1">
      <c r="A6375" s="2" t="s">
        <v>16379</v>
      </c>
      <c r="B6375" s="2" t="s">
        <v>16380</v>
      </c>
      <c r="C6375" s="2" t="s">
        <v>26</v>
      </c>
      <c r="D6375" s="2" t="s">
        <v>18</v>
      </c>
      <c r="E6375" s="4">
        <v>-32263</v>
      </c>
      <c r="F6375" s="3" t="s">
        <v>3780</v>
      </c>
      <c r="G6375" s="3" t="s">
        <v>3781</v>
      </c>
      <c r="H6375" s="2" t="s">
        <v>148</v>
      </c>
      <c r="I6375" s="2" t="s">
        <v>16381</v>
      </c>
      <c r="J6375" s="3" t="str">
        <f>HYPERLINK("https://www.boe.es/gazeta/dias/1811/08/31/pdfs/GMD-1811-243.pdf#page=4","Abrir facsímil")</f>
        <v>Abrir facsímil</v>
      </c>
      <c r="K6375" s="3" t="s">
        <v>150</v>
      </c>
    </row>
    <row r="6376" spans="1:11" ht="42" customHeight="1">
      <c r="A6376" s="2" t="s">
        <v>16382</v>
      </c>
      <c r="B6376" s="2" t="s">
        <v>16382</v>
      </c>
      <c r="C6376" s="2" t="s">
        <v>17</v>
      </c>
      <c r="D6376" s="2" t="s">
        <v>18</v>
      </c>
      <c r="E6376" s="4">
        <v>-32405</v>
      </c>
      <c r="F6376" s="3" t="s">
        <v>1413</v>
      </c>
      <c r="G6376" s="3" t="s">
        <v>1623</v>
      </c>
      <c r="H6376" s="2" t="s">
        <v>148</v>
      </c>
      <c r="I6376" s="2" t="s">
        <v>16383</v>
      </c>
      <c r="J6376" s="3" t="str">
        <f>HYPERLINK("https://www.boe.es/gazeta/dias/1811/04/11/pdfs/GEI-1811-49.pdf#page=3","Abrir facsímil")</f>
        <v>Abrir facsímil</v>
      </c>
      <c r="K6376" s="3" t="s">
        <v>150</v>
      </c>
    </row>
    <row r="6377" spans="1:11" ht="42" customHeight="1">
      <c r="A6377" s="2" t="s">
        <v>16384</v>
      </c>
      <c r="B6377" s="2" t="s">
        <v>16384</v>
      </c>
      <c r="C6377" s="2" t="s">
        <v>17</v>
      </c>
      <c r="D6377" s="2" t="s">
        <v>18</v>
      </c>
      <c r="E6377" s="4">
        <v>-32290</v>
      </c>
      <c r="F6377" s="3" t="s">
        <v>6678</v>
      </c>
      <c r="G6377" s="3" t="s">
        <v>8573</v>
      </c>
      <c r="H6377" s="2" t="s">
        <v>148</v>
      </c>
      <c r="I6377" s="2" t="s">
        <v>16385</v>
      </c>
      <c r="J6377" s="3" t="str">
        <f>HYPERLINK("https://www.boe.es/gazeta/dias/1811/08/04/pdfs/GMD-1811-216.pdf#page=2","Abrir facsímil")</f>
        <v>Abrir facsímil</v>
      </c>
      <c r="K6377" s="3" t="s">
        <v>150</v>
      </c>
    </row>
    <row r="6378" spans="1:11" ht="42" customHeight="1">
      <c r="A6378" s="2" t="s">
        <v>16386</v>
      </c>
      <c r="B6378" s="2" t="s">
        <v>16386</v>
      </c>
      <c r="C6378" s="2" t="s">
        <v>26</v>
      </c>
      <c r="D6378" s="2" t="s">
        <v>18</v>
      </c>
      <c r="E6378" s="4">
        <v>-32248</v>
      </c>
      <c r="F6378" s="3" t="s">
        <v>622</v>
      </c>
      <c r="G6378" s="3" t="s">
        <v>39</v>
      </c>
      <c r="H6378" s="2" t="s">
        <v>148</v>
      </c>
      <c r="I6378" s="2" t="s">
        <v>16387</v>
      </c>
      <c r="J6378" s="3" t="str">
        <f>HYPERLINK("https://www.boe.es/gazeta/dias/1811/09/15/pdfs/GMD-1811-258.pdf#page=1","Abrir facsímil")</f>
        <v>Abrir facsímil</v>
      </c>
      <c r="K6378" s="3" t="s">
        <v>150</v>
      </c>
    </row>
    <row r="6379" spans="1:11" ht="42" customHeight="1">
      <c r="A6379" s="2" t="s">
        <v>16388</v>
      </c>
      <c r="B6379" s="2" t="s">
        <v>16388</v>
      </c>
      <c r="C6379" s="2" t="s">
        <v>17</v>
      </c>
      <c r="D6379" s="2" t="s">
        <v>156</v>
      </c>
      <c r="E6379" s="4">
        <v>-32213</v>
      </c>
      <c r="F6379" s="3" t="s">
        <v>4653</v>
      </c>
      <c r="G6379" s="3" t="s">
        <v>2092</v>
      </c>
      <c r="H6379" s="2" t="s">
        <v>148</v>
      </c>
      <c r="I6379" s="2" t="s">
        <v>16389</v>
      </c>
      <c r="J6379" s="3" t="str">
        <f>HYPERLINK("https://www.boe.es/gazeta/dias/1811/10/20/pdfs/GMD-1811-293.pdf#page=2","Abrir facsímil")</f>
        <v>Abrir facsímil</v>
      </c>
      <c r="K6379" s="3" t="s">
        <v>150</v>
      </c>
    </row>
    <row r="6380" spans="1:11" ht="42" customHeight="1">
      <c r="A6380" s="2" t="s">
        <v>16390</v>
      </c>
      <c r="B6380" s="2" t="s">
        <v>16390</v>
      </c>
      <c r="C6380" s="2" t="s">
        <v>17</v>
      </c>
      <c r="D6380" s="2" t="s">
        <v>18</v>
      </c>
      <c r="E6380" s="4">
        <v>-32481</v>
      </c>
      <c r="F6380" s="3" t="s">
        <v>1687</v>
      </c>
      <c r="G6380" s="3" t="s">
        <v>178</v>
      </c>
      <c r="H6380" s="2" t="s">
        <v>148</v>
      </c>
      <c r="I6380" s="2" t="s">
        <v>16391</v>
      </c>
      <c r="J6380" s="3" t="str">
        <f>HYPERLINK("https://www.boe.es/gazeta/dias/1811/01/25/pdfs/GMD-1811-25.pdf#page=2","Abrir facsímil")</f>
        <v>Abrir facsímil</v>
      </c>
      <c r="K6380" s="3" t="s">
        <v>150</v>
      </c>
    </row>
    <row r="6381" spans="1:11" ht="42" customHeight="1">
      <c r="A6381" s="2" t="s">
        <v>16392</v>
      </c>
      <c r="B6381" s="2" t="s">
        <v>16392</v>
      </c>
      <c r="C6381" s="2" t="s">
        <v>26</v>
      </c>
      <c r="D6381" s="2" t="s">
        <v>18</v>
      </c>
      <c r="E6381" s="4">
        <v>-32326</v>
      </c>
      <c r="F6381" s="3" t="s">
        <v>43</v>
      </c>
      <c r="G6381" s="3" t="s">
        <v>91</v>
      </c>
      <c r="H6381" s="2" t="s">
        <v>148</v>
      </c>
      <c r="I6381" s="2" t="s">
        <v>16393</v>
      </c>
      <c r="J6381" s="3" t="str">
        <f>HYPERLINK("https://www.boe.es/gazeta/dias/1811/06/29/pdfs/GEI-1811-86.pdf#page=7","Abrir facsímil")</f>
        <v>Abrir facsímil</v>
      </c>
      <c r="K6381" s="3" t="s">
        <v>150</v>
      </c>
    </row>
    <row r="6382" spans="1:11" ht="42" customHeight="1">
      <c r="A6382" s="2" t="s">
        <v>16394</v>
      </c>
      <c r="B6382" s="2" t="s">
        <v>16394</v>
      </c>
      <c r="C6382" s="2" t="s">
        <v>17</v>
      </c>
      <c r="D6382" s="2" t="s">
        <v>18</v>
      </c>
      <c r="E6382" s="4">
        <v>-32484</v>
      </c>
      <c r="F6382" s="3" t="s">
        <v>5000</v>
      </c>
      <c r="G6382" s="3" t="s">
        <v>468</v>
      </c>
      <c r="H6382" s="2" t="s">
        <v>148</v>
      </c>
      <c r="I6382" s="2" t="s">
        <v>16395</v>
      </c>
      <c r="J6382" s="3" t="str">
        <f>HYPERLINK("https://www.boe.es/gazeta/dias/1811/01/22/pdfs/GMD-1811-22.pdf#page=1","Abrir facsímil")</f>
        <v>Abrir facsímil</v>
      </c>
      <c r="K6382" s="3" t="s">
        <v>150</v>
      </c>
    </row>
    <row r="6383" spans="1:11" ht="42" customHeight="1">
      <c r="A6383" s="2" t="s">
        <v>16396</v>
      </c>
      <c r="B6383" s="2" t="s">
        <v>16396</v>
      </c>
      <c r="C6383" s="2" t="s">
        <v>17</v>
      </c>
      <c r="D6383" s="2" t="s">
        <v>156</v>
      </c>
      <c r="E6383" s="4">
        <v>-32356</v>
      </c>
      <c r="F6383" s="3" t="s">
        <v>1992</v>
      </c>
      <c r="G6383" s="3" t="s">
        <v>2396</v>
      </c>
      <c r="H6383" s="2" t="s">
        <v>148</v>
      </c>
      <c r="I6383" s="2" t="s">
        <v>16397</v>
      </c>
      <c r="J6383" s="3" t="str">
        <f>HYPERLINK("https://www.boe.es/gazeta/dias/1811/05/30/pdfs/GEI-1811-73.pdf#page=6","Abrir facsímil")</f>
        <v>Abrir facsímil</v>
      </c>
      <c r="K6383" s="3" t="s">
        <v>150</v>
      </c>
    </row>
    <row r="6384" spans="1:11" ht="42" customHeight="1">
      <c r="A6384" s="2" t="s">
        <v>16398</v>
      </c>
      <c r="B6384" s="2" t="s">
        <v>16398</v>
      </c>
      <c r="C6384" s="2" t="s">
        <v>104</v>
      </c>
      <c r="D6384" s="2" t="s">
        <v>18</v>
      </c>
      <c r="E6384" s="4">
        <v>-32237</v>
      </c>
      <c r="F6384" s="3" t="s">
        <v>136</v>
      </c>
      <c r="G6384" s="3" t="s">
        <v>57</v>
      </c>
      <c r="H6384" s="2" t="s">
        <v>148</v>
      </c>
      <c r="I6384" s="2" t="s">
        <v>16399</v>
      </c>
      <c r="J6384" s="3" t="str">
        <f>HYPERLINK("https://www.boe.es/gazeta/dias/1811/09/26/pdfs/GMD-1811-269.pdf#page=2","Abrir facsímil")</f>
        <v>Abrir facsímil</v>
      </c>
      <c r="K6384" s="3" t="s">
        <v>150</v>
      </c>
    </row>
    <row r="6385" spans="1:11" ht="42" customHeight="1">
      <c r="A6385" s="2" t="s">
        <v>16400</v>
      </c>
      <c r="B6385" s="2" t="s">
        <v>16401</v>
      </c>
      <c r="C6385" s="2" t="s">
        <v>26</v>
      </c>
      <c r="D6385" s="2" t="s">
        <v>18</v>
      </c>
      <c r="E6385" s="4">
        <v>-32210</v>
      </c>
      <c r="F6385" s="3" t="s">
        <v>1737</v>
      </c>
      <c r="G6385" s="3" t="s">
        <v>248</v>
      </c>
      <c r="H6385" s="2" t="s">
        <v>148</v>
      </c>
      <c r="I6385" s="2" t="s">
        <v>16402</v>
      </c>
      <c r="J6385" s="3" t="str">
        <f>HYPERLINK("https://www.boe.es/gazeta/dias/1811/10/23/pdfs/GMD-1811-296.pdf#page=5","Abrir facsímil")</f>
        <v>Abrir facsímil</v>
      </c>
      <c r="K6385" s="3" t="s">
        <v>150</v>
      </c>
    </row>
    <row r="6386" spans="1:11" ht="42" customHeight="1">
      <c r="A6386" s="2" t="s">
        <v>16403</v>
      </c>
      <c r="B6386" s="2" t="s">
        <v>16403</v>
      </c>
      <c r="C6386" s="2" t="s">
        <v>104</v>
      </c>
      <c r="D6386" s="2" t="s">
        <v>18</v>
      </c>
      <c r="E6386" s="4">
        <v>-32216</v>
      </c>
      <c r="F6386" s="3" t="s">
        <v>5136</v>
      </c>
      <c r="G6386" s="3" t="s">
        <v>16163</v>
      </c>
      <c r="H6386" s="2" t="s">
        <v>148</v>
      </c>
      <c r="I6386" s="2" t="s">
        <v>16404</v>
      </c>
      <c r="J6386" s="3" t="str">
        <f>HYPERLINK("https://www.boe.es/gazeta/dias/1811/10/17/pdfs/GMD-1811-290.pdf#page=3","Abrir facsímil")</f>
        <v>Abrir facsímil</v>
      </c>
      <c r="K6386" s="3" t="s">
        <v>150</v>
      </c>
    </row>
    <row r="6387" spans="1:11" ht="42" customHeight="1">
      <c r="A6387" s="2" t="s">
        <v>16405</v>
      </c>
      <c r="B6387" s="2" t="s">
        <v>16406</v>
      </c>
      <c r="C6387" s="2" t="s">
        <v>84</v>
      </c>
      <c r="D6387" s="2" t="s">
        <v>18</v>
      </c>
      <c r="E6387" s="4">
        <v>-32295</v>
      </c>
      <c r="F6387" s="3" t="s">
        <v>279</v>
      </c>
      <c r="G6387" s="3" t="s">
        <v>44</v>
      </c>
      <c r="H6387" s="2" t="s">
        <v>148</v>
      </c>
      <c r="I6387" s="2" t="s">
        <v>16407</v>
      </c>
      <c r="J6387" s="3" t="str">
        <f>HYPERLINK("https://www.boe.es/gazeta/dias/1811/07/30/pdfs/GEI-1811-99.pdf#page=8","Abrir facsímil")</f>
        <v>Abrir facsímil</v>
      </c>
      <c r="K6387" s="3" t="s">
        <v>150</v>
      </c>
    </row>
    <row r="6388" spans="1:11" ht="42" customHeight="1">
      <c r="A6388" s="2" t="s">
        <v>16408</v>
      </c>
      <c r="B6388" s="2" t="s">
        <v>16409</v>
      </c>
      <c r="C6388" s="2" t="s">
        <v>26</v>
      </c>
      <c r="D6388" s="2" t="s">
        <v>18</v>
      </c>
      <c r="E6388" s="4">
        <v>-32237</v>
      </c>
      <c r="F6388" s="3" t="s">
        <v>717</v>
      </c>
      <c r="G6388" s="3" t="s">
        <v>718</v>
      </c>
      <c r="H6388" s="2" t="s">
        <v>148</v>
      </c>
      <c r="I6388" s="2" t="s">
        <v>16410</v>
      </c>
      <c r="J6388" s="3" t="str">
        <f>HYPERLINK("https://www.boe.es/gazeta/dias/1811/09/26/pdfs/GEI-1811-124.pdf#page=5","Abrir facsímil")</f>
        <v>Abrir facsímil</v>
      </c>
      <c r="K6388" s="3" t="s">
        <v>150</v>
      </c>
    </row>
    <row r="6389" spans="1:11" ht="42" customHeight="1">
      <c r="A6389" s="2" t="s">
        <v>16411</v>
      </c>
      <c r="B6389" s="2" t="s">
        <v>16411</v>
      </c>
      <c r="C6389" s="2" t="s">
        <v>17</v>
      </c>
      <c r="D6389" s="2" t="s">
        <v>18</v>
      </c>
      <c r="E6389" s="4">
        <v>-32469</v>
      </c>
      <c r="F6389" s="3" t="s">
        <v>3448</v>
      </c>
      <c r="G6389" s="3" t="s">
        <v>115</v>
      </c>
      <c r="H6389" s="2" t="s">
        <v>148</v>
      </c>
      <c r="I6389" s="2" t="s">
        <v>16412</v>
      </c>
      <c r="J6389" s="3" t="str">
        <f>HYPERLINK("https://www.boe.es/gazeta/dias/1811/02/06/pdfs/GMD-1811-37.pdf#page=3","Abrir facsímil")</f>
        <v>Abrir facsímil</v>
      </c>
      <c r="K6389" s="3" t="s">
        <v>150</v>
      </c>
    </row>
    <row r="6390" spans="1:11" ht="42" customHeight="1">
      <c r="A6390" s="2" t="s">
        <v>16413</v>
      </c>
      <c r="B6390" s="2" t="s">
        <v>16413</v>
      </c>
      <c r="C6390" s="2" t="s">
        <v>17</v>
      </c>
      <c r="D6390" s="2" t="s">
        <v>18</v>
      </c>
      <c r="E6390" s="4">
        <v>-32166</v>
      </c>
      <c r="F6390" s="3" t="s">
        <v>2263</v>
      </c>
      <c r="G6390" s="3" t="s">
        <v>1916</v>
      </c>
      <c r="H6390" s="2" t="s">
        <v>148</v>
      </c>
      <c r="I6390" s="2" t="s">
        <v>16414</v>
      </c>
      <c r="J6390" s="3" t="str">
        <f>HYPERLINK("https://www.boe.es/gazeta/dias/1811/12/06/pdfs/GMD-1811-340.pdf#page=1","Abrir facsímil")</f>
        <v>Abrir facsímil</v>
      </c>
      <c r="K6390" s="3" t="s">
        <v>150</v>
      </c>
    </row>
    <row r="6391" spans="1:11" ht="42" customHeight="1">
      <c r="A6391" s="2" t="s">
        <v>16415</v>
      </c>
      <c r="B6391" s="2" t="s">
        <v>16416</v>
      </c>
      <c r="C6391" s="2" t="s">
        <v>26</v>
      </c>
      <c r="D6391" s="2" t="s">
        <v>18</v>
      </c>
      <c r="E6391" s="4">
        <v>-32505</v>
      </c>
      <c r="F6391" s="3" t="s">
        <v>475</v>
      </c>
      <c r="G6391" s="3" t="s">
        <v>755</v>
      </c>
      <c r="H6391" s="2" t="s">
        <v>148</v>
      </c>
      <c r="I6391" s="2" t="s">
        <v>16417</v>
      </c>
      <c r="J6391" s="3" t="str">
        <f>HYPERLINK("https://www.boe.es/gazeta/dias/1811/01/01/pdfs/GEI-1811-1.pdf#page=8","Abrir facsímil")</f>
        <v>Abrir facsímil</v>
      </c>
      <c r="K6391" s="3" t="s">
        <v>150</v>
      </c>
    </row>
    <row r="6392" spans="1:11" ht="42" customHeight="1">
      <c r="A6392" s="2" t="s">
        <v>16418</v>
      </c>
      <c r="B6392" s="2" t="s">
        <v>16419</v>
      </c>
      <c r="C6392" s="2" t="s">
        <v>26</v>
      </c>
      <c r="D6392" s="2" t="s">
        <v>18</v>
      </c>
      <c r="E6392" s="4">
        <v>-32367</v>
      </c>
      <c r="F6392" s="3" t="s">
        <v>4693</v>
      </c>
      <c r="G6392" s="3" t="s">
        <v>183</v>
      </c>
      <c r="H6392" s="2" t="s">
        <v>148</v>
      </c>
      <c r="I6392" s="2" t="s">
        <v>16420</v>
      </c>
      <c r="J6392" s="3" t="str">
        <f>HYPERLINK("https://www.boe.es/gazeta/dias/1811/05/19/pdfs/GMD-1811-139.pdf#page=4","Abrir facsímil")</f>
        <v>Abrir facsímil</v>
      </c>
      <c r="K6392" s="3" t="s">
        <v>150</v>
      </c>
    </row>
    <row r="6393" spans="1:11" ht="42" customHeight="1">
      <c r="A6393" s="2" t="s">
        <v>16421</v>
      </c>
      <c r="B6393" s="2" t="s">
        <v>16422</v>
      </c>
      <c r="C6393" s="2" t="s">
        <v>37</v>
      </c>
      <c r="D6393" s="2" t="s">
        <v>18</v>
      </c>
      <c r="E6393" s="4">
        <v>-32396</v>
      </c>
      <c r="F6393" s="3" t="s">
        <v>1267</v>
      </c>
      <c r="G6393" s="3" t="s">
        <v>1143</v>
      </c>
      <c r="H6393" s="2" t="s">
        <v>148</v>
      </c>
      <c r="I6393" s="2" t="s">
        <v>16423</v>
      </c>
      <c r="J6393" s="3" t="str">
        <f>HYPERLINK("https://www.boe.es/gazeta/dias/1811/04/20/pdfs/GMD-1811-110.pdf#page=3","Abrir facsímil")</f>
        <v>Abrir facsímil</v>
      </c>
      <c r="K6393" s="3" t="s">
        <v>150</v>
      </c>
    </row>
    <row r="6394" spans="1:11" ht="42" customHeight="1">
      <c r="A6394" s="2" t="s">
        <v>16424</v>
      </c>
      <c r="B6394" s="2" t="s">
        <v>16424</v>
      </c>
      <c r="C6394" s="2" t="s">
        <v>17</v>
      </c>
      <c r="D6394" s="2" t="s">
        <v>18</v>
      </c>
      <c r="E6394" s="4">
        <v>-32351</v>
      </c>
      <c r="F6394" s="3" t="s">
        <v>2332</v>
      </c>
      <c r="G6394" s="3" t="s">
        <v>553</v>
      </c>
      <c r="H6394" s="2" t="s">
        <v>148</v>
      </c>
      <c r="I6394" s="2" t="s">
        <v>16425</v>
      </c>
      <c r="J6394" s="3" t="str">
        <f>HYPERLINK("https://www.boe.es/gazeta/dias/1811/06/04/pdfs/GMD-1811-155.pdf#page=1","Abrir facsímil")</f>
        <v>Abrir facsímil</v>
      </c>
      <c r="K6394" s="3" t="s">
        <v>150</v>
      </c>
    </row>
    <row r="6395" spans="1:11" ht="42" customHeight="1">
      <c r="A6395" s="2" t="s">
        <v>16426</v>
      </c>
      <c r="B6395" s="2" t="s">
        <v>16426</v>
      </c>
      <c r="C6395" s="2" t="s">
        <v>17</v>
      </c>
      <c r="D6395" s="2" t="s">
        <v>18</v>
      </c>
      <c r="E6395" s="4">
        <v>-32445</v>
      </c>
      <c r="F6395" s="3" t="s">
        <v>880</v>
      </c>
      <c r="G6395" s="3" t="s">
        <v>881</v>
      </c>
      <c r="H6395" s="2" t="s">
        <v>148</v>
      </c>
      <c r="I6395" s="2" t="s">
        <v>16427</v>
      </c>
      <c r="J6395" s="3" t="str">
        <f>HYPERLINK("https://www.boe.es/gazeta/dias/1811/03/02/pdfs/GMD-1811-61.pdf#page=3","Abrir facsímil")</f>
        <v>Abrir facsímil</v>
      </c>
      <c r="K6395" s="3" t="s">
        <v>150</v>
      </c>
    </row>
    <row r="6396" spans="1:11" ht="42" customHeight="1">
      <c r="A6396" s="2" t="s">
        <v>16428</v>
      </c>
      <c r="B6396" s="2" t="s">
        <v>16428</v>
      </c>
      <c r="C6396" s="2" t="s">
        <v>17</v>
      </c>
      <c r="D6396" s="2" t="s">
        <v>18</v>
      </c>
      <c r="E6396" s="4">
        <v>-32330</v>
      </c>
      <c r="F6396" s="3" t="s">
        <v>1824</v>
      </c>
      <c r="G6396" s="3" t="s">
        <v>2883</v>
      </c>
      <c r="H6396" s="2" t="s">
        <v>148</v>
      </c>
      <c r="I6396" s="2" t="s">
        <v>16429</v>
      </c>
      <c r="J6396" s="3" t="str">
        <f>HYPERLINK("https://www.boe.es/gazeta/dias/1811/06/25/pdfs/GEI-1811-84.pdf#page=8","Abrir facsímil")</f>
        <v>Abrir facsímil</v>
      </c>
      <c r="K6396" s="3" t="s">
        <v>150</v>
      </c>
    </row>
    <row r="6397" spans="1:11" ht="42" customHeight="1">
      <c r="A6397" s="2" t="s">
        <v>16430</v>
      </c>
      <c r="B6397" s="2" t="s">
        <v>16430</v>
      </c>
      <c r="C6397" s="2" t="s">
        <v>84</v>
      </c>
      <c r="D6397" s="2" t="s">
        <v>18</v>
      </c>
      <c r="E6397" s="4">
        <v>-32486</v>
      </c>
      <c r="F6397" s="3" t="s">
        <v>556</v>
      </c>
      <c r="G6397" s="3" t="s">
        <v>468</v>
      </c>
      <c r="H6397" s="2" t="s">
        <v>148</v>
      </c>
      <c r="I6397" s="2" t="s">
        <v>16431</v>
      </c>
      <c r="J6397" s="3" t="str">
        <f>HYPERLINK("https://www.boe.es/gazeta/dias/1811/01/20/pdfs/GMD-1811-20.pdf#page=4","Abrir facsímil")</f>
        <v>Abrir facsímil</v>
      </c>
      <c r="K6397" s="3" t="s">
        <v>150</v>
      </c>
    </row>
    <row r="6398" spans="1:11" ht="42" customHeight="1">
      <c r="A6398" s="2" t="s">
        <v>16432</v>
      </c>
      <c r="B6398" s="2" t="s">
        <v>16432</v>
      </c>
      <c r="C6398" s="2" t="s">
        <v>37</v>
      </c>
      <c r="D6398" s="2" t="s">
        <v>18</v>
      </c>
      <c r="E6398" s="4">
        <v>-32365</v>
      </c>
      <c r="F6398" s="3" t="s">
        <v>5322</v>
      </c>
      <c r="G6398" s="3" t="s">
        <v>488</v>
      </c>
      <c r="H6398" s="2" t="s">
        <v>148</v>
      </c>
      <c r="I6398" s="2" t="s">
        <v>16433</v>
      </c>
      <c r="J6398" s="3" t="str">
        <f>HYPERLINK("https://www.boe.es/gazeta/dias/1811/05/21/pdfs/GMD-1811-141.pdf#page=2","Abrir facsímil")</f>
        <v>Abrir facsímil</v>
      </c>
      <c r="K6398" s="3" t="s">
        <v>150</v>
      </c>
    </row>
    <row r="6399" spans="1:11" ht="42" customHeight="1">
      <c r="A6399" s="2" t="s">
        <v>16432</v>
      </c>
      <c r="B6399" s="2" t="s">
        <v>16432</v>
      </c>
      <c r="C6399" s="2" t="s">
        <v>84</v>
      </c>
      <c r="D6399" s="2" t="s">
        <v>18</v>
      </c>
      <c r="E6399" s="4">
        <v>-32326</v>
      </c>
      <c r="F6399" s="3" t="s">
        <v>2321</v>
      </c>
      <c r="G6399" s="3" t="s">
        <v>183</v>
      </c>
      <c r="H6399" s="2" t="s">
        <v>148</v>
      </c>
      <c r="I6399" s="2" t="s">
        <v>16434</v>
      </c>
      <c r="J6399" s="3" t="str">
        <f>HYPERLINK("https://www.boe.es/gazeta/dias/1811/06/29/pdfs/GMD-1811-180.pdf#page=4","Abrir facsímil")</f>
        <v>Abrir facsímil</v>
      </c>
      <c r="K6399" s="3" t="s">
        <v>150</v>
      </c>
    </row>
    <row r="6400" spans="1:11" ht="42" customHeight="1">
      <c r="A6400" s="2" t="s">
        <v>16435</v>
      </c>
      <c r="B6400" s="2" t="s">
        <v>16436</v>
      </c>
      <c r="C6400" s="2" t="s">
        <v>37</v>
      </c>
      <c r="D6400" s="2" t="s">
        <v>156</v>
      </c>
      <c r="E6400" s="4">
        <v>-32183</v>
      </c>
      <c r="F6400" s="3" t="s">
        <v>5972</v>
      </c>
      <c r="G6400" s="3" t="s">
        <v>47</v>
      </c>
      <c r="H6400" s="2" t="s">
        <v>148</v>
      </c>
      <c r="I6400" s="2" t="s">
        <v>16437</v>
      </c>
      <c r="J6400" s="3" t="str">
        <f>HYPERLINK("https://www.boe.es/gazeta/dias/1811/11/19/pdfs/GMD-1811-323.pdf#page=1","Abrir facsímil")</f>
        <v>Abrir facsímil</v>
      </c>
      <c r="K6400" s="3" t="s">
        <v>150</v>
      </c>
    </row>
    <row r="6401" spans="1:11" ht="42" customHeight="1">
      <c r="A6401" s="2" t="s">
        <v>16438</v>
      </c>
      <c r="B6401" s="2" t="s">
        <v>16439</v>
      </c>
      <c r="C6401" s="2" t="s">
        <v>26</v>
      </c>
      <c r="D6401" s="2" t="s">
        <v>18</v>
      </c>
      <c r="E6401" s="4">
        <v>-32370</v>
      </c>
      <c r="F6401" s="3" t="s">
        <v>146</v>
      </c>
      <c r="G6401" s="3" t="s">
        <v>162</v>
      </c>
      <c r="H6401" s="2" t="s">
        <v>148</v>
      </c>
      <c r="I6401" s="2" t="s">
        <v>16440</v>
      </c>
      <c r="J6401" s="3" t="str">
        <f>HYPERLINK("https://www.boe.es/gazeta/dias/1811/05/16/pdfs/GEI-1811-64.pdf#page=1","Abrir facsímil")</f>
        <v>Abrir facsímil</v>
      </c>
      <c r="K6401" s="3" t="s">
        <v>150</v>
      </c>
    </row>
    <row r="6402" spans="1:11" ht="42" customHeight="1">
      <c r="A6402" s="2" t="s">
        <v>16441</v>
      </c>
      <c r="B6402" s="2" t="s">
        <v>16442</v>
      </c>
      <c r="C6402" s="2" t="s">
        <v>26</v>
      </c>
      <c r="D6402" s="2" t="s">
        <v>18</v>
      </c>
      <c r="E6402" s="4">
        <v>-32283</v>
      </c>
      <c r="F6402" s="3" t="s">
        <v>90</v>
      </c>
      <c r="G6402" s="3" t="s">
        <v>91</v>
      </c>
      <c r="H6402" s="2" t="s">
        <v>148</v>
      </c>
      <c r="I6402" s="2" t="s">
        <v>16443</v>
      </c>
      <c r="J6402" s="3" t="str">
        <f>HYPERLINK("https://www.boe.es/gazeta/dias/1811/08/11/pdfs/GMD-1811-223.pdf#page=4","Abrir facsímil")</f>
        <v>Abrir facsímil</v>
      </c>
      <c r="K6402" s="3" t="s">
        <v>150</v>
      </c>
    </row>
    <row r="6403" spans="1:11" ht="42" customHeight="1">
      <c r="A6403" s="2" t="s">
        <v>16444</v>
      </c>
      <c r="B6403" s="2" t="s">
        <v>16445</v>
      </c>
      <c r="C6403" s="2" t="s">
        <v>17</v>
      </c>
      <c r="D6403" s="2" t="s">
        <v>18</v>
      </c>
      <c r="E6403" s="4">
        <v>-32416</v>
      </c>
      <c r="F6403" s="3" t="s">
        <v>954</v>
      </c>
      <c r="G6403" s="3" t="s">
        <v>183</v>
      </c>
      <c r="H6403" s="2" t="s">
        <v>148</v>
      </c>
      <c r="I6403" s="2" t="s">
        <v>16446</v>
      </c>
      <c r="J6403" s="3" t="str">
        <f>HYPERLINK("https://www.boe.es/gazeta/dias/1811/03/31/pdfs/GMD-1811-90.pdf#page=4","Abrir facsímil")</f>
        <v>Abrir facsímil</v>
      </c>
      <c r="K6403" s="3" t="s">
        <v>150</v>
      </c>
    </row>
    <row r="6404" spans="1:11" ht="42" customHeight="1">
      <c r="A6404" s="2" t="s">
        <v>16447</v>
      </c>
      <c r="B6404" s="2" t="s">
        <v>16447</v>
      </c>
      <c r="C6404" s="2" t="s">
        <v>17</v>
      </c>
      <c r="D6404" s="2" t="s">
        <v>18</v>
      </c>
      <c r="E6404" s="4">
        <v>-32244</v>
      </c>
      <c r="F6404" s="3" t="s">
        <v>14154</v>
      </c>
      <c r="G6404" s="3" t="s">
        <v>16448</v>
      </c>
      <c r="H6404" s="2" t="s">
        <v>148</v>
      </c>
      <c r="I6404" s="2" t="s">
        <v>16449</v>
      </c>
      <c r="J6404" s="3" t="str">
        <f>HYPERLINK("https://www.boe.es/gazeta/dias/1811/09/19/pdfs/GMD-1811-262.pdf#page=4","Abrir facsímil")</f>
        <v>Abrir facsímil</v>
      </c>
      <c r="K6404" s="3" t="s">
        <v>150</v>
      </c>
    </row>
    <row r="6405" spans="1:11" ht="42" customHeight="1">
      <c r="A6405" s="2" t="s">
        <v>16450</v>
      </c>
      <c r="B6405" s="2" t="s">
        <v>16450</v>
      </c>
      <c r="C6405" s="2" t="s">
        <v>26</v>
      </c>
      <c r="D6405" s="2" t="s">
        <v>204</v>
      </c>
      <c r="E6405" s="4">
        <v>-32368</v>
      </c>
      <c r="F6405" s="3" t="s">
        <v>1561</v>
      </c>
      <c r="G6405" s="3" t="s">
        <v>16451</v>
      </c>
      <c r="H6405" s="2" t="s">
        <v>148</v>
      </c>
      <c r="I6405" s="2" t="s">
        <v>16452</v>
      </c>
      <c r="J6405" s="3" t="str">
        <f>HYPERLINK("https://www.boe.es/gazeta/dias/1811/05/18/pdfs/GMD-1811-138.pdf#page=1","Abrir facsímil")</f>
        <v>Abrir facsímil</v>
      </c>
      <c r="K6405" s="3" t="s">
        <v>150</v>
      </c>
    </row>
    <row r="6406" spans="1:11" ht="42" customHeight="1">
      <c r="A6406" s="2" t="s">
        <v>16453</v>
      </c>
      <c r="B6406" s="2" t="s">
        <v>16454</v>
      </c>
      <c r="C6406" s="2" t="s">
        <v>26</v>
      </c>
      <c r="D6406" s="2" t="s">
        <v>18</v>
      </c>
      <c r="E6406" s="4">
        <v>-32235</v>
      </c>
      <c r="F6406" s="3" t="s">
        <v>190</v>
      </c>
      <c r="G6406" s="3" t="s">
        <v>188</v>
      </c>
      <c r="H6406" s="2" t="s">
        <v>148</v>
      </c>
      <c r="I6406" s="2" t="s">
        <v>16455</v>
      </c>
      <c r="J6406" s="3" t="str">
        <f>HYPERLINK("https://www.boe.es/gazeta/dias/1811/09/28/pdfs/GEI-1811-125.pdf#page=8","Abrir facsímil")</f>
        <v>Abrir facsímil</v>
      </c>
      <c r="K6406" s="3" t="s">
        <v>150</v>
      </c>
    </row>
    <row r="6407" spans="1:11" ht="42" customHeight="1">
      <c r="A6407" s="2" t="s">
        <v>16456</v>
      </c>
      <c r="B6407" s="2" t="s">
        <v>16457</v>
      </c>
      <c r="C6407" s="2" t="s">
        <v>26</v>
      </c>
      <c r="D6407" s="2" t="s">
        <v>18</v>
      </c>
      <c r="E6407" s="4">
        <v>-32235</v>
      </c>
      <c r="F6407" s="3" t="s">
        <v>190</v>
      </c>
      <c r="G6407" s="3" t="s">
        <v>188</v>
      </c>
      <c r="H6407" s="2" t="s">
        <v>148</v>
      </c>
      <c r="I6407" s="2" t="s">
        <v>16458</v>
      </c>
      <c r="J6407" s="3" t="str">
        <f>HYPERLINK("https://www.boe.es/gazeta/dias/1811/09/28/pdfs/GEI-1811-125.pdf#page=8","Abrir facsímil")</f>
        <v>Abrir facsímil</v>
      </c>
      <c r="K6407" s="3" t="s">
        <v>150</v>
      </c>
    </row>
    <row r="6408" spans="1:11" ht="42" customHeight="1">
      <c r="A6408" s="2" t="s">
        <v>16459</v>
      </c>
      <c r="B6408" s="2" t="s">
        <v>16460</v>
      </c>
      <c r="C6408" s="2" t="s">
        <v>17</v>
      </c>
      <c r="D6408" s="2" t="s">
        <v>18</v>
      </c>
      <c r="E6408" s="4">
        <v>-32246</v>
      </c>
      <c r="F6408" s="3" t="s">
        <v>19</v>
      </c>
      <c r="G6408" s="3" t="s">
        <v>3606</v>
      </c>
      <c r="H6408" s="2" t="s">
        <v>148</v>
      </c>
      <c r="I6408" s="2" t="s">
        <v>16461</v>
      </c>
      <c r="J6408" s="3" t="str">
        <f>HYPERLINK("https://www.boe.es/gazeta/dias/1811/09/17/pdfs/GEI-1811-120.pdf#page=8","Abrir facsímil")</f>
        <v>Abrir facsímil</v>
      </c>
      <c r="K6408" s="3" t="s">
        <v>150</v>
      </c>
    </row>
    <row r="6409" spans="1:11" ht="42" customHeight="1">
      <c r="A6409" s="2" t="s">
        <v>16462</v>
      </c>
      <c r="B6409" s="2" t="s">
        <v>16463</v>
      </c>
      <c r="C6409" s="2" t="s">
        <v>26</v>
      </c>
      <c r="D6409" s="2" t="s">
        <v>141</v>
      </c>
      <c r="E6409" s="4">
        <v>-32188</v>
      </c>
      <c r="F6409" s="3" t="s">
        <v>505</v>
      </c>
      <c r="G6409" s="3" t="s">
        <v>162</v>
      </c>
      <c r="H6409" s="2" t="s">
        <v>148</v>
      </c>
      <c r="I6409" s="2" t="s">
        <v>16464</v>
      </c>
      <c r="J6409" s="3" t="str">
        <f>HYPERLINK("https://www.boe.es/gazeta/dias/1811/11/14/pdfs/GEI-D-1811-149.pdf#page=4","Abrir facsímil")</f>
        <v>Abrir facsímil</v>
      </c>
      <c r="K6409" s="3" t="s">
        <v>150</v>
      </c>
    </row>
    <row r="6410" spans="1:11" ht="42" customHeight="1">
      <c r="A6410" s="2" t="s">
        <v>16465</v>
      </c>
      <c r="B6410" s="2" t="s">
        <v>16465</v>
      </c>
      <c r="C6410" s="2" t="s">
        <v>17</v>
      </c>
      <c r="D6410" s="2" t="s">
        <v>18</v>
      </c>
      <c r="E6410" s="4">
        <v>-32300</v>
      </c>
      <c r="F6410" s="3" t="s">
        <v>61</v>
      </c>
      <c r="G6410" s="3" t="s">
        <v>62</v>
      </c>
      <c r="H6410" s="2" t="s">
        <v>148</v>
      </c>
      <c r="I6410" s="2" t="s">
        <v>16466</v>
      </c>
      <c r="J6410" s="3" t="str">
        <f>HYPERLINK("https://www.boe.es/gazeta/dias/1811/07/25/pdfs/GEI-1811-97.pdf#page=5","Abrir facsímil")</f>
        <v>Abrir facsímil</v>
      </c>
      <c r="K6410" s="3" t="s">
        <v>150</v>
      </c>
    </row>
    <row r="6411" spans="1:11" ht="42" customHeight="1">
      <c r="A6411" s="2" t="s">
        <v>16467</v>
      </c>
      <c r="B6411" s="2" t="s">
        <v>16467</v>
      </c>
      <c r="C6411" s="2" t="s">
        <v>26</v>
      </c>
      <c r="D6411" s="2" t="s">
        <v>528</v>
      </c>
      <c r="E6411" s="4">
        <v>-32191</v>
      </c>
      <c r="F6411" s="3" t="s">
        <v>2538</v>
      </c>
      <c r="G6411" s="3" t="s">
        <v>5643</v>
      </c>
      <c r="H6411" s="2" t="s">
        <v>148</v>
      </c>
      <c r="I6411" s="2" t="s">
        <v>16468</v>
      </c>
      <c r="J6411" s="3" t="str">
        <f>HYPERLINK("https://www.boe.es/gazeta/dias/1811/11/11/pdfs/GEI-1811-147E.pdf#page=4","Abrir facsímil")</f>
        <v>Abrir facsímil</v>
      </c>
      <c r="K6411" s="3" t="s">
        <v>150</v>
      </c>
    </row>
    <row r="6412" spans="1:11" ht="42" customHeight="1">
      <c r="A6412" s="2" t="s">
        <v>16469</v>
      </c>
      <c r="B6412" s="2" t="s">
        <v>16469</v>
      </c>
      <c r="C6412" s="2" t="s">
        <v>17</v>
      </c>
      <c r="D6412" s="2" t="s">
        <v>18</v>
      </c>
      <c r="E6412" s="4">
        <v>-32495</v>
      </c>
      <c r="F6412" s="3" t="s">
        <v>1681</v>
      </c>
      <c r="G6412" s="3" t="s">
        <v>129</v>
      </c>
      <c r="H6412" s="2" t="s">
        <v>148</v>
      </c>
      <c r="I6412" s="2" t="s">
        <v>16470</v>
      </c>
      <c r="J6412" s="3" t="str">
        <f>HYPERLINK("https://www.boe.es/gazeta/dias/1811/01/11/pdfs/GMD-1811-11.pdf#page=4","Abrir facsímil")</f>
        <v>Abrir facsímil</v>
      </c>
      <c r="K6412" s="3" t="s">
        <v>150</v>
      </c>
    </row>
    <row r="6413" spans="1:11" ht="42" customHeight="1">
      <c r="A6413" s="2" t="s">
        <v>16471</v>
      </c>
      <c r="B6413" s="2" t="s">
        <v>16472</v>
      </c>
      <c r="C6413" s="2" t="s">
        <v>17</v>
      </c>
      <c r="D6413" s="2" t="s">
        <v>156</v>
      </c>
      <c r="E6413" s="4">
        <v>-32306</v>
      </c>
      <c r="F6413" s="3" t="s">
        <v>3878</v>
      </c>
      <c r="G6413" s="3" t="s">
        <v>44</v>
      </c>
      <c r="H6413" s="2" t="s">
        <v>148</v>
      </c>
      <c r="I6413" s="2" t="s">
        <v>16473</v>
      </c>
      <c r="J6413" s="3" t="str">
        <f>HYPERLINK("https://www.boe.es/gazeta/dias/1811/07/19/pdfs/GMD-1811-200.pdf#page=2","Abrir facsímil")</f>
        <v>Abrir facsímil</v>
      </c>
      <c r="K6413" s="3" t="s">
        <v>150</v>
      </c>
    </row>
    <row r="6414" spans="1:11" ht="42" customHeight="1">
      <c r="A6414" s="2" t="s">
        <v>16474</v>
      </c>
      <c r="B6414" s="2" t="s">
        <v>16475</v>
      </c>
      <c r="C6414" s="2" t="s">
        <v>84</v>
      </c>
      <c r="D6414" s="2" t="s">
        <v>141</v>
      </c>
      <c r="E6414" s="4">
        <v>-32314</v>
      </c>
      <c r="F6414" s="3" t="s">
        <v>2051</v>
      </c>
      <c r="G6414" s="3" t="s">
        <v>468</v>
      </c>
      <c r="H6414" s="2" t="s">
        <v>148</v>
      </c>
      <c r="I6414" s="2" t="s">
        <v>16476</v>
      </c>
      <c r="J6414" s="3" t="str">
        <f>HYPERLINK("https://www.boe.es/gazeta/dias/1811/07/11/pdfs/GMD-C-1811-192.pdf#page=1","Abrir facsímil")</f>
        <v>Abrir facsímil</v>
      </c>
      <c r="K6414" s="3" t="s">
        <v>150</v>
      </c>
    </row>
    <row r="6415" spans="1:11" ht="42" customHeight="1">
      <c r="A6415" s="2" t="s">
        <v>16477</v>
      </c>
      <c r="B6415" s="2" t="s">
        <v>16478</v>
      </c>
      <c r="C6415" s="2" t="s">
        <v>26</v>
      </c>
      <c r="D6415" s="2" t="s">
        <v>141</v>
      </c>
      <c r="E6415" s="4">
        <v>-32238</v>
      </c>
      <c r="F6415" s="3" t="s">
        <v>166</v>
      </c>
      <c r="G6415" s="3" t="s">
        <v>178</v>
      </c>
      <c r="H6415" s="2" t="s">
        <v>148</v>
      </c>
      <c r="I6415" s="2" t="s">
        <v>16479</v>
      </c>
      <c r="J6415" s="3" t="str">
        <f>HYPERLINK("https://www.boe.es/gazeta/dias/1811/09/25/pdfs/GMD-C-1811-268.pdf#page=4","Abrir facsímil")</f>
        <v>Abrir facsímil</v>
      </c>
      <c r="K6415" s="3" t="s">
        <v>150</v>
      </c>
    </row>
    <row r="6416" spans="1:11" ht="42" customHeight="1">
      <c r="A6416" s="2" t="s">
        <v>16480</v>
      </c>
      <c r="B6416" s="2" t="s">
        <v>16481</v>
      </c>
      <c r="C6416" s="2" t="s">
        <v>26</v>
      </c>
      <c r="D6416" s="2" t="s">
        <v>18</v>
      </c>
      <c r="E6416" s="4">
        <v>-32283</v>
      </c>
      <c r="F6416" s="3" t="s">
        <v>90</v>
      </c>
      <c r="G6416" s="3" t="s">
        <v>91</v>
      </c>
      <c r="H6416" s="2" t="s">
        <v>148</v>
      </c>
      <c r="I6416" s="2" t="s">
        <v>16482</v>
      </c>
      <c r="J6416" s="3" t="str">
        <f>HYPERLINK("https://www.boe.es/gazeta/dias/1811/08/11/pdfs/GMD-1811-223.pdf#page=4","Abrir facsímil")</f>
        <v>Abrir facsímil</v>
      </c>
      <c r="K6416" s="3" t="s">
        <v>150</v>
      </c>
    </row>
    <row r="6417" spans="1:11" ht="42" customHeight="1">
      <c r="A6417" s="2" t="s">
        <v>16483</v>
      </c>
      <c r="B6417" s="2" t="s">
        <v>16484</v>
      </c>
      <c r="C6417" s="2" t="s">
        <v>26</v>
      </c>
      <c r="D6417" s="2" t="s">
        <v>105</v>
      </c>
      <c r="E6417" s="4">
        <v>-32272</v>
      </c>
      <c r="F6417" s="3" t="s">
        <v>1150</v>
      </c>
      <c r="G6417" s="3" t="s">
        <v>248</v>
      </c>
      <c r="H6417" s="2" t="s">
        <v>148</v>
      </c>
      <c r="I6417" s="2" t="s">
        <v>16485</v>
      </c>
      <c r="J6417" s="3" t="str">
        <f>HYPERLINK("https://www.boe.es/gazeta/dias/1811/08/22/pdfs/GMD-C-1811-234.pdf#page=1","Abrir facsímil")</f>
        <v>Abrir facsímil</v>
      </c>
      <c r="K6417" s="3" t="s">
        <v>150</v>
      </c>
    </row>
    <row r="6418" spans="1:11" ht="42" customHeight="1">
      <c r="A6418" s="2" t="s">
        <v>16486</v>
      </c>
      <c r="B6418" s="2" t="s">
        <v>16487</v>
      </c>
      <c r="C6418" s="2" t="s">
        <v>17</v>
      </c>
      <c r="D6418" s="2" t="s">
        <v>18</v>
      </c>
      <c r="E6418" s="4">
        <v>-32438</v>
      </c>
      <c r="F6418" s="3" t="s">
        <v>114</v>
      </c>
      <c r="G6418" s="3" t="s">
        <v>39</v>
      </c>
      <c r="H6418" s="2" t="s">
        <v>148</v>
      </c>
      <c r="I6418" s="2" t="s">
        <v>16488</v>
      </c>
      <c r="J6418" s="3" t="str">
        <f>HYPERLINK("https://www.boe.es/gazeta/dias/1811/03/09/pdfs/GEI-1811-33.pdf#page=1","Abrir facsímil")</f>
        <v>Abrir facsímil</v>
      </c>
      <c r="K6418" s="3" t="s">
        <v>150</v>
      </c>
    </row>
    <row r="6419" spans="1:11" ht="42" customHeight="1">
      <c r="A6419" s="2" t="s">
        <v>16489</v>
      </c>
      <c r="B6419" s="2" t="s">
        <v>16490</v>
      </c>
      <c r="C6419" s="2" t="s">
        <v>26</v>
      </c>
      <c r="D6419" s="2" t="s">
        <v>18</v>
      </c>
      <c r="E6419" s="4">
        <v>-32489</v>
      </c>
      <c r="F6419" s="3" t="s">
        <v>2073</v>
      </c>
      <c r="G6419" s="3" t="s">
        <v>44</v>
      </c>
      <c r="H6419" s="2" t="s">
        <v>148</v>
      </c>
      <c r="I6419" s="2" t="s">
        <v>16491</v>
      </c>
      <c r="J6419" s="3" t="str">
        <f>HYPERLINK("https://www.boe.es/gazeta/dias/1811/01/17/pdfs/GEI-1811-8.pdf#page=8","Abrir facsímil")</f>
        <v>Abrir facsímil</v>
      </c>
      <c r="K6419" s="3" t="s">
        <v>150</v>
      </c>
    </row>
    <row r="6420" spans="1:11" ht="42" customHeight="1">
      <c r="A6420" s="2" t="s">
        <v>16492</v>
      </c>
      <c r="B6420" s="2" t="s">
        <v>16493</v>
      </c>
      <c r="C6420" s="2" t="s">
        <v>17</v>
      </c>
      <c r="D6420" s="2" t="s">
        <v>18</v>
      </c>
      <c r="E6420" s="4">
        <v>-32144</v>
      </c>
      <c r="F6420" s="3" t="s">
        <v>1097</v>
      </c>
      <c r="G6420" s="3" t="s">
        <v>1098</v>
      </c>
      <c r="H6420" s="2" t="s">
        <v>148</v>
      </c>
      <c r="I6420" s="2" t="s">
        <v>16494</v>
      </c>
      <c r="J6420" s="3" t="str">
        <f>HYPERLINK("https://www.boe.es/gazeta/dias/1811/12/28/pdfs/GEI-1811-168.pdf#page=8","Abrir facsímil")</f>
        <v>Abrir facsímil</v>
      </c>
      <c r="K6420" s="3" t="s">
        <v>150</v>
      </c>
    </row>
    <row r="6421" spans="1:11" ht="42" customHeight="1">
      <c r="A6421" s="2" t="s">
        <v>16495</v>
      </c>
      <c r="B6421" s="2" t="s">
        <v>16496</v>
      </c>
      <c r="C6421" s="2" t="s">
        <v>17</v>
      </c>
      <c r="D6421" s="2" t="s">
        <v>18</v>
      </c>
      <c r="E6421" s="4">
        <v>-32200</v>
      </c>
      <c r="F6421" s="3" t="s">
        <v>109</v>
      </c>
      <c r="G6421" s="3" t="s">
        <v>110</v>
      </c>
      <c r="H6421" s="2" t="s">
        <v>148</v>
      </c>
      <c r="I6421" s="2" t="s">
        <v>16497</v>
      </c>
      <c r="J6421" s="3" t="str">
        <f>HYPERLINK("https://www.boe.es/gazeta/dias/1811/11/02/pdfs/GEI-1811-141.pdf#page=6","Abrir facsímil")</f>
        <v>Abrir facsímil</v>
      </c>
      <c r="K6421" s="3" t="s">
        <v>150</v>
      </c>
    </row>
    <row r="6422" spans="1:11" ht="42" customHeight="1">
      <c r="A6422" s="2" t="s">
        <v>16498</v>
      </c>
      <c r="B6422" s="2" t="s">
        <v>16499</v>
      </c>
      <c r="C6422" s="2" t="s">
        <v>104</v>
      </c>
      <c r="D6422" s="2" t="s">
        <v>528</v>
      </c>
      <c r="E6422" s="4">
        <v>-32219</v>
      </c>
      <c r="F6422" s="3" t="s">
        <v>529</v>
      </c>
      <c r="G6422" s="3" t="s">
        <v>530</v>
      </c>
      <c r="H6422" s="2" t="s">
        <v>21</v>
      </c>
      <c r="I6422" s="2" t="s">
        <v>16500</v>
      </c>
      <c r="J6422" s="3" t="str">
        <f>HYPERLINK("https://www.boe.es/gazeta/dias/1811/10/14/pdfs/GEI-1811-132E.pdf#page=4","Abrir facsímil")</f>
        <v>Abrir facsímil</v>
      </c>
      <c r="K6422" s="3" t="s">
        <v>23</v>
      </c>
    </row>
    <row r="6423" spans="1:11" ht="42" customHeight="1">
      <c r="A6423" s="2" t="s">
        <v>16501</v>
      </c>
      <c r="B6423" s="2" t="s">
        <v>16502</v>
      </c>
      <c r="C6423" s="2" t="s">
        <v>26</v>
      </c>
      <c r="D6423" s="2" t="s">
        <v>18</v>
      </c>
      <c r="E6423" s="4">
        <v>-32358</v>
      </c>
      <c r="F6423" s="3" t="s">
        <v>2971</v>
      </c>
      <c r="G6423" s="3" t="s">
        <v>44</v>
      </c>
      <c r="H6423" s="2" t="s">
        <v>21</v>
      </c>
      <c r="I6423" s="2" t="s">
        <v>16503</v>
      </c>
      <c r="J6423" s="3" t="str">
        <f>HYPERLINK("https://www.boe.es/gazeta/dias/1811/05/28/pdfs/GEI-1811-72.pdf#page=2","Abrir facsímil")</f>
        <v>Abrir facsímil</v>
      </c>
      <c r="K6423" s="3" t="s">
        <v>23</v>
      </c>
    </row>
    <row r="6424" spans="1:11" ht="42" customHeight="1">
      <c r="A6424" s="2" t="s">
        <v>16504</v>
      </c>
      <c r="B6424" s="2" t="s">
        <v>16505</v>
      </c>
      <c r="C6424" s="2" t="s">
        <v>26</v>
      </c>
      <c r="D6424" s="2" t="s">
        <v>18</v>
      </c>
      <c r="E6424" s="4">
        <v>-32281</v>
      </c>
      <c r="F6424" s="3" t="s">
        <v>982</v>
      </c>
      <c r="G6424" s="3" t="s">
        <v>1505</v>
      </c>
      <c r="H6424" s="2" t="s">
        <v>21</v>
      </c>
      <c r="I6424" s="2" t="s">
        <v>16506</v>
      </c>
      <c r="J6424" s="3" t="str">
        <f>HYPERLINK("https://www.boe.es/gazeta/dias/1811/08/13/pdfs/GEI-1811-105.pdf#page=8","Abrir facsímil")</f>
        <v>Abrir facsímil</v>
      </c>
      <c r="K6424" s="3" t="s">
        <v>23</v>
      </c>
    </row>
    <row r="6425" spans="1:11" ht="42" customHeight="1">
      <c r="A6425" s="2" t="s">
        <v>16507</v>
      </c>
      <c r="B6425" s="2" t="s">
        <v>16508</v>
      </c>
      <c r="C6425" s="2" t="s">
        <v>17</v>
      </c>
      <c r="D6425" s="2" t="s">
        <v>18</v>
      </c>
      <c r="E6425" s="4">
        <v>-32370</v>
      </c>
      <c r="F6425" s="3" t="s">
        <v>146</v>
      </c>
      <c r="G6425" s="3" t="s">
        <v>305</v>
      </c>
      <c r="H6425" s="2" t="s">
        <v>21</v>
      </c>
      <c r="I6425" s="2" t="s">
        <v>16509</v>
      </c>
      <c r="J6425" s="3" t="str">
        <f>HYPERLINK("https://www.boe.es/gazeta/dias/1811/05/16/pdfs/GEI-1811-64.pdf#page=5","Abrir facsímil")</f>
        <v>Abrir facsímil</v>
      </c>
      <c r="K6425" s="3" t="s">
        <v>23</v>
      </c>
    </row>
    <row r="6426" spans="1:11" ht="42" customHeight="1">
      <c r="A6426" s="2" t="s">
        <v>16510</v>
      </c>
      <c r="B6426" s="2" t="s">
        <v>16511</v>
      </c>
      <c r="C6426" s="2" t="s">
        <v>26</v>
      </c>
      <c r="D6426" s="2" t="s">
        <v>528</v>
      </c>
      <c r="E6426" s="4">
        <v>-32435</v>
      </c>
      <c r="F6426" s="3" t="s">
        <v>11833</v>
      </c>
      <c r="G6426" s="3" t="s">
        <v>47</v>
      </c>
      <c r="H6426" s="2" t="s">
        <v>21</v>
      </c>
      <c r="I6426" s="2" t="s">
        <v>16512</v>
      </c>
      <c r="J6426" s="3" t="str">
        <f>HYPERLINK("https://www.boe.es/gazeta/dias/1811/03/12/pdfs/GEI-1811-36E.pdf#page=4","Abrir facsímil")</f>
        <v>Abrir facsímil</v>
      </c>
      <c r="K6426" s="3" t="s">
        <v>23</v>
      </c>
    </row>
    <row r="6427" spans="1:11" ht="42" customHeight="1">
      <c r="A6427" s="2" t="s">
        <v>16513</v>
      </c>
      <c r="B6427" s="2" t="s">
        <v>16514</v>
      </c>
      <c r="C6427" s="2" t="s">
        <v>17</v>
      </c>
      <c r="D6427" s="2" t="s">
        <v>18</v>
      </c>
      <c r="E6427" s="4">
        <v>-32421</v>
      </c>
      <c r="F6427" s="3" t="s">
        <v>79</v>
      </c>
      <c r="G6427" s="3" t="s">
        <v>80</v>
      </c>
      <c r="H6427" s="2" t="s">
        <v>21</v>
      </c>
      <c r="I6427" s="2" t="s">
        <v>16515</v>
      </c>
      <c r="J6427" s="3" t="str">
        <f>HYPERLINK("https://www.boe.es/gazeta/dias/1811/03/26/pdfs/GEI-1811-42.pdf#page=7","Abrir facsímil")</f>
        <v>Abrir facsímil</v>
      </c>
      <c r="K6427" s="3" t="s">
        <v>23</v>
      </c>
    </row>
    <row r="6428" spans="1:11" ht="42" customHeight="1">
      <c r="A6428" s="2" t="s">
        <v>16516</v>
      </c>
      <c r="B6428" s="2" t="s">
        <v>16517</v>
      </c>
      <c r="C6428" s="2" t="s">
        <v>37</v>
      </c>
      <c r="D6428" s="2" t="s">
        <v>156</v>
      </c>
      <c r="E6428" s="4">
        <v>-32195</v>
      </c>
      <c r="F6428" s="3" t="s">
        <v>439</v>
      </c>
      <c r="G6428" s="3" t="s">
        <v>162</v>
      </c>
      <c r="H6428" s="2" t="s">
        <v>21</v>
      </c>
      <c r="I6428" s="2" t="s">
        <v>16518</v>
      </c>
      <c r="J6428" s="3" t="str">
        <f>HYPERLINK("https://www.boe.es/gazeta/dias/1811/11/07/pdfs/GEI-1811-144.pdf#page=5","Abrir facsímil")</f>
        <v>Abrir facsímil</v>
      </c>
      <c r="K6428" s="3" t="s">
        <v>23</v>
      </c>
    </row>
    <row r="6429" spans="1:11" ht="42" customHeight="1">
      <c r="A6429" s="2" t="s">
        <v>16519</v>
      </c>
      <c r="B6429" s="2" t="s">
        <v>16520</v>
      </c>
      <c r="C6429" s="2" t="s">
        <v>17</v>
      </c>
      <c r="D6429" s="2" t="s">
        <v>18</v>
      </c>
      <c r="E6429" s="4">
        <v>-32263</v>
      </c>
      <c r="F6429" s="3" t="s">
        <v>128</v>
      </c>
      <c r="G6429" s="3" t="s">
        <v>925</v>
      </c>
      <c r="H6429" s="2" t="s">
        <v>21</v>
      </c>
      <c r="I6429" s="2" t="s">
        <v>16521</v>
      </c>
      <c r="J6429" s="3" t="str">
        <f>HYPERLINK("https://www.boe.es/gazeta/dias/1811/08/31/pdfs/GEI-1811-113.pdf#page=7","Abrir facsímil")</f>
        <v>Abrir facsímil</v>
      </c>
      <c r="K6429" s="3" t="s">
        <v>23</v>
      </c>
    </row>
    <row r="6430" spans="1:11" ht="42" customHeight="1">
      <c r="A6430" s="2" t="s">
        <v>16522</v>
      </c>
      <c r="B6430" s="2" t="s">
        <v>16522</v>
      </c>
      <c r="C6430" s="2" t="s">
        <v>84</v>
      </c>
      <c r="D6430" s="2" t="s">
        <v>18</v>
      </c>
      <c r="E6430" s="4">
        <v>-32415</v>
      </c>
      <c r="F6430" s="3" t="s">
        <v>3041</v>
      </c>
      <c r="G6430" s="3" t="s">
        <v>115</v>
      </c>
      <c r="H6430" s="2" t="s">
        <v>148</v>
      </c>
      <c r="I6430" s="2" t="s">
        <v>16523</v>
      </c>
      <c r="J6430" s="3" t="str">
        <f>HYPERLINK("https://www.boe.es/gazeta/dias/1811/04/01/pdfs/GMD-1811-91.pdf#page=3","Abrir facsímil")</f>
        <v>Abrir facsímil</v>
      </c>
      <c r="K6430" s="3" t="s">
        <v>150</v>
      </c>
    </row>
    <row r="6431" spans="1:11" ht="42" customHeight="1">
      <c r="A6431" s="2" t="s">
        <v>16524</v>
      </c>
      <c r="B6431" s="2" t="s">
        <v>16525</v>
      </c>
      <c r="C6431" s="2" t="s">
        <v>17</v>
      </c>
      <c r="D6431" s="2" t="s">
        <v>156</v>
      </c>
      <c r="E6431" s="4">
        <v>-32209</v>
      </c>
      <c r="F6431" s="3" t="s">
        <v>9303</v>
      </c>
      <c r="G6431" s="3" t="s">
        <v>10387</v>
      </c>
      <c r="H6431" s="2" t="s">
        <v>148</v>
      </c>
      <c r="I6431" s="2" t="s">
        <v>16526</v>
      </c>
      <c r="J6431" s="3" t="str">
        <f>HYPERLINK("https://www.boe.es/gazeta/dias/1811/10/24/pdfs/GEI-1811-137.pdf#page=8","Abrir facsímil")</f>
        <v>Abrir facsímil</v>
      </c>
      <c r="K6431" s="3" t="s">
        <v>150</v>
      </c>
    </row>
    <row r="6432" spans="1:11" ht="42" customHeight="1">
      <c r="A6432" s="2" t="s">
        <v>16527</v>
      </c>
      <c r="B6432" s="2" t="s">
        <v>16527</v>
      </c>
      <c r="C6432" s="2" t="s">
        <v>17</v>
      </c>
      <c r="D6432" s="2" t="s">
        <v>18</v>
      </c>
      <c r="E6432" s="4">
        <v>-32201</v>
      </c>
      <c r="F6432" s="3" t="s">
        <v>2643</v>
      </c>
      <c r="G6432" s="3" t="s">
        <v>1087</v>
      </c>
      <c r="H6432" s="2" t="s">
        <v>148</v>
      </c>
      <c r="I6432" s="2" t="s">
        <v>16528</v>
      </c>
      <c r="J6432" s="3" t="str">
        <f>HYPERLINK("https://www.boe.es/gazeta/dias/1811/11/01/pdfs/GMD-1811-305.pdf#page=4","Abrir facsímil")</f>
        <v>Abrir facsímil</v>
      </c>
      <c r="K6432" s="3" t="s">
        <v>150</v>
      </c>
    </row>
    <row r="6433" spans="1:11" ht="42" customHeight="1">
      <c r="A6433" s="2" t="s">
        <v>16529</v>
      </c>
      <c r="B6433" s="2" t="s">
        <v>16529</v>
      </c>
      <c r="C6433" s="2" t="s">
        <v>17</v>
      </c>
      <c r="D6433" s="2" t="s">
        <v>18</v>
      </c>
      <c r="E6433" s="4">
        <v>-32246</v>
      </c>
      <c r="F6433" s="3" t="s">
        <v>19</v>
      </c>
      <c r="G6433" s="3" t="s">
        <v>4541</v>
      </c>
      <c r="H6433" s="2" t="s">
        <v>148</v>
      </c>
      <c r="I6433" s="2" t="s">
        <v>16530</v>
      </c>
      <c r="J6433" s="3" t="str">
        <f>HYPERLINK("https://www.boe.es/gazeta/dias/1811/09/17/pdfs/GEI-1811-120.pdf#page=15","Abrir facsímil")</f>
        <v>Abrir facsímil</v>
      </c>
      <c r="K6433" s="3" t="s">
        <v>150</v>
      </c>
    </row>
    <row r="6434" spans="1:11" ht="42" customHeight="1">
      <c r="A6434" s="2" t="s">
        <v>16531</v>
      </c>
      <c r="B6434" s="2" t="s">
        <v>16532</v>
      </c>
      <c r="C6434" s="2" t="s">
        <v>17</v>
      </c>
      <c r="D6434" s="2" t="s">
        <v>156</v>
      </c>
      <c r="E6434" s="4">
        <v>-32480</v>
      </c>
      <c r="F6434" s="3" t="s">
        <v>3061</v>
      </c>
      <c r="G6434" s="3" t="s">
        <v>669</v>
      </c>
      <c r="H6434" s="2" t="s">
        <v>148</v>
      </c>
      <c r="I6434" s="2" t="s">
        <v>16533</v>
      </c>
      <c r="J6434" s="3" t="str">
        <f>HYPERLINK("https://www.boe.es/gazeta/dias/1811/01/26/pdfs/GEI-1811-12.pdf#page=5","Abrir facsímil")</f>
        <v>Abrir facsímil</v>
      </c>
      <c r="K6434" s="3" t="s">
        <v>150</v>
      </c>
    </row>
    <row r="6435" spans="1:11" ht="42" customHeight="1">
      <c r="A6435" s="2" t="s">
        <v>16534</v>
      </c>
      <c r="B6435" s="2" t="s">
        <v>16535</v>
      </c>
      <c r="C6435" s="2" t="s">
        <v>104</v>
      </c>
      <c r="D6435" s="2" t="s">
        <v>105</v>
      </c>
      <c r="E6435" s="4">
        <v>-32503</v>
      </c>
      <c r="F6435" s="3" t="s">
        <v>487</v>
      </c>
      <c r="G6435" s="3" t="s">
        <v>28</v>
      </c>
      <c r="H6435" s="2" t="s">
        <v>148</v>
      </c>
      <c r="I6435" s="2" t="s">
        <v>16536</v>
      </c>
      <c r="J6435" s="3" t="str">
        <f>HYPERLINK("https://www.boe.es/gazeta/dias/1811/01/03/pdfs/GEI-1811-2.pdf#page=7","Abrir facsímil")</f>
        <v>Abrir facsímil</v>
      </c>
      <c r="K6435" s="3" t="s">
        <v>150</v>
      </c>
    </row>
    <row r="6436" spans="1:11" ht="42" customHeight="1">
      <c r="A6436" s="2" t="s">
        <v>16537</v>
      </c>
      <c r="B6436" s="2" t="s">
        <v>16538</v>
      </c>
      <c r="C6436" s="2" t="s">
        <v>104</v>
      </c>
      <c r="D6436" s="2" t="s">
        <v>204</v>
      </c>
      <c r="E6436" s="4">
        <v>-32326</v>
      </c>
      <c r="F6436" s="3" t="s">
        <v>2321</v>
      </c>
      <c r="G6436" s="3" t="s">
        <v>183</v>
      </c>
      <c r="H6436" s="2" t="s">
        <v>148</v>
      </c>
      <c r="I6436" s="2" t="s">
        <v>16539</v>
      </c>
      <c r="J6436" s="3" t="str">
        <f>HYPERLINK("https://www.boe.es/gazeta/dias/1811/06/29/pdfs/GMD-1811-180.pdf#page=4","Abrir facsímil")</f>
        <v>Abrir facsímil</v>
      </c>
      <c r="K6436" s="3" t="s">
        <v>150</v>
      </c>
    </row>
    <row r="6437" spans="1:11" ht="42" customHeight="1">
      <c r="A6437" s="2" t="s">
        <v>16540</v>
      </c>
      <c r="B6437" s="2" t="s">
        <v>16541</v>
      </c>
      <c r="C6437" s="2" t="s">
        <v>17</v>
      </c>
      <c r="D6437" s="2" t="s">
        <v>156</v>
      </c>
      <c r="E6437" s="4">
        <v>-32165</v>
      </c>
      <c r="F6437" s="3" t="s">
        <v>1462</v>
      </c>
      <c r="G6437" s="3" t="s">
        <v>1463</v>
      </c>
      <c r="H6437" s="2" t="s">
        <v>148</v>
      </c>
      <c r="I6437" s="2" t="s">
        <v>16542</v>
      </c>
      <c r="J6437" s="3" t="str">
        <f>HYPERLINK("https://www.boe.es/gazeta/dias/1811/12/07/pdfs/GMD-1811-341.pdf#page=3","Abrir facsímil")</f>
        <v>Abrir facsímil</v>
      </c>
      <c r="K6437" s="3" t="s">
        <v>150</v>
      </c>
    </row>
    <row r="6438" spans="1:11" ht="42" customHeight="1">
      <c r="A6438" s="2" t="s">
        <v>16543</v>
      </c>
      <c r="B6438" s="2" t="s">
        <v>16544</v>
      </c>
      <c r="C6438" s="2" t="s">
        <v>17</v>
      </c>
      <c r="D6438" s="2" t="s">
        <v>528</v>
      </c>
      <c r="E6438" s="4">
        <v>-32219</v>
      </c>
      <c r="F6438" s="3" t="s">
        <v>529</v>
      </c>
      <c r="G6438" s="3" t="s">
        <v>91</v>
      </c>
      <c r="H6438" s="2" t="s">
        <v>148</v>
      </c>
      <c r="I6438" s="2" t="s">
        <v>16545</v>
      </c>
      <c r="J6438" s="3" t="str">
        <f>HYPERLINK("https://www.boe.es/gazeta/dias/1811/10/14/pdfs/GEI-1811-132E.pdf#page=1","Abrir facsímil")</f>
        <v>Abrir facsímil</v>
      </c>
      <c r="K6438" s="3" t="s">
        <v>150</v>
      </c>
    </row>
    <row r="6439" spans="1:11" ht="42" customHeight="1">
      <c r="A6439" s="2" t="s">
        <v>16546</v>
      </c>
      <c r="B6439" s="2" t="s">
        <v>16546</v>
      </c>
      <c r="C6439" s="2" t="s">
        <v>17</v>
      </c>
      <c r="D6439" s="2" t="s">
        <v>18</v>
      </c>
      <c r="E6439" s="4">
        <v>-32246</v>
      </c>
      <c r="F6439" s="3" t="s">
        <v>19</v>
      </c>
      <c r="G6439" s="3" t="s">
        <v>5368</v>
      </c>
      <c r="H6439" s="2" t="s">
        <v>148</v>
      </c>
      <c r="I6439" s="2" t="s">
        <v>16547</v>
      </c>
      <c r="J6439" s="3" t="str">
        <f>HYPERLINK("https://www.boe.es/gazeta/dias/1811/09/17/pdfs/GEI-1811-120.pdf#page=9","Abrir facsímil")</f>
        <v>Abrir facsímil</v>
      </c>
      <c r="K6439" s="3" t="s">
        <v>150</v>
      </c>
    </row>
    <row r="6440" spans="1:11" ht="42" customHeight="1">
      <c r="A6440" s="2" t="s">
        <v>16548</v>
      </c>
      <c r="B6440" s="2" t="s">
        <v>16548</v>
      </c>
      <c r="C6440" s="2" t="s">
        <v>17</v>
      </c>
      <c r="D6440" s="2" t="s">
        <v>18</v>
      </c>
      <c r="E6440" s="4">
        <v>-32477</v>
      </c>
      <c r="F6440" s="3" t="s">
        <v>6777</v>
      </c>
      <c r="G6440" s="3" t="s">
        <v>16549</v>
      </c>
      <c r="H6440" s="2" t="s">
        <v>148</v>
      </c>
      <c r="I6440" s="2" t="s">
        <v>16550</v>
      </c>
      <c r="J6440" s="3" t="str">
        <f>HYPERLINK("https://www.boe.es/gazeta/dias/1811/01/29/pdfs/GEI-1811-13.pdf#page=6","Abrir facsímil")</f>
        <v>Abrir facsímil</v>
      </c>
      <c r="K6440" s="3" t="s">
        <v>150</v>
      </c>
    </row>
    <row r="6441" spans="1:11" ht="42" customHeight="1">
      <c r="A6441" s="2" t="s">
        <v>16551</v>
      </c>
      <c r="B6441" s="2" t="s">
        <v>16552</v>
      </c>
      <c r="C6441" s="2" t="s">
        <v>17</v>
      </c>
      <c r="D6441" s="2" t="s">
        <v>105</v>
      </c>
      <c r="E6441" s="4">
        <v>-32419</v>
      </c>
      <c r="F6441" s="3" t="s">
        <v>2585</v>
      </c>
      <c r="G6441" s="3" t="s">
        <v>20</v>
      </c>
      <c r="H6441" s="2" t="s">
        <v>148</v>
      </c>
      <c r="I6441" s="2" t="s">
        <v>16553</v>
      </c>
      <c r="J6441" s="3" t="str">
        <f>HYPERLINK("https://www.boe.es/gazeta/dias/1811/03/28/pdfs/GEI-1811-43.pdf#page=4","Abrir facsímil")</f>
        <v>Abrir facsímil</v>
      </c>
      <c r="K6441" s="3" t="s">
        <v>150</v>
      </c>
    </row>
    <row r="6442" spans="1:11" ht="42" customHeight="1">
      <c r="A6442" s="2" t="s">
        <v>16554</v>
      </c>
      <c r="B6442" s="2" t="s">
        <v>16555</v>
      </c>
      <c r="C6442" s="2" t="s">
        <v>17</v>
      </c>
      <c r="D6442" s="2" t="s">
        <v>18</v>
      </c>
      <c r="E6442" s="4">
        <v>-32300</v>
      </c>
      <c r="F6442" s="3" t="s">
        <v>492</v>
      </c>
      <c r="G6442" s="3" t="s">
        <v>493</v>
      </c>
      <c r="H6442" s="2" t="s">
        <v>148</v>
      </c>
      <c r="I6442" s="2" t="s">
        <v>16556</v>
      </c>
      <c r="J6442" s="3" t="str">
        <f>HYPERLINK("https://www.boe.es/gazeta/dias/1811/07/25/pdfs/GMD-1811-206.pdf#page=4","Abrir facsímil")</f>
        <v>Abrir facsímil</v>
      </c>
      <c r="K6442" s="3" t="s">
        <v>150</v>
      </c>
    </row>
    <row r="6443" spans="1:11" ht="42" customHeight="1">
      <c r="A6443" s="2" t="s">
        <v>16557</v>
      </c>
      <c r="B6443" s="2" t="s">
        <v>16558</v>
      </c>
      <c r="C6443" s="2" t="s">
        <v>37</v>
      </c>
      <c r="D6443" s="2" t="s">
        <v>18</v>
      </c>
      <c r="E6443" s="4">
        <v>-32487</v>
      </c>
      <c r="F6443" s="3" t="s">
        <v>3104</v>
      </c>
      <c r="G6443" s="3" t="s">
        <v>409</v>
      </c>
      <c r="H6443" s="2" t="s">
        <v>148</v>
      </c>
      <c r="I6443" s="2" t="s">
        <v>16559</v>
      </c>
      <c r="J6443" s="3" t="str">
        <f>HYPERLINK("https://www.boe.es/gazeta/dias/1811/01/19/pdfs/GMD-1811-19.pdf#page=2","Abrir facsímil")</f>
        <v>Abrir facsímil</v>
      </c>
      <c r="K6443" s="3" t="s">
        <v>150</v>
      </c>
    </row>
    <row r="6444" spans="1:11" ht="42" customHeight="1">
      <c r="A6444" s="2" t="s">
        <v>16560</v>
      </c>
      <c r="B6444" s="2" t="s">
        <v>16560</v>
      </c>
      <c r="C6444" s="2" t="s">
        <v>17</v>
      </c>
      <c r="D6444" s="2" t="s">
        <v>156</v>
      </c>
      <c r="E6444" s="4">
        <v>-32314</v>
      </c>
      <c r="F6444" s="3" t="s">
        <v>570</v>
      </c>
      <c r="G6444" s="3" t="s">
        <v>571</v>
      </c>
      <c r="H6444" s="2" t="s">
        <v>148</v>
      </c>
      <c r="I6444" s="2" t="s">
        <v>16561</v>
      </c>
      <c r="J6444" s="3" t="str">
        <f>HYPERLINK("https://www.boe.es/gazeta/dias/1811/07/11/pdfs/GEI-1811-91.pdf#page=7","Abrir facsímil")</f>
        <v>Abrir facsímil</v>
      </c>
      <c r="K6444" s="3" t="s">
        <v>150</v>
      </c>
    </row>
    <row r="6445" spans="1:11" ht="42" customHeight="1">
      <c r="A6445" s="2" t="s">
        <v>16562</v>
      </c>
      <c r="B6445" s="2" t="s">
        <v>16562</v>
      </c>
      <c r="C6445" s="2" t="s">
        <v>17</v>
      </c>
      <c r="D6445" s="2" t="s">
        <v>528</v>
      </c>
      <c r="E6445" s="4">
        <v>-32219</v>
      </c>
      <c r="F6445" s="3" t="s">
        <v>529</v>
      </c>
      <c r="G6445" s="3" t="s">
        <v>1143</v>
      </c>
      <c r="H6445" s="2" t="s">
        <v>148</v>
      </c>
      <c r="I6445" s="2" t="s">
        <v>16563</v>
      </c>
      <c r="J6445" s="3" t="str">
        <f>HYPERLINK("https://www.boe.es/gazeta/dias/1811/10/14/pdfs/GEI-1811-132E.pdf#page=3","Abrir facsímil")</f>
        <v>Abrir facsímil</v>
      </c>
      <c r="K6445" s="3" t="s">
        <v>150</v>
      </c>
    </row>
    <row r="6446" spans="1:11" ht="42" customHeight="1">
      <c r="A6446" s="2" t="s">
        <v>16564</v>
      </c>
      <c r="B6446" s="2" t="s">
        <v>16565</v>
      </c>
      <c r="C6446" s="2" t="s">
        <v>17</v>
      </c>
      <c r="D6446" s="2" t="s">
        <v>156</v>
      </c>
      <c r="E6446" s="4">
        <v>-32494</v>
      </c>
      <c r="F6446" s="3" t="s">
        <v>3050</v>
      </c>
      <c r="G6446" s="3" t="s">
        <v>1646</v>
      </c>
      <c r="H6446" s="2" t="s">
        <v>148</v>
      </c>
      <c r="I6446" s="2" t="s">
        <v>16566</v>
      </c>
      <c r="J6446" s="3" t="str">
        <f>HYPERLINK("https://www.boe.es/gazeta/dias/1811/01/12/pdfs/GEI-1811-6.pdf#page=6","Abrir facsímil")</f>
        <v>Abrir facsímil</v>
      </c>
      <c r="K6446" s="3" t="s">
        <v>150</v>
      </c>
    </row>
    <row r="6447" spans="1:11" ht="42" customHeight="1">
      <c r="A6447" s="2" t="s">
        <v>16567</v>
      </c>
      <c r="B6447" s="2" t="s">
        <v>16568</v>
      </c>
      <c r="C6447" s="2" t="s">
        <v>17</v>
      </c>
      <c r="D6447" s="2" t="s">
        <v>18</v>
      </c>
      <c r="E6447" s="4">
        <v>-32421</v>
      </c>
      <c r="F6447" s="3" t="s">
        <v>79</v>
      </c>
      <c r="G6447" s="3" t="s">
        <v>8682</v>
      </c>
      <c r="H6447" s="2" t="s">
        <v>148</v>
      </c>
      <c r="I6447" s="2" t="s">
        <v>16569</v>
      </c>
      <c r="J6447" s="3" t="str">
        <f>HYPERLINK("https://www.boe.es/gazeta/dias/1811/03/26/pdfs/GEI-1811-42.pdf#page=4","Abrir facsímil")</f>
        <v>Abrir facsímil</v>
      </c>
      <c r="K6447" s="3" t="s">
        <v>150</v>
      </c>
    </row>
    <row r="6448" spans="1:11" ht="42" customHeight="1">
      <c r="A6448" s="2" t="s">
        <v>16570</v>
      </c>
      <c r="B6448" s="2" t="s">
        <v>16571</v>
      </c>
      <c r="C6448" s="2" t="s">
        <v>17</v>
      </c>
      <c r="D6448" s="2" t="s">
        <v>18</v>
      </c>
      <c r="E6448" s="4">
        <v>-32487</v>
      </c>
      <c r="F6448" s="3" t="s">
        <v>842</v>
      </c>
      <c r="G6448" s="3" t="s">
        <v>440</v>
      </c>
      <c r="H6448" s="2" t="s">
        <v>148</v>
      </c>
      <c r="I6448" s="2" t="s">
        <v>16572</v>
      </c>
      <c r="J6448" s="3" t="str">
        <f>HYPERLINK("https://www.boe.es/gazeta/dias/1811/01/19/pdfs/GEI-1811-9.pdf#page=2","Abrir facsímil")</f>
        <v>Abrir facsímil</v>
      </c>
      <c r="K6448" s="3" t="s">
        <v>150</v>
      </c>
    </row>
    <row r="6449" spans="1:11" ht="42" customHeight="1">
      <c r="A6449" s="2" t="s">
        <v>16573</v>
      </c>
      <c r="B6449" s="2" t="s">
        <v>16574</v>
      </c>
      <c r="C6449" s="2" t="s">
        <v>17</v>
      </c>
      <c r="D6449" s="2" t="s">
        <v>156</v>
      </c>
      <c r="E6449" s="4">
        <v>-32480</v>
      </c>
      <c r="F6449" s="3" t="s">
        <v>2421</v>
      </c>
      <c r="G6449" s="3" t="s">
        <v>20</v>
      </c>
      <c r="H6449" s="2" t="s">
        <v>148</v>
      </c>
      <c r="I6449" s="2" t="s">
        <v>16575</v>
      </c>
      <c r="J6449" s="3" t="str">
        <f>HYPERLINK("https://www.boe.es/gazeta/dias/1811/01/26/pdfs/GMD-1811-26.pdf#page=4","Abrir facsímil")</f>
        <v>Abrir facsímil</v>
      </c>
      <c r="K6449" s="3" t="s">
        <v>150</v>
      </c>
    </row>
    <row r="6450" spans="1:11" ht="42" customHeight="1">
      <c r="A6450" s="2" t="s">
        <v>16576</v>
      </c>
      <c r="B6450" s="2" t="s">
        <v>16576</v>
      </c>
      <c r="C6450" s="2" t="s">
        <v>17</v>
      </c>
      <c r="D6450" s="2" t="s">
        <v>156</v>
      </c>
      <c r="E6450" s="4">
        <v>-32157</v>
      </c>
      <c r="F6450" s="3" t="s">
        <v>200</v>
      </c>
      <c r="G6450" s="3" t="s">
        <v>39</v>
      </c>
      <c r="H6450" s="2" t="s">
        <v>148</v>
      </c>
      <c r="I6450" s="2" t="s">
        <v>16577</v>
      </c>
      <c r="J6450" s="3" t="str">
        <f>HYPERLINK("https://www.boe.es/gazeta/dias/1811/12/15/pdfs/GMD-1811-349.pdf#page=1","Abrir facsímil")</f>
        <v>Abrir facsímil</v>
      </c>
      <c r="K6450" s="3" t="s">
        <v>150</v>
      </c>
    </row>
    <row r="6451" spans="1:11" ht="42" customHeight="1">
      <c r="A6451" s="2" t="s">
        <v>16578</v>
      </c>
      <c r="B6451" s="2" t="s">
        <v>16579</v>
      </c>
      <c r="C6451" s="2" t="s">
        <v>26</v>
      </c>
      <c r="D6451" s="2" t="s">
        <v>18</v>
      </c>
      <c r="E6451" s="4">
        <v>-32396</v>
      </c>
      <c r="F6451" s="3" t="s">
        <v>1267</v>
      </c>
      <c r="G6451" s="3" t="s">
        <v>1143</v>
      </c>
      <c r="H6451" s="2" t="s">
        <v>148</v>
      </c>
      <c r="I6451" s="2" t="s">
        <v>16580</v>
      </c>
      <c r="J6451" s="3" t="str">
        <f>HYPERLINK("https://www.boe.es/gazeta/dias/1811/04/20/pdfs/GMD-1811-110.pdf#page=3","Abrir facsímil")</f>
        <v>Abrir facsímil</v>
      </c>
      <c r="K6451" s="3" t="s">
        <v>150</v>
      </c>
    </row>
    <row r="6452" spans="1:11" ht="42" customHeight="1">
      <c r="A6452" s="2" t="s">
        <v>16581</v>
      </c>
      <c r="B6452" s="2" t="s">
        <v>16582</v>
      </c>
      <c r="C6452" s="2" t="s">
        <v>84</v>
      </c>
      <c r="D6452" s="2" t="s">
        <v>204</v>
      </c>
      <c r="E6452" s="4">
        <v>-32416</v>
      </c>
      <c r="F6452" s="3" t="s">
        <v>954</v>
      </c>
      <c r="G6452" s="3" t="s">
        <v>47</v>
      </c>
      <c r="H6452" s="2" t="s">
        <v>148</v>
      </c>
      <c r="I6452" s="2" t="s">
        <v>16583</v>
      </c>
      <c r="J6452" s="3" t="str">
        <f>HYPERLINK("https://www.boe.es/gazeta/dias/1811/03/31/pdfs/GMD-1811-90.pdf#page=3","Abrir facsímil")</f>
        <v>Abrir facsímil</v>
      </c>
      <c r="K6452" s="3" t="s">
        <v>150</v>
      </c>
    </row>
    <row r="6453" spans="1:11" ht="42" customHeight="1">
      <c r="A6453" s="2" t="s">
        <v>16584</v>
      </c>
      <c r="B6453" s="2" t="s">
        <v>16585</v>
      </c>
      <c r="C6453" s="2" t="s">
        <v>26</v>
      </c>
      <c r="D6453" s="2" t="s">
        <v>18</v>
      </c>
      <c r="E6453" s="4">
        <v>-32496</v>
      </c>
      <c r="F6453" s="3" t="s">
        <v>1927</v>
      </c>
      <c r="G6453" s="3" t="s">
        <v>1928</v>
      </c>
      <c r="H6453" s="2" t="s">
        <v>148</v>
      </c>
      <c r="I6453" s="2" t="s">
        <v>16586</v>
      </c>
      <c r="J6453" s="3" t="str">
        <f>HYPERLINK("https://www.boe.es/gazeta/dias/1811/01/10/pdfs/GEI-1811-5.pdf#page=6","Abrir facsímil")</f>
        <v>Abrir facsímil</v>
      </c>
      <c r="K6453" s="3" t="s">
        <v>150</v>
      </c>
    </row>
    <row r="6454" spans="1:11" ht="42" customHeight="1">
      <c r="A6454" s="2" t="s">
        <v>16587</v>
      </c>
      <c r="B6454" s="2" t="s">
        <v>16588</v>
      </c>
      <c r="C6454" s="2" t="s">
        <v>26</v>
      </c>
      <c r="D6454" s="2" t="s">
        <v>18</v>
      </c>
      <c r="E6454" s="4">
        <v>-32169</v>
      </c>
      <c r="F6454" s="3" t="s">
        <v>4012</v>
      </c>
      <c r="G6454" s="3" t="s">
        <v>183</v>
      </c>
      <c r="H6454" s="2" t="s">
        <v>148</v>
      </c>
      <c r="I6454" s="2" t="s">
        <v>16589</v>
      </c>
      <c r="J6454" s="3" t="str">
        <f>HYPERLINK("https://www.boe.es/gazeta/dias/1811/12/03/pdfs/GMD-1811-337.pdf#page=4","Abrir facsímil")</f>
        <v>Abrir facsímil</v>
      </c>
      <c r="K6454" s="3" t="s">
        <v>150</v>
      </c>
    </row>
    <row r="6455" spans="1:11" ht="42" customHeight="1">
      <c r="A6455" s="2" t="s">
        <v>16590</v>
      </c>
      <c r="B6455" s="2" t="s">
        <v>16590</v>
      </c>
      <c r="C6455" s="2" t="s">
        <v>26</v>
      </c>
      <c r="D6455" s="2" t="s">
        <v>18</v>
      </c>
      <c r="E6455" s="4">
        <v>-32244</v>
      </c>
      <c r="F6455" s="3" t="s">
        <v>14154</v>
      </c>
      <c r="G6455" s="3" t="s">
        <v>91</v>
      </c>
      <c r="H6455" s="2" t="s">
        <v>148</v>
      </c>
      <c r="I6455" s="2" t="s">
        <v>16591</v>
      </c>
      <c r="J6455" s="3" t="str">
        <f>HYPERLINK("https://www.boe.es/gazeta/dias/1811/09/19/pdfs/GMD-1811-262.pdf#page=3","Abrir facsímil")</f>
        <v>Abrir facsímil</v>
      </c>
      <c r="K6455" s="3" t="s">
        <v>150</v>
      </c>
    </row>
    <row r="6456" spans="1:11" ht="42" customHeight="1">
      <c r="A6456" s="2" t="s">
        <v>16592</v>
      </c>
      <c r="B6456" s="2" t="s">
        <v>16593</v>
      </c>
      <c r="C6456" s="2" t="s">
        <v>26</v>
      </c>
      <c r="D6456" s="2" t="s">
        <v>18</v>
      </c>
      <c r="E6456" s="4">
        <v>-32172</v>
      </c>
      <c r="F6456" s="3" t="s">
        <v>300</v>
      </c>
      <c r="G6456" s="3" t="s">
        <v>301</v>
      </c>
      <c r="H6456" s="2" t="s">
        <v>148</v>
      </c>
      <c r="I6456" s="2" t="s">
        <v>16594</v>
      </c>
      <c r="J6456" s="3" t="str">
        <f>HYPERLINK("https://www.boe.es/gazeta/dias/1811/11/30/pdfs/GMD-1811-334.pdf#page=4","Abrir facsímil")</f>
        <v>Abrir facsímil</v>
      </c>
      <c r="K6456" s="3" t="s">
        <v>150</v>
      </c>
    </row>
    <row r="6457" spans="1:11" ht="42" customHeight="1">
      <c r="A6457" s="2" t="s">
        <v>16595</v>
      </c>
      <c r="B6457" s="2" t="s">
        <v>16596</v>
      </c>
      <c r="C6457" s="2" t="s">
        <v>26</v>
      </c>
      <c r="D6457" s="2" t="s">
        <v>18</v>
      </c>
      <c r="E6457" s="4">
        <v>-32158</v>
      </c>
      <c r="F6457" s="3" t="s">
        <v>46</v>
      </c>
      <c r="G6457" s="3" t="s">
        <v>47</v>
      </c>
      <c r="H6457" s="2" t="s">
        <v>148</v>
      </c>
      <c r="I6457" s="2" t="s">
        <v>16597</v>
      </c>
      <c r="J6457" s="3" t="str">
        <f>HYPERLINK("https://www.boe.es/gazeta/dias/1811/12/14/pdfs/GEI-1811-162.pdf#page=7","Abrir facsímil")</f>
        <v>Abrir facsímil</v>
      </c>
      <c r="K6457" s="3" t="s">
        <v>150</v>
      </c>
    </row>
    <row r="6458" spans="1:11" ht="42" customHeight="1">
      <c r="A6458" s="2" t="s">
        <v>16598</v>
      </c>
      <c r="B6458" s="2" t="s">
        <v>16599</v>
      </c>
      <c r="C6458" s="2" t="s">
        <v>17</v>
      </c>
      <c r="D6458" s="2" t="s">
        <v>156</v>
      </c>
      <c r="E6458" s="4">
        <v>-32246</v>
      </c>
      <c r="F6458" s="3" t="s">
        <v>1901</v>
      </c>
      <c r="G6458" s="3" t="s">
        <v>3564</v>
      </c>
      <c r="H6458" s="2" t="s">
        <v>148</v>
      </c>
      <c r="I6458" s="2" t="s">
        <v>16600</v>
      </c>
      <c r="J6458" s="3" t="str">
        <f>HYPERLINK("https://www.boe.es/gazeta/dias/1811/09/17/pdfs/GMD-1811-260.pdf#page=4","Abrir facsímil")</f>
        <v>Abrir facsímil</v>
      </c>
      <c r="K6458" s="3" t="s">
        <v>150</v>
      </c>
    </row>
    <row r="6459" spans="1:11" ht="42" customHeight="1">
      <c r="A6459" s="2" t="s">
        <v>16601</v>
      </c>
      <c r="B6459" s="2" t="s">
        <v>16602</v>
      </c>
      <c r="C6459" s="2" t="s">
        <v>17</v>
      </c>
      <c r="D6459" s="2" t="s">
        <v>156</v>
      </c>
      <c r="E6459" s="4">
        <v>-32476</v>
      </c>
      <c r="F6459" s="3" t="s">
        <v>1896</v>
      </c>
      <c r="G6459" s="3" t="s">
        <v>515</v>
      </c>
      <c r="H6459" s="2" t="s">
        <v>148</v>
      </c>
      <c r="I6459" s="2" t="s">
        <v>16603</v>
      </c>
      <c r="J6459" s="3" t="str">
        <f>HYPERLINK("https://www.boe.es/gazeta/dias/1811/01/30/pdfs/GMD-1811-30.pdf#page=3","Abrir facsímil")</f>
        <v>Abrir facsímil</v>
      </c>
      <c r="K6459" s="3" t="s">
        <v>150</v>
      </c>
    </row>
    <row r="6460" spans="1:11" ht="42" customHeight="1">
      <c r="A6460" s="2" t="s">
        <v>16604</v>
      </c>
      <c r="B6460" s="2" t="s">
        <v>16604</v>
      </c>
      <c r="C6460" s="2" t="s">
        <v>26</v>
      </c>
      <c r="D6460" s="2" t="s">
        <v>18</v>
      </c>
      <c r="E6460" s="4">
        <v>-32479</v>
      </c>
      <c r="F6460" s="3" t="s">
        <v>6824</v>
      </c>
      <c r="G6460" s="3" t="s">
        <v>248</v>
      </c>
      <c r="H6460" s="2" t="s">
        <v>148</v>
      </c>
      <c r="I6460" s="2" t="s">
        <v>16605</v>
      </c>
      <c r="J6460" s="3" t="str">
        <f>HYPERLINK("https://www.boe.es/gazeta/dias/1811/01/27/pdfs/GMD-1811-27.pdf#page=1","Abrir facsímil")</f>
        <v>Abrir facsímil</v>
      </c>
      <c r="K6460" s="3" t="s">
        <v>150</v>
      </c>
    </row>
    <row r="6461" spans="1:11" ht="42" customHeight="1">
      <c r="A6461" s="2" t="s">
        <v>16606</v>
      </c>
      <c r="B6461" s="2" t="s">
        <v>16606</v>
      </c>
      <c r="C6461" s="2" t="s">
        <v>26</v>
      </c>
      <c r="D6461" s="2" t="s">
        <v>18</v>
      </c>
      <c r="E6461" s="4">
        <v>-32169</v>
      </c>
      <c r="F6461" s="3" t="s">
        <v>4012</v>
      </c>
      <c r="G6461" s="3" t="s">
        <v>5253</v>
      </c>
      <c r="H6461" s="2" t="s">
        <v>148</v>
      </c>
      <c r="I6461" s="2" t="s">
        <v>16607</v>
      </c>
      <c r="J6461" s="3" t="str">
        <f>HYPERLINK("https://www.boe.es/gazeta/dias/1811/12/03/pdfs/GMD-1811-337.pdf#page=2","Abrir facsímil")</f>
        <v>Abrir facsímil</v>
      </c>
      <c r="K6461" s="3" t="s">
        <v>150</v>
      </c>
    </row>
    <row r="6462" spans="1:11" ht="42" customHeight="1">
      <c r="A6462" s="2" t="s">
        <v>16608</v>
      </c>
      <c r="B6462" s="2" t="s">
        <v>16609</v>
      </c>
      <c r="C6462" s="2" t="s">
        <v>26</v>
      </c>
      <c r="D6462" s="2" t="s">
        <v>18</v>
      </c>
      <c r="E6462" s="4">
        <v>-32295</v>
      </c>
      <c r="F6462" s="3" t="s">
        <v>279</v>
      </c>
      <c r="G6462" s="3" t="s">
        <v>44</v>
      </c>
      <c r="H6462" s="2" t="s">
        <v>148</v>
      </c>
      <c r="I6462" s="2" t="s">
        <v>16610</v>
      </c>
      <c r="J6462" s="3" t="str">
        <f>HYPERLINK("https://www.boe.es/gazeta/dias/1811/07/30/pdfs/GEI-1811-99.pdf#page=8","Abrir facsímil")</f>
        <v>Abrir facsímil</v>
      </c>
      <c r="K6462" s="3" t="s">
        <v>150</v>
      </c>
    </row>
    <row r="6463" spans="1:11" ht="42" customHeight="1">
      <c r="A6463" s="2" t="s">
        <v>16611</v>
      </c>
      <c r="B6463" s="2" t="s">
        <v>16611</v>
      </c>
      <c r="C6463" s="2" t="s">
        <v>122</v>
      </c>
      <c r="D6463" s="2" t="s">
        <v>18</v>
      </c>
      <c r="E6463" s="4">
        <v>-32295</v>
      </c>
      <c r="F6463" s="3" t="s">
        <v>6168</v>
      </c>
      <c r="G6463" s="3" t="s">
        <v>2682</v>
      </c>
      <c r="H6463" s="2" t="s">
        <v>148</v>
      </c>
      <c r="I6463" s="2" t="s">
        <v>16612</v>
      </c>
      <c r="J6463" s="3" t="str">
        <f>HYPERLINK("https://www.boe.es/gazeta/dias/1811/07/30/pdfs/GMD-1811-211.pdf#page=3","Abrir facsímil")</f>
        <v>Abrir facsímil</v>
      </c>
      <c r="K6463" s="3" t="s">
        <v>150</v>
      </c>
    </row>
    <row r="6464" spans="1:11" ht="42" customHeight="1">
      <c r="A6464" s="2" t="s">
        <v>16613</v>
      </c>
      <c r="B6464" s="2" t="s">
        <v>16613</v>
      </c>
      <c r="C6464" s="2" t="s">
        <v>17</v>
      </c>
      <c r="D6464" s="2" t="s">
        <v>18</v>
      </c>
      <c r="E6464" s="4">
        <v>-32356</v>
      </c>
      <c r="F6464" s="3" t="s">
        <v>1992</v>
      </c>
      <c r="G6464" s="3" t="s">
        <v>3613</v>
      </c>
      <c r="H6464" s="2" t="s">
        <v>148</v>
      </c>
      <c r="I6464" s="2" t="s">
        <v>16614</v>
      </c>
      <c r="J6464" s="3" t="str">
        <f>HYPERLINK("https://www.boe.es/gazeta/dias/1811/05/30/pdfs/GEI-1811-73.pdf#page=5","Abrir facsímil")</f>
        <v>Abrir facsímil</v>
      </c>
      <c r="K6464" s="3" t="s">
        <v>150</v>
      </c>
    </row>
    <row r="6465" spans="1:11" ht="42" customHeight="1">
      <c r="A6465" s="2" t="s">
        <v>16615</v>
      </c>
      <c r="B6465" s="2" t="s">
        <v>16615</v>
      </c>
      <c r="C6465" s="2" t="s">
        <v>26</v>
      </c>
      <c r="D6465" s="2" t="s">
        <v>18</v>
      </c>
      <c r="E6465" s="4">
        <v>-32244</v>
      </c>
      <c r="F6465" s="3" t="s">
        <v>14154</v>
      </c>
      <c r="G6465" s="3" t="s">
        <v>91</v>
      </c>
      <c r="H6465" s="2" t="s">
        <v>148</v>
      </c>
      <c r="I6465" s="2" t="s">
        <v>16616</v>
      </c>
      <c r="J6465" s="3" t="str">
        <f>HYPERLINK("https://www.boe.es/gazeta/dias/1811/09/19/pdfs/GMD-1811-262.pdf#page=3","Abrir facsímil")</f>
        <v>Abrir facsímil</v>
      </c>
      <c r="K6465" s="3" t="s">
        <v>150</v>
      </c>
    </row>
    <row r="6466" spans="1:11" ht="42" customHeight="1">
      <c r="A6466" s="2" t="s">
        <v>16617</v>
      </c>
      <c r="B6466" s="2" t="s">
        <v>16618</v>
      </c>
      <c r="C6466" s="2" t="s">
        <v>17</v>
      </c>
      <c r="D6466" s="2" t="s">
        <v>156</v>
      </c>
      <c r="E6466" s="4">
        <v>-32319</v>
      </c>
      <c r="F6466" s="3" t="s">
        <v>907</v>
      </c>
      <c r="G6466" s="3" t="s">
        <v>134</v>
      </c>
      <c r="H6466" s="2" t="s">
        <v>148</v>
      </c>
      <c r="I6466" s="2" t="s">
        <v>16619</v>
      </c>
      <c r="J6466" s="3" t="str">
        <f>HYPERLINK("https://www.boe.es/gazeta/dias/1811/07/06/pdfs/GEI-D-1811-89.pdf#page=4","Abrir facsímil")</f>
        <v>Abrir facsímil</v>
      </c>
      <c r="K6466" s="3" t="s">
        <v>150</v>
      </c>
    </row>
    <row r="6467" spans="1:11" ht="42" customHeight="1">
      <c r="A6467" s="2" t="s">
        <v>16620</v>
      </c>
      <c r="B6467" s="2" t="s">
        <v>16621</v>
      </c>
      <c r="C6467" s="2" t="s">
        <v>17</v>
      </c>
      <c r="D6467" s="2" t="s">
        <v>18</v>
      </c>
      <c r="E6467" s="4">
        <v>-32246</v>
      </c>
      <c r="F6467" s="3" t="s">
        <v>19</v>
      </c>
      <c r="G6467" s="3" t="s">
        <v>20</v>
      </c>
      <c r="H6467" s="2" t="s">
        <v>148</v>
      </c>
      <c r="I6467" s="2" t="s">
        <v>16622</v>
      </c>
      <c r="J6467" s="3" t="str">
        <f>HYPERLINK("https://www.boe.es/gazeta/dias/1811/09/17/pdfs/GEI-1811-120.pdf#page=24","Abrir facsímil")</f>
        <v>Abrir facsímil</v>
      </c>
      <c r="K6467" s="3" t="s">
        <v>150</v>
      </c>
    </row>
    <row r="6468" spans="1:11" ht="42" customHeight="1">
      <c r="A6468" s="2" t="s">
        <v>16623</v>
      </c>
      <c r="B6468" s="2" t="s">
        <v>16624</v>
      </c>
      <c r="C6468" s="2" t="s">
        <v>37</v>
      </c>
      <c r="D6468" s="2" t="s">
        <v>18</v>
      </c>
      <c r="E6468" s="4">
        <v>-32192</v>
      </c>
      <c r="F6468" s="3" t="s">
        <v>673</v>
      </c>
      <c r="G6468" s="3" t="s">
        <v>305</v>
      </c>
      <c r="H6468" s="2" t="s">
        <v>148</v>
      </c>
      <c r="I6468" s="2" t="s">
        <v>16625</v>
      </c>
      <c r="J6468" s="3" t="str">
        <f>HYPERLINK("https://www.boe.es/gazeta/dias/1811/11/10/pdfs/GMD-1811-314.pdf#page=4","Abrir facsímil")</f>
        <v>Abrir facsímil</v>
      </c>
      <c r="K6468" s="3" t="s">
        <v>150</v>
      </c>
    </row>
    <row r="6469" spans="1:11" ht="42" customHeight="1">
      <c r="A6469" s="2" t="s">
        <v>16626</v>
      </c>
      <c r="B6469" s="2" t="s">
        <v>16626</v>
      </c>
      <c r="C6469" s="2" t="s">
        <v>66</v>
      </c>
      <c r="D6469" s="2" t="s">
        <v>18</v>
      </c>
      <c r="E6469" s="4">
        <v>-32160</v>
      </c>
      <c r="F6469" s="3" t="s">
        <v>1013</v>
      </c>
      <c r="G6469" s="3" t="s">
        <v>44</v>
      </c>
      <c r="H6469" s="2" t="s">
        <v>148</v>
      </c>
      <c r="I6469" s="2" t="s">
        <v>16627</v>
      </c>
      <c r="J6469" s="3" t="str">
        <f>HYPERLINK("https://www.boe.es/gazeta/dias/1811/12/12/pdfs/GEI-1811-161.pdf#page=8","Abrir facsímil")</f>
        <v>Abrir facsímil</v>
      </c>
      <c r="K6469" s="3" t="s">
        <v>150</v>
      </c>
    </row>
    <row r="6470" spans="1:11" ht="42" customHeight="1">
      <c r="A6470" s="2" t="s">
        <v>16628</v>
      </c>
      <c r="B6470" s="2" t="s">
        <v>16628</v>
      </c>
      <c r="C6470" s="2" t="s">
        <v>17</v>
      </c>
      <c r="D6470" s="2" t="s">
        <v>18</v>
      </c>
      <c r="E6470" s="4">
        <v>-32335</v>
      </c>
      <c r="F6470" s="3" t="s">
        <v>3776</v>
      </c>
      <c r="G6470" s="3" t="s">
        <v>1087</v>
      </c>
      <c r="H6470" s="2" t="s">
        <v>148</v>
      </c>
      <c r="I6470" s="2" t="s">
        <v>16629</v>
      </c>
      <c r="J6470" s="3" t="str">
        <f>HYPERLINK("https://www.boe.es/gazeta/dias/1811/06/20/pdfs/GEI-1811-82.pdf#page=2","Abrir facsímil")</f>
        <v>Abrir facsímil</v>
      </c>
      <c r="K6470" s="3" t="s">
        <v>150</v>
      </c>
    </row>
    <row r="6471" spans="1:11" ht="42" customHeight="1">
      <c r="A6471" s="2" t="s">
        <v>16628</v>
      </c>
      <c r="B6471" s="2" t="s">
        <v>16628</v>
      </c>
      <c r="C6471" s="2" t="s">
        <v>17</v>
      </c>
      <c r="D6471" s="2" t="s">
        <v>18</v>
      </c>
      <c r="E6471" s="4">
        <v>-32335</v>
      </c>
      <c r="F6471" s="3" t="s">
        <v>3776</v>
      </c>
      <c r="G6471" s="3" t="s">
        <v>91</v>
      </c>
      <c r="H6471" s="2" t="s">
        <v>148</v>
      </c>
      <c r="I6471" s="2" t="s">
        <v>16630</v>
      </c>
      <c r="J6471" s="3" t="str">
        <f>HYPERLINK("https://www.boe.es/gazeta/dias/1811/06/20/pdfs/GEI-1811-82.pdf#page=3","Abrir facsímil")</f>
        <v>Abrir facsímil</v>
      </c>
      <c r="K6471" s="3" t="s">
        <v>150</v>
      </c>
    </row>
    <row r="6472" spans="1:11" ht="42" customHeight="1">
      <c r="A6472" s="2" t="s">
        <v>16631</v>
      </c>
      <c r="B6472" s="2" t="s">
        <v>16632</v>
      </c>
      <c r="C6472" s="2" t="s">
        <v>26</v>
      </c>
      <c r="D6472" s="2" t="s">
        <v>18</v>
      </c>
      <c r="E6472" s="4">
        <v>-32358</v>
      </c>
      <c r="F6472" s="3" t="s">
        <v>3186</v>
      </c>
      <c r="G6472" s="3" t="s">
        <v>162</v>
      </c>
      <c r="H6472" s="2" t="s">
        <v>148</v>
      </c>
      <c r="I6472" s="2" t="s">
        <v>16633</v>
      </c>
      <c r="J6472" s="3" t="str">
        <f>HYPERLINK("https://www.boe.es/gazeta/dias/1811/05/28/pdfs/GMD-1811-148.pdf#page=1","Abrir facsímil")</f>
        <v>Abrir facsímil</v>
      </c>
      <c r="K6472" s="3" t="s">
        <v>150</v>
      </c>
    </row>
    <row r="6473" spans="1:11" ht="42" customHeight="1">
      <c r="A6473" s="2" t="s">
        <v>16634</v>
      </c>
      <c r="B6473" s="2" t="s">
        <v>16635</v>
      </c>
      <c r="C6473" s="2" t="s">
        <v>17</v>
      </c>
      <c r="D6473" s="2" t="s">
        <v>156</v>
      </c>
      <c r="E6473" s="4">
        <v>-32232</v>
      </c>
      <c r="F6473" s="3" t="s">
        <v>1816</v>
      </c>
      <c r="G6473" s="3" t="s">
        <v>20</v>
      </c>
      <c r="H6473" s="2" t="s">
        <v>148</v>
      </c>
      <c r="I6473" s="2" t="s">
        <v>16636</v>
      </c>
      <c r="J6473" s="3" t="str">
        <f>HYPERLINK("https://www.boe.es/gazeta/dias/1811/10/01/pdfs/GEI-1811-126.pdf#page=2","Abrir facsímil")</f>
        <v>Abrir facsímil</v>
      </c>
      <c r="K6473" s="3" t="s">
        <v>150</v>
      </c>
    </row>
    <row r="6474" spans="1:11" ht="42" customHeight="1">
      <c r="A6474" s="2" t="s">
        <v>16637</v>
      </c>
      <c r="B6474" s="2" t="s">
        <v>16637</v>
      </c>
      <c r="C6474" s="2" t="s">
        <v>104</v>
      </c>
      <c r="D6474" s="2" t="s">
        <v>18</v>
      </c>
      <c r="E6474" s="4">
        <v>-32420</v>
      </c>
      <c r="F6474" s="3" t="s">
        <v>5076</v>
      </c>
      <c r="G6474" s="3" t="s">
        <v>755</v>
      </c>
      <c r="H6474" s="2" t="s">
        <v>148</v>
      </c>
      <c r="I6474" s="2" t="s">
        <v>16638</v>
      </c>
      <c r="J6474" s="3" t="str">
        <f>HYPERLINK("https://www.boe.es/gazeta/dias/1811/03/27/pdfs/GMD-1811-86.pdf#page=2","Abrir facsímil")</f>
        <v>Abrir facsímil</v>
      </c>
      <c r="K6474" s="3" t="s">
        <v>150</v>
      </c>
    </row>
    <row r="6475" spans="1:11" ht="42" customHeight="1">
      <c r="A6475" s="2" t="s">
        <v>16639</v>
      </c>
      <c r="B6475" s="2" t="s">
        <v>16639</v>
      </c>
      <c r="C6475" s="2" t="s">
        <v>26</v>
      </c>
      <c r="D6475" s="2" t="s">
        <v>18</v>
      </c>
      <c r="E6475" s="4">
        <v>-32246</v>
      </c>
      <c r="F6475" s="3" t="s">
        <v>19</v>
      </c>
      <c r="G6475" s="3" t="s">
        <v>891</v>
      </c>
      <c r="H6475" s="2" t="s">
        <v>148</v>
      </c>
      <c r="I6475" s="2" t="s">
        <v>16640</v>
      </c>
      <c r="J6475" s="3" t="str">
        <f>HYPERLINK("https://www.boe.es/gazeta/dias/1811/09/17/pdfs/GEI-1811-120.pdf#page=5","Abrir facsímil")</f>
        <v>Abrir facsímil</v>
      </c>
      <c r="K6475" s="3" t="s">
        <v>150</v>
      </c>
    </row>
    <row r="6476" spans="1:11" ht="42" customHeight="1">
      <c r="A6476" s="2" t="s">
        <v>16641</v>
      </c>
      <c r="B6476" s="2" t="s">
        <v>16642</v>
      </c>
      <c r="C6476" s="2" t="s">
        <v>17</v>
      </c>
      <c r="D6476" s="2" t="s">
        <v>156</v>
      </c>
      <c r="E6476" s="4">
        <v>-32384</v>
      </c>
      <c r="F6476" s="3" t="s">
        <v>338</v>
      </c>
      <c r="G6476" s="3" t="s">
        <v>339</v>
      </c>
      <c r="H6476" s="2" t="s">
        <v>148</v>
      </c>
      <c r="I6476" s="2" t="s">
        <v>16643</v>
      </c>
      <c r="J6476" s="3" t="str">
        <f>HYPERLINK("https://www.boe.es/gazeta/dias/1811/05/02/pdfs/GEI-1811-58.pdf#page=8","Abrir facsímil")</f>
        <v>Abrir facsímil</v>
      </c>
      <c r="K6476" s="3" t="s">
        <v>150</v>
      </c>
    </row>
    <row r="6477" spans="1:11" ht="42" customHeight="1">
      <c r="A6477" s="2" t="s">
        <v>16644</v>
      </c>
      <c r="B6477" s="2" t="s">
        <v>16645</v>
      </c>
      <c r="C6477" s="2" t="s">
        <v>17</v>
      </c>
      <c r="D6477" s="2" t="s">
        <v>18</v>
      </c>
      <c r="E6477" s="4">
        <v>-32221</v>
      </c>
      <c r="F6477" s="3" t="s">
        <v>775</v>
      </c>
      <c r="G6477" s="3" t="s">
        <v>7693</v>
      </c>
      <c r="H6477" s="2" t="s">
        <v>148</v>
      </c>
      <c r="I6477" s="2" t="s">
        <v>16646</v>
      </c>
      <c r="J6477" s="3" t="str">
        <f>HYPERLINK("https://www.boe.es/gazeta/dias/1811/10/12/pdfs/GMD-1811-285.pdf#page=3","Abrir facsímil")</f>
        <v>Abrir facsímil</v>
      </c>
      <c r="K6477" s="3" t="s">
        <v>150</v>
      </c>
    </row>
    <row r="6478" spans="1:11" ht="42" customHeight="1">
      <c r="A6478" s="2" t="s">
        <v>16647</v>
      </c>
      <c r="B6478" s="2" t="s">
        <v>16648</v>
      </c>
      <c r="C6478" s="2" t="s">
        <v>17</v>
      </c>
      <c r="D6478" s="2" t="s">
        <v>18</v>
      </c>
      <c r="E6478" s="4">
        <v>-32387</v>
      </c>
      <c r="F6478" s="3" t="s">
        <v>7400</v>
      </c>
      <c r="G6478" s="3" t="s">
        <v>16649</v>
      </c>
      <c r="H6478" s="2" t="s">
        <v>21</v>
      </c>
      <c r="I6478" s="2" t="s">
        <v>16650</v>
      </c>
      <c r="J6478" s="3" t="str">
        <f>HYPERLINK("https://www.boe.es/gazeta/dias/1811/04/29/pdfs/GMD-1811-119.pdf#page=4","Abrir facsímil")</f>
        <v>Abrir facsímil</v>
      </c>
      <c r="K6478" s="3" t="s">
        <v>23</v>
      </c>
    </row>
    <row r="6479" spans="1:11" ht="42" customHeight="1">
      <c r="A6479" s="2" t="s">
        <v>16651</v>
      </c>
      <c r="B6479" s="2" t="s">
        <v>16651</v>
      </c>
      <c r="C6479" s="2" t="s">
        <v>66</v>
      </c>
      <c r="D6479" s="2" t="s">
        <v>18</v>
      </c>
      <c r="E6479" s="4">
        <v>-32242</v>
      </c>
      <c r="F6479" s="3" t="s">
        <v>3015</v>
      </c>
      <c r="G6479" s="3" t="s">
        <v>3016</v>
      </c>
      <c r="H6479" s="2" t="s">
        <v>148</v>
      </c>
      <c r="I6479" s="2" t="s">
        <v>16652</v>
      </c>
      <c r="J6479" s="3" t="str">
        <f>HYPERLINK("https://www.boe.es/gazeta/dias/1811/09/21/pdfs/GMD-1811-264.pdf#page=2","Abrir facsímil")</f>
        <v>Abrir facsímil</v>
      </c>
      <c r="K6479" s="3" t="s">
        <v>150</v>
      </c>
    </row>
    <row r="6480" spans="1:11" ht="42" customHeight="1">
      <c r="A6480" s="2" t="s">
        <v>16653</v>
      </c>
      <c r="B6480" s="2" t="s">
        <v>16654</v>
      </c>
      <c r="C6480" s="2" t="s">
        <v>17</v>
      </c>
      <c r="D6480" s="2" t="s">
        <v>18</v>
      </c>
      <c r="E6480" s="4">
        <v>-32421</v>
      </c>
      <c r="F6480" s="3" t="s">
        <v>79</v>
      </c>
      <c r="G6480" s="3" t="s">
        <v>8682</v>
      </c>
      <c r="H6480" s="2" t="s">
        <v>148</v>
      </c>
      <c r="I6480" s="2" t="s">
        <v>16655</v>
      </c>
      <c r="J6480" s="3" t="str">
        <f>HYPERLINK("https://www.boe.es/gazeta/dias/1811/03/26/pdfs/GEI-1811-42.pdf#page=4","Abrir facsímil")</f>
        <v>Abrir facsímil</v>
      </c>
      <c r="K6480" s="3" t="s">
        <v>150</v>
      </c>
    </row>
    <row r="6481" spans="1:11" ht="42" customHeight="1">
      <c r="A6481" s="2" t="s">
        <v>16656</v>
      </c>
      <c r="B6481" s="2" t="s">
        <v>16656</v>
      </c>
      <c r="C6481" s="2" t="s">
        <v>17</v>
      </c>
      <c r="D6481" s="2" t="s">
        <v>18</v>
      </c>
      <c r="E6481" s="4">
        <v>-32152</v>
      </c>
      <c r="F6481" s="3" t="s">
        <v>1673</v>
      </c>
      <c r="G6481" s="3" t="s">
        <v>57</v>
      </c>
      <c r="H6481" s="2" t="s">
        <v>148</v>
      </c>
      <c r="I6481" s="2" t="s">
        <v>16657</v>
      </c>
      <c r="J6481" s="3" t="str">
        <f>HYPERLINK("https://www.boe.es/gazeta/dias/1811/12/20/pdfs/GMD-1811-354.pdf#page=2","Abrir facsímil")</f>
        <v>Abrir facsímil</v>
      </c>
      <c r="K6481" s="3" t="s">
        <v>150</v>
      </c>
    </row>
    <row r="6482" spans="1:11" ht="42" customHeight="1">
      <c r="A6482" s="2" t="s">
        <v>16658</v>
      </c>
      <c r="B6482" s="2" t="s">
        <v>16659</v>
      </c>
      <c r="C6482" s="2" t="s">
        <v>26</v>
      </c>
      <c r="D6482" s="2" t="s">
        <v>18</v>
      </c>
      <c r="E6482" s="4">
        <v>-32340</v>
      </c>
      <c r="F6482" s="3" t="s">
        <v>565</v>
      </c>
      <c r="G6482" s="3" t="s">
        <v>91</v>
      </c>
      <c r="H6482" s="2" t="s">
        <v>148</v>
      </c>
      <c r="I6482" s="2" t="s">
        <v>16660</v>
      </c>
      <c r="J6482" s="3" t="str">
        <f>HYPERLINK("https://www.boe.es/gazeta/dias/1811/06/15/pdfs/GEI-1811-80.pdf#page=8","Abrir facsímil")</f>
        <v>Abrir facsímil</v>
      </c>
      <c r="K6482" s="3" t="s">
        <v>150</v>
      </c>
    </row>
    <row r="6483" spans="1:11" ht="42" customHeight="1">
      <c r="A6483" s="2" t="s">
        <v>16661</v>
      </c>
      <c r="B6483" s="2" t="s">
        <v>16661</v>
      </c>
      <c r="C6483" s="2" t="s">
        <v>26</v>
      </c>
      <c r="D6483" s="2" t="s">
        <v>18</v>
      </c>
      <c r="E6483" s="4">
        <v>-32398</v>
      </c>
      <c r="F6483" s="3" t="s">
        <v>946</v>
      </c>
      <c r="G6483" s="3" t="s">
        <v>2561</v>
      </c>
      <c r="H6483" s="2" t="s">
        <v>148</v>
      </c>
      <c r="I6483" s="2" t="s">
        <v>16662</v>
      </c>
      <c r="J6483" s="3" t="str">
        <f>HYPERLINK("https://www.boe.es/gazeta/dias/1811/04/18/pdfs/GEI-1811-52.pdf#page=5","Abrir facsímil")</f>
        <v>Abrir facsímil</v>
      </c>
      <c r="K6483" s="3" t="s">
        <v>150</v>
      </c>
    </row>
    <row r="6484" spans="1:11" ht="42" customHeight="1">
      <c r="A6484" s="2" t="s">
        <v>16663</v>
      </c>
      <c r="B6484" s="2" t="s">
        <v>16664</v>
      </c>
      <c r="C6484" s="2" t="s">
        <v>104</v>
      </c>
      <c r="D6484" s="2" t="s">
        <v>18</v>
      </c>
      <c r="E6484" s="4">
        <v>-32421</v>
      </c>
      <c r="F6484" s="3" t="s">
        <v>79</v>
      </c>
      <c r="G6484" s="3" t="s">
        <v>91</v>
      </c>
      <c r="H6484" s="2" t="s">
        <v>21</v>
      </c>
      <c r="I6484" s="2" t="s">
        <v>16665</v>
      </c>
      <c r="J6484" s="3" t="str">
        <f>HYPERLINK("https://www.boe.es/gazeta/dias/1811/03/26/pdfs/GEI-1811-42.pdf#page=3","Abrir facsímil")</f>
        <v>Abrir facsímil</v>
      </c>
      <c r="K6484" s="3" t="s">
        <v>23</v>
      </c>
    </row>
    <row r="6485" spans="1:11" ht="42" customHeight="1">
      <c r="A6485" s="2" t="s">
        <v>16666</v>
      </c>
      <c r="B6485" s="2" t="s">
        <v>16667</v>
      </c>
      <c r="C6485" s="2" t="s">
        <v>17</v>
      </c>
      <c r="D6485" s="2" t="s">
        <v>18</v>
      </c>
      <c r="E6485" s="4">
        <v>-32235</v>
      </c>
      <c r="F6485" s="3" t="s">
        <v>190</v>
      </c>
      <c r="G6485" s="3" t="s">
        <v>191</v>
      </c>
      <c r="H6485" s="2" t="s">
        <v>148</v>
      </c>
      <c r="I6485" s="2" t="s">
        <v>16668</v>
      </c>
      <c r="J6485" s="3" t="str">
        <f>HYPERLINK("https://www.boe.es/gazeta/dias/1811/09/28/pdfs/GEI-1811-125.pdf#page=3","Abrir facsímil")</f>
        <v>Abrir facsímil</v>
      </c>
      <c r="K6485" s="3" t="s">
        <v>150</v>
      </c>
    </row>
    <row r="6486" spans="1:11" ht="42" customHeight="1">
      <c r="A6486" s="2" t="s">
        <v>16669</v>
      </c>
      <c r="B6486" s="2" t="s">
        <v>16670</v>
      </c>
      <c r="C6486" s="2" t="s">
        <v>17</v>
      </c>
      <c r="D6486" s="2" t="s">
        <v>18</v>
      </c>
      <c r="E6486" s="4">
        <v>-32300</v>
      </c>
      <c r="F6486" s="3" t="s">
        <v>61</v>
      </c>
      <c r="G6486" s="3" t="s">
        <v>221</v>
      </c>
      <c r="H6486" s="2" t="s">
        <v>148</v>
      </c>
      <c r="I6486" s="2" t="s">
        <v>16671</v>
      </c>
      <c r="J6486" s="3" t="str">
        <f>HYPERLINK("https://www.boe.es/gazeta/dias/1811/07/25/pdfs/GEI-1811-97.pdf#page=4","Abrir facsímil")</f>
        <v>Abrir facsímil</v>
      </c>
      <c r="K6486" s="3" t="s">
        <v>150</v>
      </c>
    </row>
    <row r="6487" spans="1:11" ht="42" customHeight="1">
      <c r="A6487" s="2" t="s">
        <v>16669</v>
      </c>
      <c r="B6487" s="2" t="s">
        <v>16670</v>
      </c>
      <c r="C6487" s="2" t="s">
        <v>17</v>
      </c>
      <c r="D6487" s="2" t="s">
        <v>18</v>
      </c>
      <c r="E6487" s="4">
        <v>-32300</v>
      </c>
      <c r="F6487" s="3" t="s">
        <v>61</v>
      </c>
      <c r="G6487" s="3" t="s">
        <v>62</v>
      </c>
      <c r="H6487" s="2" t="s">
        <v>148</v>
      </c>
      <c r="I6487" s="2" t="s">
        <v>16672</v>
      </c>
      <c r="J6487" s="3" t="str">
        <f>HYPERLINK("https://www.boe.es/gazeta/dias/1811/07/25/pdfs/GEI-1811-97.pdf#page=5","Abrir facsímil")</f>
        <v>Abrir facsímil</v>
      </c>
      <c r="K6487" s="3" t="s">
        <v>150</v>
      </c>
    </row>
    <row r="6488" spans="1:11" ht="42" customHeight="1">
      <c r="A6488" s="2" t="s">
        <v>16673</v>
      </c>
      <c r="B6488" s="2" t="s">
        <v>16674</v>
      </c>
      <c r="C6488" s="2" t="s">
        <v>26</v>
      </c>
      <c r="D6488" s="2" t="s">
        <v>141</v>
      </c>
      <c r="E6488" s="4">
        <v>-32188</v>
      </c>
      <c r="F6488" s="3" t="s">
        <v>505</v>
      </c>
      <c r="G6488" s="3" t="s">
        <v>47</v>
      </c>
      <c r="H6488" s="2" t="s">
        <v>148</v>
      </c>
      <c r="I6488" s="2" t="s">
        <v>16675</v>
      </c>
      <c r="J6488" s="3" t="str">
        <f>HYPERLINK("https://www.boe.es/gazeta/dias/1811/11/14/pdfs/GEI-D-1811-149.pdf#page=3","Abrir facsímil")</f>
        <v>Abrir facsímil</v>
      </c>
      <c r="K6488" s="3" t="s">
        <v>150</v>
      </c>
    </row>
    <row r="6489" spans="1:11" ht="42" customHeight="1">
      <c r="A6489" s="2" t="s">
        <v>16676</v>
      </c>
      <c r="B6489" s="2" t="s">
        <v>16676</v>
      </c>
      <c r="C6489" s="2" t="s">
        <v>26</v>
      </c>
      <c r="D6489" s="2" t="s">
        <v>18</v>
      </c>
      <c r="E6489" s="4">
        <v>-32321</v>
      </c>
      <c r="F6489" s="3" t="s">
        <v>1829</v>
      </c>
      <c r="G6489" s="3" t="s">
        <v>47</v>
      </c>
      <c r="H6489" s="2" t="s">
        <v>148</v>
      </c>
      <c r="I6489" s="2" t="s">
        <v>16677</v>
      </c>
      <c r="J6489" s="3" t="str">
        <f>HYPERLINK("https://www.boe.es/gazeta/dias/1811/07/04/pdfs/GEI-1811-88.pdf#page=7","Abrir facsímil")</f>
        <v>Abrir facsímil</v>
      </c>
      <c r="K6489" s="3" t="s">
        <v>150</v>
      </c>
    </row>
    <row r="6490" spans="1:11" ht="42" customHeight="1">
      <c r="A6490" s="2" t="s">
        <v>16678</v>
      </c>
      <c r="B6490" s="2" t="s">
        <v>16678</v>
      </c>
      <c r="C6490" s="2" t="s">
        <v>17</v>
      </c>
      <c r="D6490" s="2" t="s">
        <v>18</v>
      </c>
      <c r="E6490" s="4">
        <v>-32337</v>
      </c>
      <c r="F6490" s="3" t="s">
        <v>5266</v>
      </c>
      <c r="G6490" s="3" t="s">
        <v>4049</v>
      </c>
      <c r="H6490" s="2" t="s">
        <v>148</v>
      </c>
      <c r="I6490" s="2" t="s">
        <v>16679</v>
      </c>
      <c r="J6490" s="3" t="str">
        <f>HYPERLINK("https://www.boe.es/gazeta/dias/1811/06/18/pdfs/GEI-1811-81.pdf#page=5","Abrir facsímil")</f>
        <v>Abrir facsímil</v>
      </c>
      <c r="K6490" s="3" t="s">
        <v>150</v>
      </c>
    </row>
    <row r="6491" spans="1:11" ht="42" customHeight="1">
      <c r="A6491" s="2" t="s">
        <v>16680</v>
      </c>
      <c r="B6491" s="2" t="s">
        <v>16681</v>
      </c>
      <c r="C6491" s="2" t="s">
        <v>26</v>
      </c>
      <c r="D6491" s="2" t="s">
        <v>105</v>
      </c>
      <c r="E6491" s="4">
        <v>-32280</v>
      </c>
      <c r="F6491" s="3" t="s">
        <v>142</v>
      </c>
      <c r="G6491" s="3" t="s">
        <v>47</v>
      </c>
      <c r="H6491" s="2" t="s">
        <v>148</v>
      </c>
      <c r="I6491" s="2" t="s">
        <v>16682</v>
      </c>
      <c r="J6491" s="3" t="str">
        <f>HYPERLINK("https://www.boe.es/gazeta/dias/1811/08/14/pdfs/GMD-C-1811-226.pdf#page=1","Abrir facsímil")</f>
        <v>Abrir facsímil</v>
      </c>
      <c r="K6491" s="3" t="s">
        <v>150</v>
      </c>
    </row>
    <row r="6492" spans="1:11" ht="42" customHeight="1">
      <c r="A6492" s="2" t="s">
        <v>16683</v>
      </c>
      <c r="B6492" s="2" t="s">
        <v>16684</v>
      </c>
      <c r="C6492" s="2" t="s">
        <v>17</v>
      </c>
      <c r="D6492" s="2" t="s">
        <v>18</v>
      </c>
      <c r="E6492" s="4">
        <v>-32314</v>
      </c>
      <c r="F6492" s="3" t="s">
        <v>570</v>
      </c>
      <c r="G6492" s="3" t="s">
        <v>7758</v>
      </c>
      <c r="H6492" s="2" t="s">
        <v>148</v>
      </c>
      <c r="I6492" s="2" t="s">
        <v>16685</v>
      </c>
      <c r="J6492" s="3" t="str">
        <f>HYPERLINK("https://www.boe.es/gazeta/dias/1811/07/11/pdfs/GEI-1811-91.pdf#page=5","Abrir facsímil")</f>
        <v>Abrir facsímil</v>
      </c>
      <c r="K6492" s="3" t="s">
        <v>150</v>
      </c>
    </row>
    <row r="6493" spans="1:11" ht="42" customHeight="1">
      <c r="A6493" s="2" t="s">
        <v>16686</v>
      </c>
      <c r="B6493" s="2" t="s">
        <v>16687</v>
      </c>
      <c r="C6493" s="2" t="s">
        <v>84</v>
      </c>
      <c r="D6493" s="2" t="s">
        <v>18</v>
      </c>
      <c r="E6493" s="4">
        <v>-32396</v>
      </c>
      <c r="F6493" s="3" t="s">
        <v>1267</v>
      </c>
      <c r="G6493" s="3" t="s">
        <v>382</v>
      </c>
      <c r="H6493" s="2" t="s">
        <v>148</v>
      </c>
      <c r="I6493" s="2" t="s">
        <v>16688</v>
      </c>
      <c r="J6493" s="3" t="str">
        <f>HYPERLINK("https://www.boe.es/gazeta/dias/1811/04/20/pdfs/GMD-1811-110.pdf#page=2","Abrir facsímil")</f>
        <v>Abrir facsímil</v>
      </c>
      <c r="K6493" s="3" t="s">
        <v>150</v>
      </c>
    </row>
    <row r="6494" spans="1:11" ht="42" customHeight="1">
      <c r="A6494" s="2" t="s">
        <v>16689</v>
      </c>
      <c r="B6494" s="2" t="s">
        <v>16689</v>
      </c>
      <c r="C6494" s="2" t="s">
        <v>26</v>
      </c>
      <c r="D6494" s="2" t="s">
        <v>204</v>
      </c>
      <c r="E6494" s="4">
        <v>-32314</v>
      </c>
      <c r="F6494" s="3" t="s">
        <v>2051</v>
      </c>
      <c r="G6494" s="3" t="s">
        <v>468</v>
      </c>
      <c r="H6494" s="2" t="s">
        <v>148</v>
      </c>
      <c r="I6494" s="2" t="s">
        <v>16690</v>
      </c>
      <c r="J6494" s="3" t="str">
        <f>HYPERLINK("https://www.boe.es/gazeta/dias/1811/07/11/pdfs/GMD-C-1811-192.pdf#page=1","Abrir facsímil")</f>
        <v>Abrir facsímil</v>
      </c>
      <c r="K6494" s="3" t="s">
        <v>150</v>
      </c>
    </row>
    <row r="6495" spans="1:11" ht="42" customHeight="1">
      <c r="A6495" s="2" t="s">
        <v>16689</v>
      </c>
      <c r="B6495" s="2" t="s">
        <v>16689</v>
      </c>
      <c r="C6495" s="2" t="s">
        <v>17</v>
      </c>
      <c r="D6495" s="2" t="s">
        <v>156</v>
      </c>
      <c r="E6495" s="4">
        <v>-32300</v>
      </c>
      <c r="F6495" s="3" t="s">
        <v>61</v>
      </c>
      <c r="G6495" s="3" t="s">
        <v>221</v>
      </c>
      <c r="H6495" s="2" t="s">
        <v>148</v>
      </c>
      <c r="I6495" s="2" t="s">
        <v>16691</v>
      </c>
      <c r="J6495" s="3" t="str">
        <f>HYPERLINK("https://www.boe.es/gazeta/dias/1811/07/25/pdfs/GEI-1811-97.pdf#page=4","Abrir facsímil")</f>
        <v>Abrir facsímil</v>
      </c>
      <c r="K6495" s="3" t="s">
        <v>150</v>
      </c>
    </row>
    <row r="6496" spans="1:11" ht="42" customHeight="1">
      <c r="A6496" s="2" t="s">
        <v>16692</v>
      </c>
      <c r="B6496" s="2" t="s">
        <v>16693</v>
      </c>
      <c r="C6496" s="2" t="s">
        <v>37</v>
      </c>
      <c r="D6496" s="2" t="s">
        <v>105</v>
      </c>
      <c r="E6496" s="4">
        <v>-32433</v>
      </c>
      <c r="F6496" s="3" t="s">
        <v>209</v>
      </c>
      <c r="G6496" s="3" t="s">
        <v>488</v>
      </c>
      <c r="H6496" s="2" t="s">
        <v>148</v>
      </c>
      <c r="I6496" s="2" t="s">
        <v>16694</v>
      </c>
      <c r="J6496" s="3" t="str">
        <f>HYPERLINK("https://www.boe.es/gazeta/dias/1811/03/14/pdfs/GMD-1811-73.pdf#page=2","Abrir facsímil")</f>
        <v>Abrir facsímil</v>
      </c>
      <c r="K6496" s="3" t="s">
        <v>150</v>
      </c>
    </row>
    <row r="6497" spans="1:11" ht="42" customHeight="1">
      <c r="A6497" s="2" t="s">
        <v>16695</v>
      </c>
      <c r="B6497" s="2" t="s">
        <v>16696</v>
      </c>
      <c r="C6497" s="2" t="s">
        <v>17</v>
      </c>
      <c r="D6497" s="2" t="s">
        <v>18</v>
      </c>
      <c r="E6497" s="4">
        <v>-32218</v>
      </c>
      <c r="F6497" s="3" t="s">
        <v>938</v>
      </c>
      <c r="G6497" s="3" t="s">
        <v>939</v>
      </c>
      <c r="H6497" s="2" t="s">
        <v>148</v>
      </c>
      <c r="I6497" s="2" t="s">
        <v>16697</v>
      </c>
      <c r="J6497" s="3" t="str">
        <f>HYPERLINK("https://www.boe.es/gazeta/dias/1811/10/15/pdfs/GEI-1811-133.pdf#page=8","Abrir facsímil")</f>
        <v>Abrir facsímil</v>
      </c>
      <c r="K6497" s="3" t="s">
        <v>150</v>
      </c>
    </row>
    <row r="6498" spans="1:11" ht="42" customHeight="1">
      <c r="A6498" s="2" t="s">
        <v>16698</v>
      </c>
      <c r="B6498" s="2" t="s">
        <v>16699</v>
      </c>
      <c r="C6498" s="2" t="s">
        <v>26</v>
      </c>
      <c r="D6498" s="2" t="s">
        <v>18</v>
      </c>
      <c r="E6498" s="4">
        <v>-32153</v>
      </c>
      <c r="F6498" s="3" t="s">
        <v>123</v>
      </c>
      <c r="G6498" s="3" t="s">
        <v>124</v>
      </c>
      <c r="H6498" s="2" t="s">
        <v>148</v>
      </c>
      <c r="I6498" s="2" t="s">
        <v>16700</v>
      </c>
      <c r="J6498" s="3" t="str">
        <f>HYPERLINK("https://www.boe.es/gazeta/dias/1811/12/19/pdfs/GMD-1811-353.pdf#page=6","Abrir facsímil")</f>
        <v>Abrir facsímil</v>
      </c>
      <c r="K6498" s="3" t="s">
        <v>150</v>
      </c>
    </row>
    <row r="6499" spans="1:11" ht="42" customHeight="1">
      <c r="A6499" s="2" t="s">
        <v>16701</v>
      </c>
      <c r="B6499" s="2" t="s">
        <v>16702</v>
      </c>
      <c r="C6499" s="2" t="s">
        <v>66</v>
      </c>
      <c r="D6499" s="2" t="s">
        <v>141</v>
      </c>
      <c r="E6499" s="4">
        <v>-32238</v>
      </c>
      <c r="F6499" s="3" t="s">
        <v>166</v>
      </c>
      <c r="G6499" s="3" t="s">
        <v>178</v>
      </c>
      <c r="H6499" s="2" t="s">
        <v>148</v>
      </c>
      <c r="I6499" s="2" t="s">
        <v>16703</v>
      </c>
      <c r="J6499" s="3" t="str">
        <f>HYPERLINK("https://www.boe.es/gazeta/dias/1811/09/25/pdfs/GMD-C-1811-268.pdf#page=4","Abrir facsímil")</f>
        <v>Abrir facsímil</v>
      </c>
      <c r="K6499" s="3" t="s">
        <v>150</v>
      </c>
    </row>
    <row r="6500" spans="1:11" ht="42" customHeight="1">
      <c r="A6500" s="2" t="s">
        <v>16701</v>
      </c>
      <c r="B6500" s="2" t="s">
        <v>16702</v>
      </c>
      <c r="C6500" s="2" t="s">
        <v>26</v>
      </c>
      <c r="D6500" s="2" t="s">
        <v>18</v>
      </c>
      <c r="E6500" s="4">
        <v>-32188</v>
      </c>
      <c r="F6500" s="3" t="s">
        <v>356</v>
      </c>
      <c r="G6500" s="3" t="s">
        <v>248</v>
      </c>
      <c r="H6500" s="2" t="s">
        <v>148</v>
      </c>
      <c r="I6500" s="2" t="s">
        <v>16704</v>
      </c>
      <c r="J6500" s="3" t="str">
        <f>HYPERLINK("https://www.boe.es/gazeta/dias/1811/11/14/pdfs/GMD-1811-318.pdf#page=5","Abrir facsímil")</f>
        <v>Abrir facsímil</v>
      </c>
      <c r="K6500" s="3" t="s">
        <v>150</v>
      </c>
    </row>
    <row r="6501" spans="1:11" ht="42" customHeight="1">
      <c r="A6501" s="2" t="s">
        <v>16705</v>
      </c>
      <c r="B6501" s="2" t="s">
        <v>16706</v>
      </c>
      <c r="C6501" s="2" t="s">
        <v>26</v>
      </c>
      <c r="D6501" s="2" t="s">
        <v>18</v>
      </c>
      <c r="E6501" s="4">
        <v>-32235</v>
      </c>
      <c r="F6501" s="3" t="s">
        <v>190</v>
      </c>
      <c r="G6501" s="3" t="s">
        <v>188</v>
      </c>
      <c r="H6501" s="2" t="s">
        <v>148</v>
      </c>
      <c r="I6501" s="2" t="s">
        <v>16707</v>
      </c>
      <c r="J6501" s="3" t="str">
        <f>HYPERLINK("https://www.boe.es/gazeta/dias/1811/09/28/pdfs/GEI-1811-125.pdf#page=8","Abrir facsímil")</f>
        <v>Abrir facsímil</v>
      </c>
      <c r="K6501" s="3" t="s">
        <v>150</v>
      </c>
    </row>
    <row r="6502" spans="1:11" ht="42" customHeight="1">
      <c r="A6502" s="2" t="s">
        <v>16708</v>
      </c>
      <c r="B6502" s="2" t="s">
        <v>16709</v>
      </c>
      <c r="C6502" s="2" t="s">
        <v>17</v>
      </c>
      <c r="D6502" s="2" t="s">
        <v>18</v>
      </c>
      <c r="E6502" s="4">
        <v>-32417</v>
      </c>
      <c r="F6502" s="3" t="s">
        <v>604</v>
      </c>
      <c r="G6502" s="3" t="s">
        <v>178</v>
      </c>
      <c r="H6502" s="2" t="s">
        <v>148</v>
      </c>
      <c r="I6502" s="2" t="s">
        <v>16710</v>
      </c>
      <c r="J6502" s="3" t="str">
        <f>HYPERLINK("https://www.boe.es/gazeta/dias/1811/03/30/pdfs/GMD-1811-89.pdf#page=3","Abrir facsímil")</f>
        <v>Abrir facsímil</v>
      </c>
      <c r="K6502" s="3" t="s">
        <v>150</v>
      </c>
    </row>
    <row r="6503" spans="1:11" ht="42" customHeight="1">
      <c r="A6503" s="2" t="s">
        <v>16711</v>
      </c>
      <c r="B6503" s="2" t="s">
        <v>16712</v>
      </c>
      <c r="C6503" s="2" t="s">
        <v>17</v>
      </c>
      <c r="D6503" s="2" t="s">
        <v>18</v>
      </c>
      <c r="E6503" s="4">
        <v>-32372</v>
      </c>
      <c r="F6503" s="3" t="s">
        <v>2690</v>
      </c>
      <c r="G6503" s="3" t="s">
        <v>586</v>
      </c>
      <c r="H6503" s="2" t="s">
        <v>21</v>
      </c>
      <c r="I6503" s="2" t="s">
        <v>16713</v>
      </c>
      <c r="J6503" s="3" t="str">
        <f>HYPERLINK("https://www.boe.es/gazeta/dias/1811/05/14/pdfs/GEI-1811-63.pdf#page=8","Abrir facsímil")</f>
        <v>Abrir facsímil</v>
      </c>
      <c r="K6503" s="3" t="s">
        <v>23</v>
      </c>
    </row>
    <row r="6504" spans="1:11" ht="42" customHeight="1">
      <c r="A6504" s="2" t="s">
        <v>16714</v>
      </c>
      <c r="B6504" s="2" t="s">
        <v>16715</v>
      </c>
      <c r="C6504" s="2" t="s">
        <v>17</v>
      </c>
      <c r="D6504" s="2" t="s">
        <v>18</v>
      </c>
      <c r="E6504" s="4">
        <v>-32216</v>
      </c>
      <c r="F6504" s="3" t="s">
        <v>2739</v>
      </c>
      <c r="G6504" s="3" t="s">
        <v>16716</v>
      </c>
      <c r="H6504" s="2" t="s">
        <v>148</v>
      </c>
      <c r="I6504" s="2" t="s">
        <v>16717</v>
      </c>
      <c r="J6504" s="3" t="str">
        <f>HYPERLINK("https://www.boe.es/gazeta/dias/1811/10/17/pdfs/GEI-1811-134.pdf#page=7","Abrir facsímil")</f>
        <v>Abrir facsímil</v>
      </c>
      <c r="K6504" s="3" t="s">
        <v>150</v>
      </c>
    </row>
    <row r="6505" spans="1:11" ht="42" customHeight="1">
      <c r="A6505" s="2" t="s">
        <v>16718</v>
      </c>
      <c r="B6505" s="2" t="s">
        <v>16719</v>
      </c>
      <c r="C6505" s="2" t="s">
        <v>26</v>
      </c>
      <c r="D6505" s="2" t="s">
        <v>204</v>
      </c>
      <c r="E6505" s="4">
        <v>-32489</v>
      </c>
      <c r="F6505" s="3" t="s">
        <v>722</v>
      </c>
      <c r="G6505" s="3" t="s">
        <v>468</v>
      </c>
      <c r="H6505" s="2" t="s">
        <v>148</v>
      </c>
      <c r="I6505" s="2" t="s">
        <v>16720</v>
      </c>
      <c r="J6505" s="3" t="str">
        <f>HYPERLINK("https://www.boe.es/gazeta/dias/1811/01/17/pdfs/GMD-1811-17.pdf#page=4","Abrir facsímil")</f>
        <v>Abrir facsímil</v>
      </c>
      <c r="K6505" s="3" t="s">
        <v>150</v>
      </c>
    </row>
    <row r="6506" spans="1:11" ht="42" customHeight="1">
      <c r="A6506" s="2" t="s">
        <v>16718</v>
      </c>
      <c r="B6506" s="2" t="s">
        <v>16719</v>
      </c>
      <c r="C6506" s="2" t="s">
        <v>26</v>
      </c>
      <c r="D6506" s="2" t="s">
        <v>141</v>
      </c>
      <c r="E6506" s="4">
        <v>-32238</v>
      </c>
      <c r="F6506" s="3" t="s">
        <v>166</v>
      </c>
      <c r="G6506" s="3" t="s">
        <v>178</v>
      </c>
      <c r="H6506" s="2" t="s">
        <v>148</v>
      </c>
      <c r="I6506" s="2" t="s">
        <v>16721</v>
      </c>
      <c r="J6506" s="3" t="str">
        <f>HYPERLINK("https://www.boe.es/gazeta/dias/1811/09/25/pdfs/GMD-C-1811-268.pdf#page=4","Abrir facsímil")</f>
        <v>Abrir facsímil</v>
      </c>
      <c r="K6506" s="3" t="s">
        <v>150</v>
      </c>
    </row>
    <row r="6507" spans="1:11" ht="42" customHeight="1">
      <c r="A6507" s="2" t="s">
        <v>16722</v>
      </c>
      <c r="B6507" s="2" t="s">
        <v>16723</v>
      </c>
      <c r="C6507" s="2" t="s">
        <v>26</v>
      </c>
      <c r="D6507" s="2" t="s">
        <v>18</v>
      </c>
      <c r="E6507" s="4">
        <v>-32393</v>
      </c>
      <c r="F6507" s="3" t="s">
        <v>32</v>
      </c>
      <c r="G6507" s="3" t="s">
        <v>360</v>
      </c>
      <c r="H6507" s="2" t="s">
        <v>148</v>
      </c>
      <c r="I6507" s="2" t="s">
        <v>16724</v>
      </c>
      <c r="J6507" s="3" t="str">
        <f>HYPERLINK("https://www.boe.es/gazeta/dias/1811/04/23/pdfs/GEI-1811-54.pdf#page=7","Abrir facsímil")</f>
        <v>Abrir facsímil</v>
      </c>
      <c r="K6507" s="3" t="s">
        <v>150</v>
      </c>
    </row>
    <row r="6508" spans="1:11" ht="42" customHeight="1">
      <c r="A6508" s="2" t="s">
        <v>16725</v>
      </c>
      <c r="B6508" s="2" t="s">
        <v>16725</v>
      </c>
      <c r="C6508" s="2" t="s">
        <v>26</v>
      </c>
      <c r="D6508" s="2" t="s">
        <v>18</v>
      </c>
      <c r="E6508" s="4">
        <v>-32177</v>
      </c>
      <c r="F6508" s="3" t="s">
        <v>402</v>
      </c>
      <c r="G6508" s="3" t="s">
        <v>162</v>
      </c>
      <c r="H6508" s="2" t="s">
        <v>148</v>
      </c>
      <c r="I6508" s="2" t="s">
        <v>16726</v>
      </c>
      <c r="J6508" s="3" t="str">
        <f>HYPERLINK("https://www.boe.es/gazeta/dias/1811/11/25/pdfs/GMD-1811-329.pdf#page=1","Abrir facsímil")</f>
        <v>Abrir facsímil</v>
      </c>
      <c r="K6508" s="3" t="s">
        <v>150</v>
      </c>
    </row>
    <row r="6509" spans="1:11" ht="42" customHeight="1">
      <c r="A6509" s="2" t="s">
        <v>16727</v>
      </c>
      <c r="B6509" s="2" t="s">
        <v>16728</v>
      </c>
      <c r="C6509" s="2" t="s">
        <v>26</v>
      </c>
      <c r="D6509" s="2" t="s">
        <v>18</v>
      </c>
      <c r="E6509" s="4">
        <v>-32396</v>
      </c>
      <c r="F6509" s="3" t="s">
        <v>1267</v>
      </c>
      <c r="G6509" s="3" t="s">
        <v>2384</v>
      </c>
      <c r="H6509" s="2" t="s">
        <v>148</v>
      </c>
      <c r="I6509" s="2" t="s">
        <v>16729</v>
      </c>
      <c r="J6509" s="3" t="str">
        <f>HYPERLINK("https://www.boe.es/gazeta/dias/1811/04/20/pdfs/GMD-1811-110.pdf#page=4","Abrir facsímil")</f>
        <v>Abrir facsímil</v>
      </c>
      <c r="K6509" s="3" t="s">
        <v>150</v>
      </c>
    </row>
    <row r="6510" spans="1:11" ht="42" customHeight="1">
      <c r="A6510" s="2" t="s">
        <v>16730</v>
      </c>
      <c r="B6510" s="2" t="s">
        <v>16731</v>
      </c>
      <c r="C6510" s="2" t="s">
        <v>26</v>
      </c>
      <c r="D6510" s="2" t="s">
        <v>18</v>
      </c>
      <c r="E6510" s="4">
        <v>-32480</v>
      </c>
      <c r="F6510" s="3" t="s">
        <v>3061</v>
      </c>
      <c r="G6510" s="3" t="s">
        <v>47</v>
      </c>
      <c r="H6510" s="2" t="s">
        <v>148</v>
      </c>
      <c r="I6510" s="2" t="s">
        <v>16732</v>
      </c>
      <c r="J6510" s="3" t="str">
        <f>HYPERLINK("https://www.boe.es/gazeta/dias/1811/01/26/pdfs/GEI-1811-12.pdf#page=1","Abrir facsímil")</f>
        <v>Abrir facsímil</v>
      </c>
      <c r="K6510" s="3" t="s">
        <v>150</v>
      </c>
    </row>
    <row r="6511" spans="1:11" ht="42" customHeight="1">
      <c r="A6511" s="2" t="s">
        <v>16733</v>
      </c>
      <c r="B6511" s="2" t="s">
        <v>16734</v>
      </c>
      <c r="C6511" s="2" t="s">
        <v>17</v>
      </c>
      <c r="D6511" s="2" t="s">
        <v>18</v>
      </c>
      <c r="E6511" s="4">
        <v>-32368</v>
      </c>
      <c r="F6511" s="3" t="s">
        <v>2511</v>
      </c>
      <c r="G6511" s="3" t="s">
        <v>134</v>
      </c>
      <c r="H6511" s="2" t="s">
        <v>148</v>
      </c>
      <c r="I6511" s="2" t="s">
        <v>16735</v>
      </c>
      <c r="J6511" s="3" t="str">
        <f>HYPERLINK("https://www.boe.es/gazeta/dias/1811/05/18/pdfs/GEI-1811-65.pdf#page=4","Abrir facsímil")</f>
        <v>Abrir facsímil</v>
      </c>
      <c r="K6511" s="3" t="s">
        <v>150</v>
      </c>
    </row>
    <row r="6512" spans="1:11" ht="42" customHeight="1">
      <c r="A6512" s="2" t="s">
        <v>16736</v>
      </c>
      <c r="B6512" s="2" t="s">
        <v>16737</v>
      </c>
      <c r="C6512" s="2" t="s">
        <v>26</v>
      </c>
      <c r="D6512" s="2" t="s">
        <v>18</v>
      </c>
      <c r="E6512" s="4">
        <v>-32172</v>
      </c>
      <c r="F6512" s="3" t="s">
        <v>300</v>
      </c>
      <c r="G6512" s="3" t="s">
        <v>301</v>
      </c>
      <c r="H6512" s="2" t="s">
        <v>148</v>
      </c>
      <c r="I6512" s="2" t="s">
        <v>16738</v>
      </c>
      <c r="J6512" s="3" t="str">
        <f>HYPERLINK("https://www.boe.es/gazeta/dias/1811/11/30/pdfs/GMD-1811-334.pdf#page=4","Abrir facsímil")</f>
        <v>Abrir facsímil</v>
      </c>
      <c r="K6512" s="3" t="s">
        <v>150</v>
      </c>
    </row>
    <row r="6513" spans="1:11" ht="42" customHeight="1">
      <c r="A6513" s="2" t="s">
        <v>16739</v>
      </c>
      <c r="B6513" s="2" t="s">
        <v>16740</v>
      </c>
      <c r="C6513" s="2" t="s">
        <v>17</v>
      </c>
      <c r="D6513" s="2" t="s">
        <v>18</v>
      </c>
      <c r="E6513" s="4">
        <v>-32284</v>
      </c>
      <c r="F6513" s="3" t="s">
        <v>170</v>
      </c>
      <c r="G6513" s="3" t="s">
        <v>1388</v>
      </c>
      <c r="H6513" s="2" t="s">
        <v>148</v>
      </c>
      <c r="I6513" s="2" t="s">
        <v>16741</v>
      </c>
      <c r="J6513" s="3" t="str">
        <f>HYPERLINK("https://www.boe.es/gazeta/dias/1811/08/10/pdfs/GEI-1811-104.pdf#page=8","Abrir facsímil")</f>
        <v>Abrir facsímil</v>
      </c>
      <c r="K6513" s="3" t="s">
        <v>150</v>
      </c>
    </row>
    <row r="6514" spans="1:11" ht="42" customHeight="1">
      <c r="A6514" s="2" t="s">
        <v>16742</v>
      </c>
      <c r="B6514" s="2" t="s">
        <v>16743</v>
      </c>
      <c r="C6514" s="2" t="s">
        <v>26</v>
      </c>
      <c r="D6514" s="2" t="s">
        <v>18</v>
      </c>
      <c r="E6514" s="4">
        <v>-32153</v>
      </c>
      <c r="F6514" s="3" t="s">
        <v>123</v>
      </c>
      <c r="G6514" s="3" t="s">
        <v>1067</v>
      </c>
      <c r="H6514" s="2" t="s">
        <v>148</v>
      </c>
      <c r="I6514" s="2" t="s">
        <v>16744</v>
      </c>
      <c r="J6514" s="3" t="str">
        <f>HYPERLINK("https://www.boe.es/gazeta/dias/1811/12/19/pdfs/GMD-1811-353.pdf#page=5","Abrir facsímil")</f>
        <v>Abrir facsímil</v>
      </c>
      <c r="K6514" s="3" t="s">
        <v>150</v>
      </c>
    </row>
    <row r="6515" spans="1:11" ht="42" customHeight="1">
      <c r="A6515" s="2" t="s">
        <v>16745</v>
      </c>
      <c r="B6515" s="2" t="s">
        <v>16746</v>
      </c>
      <c r="C6515" s="2" t="s">
        <v>122</v>
      </c>
      <c r="D6515" s="2" t="s">
        <v>18</v>
      </c>
      <c r="E6515" s="4">
        <v>-32373</v>
      </c>
      <c r="F6515" s="3" t="s">
        <v>271</v>
      </c>
      <c r="G6515" s="3" t="s">
        <v>162</v>
      </c>
      <c r="H6515" s="2" t="s">
        <v>148</v>
      </c>
      <c r="I6515" s="2" t="s">
        <v>16747</v>
      </c>
      <c r="J6515" s="3" t="str">
        <f>HYPERLINK("https://www.boe.es/gazeta/dias/1811/05/13/pdfs/GMD-1811-133.pdf#page=4","Abrir facsímil")</f>
        <v>Abrir facsímil</v>
      </c>
      <c r="K6515" s="3" t="s">
        <v>150</v>
      </c>
    </row>
    <row r="6516" spans="1:11" ht="42" customHeight="1">
      <c r="A6516" s="2" t="s">
        <v>16748</v>
      </c>
      <c r="B6516" s="2" t="s">
        <v>16749</v>
      </c>
      <c r="C6516" s="2" t="s">
        <v>17</v>
      </c>
      <c r="D6516" s="2" t="s">
        <v>156</v>
      </c>
      <c r="E6516" s="4">
        <v>-32249</v>
      </c>
      <c r="F6516" s="3" t="s">
        <v>824</v>
      </c>
      <c r="G6516" s="3" t="s">
        <v>900</v>
      </c>
      <c r="H6516" s="2" t="s">
        <v>148</v>
      </c>
      <c r="I6516" s="2" t="s">
        <v>16750</v>
      </c>
      <c r="J6516" s="3" t="str">
        <f>HYPERLINK("https://www.boe.es/gazeta/dias/1811/09/14/pdfs/GEI-1811-119.pdf#page=8","Abrir facsímil")</f>
        <v>Abrir facsímil</v>
      </c>
      <c r="K6516" s="3" t="s">
        <v>150</v>
      </c>
    </row>
    <row r="6517" spans="1:11" ht="42" customHeight="1">
      <c r="A6517" s="2" t="s">
        <v>16751</v>
      </c>
      <c r="B6517" s="2" t="s">
        <v>16752</v>
      </c>
      <c r="C6517" s="2" t="s">
        <v>37</v>
      </c>
      <c r="D6517" s="2" t="s">
        <v>156</v>
      </c>
      <c r="E6517" s="4">
        <v>-32204</v>
      </c>
      <c r="F6517" s="3" t="s">
        <v>177</v>
      </c>
      <c r="G6517" s="3" t="s">
        <v>178</v>
      </c>
      <c r="H6517" s="2" t="s">
        <v>148</v>
      </c>
      <c r="I6517" s="2" t="s">
        <v>16753</v>
      </c>
      <c r="J6517" s="3" t="str">
        <f>HYPERLINK("https://www.boe.es/gazeta/dias/1811/10/29/pdfs/GMD-1811-302.pdf#page=4","Abrir facsímil")</f>
        <v>Abrir facsímil</v>
      </c>
      <c r="K6517" s="3" t="s">
        <v>150</v>
      </c>
    </row>
    <row r="6518" spans="1:11" ht="42" customHeight="1">
      <c r="A6518" s="2" t="s">
        <v>16754</v>
      </c>
      <c r="B6518" s="2" t="s">
        <v>16755</v>
      </c>
      <c r="C6518" s="2" t="s">
        <v>26</v>
      </c>
      <c r="D6518" s="2" t="s">
        <v>18</v>
      </c>
      <c r="E6518" s="4">
        <v>-32242</v>
      </c>
      <c r="F6518" s="3" t="s">
        <v>1295</v>
      </c>
      <c r="G6518" s="3" t="s">
        <v>1296</v>
      </c>
      <c r="H6518" s="2" t="s">
        <v>148</v>
      </c>
      <c r="I6518" s="2" t="s">
        <v>16756</v>
      </c>
      <c r="J6518" s="3" t="str">
        <f>HYPERLINK("https://www.boe.es/gazeta/dias/1811/09/21/pdfs/GEI-1811-122.pdf#page=8","Abrir facsímil")</f>
        <v>Abrir facsímil</v>
      </c>
      <c r="K6518" s="3" t="s">
        <v>150</v>
      </c>
    </row>
    <row r="6519" spans="1:11" ht="42" customHeight="1">
      <c r="A6519" s="2" t="s">
        <v>16757</v>
      </c>
      <c r="B6519" s="2" t="s">
        <v>16758</v>
      </c>
      <c r="C6519" s="2" t="s">
        <v>26</v>
      </c>
      <c r="D6519" s="2" t="s">
        <v>18</v>
      </c>
      <c r="E6519" s="4">
        <v>-32505</v>
      </c>
      <c r="F6519" s="3" t="s">
        <v>475</v>
      </c>
      <c r="G6519" s="3" t="s">
        <v>755</v>
      </c>
      <c r="H6519" s="2" t="s">
        <v>148</v>
      </c>
      <c r="I6519" s="2" t="s">
        <v>16759</v>
      </c>
      <c r="J6519" s="3" t="str">
        <f>HYPERLINK("https://www.boe.es/gazeta/dias/1811/01/01/pdfs/GEI-1811-1.pdf#page=8","Abrir facsímil")</f>
        <v>Abrir facsímil</v>
      </c>
      <c r="K6519" s="3" t="s">
        <v>150</v>
      </c>
    </row>
    <row r="6520" spans="1:11" ht="42" customHeight="1">
      <c r="A6520" s="2" t="s">
        <v>16760</v>
      </c>
      <c r="B6520" s="2" t="s">
        <v>16761</v>
      </c>
      <c r="C6520" s="2" t="s">
        <v>17</v>
      </c>
      <c r="D6520" s="2" t="s">
        <v>156</v>
      </c>
      <c r="E6520" s="4">
        <v>-32171</v>
      </c>
      <c r="F6520" s="3" t="s">
        <v>157</v>
      </c>
      <c r="G6520" s="3" t="s">
        <v>44</v>
      </c>
      <c r="H6520" s="2" t="s">
        <v>148</v>
      </c>
      <c r="I6520" s="2" t="s">
        <v>16762</v>
      </c>
      <c r="J6520" s="3" t="str">
        <f>HYPERLINK("https://www.boe.es/gazeta/dias/1811/12/01/pdfs/GMD-1811-335.pdf#page=4","Abrir facsímil")</f>
        <v>Abrir facsímil</v>
      </c>
      <c r="K6520" s="3" t="s">
        <v>150</v>
      </c>
    </row>
    <row r="6521" spans="1:11" ht="42" customHeight="1">
      <c r="A6521" s="2" t="s">
        <v>16763</v>
      </c>
      <c r="B6521" s="2" t="s">
        <v>16764</v>
      </c>
      <c r="C6521" s="2" t="s">
        <v>17</v>
      </c>
      <c r="D6521" s="2" t="s">
        <v>156</v>
      </c>
      <c r="E6521" s="4">
        <v>-32152</v>
      </c>
      <c r="F6521" s="3" t="s">
        <v>1673</v>
      </c>
      <c r="G6521" s="3" t="s">
        <v>183</v>
      </c>
      <c r="H6521" s="2" t="s">
        <v>148</v>
      </c>
      <c r="I6521" s="2" t="s">
        <v>16765</v>
      </c>
      <c r="J6521" s="3" t="str">
        <f>HYPERLINK("https://www.boe.es/gazeta/dias/1811/12/20/pdfs/GMD-1811-354.pdf#page=4","Abrir facsímil")</f>
        <v>Abrir facsímil</v>
      </c>
      <c r="K6521" s="3" t="s">
        <v>150</v>
      </c>
    </row>
    <row r="6522" spans="1:11" ht="42" customHeight="1">
      <c r="A6522" s="2" t="s">
        <v>16766</v>
      </c>
      <c r="B6522" s="2" t="s">
        <v>16767</v>
      </c>
      <c r="C6522" s="2" t="s">
        <v>26</v>
      </c>
      <c r="D6522" s="2" t="s">
        <v>141</v>
      </c>
      <c r="E6522" s="4">
        <v>-32249</v>
      </c>
      <c r="F6522" s="3" t="s">
        <v>743</v>
      </c>
      <c r="G6522" s="3" t="s">
        <v>1021</v>
      </c>
      <c r="H6522" s="2" t="s">
        <v>148</v>
      </c>
      <c r="I6522" s="2" t="s">
        <v>16768</v>
      </c>
      <c r="J6522" s="3" t="str">
        <f>HYPERLINK("https://www.boe.es/gazeta/dias/1811/09/14/pdfs/GMD-C-1811-257.pdf#page=2","Abrir facsímil")</f>
        <v>Abrir facsímil</v>
      </c>
      <c r="K6522" s="3" t="s">
        <v>150</v>
      </c>
    </row>
    <row r="6523" spans="1:11" ht="42" customHeight="1">
      <c r="A6523" s="2" t="s">
        <v>16769</v>
      </c>
      <c r="B6523" s="2" t="s">
        <v>16770</v>
      </c>
      <c r="C6523" s="2" t="s">
        <v>37</v>
      </c>
      <c r="D6523" s="2" t="s">
        <v>18</v>
      </c>
      <c r="E6523" s="4">
        <v>-32433</v>
      </c>
      <c r="F6523" s="3" t="s">
        <v>209</v>
      </c>
      <c r="G6523" s="3" t="s">
        <v>488</v>
      </c>
      <c r="H6523" s="2" t="s">
        <v>148</v>
      </c>
      <c r="I6523" s="2" t="s">
        <v>16771</v>
      </c>
      <c r="J6523" s="3" t="str">
        <f>HYPERLINK("https://www.boe.es/gazeta/dias/1811/03/14/pdfs/GMD-1811-73.pdf#page=2","Abrir facsímil")</f>
        <v>Abrir facsímil</v>
      </c>
      <c r="K6523" s="3" t="s">
        <v>150</v>
      </c>
    </row>
    <row r="6524" spans="1:11" ht="42" customHeight="1">
      <c r="A6524" s="2" t="s">
        <v>16772</v>
      </c>
      <c r="B6524" s="2" t="s">
        <v>16773</v>
      </c>
      <c r="C6524" s="2" t="s">
        <v>37</v>
      </c>
      <c r="D6524" s="2" t="s">
        <v>141</v>
      </c>
      <c r="E6524" s="4">
        <v>-32188</v>
      </c>
      <c r="F6524" s="3" t="s">
        <v>505</v>
      </c>
      <c r="G6524" s="3" t="s">
        <v>47</v>
      </c>
      <c r="H6524" s="2" t="s">
        <v>148</v>
      </c>
      <c r="I6524" s="2" t="s">
        <v>16774</v>
      </c>
      <c r="J6524" s="3" t="str">
        <f>HYPERLINK("https://www.boe.es/gazeta/dias/1811/11/14/pdfs/GEI-D-1811-149.pdf#page=3","Abrir facsímil")</f>
        <v>Abrir facsímil</v>
      </c>
      <c r="K6524" s="3" t="s">
        <v>150</v>
      </c>
    </row>
    <row r="6525" spans="1:11" ht="42" customHeight="1">
      <c r="A6525" s="2" t="s">
        <v>16775</v>
      </c>
      <c r="B6525" s="2" t="s">
        <v>16776</v>
      </c>
      <c r="C6525" s="2" t="s">
        <v>26</v>
      </c>
      <c r="D6525" s="2" t="s">
        <v>18</v>
      </c>
      <c r="E6525" s="4">
        <v>-32141</v>
      </c>
      <c r="F6525" s="3" t="s">
        <v>327</v>
      </c>
      <c r="G6525" s="3" t="s">
        <v>115</v>
      </c>
      <c r="H6525" s="2" t="s">
        <v>148</v>
      </c>
      <c r="I6525" s="2" t="s">
        <v>16777</v>
      </c>
      <c r="J6525" s="3" t="str">
        <f>HYPERLINK("https://www.boe.es/gazeta/dias/1811/12/31/pdfs/GMD-1811-365.pdf#page=3","Abrir facsímil")</f>
        <v>Abrir facsímil</v>
      </c>
      <c r="K6525" s="3" t="s">
        <v>150</v>
      </c>
    </row>
    <row r="6526" spans="1:11" ht="42" customHeight="1">
      <c r="A6526" s="2" t="s">
        <v>16778</v>
      </c>
      <c r="B6526" s="2" t="s">
        <v>16779</v>
      </c>
      <c r="C6526" s="2" t="s">
        <v>26</v>
      </c>
      <c r="D6526" s="2" t="s">
        <v>18</v>
      </c>
      <c r="E6526" s="4">
        <v>-32172</v>
      </c>
      <c r="F6526" s="3" t="s">
        <v>300</v>
      </c>
      <c r="G6526" s="3" t="s">
        <v>301</v>
      </c>
      <c r="H6526" s="2" t="s">
        <v>148</v>
      </c>
      <c r="I6526" s="2" t="s">
        <v>16780</v>
      </c>
      <c r="J6526" s="3" t="str">
        <f>HYPERLINK("https://www.boe.es/gazeta/dias/1811/11/30/pdfs/GMD-1811-334.pdf#page=4","Abrir facsímil")</f>
        <v>Abrir facsímil</v>
      </c>
      <c r="K6526" s="3" t="s">
        <v>150</v>
      </c>
    </row>
    <row r="6527" spans="1:11" ht="42" customHeight="1">
      <c r="A6527" s="2" t="s">
        <v>16781</v>
      </c>
      <c r="B6527" s="2" t="s">
        <v>16782</v>
      </c>
      <c r="C6527" s="2" t="s">
        <v>26</v>
      </c>
      <c r="D6527" s="2" t="s">
        <v>18</v>
      </c>
      <c r="E6527" s="4">
        <v>-32145</v>
      </c>
      <c r="F6527" s="3" t="s">
        <v>417</v>
      </c>
      <c r="G6527" s="3" t="s">
        <v>418</v>
      </c>
      <c r="H6527" s="2" t="s">
        <v>148</v>
      </c>
      <c r="I6527" s="2" t="s">
        <v>16783</v>
      </c>
      <c r="J6527" s="3" t="str">
        <f>HYPERLINK("https://www.boe.es/gazeta/dias/1811/12/27/pdfs/GMD-1811-361.pdf#page=4","Abrir facsímil")</f>
        <v>Abrir facsímil</v>
      </c>
      <c r="K6527" s="3" t="s">
        <v>150</v>
      </c>
    </row>
    <row r="6528" spans="1:11" ht="42" customHeight="1">
      <c r="A6528" s="2" t="s">
        <v>16784</v>
      </c>
      <c r="B6528" s="2" t="s">
        <v>16785</v>
      </c>
      <c r="C6528" s="2" t="s">
        <v>26</v>
      </c>
      <c r="D6528" s="2" t="s">
        <v>18</v>
      </c>
      <c r="E6528" s="4">
        <v>-32421</v>
      </c>
      <c r="F6528" s="3" t="s">
        <v>79</v>
      </c>
      <c r="G6528" s="3" t="s">
        <v>488</v>
      </c>
      <c r="H6528" s="2" t="s">
        <v>148</v>
      </c>
      <c r="I6528" s="2" t="s">
        <v>16786</v>
      </c>
      <c r="J6528" s="3" t="str">
        <f>HYPERLINK("https://www.boe.es/gazeta/dias/1811/03/26/pdfs/GEI-1811-42.pdf#page=8","Abrir facsímil")</f>
        <v>Abrir facsímil</v>
      </c>
      <c r="K6528" s="3" t="s">
        <v>150</v>
      </c>
    </row>
    <row r="6529" spans="1:11" ht="42" customHeight="1">
      <c r="A6529" s="2" t="s">
        <v>16784</v>
      </c>
      <c r="B6529" s="2" t="s">
        <v>16785</v>
      </c>
      <c r="C6529" s="2" t="s">
        <v>26</v>
      </c>
      <c r="D6529" s="2" t="s">
        <v>18</v>
      </c>
      <c r="E6529" s="4">
        <v>-32340</v>
      </c>
      <c r="F6529" s="3" t="s">
        <v>565</v>
      </c>
      <c r="G6529" s="3" t="s">
        <v>91</v>
      </c>
      <c r="H6529" s="2" t="s">
        <v>148</v>
      </c>
      <c r="I6529" s="2" t="s">
        <v>16787</v>
      </c>
      <c r="J6529" s="3" t="str">
        <f>HYPERLINK("https://www.boe.es/gazeta/dias/1811/06/15/pdfs/GEI-1811-80.pdf#page=8","Abrir facsímil")</f>
        <v>Abrir facsímil</v>
      </c>
      <c r="K6529" s="3" t="s">
        <v>150</v>
      </c>
    </row>
    <row r="6530" spans="1:11" ht="42" customHeight="1">
      <c r="A6530" s="2" t="s">
        <v>16788</v>
      </c>
      <c r="B6530" s="2" t="s">
        <v>16789</v>
      </c>
      <c r="C6530" s="2" t="s">
        <v>17</v>
      </c>
      <c r="D6530" s="2" t="s">
        <v>156</v>
      </c>
      <c r="E6530" s="4">
        <v>-32463</v>
      </c>
      <c r="F6530" s="3" t="s">
        <v>734</v>
      </c>
      <c r="G6530" s="3" t="s">
        <v>735</v>
      </c>
      <c r="H6530" s="2" t="s">
        <v>148</v>
      </c>
      <c r="I6530" s="2" t="s">
        <v>16790</v>
      </c>
      <c r="J6530" s="3" t="str">
        <f>HYPERLINK("https://www.boe.es/gazeta/dias/1811/02/12/pdfs/GEI-1811-19.pdf#page=8","Abrir facsímil")</f>
        <v>Abrir facsímil</v>
      </c>
      <c r="K6530" s="3" t="s">
        <v>150</v>
      </c>
    </row>
    <row r="6531" spans="1:11" ht="42" customHeight="1">
      <c r="A6531" s="2" t="s">
        <v>16791</v>
      </c>
      <c r="B6531" s="2" t="s">
        <v>16792</v>
      </c>
      <c r="C6531" s="2" t="s">
        <v>104</v>
      </c>
      <c r="D6531" s="2" t="s">
        <v>141</v>
      </c>
      <c r="E6531" s="4">
        <v>-32238</v>
      </c>
      <c r="F6531" s="3" t="s">
        <v>166</v>
      </c>
      <c r="G6531" s="3" t="s">
        <v>178</v>
      </c>
      <c r="H6531" s="2" t="s">
        <v>148</v>
      </c>
      <c r="I6531" s="2" t="s">
        <v>16793</v>
      </c>
      <c r="J6531" s="3" t="str">
        <f>HYPERLINK("https://www.boe.es/gazeta/dias/1811/09/25/pdfs/GMD-C-1811-268.pdf#page=4","Abrir facsímil")</f>
        <v>Abrir facsímil</v>
      </c>
      <c r="K6531" s="3" t="s">
        <v>150</v>
      </c>
    </row>
    <row r="6532" spans="1:11" ht="42" customHeight="1">
      <c r="A6532" s="2" t="s">
        <v>16791</v>
      </c>
      <c r="B6532" s="2" t="s">
        <v>16792</v>
      </c>
      <c r="C6532" s="2" t="s">
        <v>367</v>
      </c>
      <c r="D6532" s="2" t="s">
        <v>18</v>
      </c>
      <c r="E6532" s="4">
        <v>-32153</v>
      </c>
      <c r="F6532" s="3" t="s">
        <v>123</v>
      </c>
      <c r="G6532" s="3" t="s">
        <v>1067</v>
      </c>
      <c r="H6532" s="2" t="s">
        <v>148</v>
      </c>
      <c r="I6532" s="2" t="s">
        <v>16794</v>
      </c>
      <c r="J6532" s="3" t="str">
        <f>HYPERLINK("https://www.boe.es/gazeta/dias/1811/12/19/pdfs/GMD-1811-353.pdf#page=5","Abrir facsímil")</f>
        <v>Abrir facsímil</v>
      </c>
      <c r="K6532" s="3" t="s">
        <v>150</v>
      </c>
    </row>
    <row r="6533" spans="1:11" ht="42" customHeight="1">
      <c r="A6533" s="2" t="s">
        <v>16795</v>
      </c>
      <c r="B6533" s="2" t="s">
        <v>16795</v>
      </c>
      <c r="C6533" s="2" t="s">
        <v>17</v>
      </c>
      <c r="D6533" s="2" t="s">
        <v>204</v>
      </c>
      <c r="E6533" s="4">
        <v>-32220</v>
      </c>
      <c r="F6533" s="3" t="s">
        <v>2852</v>
      </c>
      <c r="G6533" s="3" t="s">
        <v>16796</v>
      </c>
      <c r="H6533" s="2" t="s">
        <v>148</v>
      </c>
      <c r="I6533" s="2" t="s">
        <v>16797</v>
      </c>
      <c r="J6533" s="3" t="str">
        <f>HYPERLINK("https://www.boe.es/gazeta/dias/1811/10/13/pdfs/GMD-1811-286.pdf#page=1","Abrir facsímil")</f>
        <v>Abrir facsímil</v>
      </c>
      <c r="K6533" s="3" t="s">
        <v>150</v>
      </c>
    </row>
    <row r="6534" spans="1:11" ht="42" customHeight="1">
      <c r="A6534" s="2" t="s">
        <v>16798</v>
      </c>
      <c r="B6534" s="2" t="s">
        <v>16798</v>
      </c>
      <c r="C6534" s="2" t="s">
        <v>17</v>
      </c>
      <c r="D6534" s="2" t="s">
        <v>18</v>
      </c>
      <c r="E6534" s="4">
        <v>-32340</v>
      </c>
      <c r="F6534" s="3" t="s">
        <v>565</v>
      </c>
      <c r="G6534" s="3" t="s">
        <v>39</v>
      </c>
      <c r="H6534" s="2" t="s">
        <v>148</v>
      </c>
      <c r="I6534" s="2" t="s">
        <v>16799</v>
      </c>
      <c r="J6534" s="3" t="str">
        <f>HYPERLINK("https://www.boe.es/gazeta/dias/1811/06/15/pdfs/GEI-1811-80.pdf#page=1","Abrir facsímil")</f>
        <v>Abrir facsímil</v>
      </c>
      <c r="K6534" s="3" t="s">
        <v>150</v>
      </c>
    </row>
    <row r="6535" spans="1:11" ht="42" customHeight="1">
      <c r="A6535" s="2" t="s">
        <v>16800</v>
      </c>
      <c r="B6535" s="2" t="s">
        <v>16800</v>
      </c>
      <c r="C6535" s="2" t="s">
        <v>17</v>
      </c>
      <c r="D6535" s="2" t="s">
        <v>156</v>
      </c>
      <c r="E6535" s="4">
        <v>-32211</v>
      </c>
      <c r="F6535" s="3" t="s">
        <v>1230</v>
      </c>
      <c r="G6535" s="3" t="s">
        <v>4628</v>
      </c>
      <c r="H6535" s="2" t="s">
        <v>148</v>
      </c>
      <c r="I6535" s="2" t="s">
        <v>16801</v>
      </c>
      <c r="J6535" s="3" t="str">
        <f>HYPERLINK("https://www.boe.es/gazeta/dias/1811/10/22/pdfs/GMD-1811-295.pdf#page=1","Abrir facsímil")</f>
        <v>Abrir facsímil</v>
      </c>
      <c r="K6535" s="3" t="s">
        <v>150</v>
      </c>
    </row>
    <row r="6536" spans="1:11" ht="42" customHeight="1">
      <c r="A6536" s="2" t="s">
        <v>16802</v>
      </c>
      <c r="B6536" s="2" t="s">
        <v>16802</v>
      </c>
      <c r="C6536" s="2" t="s">
        <v>17</v>
      </c>
      <c r="D6536" s="2" t="s">
        <v>156</v>
      </c>
      <c r="E6536" s="4">
        <v>-32503</v>
      </c>
      <c r="F6536" s="3" t="s">
        <v>10608</v>
      </c>
      <c r="G6536" s="3" t="s">
        <v>162</v>
      </c>
      <c r="H6536" s="2" t="s">
        <v>148</v>
      </c>
      <c r="I6536" s="2" t="s">
        <v>16803</v>
      </c>
      <c r="J6536" s="3" t="str">
        <f>HYPERLINK("https://www.boe.es/gazeta/dias/1811/01/03/pdfs/GMD-1811-3.pdf#page=1","Abrir facsímil")</f>
        <v>Abrir facsímil</v>
      </c>
      <c r="K6536" s="3" t="s">
        <v>150</v>
      </c>
    </row>
    <row r="6537" spans="1:11" ht="42" customHeight="1">
      <c r="A6537" s="2" t="s">
        <v>16804</v>
      </c>
      <c r="B6537" s="2" t="s">
        <v>16805</v>
      </c>
      <c r="C6537" s="2" t="s">
        <v>37</v>
      </c>
      <c r="D6537" s="2" t="s">
        <v>18</v>
      </c>
      <c r="E6537" s="4">
        <v>-32403</v>
      </c>
      <c r="F6537" s="3" t="s">
        <v>4861</v>
      </c>
      <c r="G6537" s="3" t="s">
        <v>91</v>
      </c>
      <c r="H6537" s="2" t="s">
        <v>148</v>
      </c>
      <c r="I6537" s="2" t="s">
        <v>16806</v>
      </c>
      <c r="J6537" s="3" t="str">
        <f>HYPERLINK("https://www.boe.es/gazeta/dias/1811/04/13/pdfs/GMD-1811-103.pdf#page=4","Abrir facsímil")</f>
        <v>Abrir facsímil</v>
      </c>
      <c r="K6537" s="3" t="s">
        <v>150</v>
      </c>
    </row>
    <row r="6538" spans="1:11" ht="42" customHeight="1">
      <c r="A6538" s="2" t="s">
        <v>16807</v>
      </c>
      <c r="B6538" s="2" t="s">
        <v>16807</v>
      </c>
      <c r="C6538" s="2" t="s">
        <v>26</v>
      </c>
      <c r="D6538" s="2" t="s">
        <v>18</v>
      </c>
      <c r="E6538" s="4">
        <v>-32281</v>
      </c>
      <c r="F6538" s="3" t="s">
        <v>1041</v>
      </c>
      <c r="G6538" s="3" t="s">
        <v>162</v>
      </c>
      <c r="H6538" s="2" t="s">
        <v>148</v>
      </c>
      <c r="I6538" s="2" t="s">
        <v>16808</v>
      </c>
      <c r="J6538" s="3" t="str">
        <f>HYPERLINK("https://www.boe.es/gazeta/dias/1811/08/13/pdfs/GMD-1811-225.pdf#page=1","Abrir facsímil")</f>
        <v>Abrir facsímil</v>
      </c>
      <c r="K6538" s="3" t="s">
        <v>150</v>
      </c>
    </row>
    <row r="6539" spans="1:11" ht="42" customHeight="1">
      <c r="A6539" s="2" t="s">
        <v>16809</v>
      </c>
      <c r="B6539" s="2" t="s">
        <v>16810</v>
      </c>
      <c r="C6539" s="2" t="s">
        <v>26</v>
      </c>
      <c r="D6539" s="2" t="s">
        <v>141</v>
      </c>
      <c r="E6539" s="4">
        <v>-32249</v>
      </c>
      <c r="F6539" s="3" t="s">
        <v>743</v>
      </c>
      <c r="G6539" s="3" t="s">
        <v>468</v>
      </c>
      <c r="H6539" s="2" t="s">
        <v>148</v>
      </c>
      <c r="I6539" s="2" t="s">
        <v>16811</v>
      </c>
      <c r="J6539" s="3" t="str">
        <f>HYPERLINK("https://www.boe.es/gazeta/dias/1811/09/14/pdfs/GMD-C-1811-257.pdf#page=1","Abrir facsímil")</f>
        <v>Abrir facsímil</v>
      </c>
      <c r="K6539" s="3" t="s">
        <v>150</v>
      </c>
    </row>
    <row r="6540" spans="1:11" ht="42" customHeight="1">
      <c r="A6540" s="2" t="s">
        <v>16812</v>
      </c>
      <c r="B6540" s="2" t="s">
        <v>16812</v>
      </c>
      <c r="C6540" s="2" t="s">
        <v>37</v>
      </c>
      <c r="D6540" s="2" t="s">
        <v>18</v>
      </c>
      <c r="E6540" s="4">
        <v>-32434</v>
      </c>
      <c r="F6540" s="3" t="s">
        <v>1932</v>
      </c>
      <c r="G6540" s="3" t="s">
        <v>305</v>
      </c>
      <c r="H6540" s="2" t="s">
        <v>148</v>
      </c>
      <c r="I6540" s="2" t="s">
        <v>16813</v>
      </c>
      <c r="J6540" s="3" t="str">
        <f>HYPERLINK("https://www.boe.es/gazeta/dias/1811/03/13/pdfs/GMD-1811-72.pdf#page=1","Abrir facsímil")</f>
        <v>Abrir facsímil</v>
      </c>
      <c r="K6540" s="3" t="s">
        <v>150</v>
      </c>
    </row>
    <row r="6541" spans="1:11" ht="42" customHeight="1">
      <c r="A6541" s="2" t="s">
        <v>16812</v>
      </c>
      <c r="B6541" s="2" t="s">
        <v>16812</v>
      </c>
      <c r="C6541" s="2" t="s">
        <v>66</v>
      </c>
      <c r="D6541" s="2" t="s">
        <v>204</v>
      </c>
      <c r="E6541" s="4">
        <v>-32420</v>
      </c>
      <c r="F6541" s="3" t="s">
        <v>5076</v>
      </c>
      <c r="G6541" s="3" t="s">
        <v>582</v>
      </c>
      <c r="H6541" s="2" t="s">
        <v>148</v>
      </c>
      <c r="I6541" s="2" t="s">
        <v>16814</v>
      </c>
      <c r="J6541" s="3" t="str">
        <f>HYPERLINK("https://www.boe.es/gazeta/dias/1811/03/27/pdfs/GMD-1811-86.pdf#page=1","Abrir facsímil")</f>
        <v>Abrir facsímil</v>
      </c>
      <c r="K6541" s="3" t="s">
        <v>150</v>
      </c>
    </row>
    <row r="6542" spans="1:11" ht="42" customHeight="1">
      <c r="A6542" s="2" t="s">
        <v>16812</v>
      </c>
      <c r="B6542" s="2" t="s">
        <v>16812</v>
      </c>
      <c r="C6542" s="2" t="s">
        <v>26</v>
      </c>
      <c r="D6542" s="2" t="s">
        <v>18</v>
      </c>
      <c r="E6542" s="4">
        <v>-32416</v>
      </c>
      <c r="F6542" s="3" t="s">
        <v>954</v>
      </c>
      <c r="G6542" s="3" t="s">
        <v>47</v>
      </c>
      <c r="H6542" s="2" t="s">
        <v>148</v>
      </c>
      <c r="I6542" s="2" t="s">
        <v>16815</v>
      </c>
      <c r="J6542" s="3" t="str">
        <f>HYPERLINK("https://www.boe.es/gazeta/dias/1811/03/31/pdfs/GMD-1811-90.pdf#page=2","Abrir facsímil")</f>
        <v>Abrir facsímil</v>
      </c>
      <c r="K6542" s="3" t="s">
        <v>150</v>
      </c>
    </row>
    <row r="6543" spans="1:11" ht="42" customHeight="1">
      <c r="A6543" s="2" t="s">
        <v>16812</v>
      </c>
      <c r="B6543" s="2" t="s">
        <v>16812</v>
      </c>
      <c r="C6543" s="2" t="s">
        <v>367</v>
      </c>
      <c r="D6543" s="2" t="s">
        <v>18</v>
      </c>
      <c r="E6543" s="4">
        <v>-32237</v>
      </c>
      <c r="F6543" s="3" t="s">
        <v>136</v>
      </c>
      <c r="G6543" s="3" t="s">
        <v>39</v>
      </c>
      <c r="H6543" s="2" t="s">
        <v>148</v>
      </c>
      <c r="I6543" s="2" t="s">
        <v>16816</v>
      </c>
      <c r="J6543" s="3" t="str">
        <f>HYPERLINK("https://www.boe.es/gazeta/dias/1811/09/26/pdfs/GMD-1811-269.pdf#page=1","Abrir facsímil")</f>
        <v>Abrir facsímil</v>
      </c>
      <c r="K6543" s="3" t="s">
        <v>150</v>
      </c>
    </row>
    <row r="6544" spans="1:11" ht="42" customHeight="1">
      <c r="A6544" s="2" t="s">
        <v>16817</v>
      </c>
      <c r="B6544" s="2" t="s">
        <v>16817</v>
      </c>
      <c r="C6544" s="2" t="s">
        <v>26</v>
      </c>
      <c r="D6544" s="2" t="s">
        <v>18</v>
      </c>
      <c r="E6544" s="4">
        <v>-32269</v>
      </c>
      <c r="F6544" s="3" t="s">
        <v>56</v>
      </c>
      <c r="G6544" s="3" t="s">
        <v>1930</v>
      </c>
      <c r="H6544" s="2" t="s">
        <v>148</v>
      </c>
      <c r="I6544" s="2" t="s">
        <v>16818</v>
      </c>
      <c r="J6544" s="3" t="str">
        <f>HYPERLINK("https://www.boe.es/gazeta/dias/1811/08/25/pdfs/GMD-1811-237.pdf#page=3","Abrir facsímil")</f>
        <v>Abrir facsímil</v>
      </c>
      <c r="K6544" s="3" t="s">
        <v>150</v>
      </c>
    </row>
    <row r="6545" spans="1:11" ht="42" customHeight="1">
      <c r="A6545" s="2" t="s">
        <v>16819</v>
      </c>
      <c r="B6545" s="2" t="s">
        <v>16819</v>
      </c>
      <c r="C6545" s="2" t="s">
        <v>26</v>
      </c>
      <c r="D6545" s="2" t="s">
        <v>18</v>
      </c>
      <c r="E6545" s="4">
        <v>-32215</v>
      </c>
      <c r="F6545" s="3" t="s">
        <v>6300</v>
      </c>
      <c r="G6545" s="3" t="s">
        <v>6301</v>
      </c>
      <c r="H6545" s="2" t="s">
        <v>148</v>
      </c>
      <c r="I6545" s="2" t="s">
        <v>16820</v>
      </c>
      <c r="J6545" s="3" t="str">
        <f>HYPERLINK("https://www.boe.es/gazeta/dias/1811/10/18/pdfs/GMD-1811-291.pdf#page=3","Abrir facsímil")</f>
        <v>Abrir facsímil</v>
      </c>
      <c r="K6545" s="3" t="s">
        <v>150</v>
      </c>
    </row>
    <row r="6546" spans="1:11" ht="42" customHeight="1">
      <c r="A6546" s="2" t="s">
        <v>16821</v>
      </c>
      <c r="B6546" s="2" t="s">
        <v>16821</v>
      </c>
      <c r="C6546" s="2" t="s">
        <v>26</v>
      </c>
      <c r="D6546" s="2" t="s">
        <v>18</v>
      </c>
      <c r="E6546" s="4">
        <v>-32331</v>
      </c>
      <c r="F6546" s="3" t="s">
        <v>781</v>
      </c>
      <c r="G6546" s="3" t="s">
        <v>47</v>
      </c>
      <c r="H6546" s="2" t="s">
        <v>148</v>
      </c>
      <c r="I6546" s="2" t="s">
        <v>16822</v>
      </c>
      <c r="J6546" s="3" t="str">
        <f>HYPERLINK("https://www.boe.es/gazeta/dias/1811/06/24/pdfs/GMD-1811-175.pdf#page=1","Abrir facsímil")</f>
        <v>Abrir facsímil</v>
      </c>
      <c r="K6546" s="3" t="s">
        <v>150</v>
      </c>
    </row>
    <row r="6547" spans="1:11" ht="42" customHeight="1">
      <c r="A6547" s="2" t="s">
        <v>16823</v>
      </c>
      <c r="B6547" s="2" t="s">
        <v>16823</v>
      </c>
      <c r="C6547" s="2" t="s">
        <v>17</v>
      </c>
      <c r="D6547" s="2" t="s">
        <v>156</v>
      </c>
      <c r="E6547" s="4">
        <v>-32498</v>
      </c>
      <c r="F6547" s="3" t="s">
        <v>828</v>
      </c>
      <c r="G6547" s="3" t="s">
        <v>20</v>
      </c>
      <c r="H6547" s="2" t="s">
        <v>148</v>
      </c>
      <c r="I6547" s="2" t="s">
        <v>16824</v>
      </c>
      <c r="J6547" s="3" t="str">
        <f>HYPERLINK("https://www.boe.es/gazeta/dias/1811/01/08/pdfs/GEI-1811-4.pdf#page=6","Abrir facsímil")</f>
        <v>Abrir facsímil</v>
      </c>
      <c r="K6547" s="3" t="s">
        <v>150</v>
      </c>
    </row>
    <row r="6548" spans="1:11" ht="42" customHeight="1">
      <c r="A6548" s="2" t="s">
        <v>16823</v>
      </c>
      <c r="B6548" s="2" t="s">
        <v>16823</v>
      </c>
      <c r="C6548" s="2" t="s">
        <v>17</v>
      </c>
      <c r="D6548" s="2" t="s">
        <v>156</v>
      </c>
      <c r="E6548" s="4">
        <v>-32379</v>
      </c>
      <c r="F6548" s="3" t="s">
        <v>462</v>
      </c>
      <c r="G6548" s="3" t="s">
        <v>8226</v>
      </c>
      <c r="H6548" s="2" t="s">
        <v>148</v>
      </c>
      <c r="I6548" s="2" t="s">
        <v>16825</v>
      </c>
      <c r="J6548" s="3" t="str">
        <f>HYPERLINK("https://www.boe.es/gazeta/dias/1811/05/07/pdfs/GEI-1811-60.pdf#page=5","Abrir facsímil")</f>
        <v>Abrir facsímil</v>
      </c>
      <c r="K6548" s="3" t="s">
        <v>150</v>
      </c>
    </row>
    <row r="6549" spans="1:11" ht="42" customHeight="1">
      <c r="A6549" s="2" t="s">
        <v>16826</v>
      </c>
      <c r="B6549" s="2" t="s">
        <v>16827</v>
      </c>
      <c r="C6549" s="2" t="s">
        <v>26</v>
      </c>
      <c r="D6549" s="2" t="s">
        <v>18</v>
      </c>
      <c r="E6549" s="4">
        <v>-32302</v>
      </c>
      <c r="F6549" s="3" t="s">
        <v>864</v>
      </c>
      <c r="G6549" s="3" t="s">
        <v>248</v>
      </c>
      <c r="H6549" s="2" t="s">
        <v>148</v>
      </c>
      <c r="I6549" s="2" t="s">
        <v>16828</v>
      </c>
      <c r="J6549" s="3" t="str">
        <f>HYPERLINK("https://www.boe.es/gazeta/dias/1811/07/23/pdfs/GEI-1811-96.pdf#page=3","Abrir facsímil")</f>
        <v>Abrir facsímil</v>
      </c>
      <c r="K6549" s="3" t="s">
        <v>150</v>
      </c>
    </row>
    <row r="6550" spans="1:11" ht="42" customHeight="1">
      <c r="A6550" s="2" t="s">
        <v>16829</v>
      </c>
      <c r="B6550" s="2" t="s">
        <v>16829</v>
      </c>
      <c r="C6550" s="2" t="s">
        <v>26</v>
      </c>
      <c r="D6550" s="2" t="s">
        <v>18</v>
      </c>
      <c r="E6550" s="4">
        <v>-32211</v>
      </c>
      <c r="F6550" s="3" t="s">
        <v>1230</v>
      </c>
      <c r="G6550" s="3" t="s">
        <v>4628</v>
      </c>
      <c r="H6550" s="2" t="s">
        <v>148</v>
      </c>
      <c r="I6550" s="2" t="s">
        <v>16830</v>
      </c>
      <c r="J6550" s="3" t="str">
        <f>HYPERLINK("https://www.boe.es/gazeta/dias/1811/10/22/pdfs/GMD-1811-295.pdf#page=1","Abrir facsímil")</f>
        <v>Abrir facsímil</v>
      </c>
      <c r="K6550" s="3" t="s">
        <v>150</v>
      </c>
    </row>
    <row r="6551" spans="1:11" ht="42" customHeight="1">
      <c r="A6551" s="2" t="s">
        <v>16831</v>
      </c>
      <c r="B6551" s="2" t="s">
        <v>16831</v>
      </c>
      <c r="C6551" s="2" t="s">
        <v>122</v>
      </c>
      <c r="D6551" s="2" t="s">
        <v>18</v>
      </c>
      <c r="E6551" s="4">
        <v>-32403</v>
      </c>
      <c r="F6551" s="3" t="s">
        <v>1915</v>
      </c>
      <c r="G6551" s="3" t="s">
        <v>1916</v>
      </c>
      <c r="H6551" s="2" t="s">
        <v>148</v>
      </c>
      <c r="I6551" s="2" t="s">
        <v>16832</v>
      </c>
      <c r="J6551" s="3" t="str">
        <f>HYPERLINK("https://www.boe.es/gazeta/dias/1811/04/13/pdfs/GEI-1811-50.pdf#page=5","Abrir facsímil")</f>
        <v>Abrir facsímil</v>
      </c>
      <c r="K6551" s="3" t="s">
        <v>150</v>
      </c>
    </row>
    <row r="6552" spans="1:11" ht="42" customHeight="1">
      <c r="A6552" s="2" t="s">
        <v>16833</v>
      </c>
      <c r="B6552" s="2" t="s">
        <v>16833</v>
      </c>
      <c r="C6552" s="2" t="s">
        <v>17</v>
      </c>
      <c r="D6552" s="2" t="s">
        <v>18</v>
      </c>
      <c r="E6552" s="4">
        <v>-32232</v>
      </c>
      <c r="F6552" s="3" t="s">
        <v>1879</v>
      </c>
      <c r="G6552" s="3" t="s">
        <v>120</v>
      </c>
      <c r="H6552" s="2" t="s">
        <v>148</v>
      </c>
      <c r="I6552" s="2" t="s">
        <v>16834</v>
      </c>
      <c r="J6552" s="3" t="str">
        <f>HYPERLINK("https://www.boe.es/gazeta/dias/1811/10/01/pdfs/GMD-1811-274.pdf#page=1","Abrir facsímil")</f>
        <v>Abrir facsímil</v>
      </c>
      <c r="K6552" s="3" t="s">
        <v>150</v>
      </c>
    </row>
    <row r="6553" spans="1:11" ht="42" customHeight="1">
      <c r="A6553" s="2" t="s">
        <v>16835</v>
      </c>
      <c r="B6553" s="2" t="s">
        <v>16835</v>
      </c>
      <c r="C6553" s="2" t="s">
        <v>104</v>
      </c>
      <c r="D6553" s="2" t="s">
        <v>18</v>
      </c>
      <c r="E6553" s="4">
        <v>-32328</v>
      </c>
      <c r="F6553" s="3" t="s">
        <v>2055</v>
      </c>
      <c r="G6553" s="3" t="s">
        <v>2056</v>
      </c>
      <c r="H6553" s="2" t="s">
        <v>148</v>
      </c>
      <c r="I6553" s="2" t="s">
        <v>16836</v>
      </c>
      <c r="J6553" s="3" t="str">
        <f>HYPERLINK("https://www.boe.es/gazeta/dias/1811/06/27/pdfs/GMD-1811-178.pdf#page=1","Abrir facsímil")</f>
        <v>Abrir facsímil</v>
      </c>
      <c r="K6553" s="3" t="s">
        <v>150</v>
      </c>
    </row>
    <row r="6554" spans="1:11" ht="42" customHeight="1">
      <c r="A6554" s="2" t="s">
        <v>16837</v>
      </c>
      <c r="B6554" s="2" t="s">
        <v>16837</v>
      </c>
      <c r="C6554" s="2" t="s">
        <v>37</v>
      </c>
      <c r="D6554" s="2" t="s">
        <v>18</v>
      </c>
      <c r="E6554" s="4">
        <v>-32242</v>
      </c>
      <c r="F6554" s="3" t="s">
        <v>3015</v>
      </c>
      <c r="G6554" s="3" t="s">
        <v>7851</v>
      </c>
      <c r="H6554" s="2" t="s">
        <v>148</v>
      </c>
      <c r="I6554" s="2" t="s">
        <v>16838</v>
      </c>
      <c r="J6554" s="3" t="str">
        <f>HYPERLINK("https://www.boe.es/gazeta/dias/1811/09/21/pdfs/GMD-1811-264.pdf#page=3","Abrir facsímil")</f>
        <v>Abrir facsímil</v>
      </c>
      <c r="K6554" s="3" t="s">
        <v>150</v>
      </c>
    </row>
    <row r="6555" spans="1:11" ht="42" customHeight="1">
      <c r="A6555" s="2" t="s">
        <v>16839</v>
      </c>
      <c r="B6555" s="2" t="s">
        <v>16840</v>
      </c>
      <c r="C6555" s="2" t="s">
        <v>17</v>
      </c>
      <c r="D6555" s="2" t="s">
        <v>18</v>
      </c>
      <c r="E6555" s="4">
        <v>-32447</v>
      </c>
      <c r="F6555" s="3" t="s">
        <v>3655</v>
      </c>
      <c r="G6555" s="3" t="s">
        <v>476</v>
      </c>
      <c r="H6555" s="2" t="s">
        <v>148</v>
      </c>
      <c r="I6555" s="2" t="s">
        <v>16841</v>
      </c>
      <c r="J6555" s="3" t="str">
        <f>HYPERLINK("https://www.boe.es/gazeta/dias/1811/02/28/pdfs/GEI-1811-26.pdf#page=7","Abrir facsímil")</f>
        <v>Abrir facsímil</v>
      </c>
      <c r="K6555" s="3" t="s">
        <v>150</v>
      </c>
    </row>
    <row r="6556" spans="1:11" ht="42" customHeight="1">
      <c r="A6556" s="2" t="s">
        <v>16842</v>
      </c>
      <c r="B6556" s="2" t="s">
        <v>16843</v>
      </c>
      <c r="C6556" s="2" t="s">
        <v>26</v>
      </c>
      <c r="D6556" s="2" t="s">
        <v>141</v>
      </c>
      <c r="E6556" s="4">
        <v>-32249</v>
      </c>
      <c r="F6556" s="3" t="s">
        <v>743</v>
      </c>
      <c r="G6556" s="3" t="s">
        <v>1021</v>
      </c>
      <c r="H6556" s="2" t="s">
        <v>148</v>
      </c>
      <c r="I6556" s="2" t="s">
        <v>16844</v>
      </c>
      <c r="J6556" s="3" t="str">
        <f>HYPERLINK("https://www.boe.es/gazeta/dias/1811/09/14/pdfs/GMD-C-1811-257.pdf#page=2","Abrir facsímil")</f>
        <v>Abrir facsímil</v>
      </c>
      <c r="K6556" s="3" t="s">
        <v>150</v>
      </c>
    </row>
    <row r="6557" spans="1:11" ht="42" customHeight="1">
      <c r="A6557" s="2" t="s">
        <v>16845</v>
      </c>
      <c r="B6557" s="2" t="s">
        <v>16846</v>
      </c>
      <c r="C6557" s="2" t="s">
        <v>17</v>
      </c>
      <c r="D6557" s="2" t="s">
        <v>18</v>
      </c>
      <c r="E6557" s="4">
        <v>-32309</v>
      </c>
      <c r="F6557" s="3" t="s">
        <v>2496</v>
      </c>
      <c r="G6557" s="3" t="s">
        <v>47</v>
      </c>
      <c r="H6557" s="2" t="s">
        <v>148</v>
      </c>
      <c r="I6557" s="2" t="s">
        <v>16847</v>
      </c>
      <c r="J6557" s="3" t="str">
        <f>HYPERLINK("https://www.boe.es/gazeta/dias/1811/07/16/pdfs/GEI-1811-93.pdf#page=8","Abrir facsímil")</f>
        <v>Abrir facsímil</v>
      </c>
      <c r="K6557" s="3" t="s">
        <v>150</v>
      </c>
    </row>
    <row r="6558" spans="1:11" ht="42" customHeight="1">
      <c r="A6558" s="2" t="s">
        <v>16848</v>
      </c>
      <c r="B6558" s="2" t="s">
        <v>16849</v>
      </c>
      <c r="C6558" s="2" t="s">
        <v>17</v>
      </c>
      <c r="D6558" s="2" t="s">
        <v>156</v>
      </c>
      <c r="E6558" s="4">
        <v>-32270</v>
      </c>
      <c r="F6558" s="3" t="s">
        <v>431</v>
      </c>
      <c r="G6558" s="3" t="s">
        <v>432</v>
      </c>
      <c r="H6558" s="2" t="s">
        <v>148</v>
      </c>
      <c r="I6558" s="2" t="s">
        <v>16850</v>
      </c>
      <c r="J6558" s="3" t="str">
        <f>HYPERLINK("https://www.boe.es/gazeta/dias/1811/08/24/pdfs/GEI-1811-110.pdf#page=4","Abrir facsímil")</f>
        <v>Abrir facsímil</v>
      </c>
      <c r="K6558" s="3" t="s">
        <v>150</v>
      </c>
    </row>
    <row r="6559" spans="1:11" ht="42" customHeight="1">
      <c r="A6559" s="2" t="s">
        <v>16851</v>
      </c>
      <c r="B6559" s="2" t="s">
        <v>16852</v>
      </c>
      <c r="C6559" s="2" t="s">
        <v>26</v>
      </c>
      <c r="D6559" s="2" t="s">
        <v>18</v>
      </c>
      <c r="E6559" s="4">
        <v>-32237</v>
      </c>
      <c r="F6559" s="3" t="s">
        <v>717</v>
      </c>
      <c r="G6559" s="3" t="s">
        <v>718</v>
      </c>
      <c r="H6559" s="2" t="s">
        <v>148</v>
      </c>
      <c r="I6559" s="2" t="s">
        <v>16853</v>
      </c>
      <c r="J6559" s="3" t="str">
        <f>HYPERLINK("https://www.boe.es/gazeta/dias/1811/09/26/pdfs/GEI-1811-124.pdf#page=5","Abrir facsímil")</f>
        <v>Abrir facsímil</v>
      </c>
      <c r="K6559" s="3" t="s">
        <v>150</v>
      </c>
    </row>
    <row r="6560" spans="1:11" ht="42" customHeight="1">
      <c r="A6560" s="2" t="s">
        <v>16854</v>
      </c>
      <c r="B6560" s="2" t="s">
        <v>16855</v>
      </c>
      <c r="C6560" s="2" t="s">
        <v>26</v>
      </c>
      <c r="D6560" s="2" t="s">
        <v>105</v>
      </c>
      <c r="E6560" s="4">
        <v>-32251</v>
      </c>
      <c r="F6560" s="3" t="s">
        <v>726</v>
      </c>
      <c r="G6560" s="3" t="s">
        <v>16856</v>
      </c>
      <c r="H6560" s="2" t="s">
        <v>148</v>
      </c>
      <c r="I6560" s="2" t="s">
        <v>16857</v>
      </c>
      <c r="J6560" s="3" t="str">
        <f>HYPERLINK("https://www.boe.es/gazeta/dias/1811/09/12/pdfs/GEI-1811-118.pdf#page=2","Abrir facsímil")</f>
        <v>Abrir facsímil</v>
      </c>
      <c r="K6560" s="3" t="s">
        <v>150</v>
      </c>
    </row>
    <row r="6561" spans="1:11" ht="42" customHeight="1">
      <c r="A6561" s="2" t="s">
        <v>16858</v>
      </c>
      <c r="B6561" s="2" t="s">
        <v>16859</v>
      </c>
      <c r="C6561" s="2" t="s">
        <v>122</v>
      </c>
      <c r="D6561" s="2" t="s">
        <v>18</v>
      </c>
      <c r="E6561" s="4">
        <v>-32305</v>
      </c>
      <c r="F6561" s="3" t="s">
        <v>1575</v>
      </c>
      <c r="G6561" s="3" t="s">
        <v>1054</v>
      </c>
      <c r="H6561" s="2" t="s">
        <v>148</v>
      </c>
      <c r="I6561" s="2" t="s">
        <v>16860</v>
      </c>
      <c r="J6561" s="3" t="str">
        <f>HYPERLINK("https://www.boe.es/gazeta/dias/1811/07/20/pdfs/GEI-1811-95.pdf#page=2","Abrir facsímil")</f>
        <v>Abrir facsímil</v>
      </c>
      <c r="K6561" s="3" t="s">
        <v>150</v>
      </c>
    </row>
    <row r="6562" spans="1:11" ht="42" customHeight="1">
      <c r="A6562" s="2" t="s">
        <v>16861</v>
      </c>
      <c r="B6562" s="2" t="s">
        <v>16862</v>
      </c>
      <c r="C6562" s="2" t="s">
        <v>26</v>
      </c>
      <c r="D6562" s="2" t="s">
        <v>141</v>
      </c>
      <c r="E6562" s="4">
        <v>-32355</v>
      </c>
      <c r="F6562" s="3" t="s">
        <v>537</v>
      </c>
      <c r="G6562" s="3" t="s">
        <v>593</v>
      </c>
      <c r="H6562" s="2" t="s">
        <v>21</v>
      </c>
      <c r="I6562" s="2" t="s">
        <v>16863</v>
      </c>
      <c r="J6562" s="3" t="str">
        <f>HYPERLINK("https://www.boe.es/gazeta/dias/1811/05/31/pdfs/GMD-C-1811-151.pdf#page=15","Abrir facsímil")</f>
        <v>Abrir facsímil</v>
      </c>
      <c r="K6562" s="3" t="s">
        <v>23</v>
      </c>
    </row>
    <row r="6563" spans="1:11" ht="42" customHeight="1">
      <c r="A6563" s="2" t="s">
        <v>16864</v>
      </c>
      <c r="B6563" s="2" t="s">
        <v>16865</v>
      </c>
      <c r="C6563" s="2" t="s">
        <v>26</v>
      </c>
      <c r="D6563" s="2" t="s">
        <v>141</v>
      </c>
      <c r="E6563" s="4">
        <v>-32355</v>
      </c>
      <c r="F6563" s="3" t="s">
        <v>537</v>
      </c>
      <c r="G6563" s="3" t="s">
        <v>1143</v>
      </c>
      <c r="H6563" s="2" t="s">
        <v>148</v>
      </c>
      <c r="I6563" s="2" t="s">
        <v>16866</v>
      </c>
      <c r="J6563" s="3" t="str">
        <f>HYPERLINK("https://www.boe.es/gazeta/dias/1811/05/31/pdfs/GMD-C-1811-151.pdf#page=3","Abrir facsímil")</f>
        <v>Abrir facsímil</v>
      </c>
      <c r="K6563" s="3" t="s">
        <v>150</v>
      </c>
    </row>
    <row r="6564" spans="1:11" ht="42" customHeight="1">
      <c r="A6564" s="2" t="s">
        <v>16867</v>
      </c>
      <c r="B6564" s="2" t="s">
        <v>16868</v>
      </c>
      <c r="C6564" s="2" t="s">
        <v>26</v>
      </c>
      <c r="D6564" s="2" t="s">
        <v>141</v>
      </c>
      <c r="E6564" s="4">
        <v>-32355</v>
      </c>
      <c r="F6564" s="3" t="s">
        <v>537</v>
      </c>
      <c r="G6564" s="3" t="s">
        <v>1143</v>
      </c>
      <c r="H6564" s="2" t="s">
        <v>148</v>
      </c>
      <c r="I6564" s="2" t="s">
        <v>16869</v>
      </c>
      <c r="J6564" s="3" t="str">
        <f>HYPERLINK("https://www.boe.es/gazeta/dias/1811/05/31/pdfs/GMD-C-1811-151.pdf#page=3","Abrir facsímil")</f>
        <v>Abrir facsímil</v>
      </c>
      <c r="K6564" s="3" t="s">
        <v>150</v>
      </c>
    </row>
    <row r="6565" spans="1:11" ht="42" customHeight="1">
      <c r="A6565" s="2" t="s">
        <v>16870</v>
      </c>
      <c r="B6565" s="2" t="s">
        <v>16870</v>
      </c>
      <c r="C6565" s="2" t="s">
        <v>122</v>
      </c>
      <c r="D6565" s="2" t="s">
        <v>204</v>
      </c>
      <c r="E6565" s="4">
        <v>-32469</v>
      </c>
      <c r="F6565" s="3" t="s">
        <v>3448</v>
      </c>
      <c r="G6565" s="3" t="s">
        <v>20</v>
      </c>
      <c r="H6565" s="2" t="s">
        <v>148</v>
      </c>
      <c r="I6565" s="2" t="s">
        <v>16871</v>
      </c>
      <c r="J6565" s="3" t="str">
        <f>HYPERLINK("https://www.boe.es/gazeta/dias/1811/02/06/pdfs/GMD-1811-37.pdf#page=1","Abrir facsímil")</f>
        <v>Abrir facsímil</v>
      </c>
      <c r="K6565" s="3" t="s">
        <v>150</v>
      </c>
    </row>
    <row r="6566" spans="1:11" ht="42" customHeight="1">
      <c r="A6566" s="2" t="s">
        <v>16872</v>
      </c>
      <c r="B6566" s="2" t="s">
        <v>16872</v>
      </c>
      <c r="C6566" s="2" t="s">
        <v>66</v>
      </c>
      <c r="D6566" s="2" t="s">
        <v>204</v>
      </c>
      <c r="E6566" s="4">
        <v>-32451</v>
      </c>
      <c r="F6566" s="3" t="s">
        <v>2651</v>
      </c>
      <c r="G6566" s="3" t="s">
        <v>9891</v>
      </c>
      <c r="H6566" s="2" t="s">
        <v>148</v>
      </c>
      <c r="I6566" s="2" t="s">
        <v>16873</v>
      </c>
      <c r="J6566" s="3" t="str">
        <f>HYPERLINK("https://www.boe.es/gazeta/dias/1811/02/24/pdfs/GMD-1811-55.pdf#page=2","Abrir facsímil")</f>
        <v>Abrir facsímil</v>
      </c>
      <c r="K6566" s="3" t="s">
        <v>150</v>
      </c>
    </row>
    <row r="6567" spans="1:11" ht="42" customHeight="1">
      <c r="A6567" s="2" t="s">
        <v>16874</v>
      </c>
      <c r="B6567" s="2" t="s">
        <v>16874</v>
      </c>
      <c r="C6567" s="2" t="s">
        <v>17</v>
      </c>
      <c r="D6567" s="2" t="s">
        <v>156</v>
      </c>
      <c r="E6567" s="4">
        <v>-32424</v>
      </c>
      <c r="F6567" s="3" t="s">
        <v>1028</v>
      </c>
      <c r="G6567" s="3" t="s">
        <v>343</v>
      </c>
      <c r="H6567" s="2" t="s">
        <v>148</v>
      </c>
      <c r="I6567" s="2" t="s">
        <v>16875</v>
      </c>
      <c r="J6567" s="3" t="str">
        <f>HYPERLINK("https://www.boe.es/gazeta/dias/1811/03/23/pdfs/GEI-1811-41.pdf#page=3","Abrir facsímil")</f>
        <v>Abrir facsímil</v>
      </c>
      <c r="K6567" s="3" t="s">
        <v>150</v>
      </c>
    </row>
    <row r="6568" spans="1:11" ht="42" customHeight="1">
      <c r="A6568" s="2" t="s">
        <v>16876</v>
      </c>
      <c r="B6568" s="2" t="s">
        <v>16876</v>
      </c>
      <c r="C6568" s="2" t="s">
        <v>17</v>
      </c>
      <c r="D6568" s="2" t="s">
        <v>18</v>
      </c>
      <c r="E6568" s="4">
        <v>-32293</v>
      </c>
      <c r="F6568" s="3" t="s">
        <v>3064</v>
      </c>
      <c r="G6568" s="3" t="s">
        <v>6081</v>
      </c>
      <c r="H6568" s="2" t="s">
        <v>148</v>
      </c>
      <c r="I6568" s="2" t="s">
        <v>16877</v>
      </c>
      <c r="J6568" s="3" t="str">
        <f>HYPERLINK("https://www.boe.es/gazeta/dias/1811/08/01/pdfs/GEI-1811-100.pdf#page=4","Abrir facsímil")</f>
        <v>Abrir facsímil</v>
      </c>
      <c r="K6568" s="3" t="s">
        <v>150</v>
      </c>
    </row>
    <row r="6569" spans="1:11" ht="42" customHeight="1">
      <c r="A6569" s="2" t="s">
        <v>16878</v>
      </c>
      <c r="B6569" s="2" t="s">
        <v>16879</v>
      </c>
      <c r="C6569" s="2" t="s">
        <v>122</v>
      </c>
      <c r="D6569" s="2" t="s">
        <v>18</v>
      </c>
      <c r="E6569" s="4">
        <v>-32335</v>
      </c>
      <c r="F6569" s="3" t="s">
        <v>7373</v>
      </c>
      <c r="G6569" s="3" t="s">
        <v>248</v>
      </c>
      <c r="H6569" s="2" t="s">
        <v>148</v>
      </c>
      <c r="I6569" s="2" t="s">
        <v>16880</v>
      </c>
      <c r="J6569" s="3" t="str">
        <f>HYPERLINK("https://www.boe.es/gazeta/dias/1811/06/20/pdfs/GMD-1811-171.pdf#page=4","Abrir facsímil")</f>
        <v>Abrir facsímil</v>
      </c>
      <c r="K6569" s="3" t="s">
        <v>150</v>
      </c>
    </row>
    <row r="6570" spans="1:11" ht="42" customHeight="1">
      <c r="A6570" s="2" t="s">
        <v>16881</v>
      </c>
      <c r="B6570" s="2" t="s">
        <v>16881</v>
      </c>
      <c r="C6570" s="2" t="s">
        <v>17</v>
      </c>
      <c r="D6570" s="2" t="s">
        <v>156</v>
      </c>
      <c r="E6570" s="4">
        <v>-32273</v>
      </c>
      <c r="F6570" s="3" t="s">
        <v>2820</v>
      </c>
      <c r="G6570" s="3" t="s">
        <v>4053</v>
      </c>
      <c r="H6570" s="2" t="s">
        <v>148</v>
      </c>
      <c r="I6570" s="2" t="s">
        <v>16882</v>
      </c>
      <c r="J6570" s="3" t="str">
        <f>HYPERLINK("https://www.boe.es/gazeta/dias/1811/08/21/pdfs/GMD-1811-233.pdf#page=1","Abrir facsímil")</f>
        <v>Abrir facsímil</v>
      </c>
      <c r="K6570" s="3" t="s">
        <v>150</v>
      </c>
    </row>
    <row r="6571" spans="1:11" ht="42" customHeight="1">
      <c r="A6571" s="2" t="s">
        <v>16883</v>
      </c>
      <c r="B6571" s="2" t="s">
        <v>16883</v>
      </c>
      <c r="C6571" s="2" t="s">
        <v>17</v>
      </c>
      <c r="D6571" s="2" t="s">
        <v>18</v>
      </c>
      <c r="E6571" s="4">
        <v>-32472</v>
      </c>
      <c r="F6571" s="3" t="s">
        <v>398</v>
      </c>
      <c r="G6571" s="3" t="s">
        <v>553</v>
      </c>
      <c r="H6571" s="2" t="s">
        <v>148</v>
      </c>
      <c r="I6571" s="2" t="s">
        <v>16884</v>
      </c>
      <c r="J6571" s="3" t="str">
        <f>HYPERLINK("https://www.boe.es/gazeta/dias/1811/02/03/pdfs/GMD-1811-34.pdf#page=1","Abrir facsímil")</f>
        <v>Abrir facsímil</v>
      </c>
      <c r="K6571" s="3" t="s">
        <v>150</v>
      </c>
    </row>
    <row r="6572" spans="1:11" ht="42" customHeight="1">
      <c r="A6572" s="2" t="s">
        <v>16885</v>
      </c>
      <c r="B6572" s="2" t="s">
        <v>16886</v>
      </c>
      <c r="C6572" s="2" t="s">
        <v>37</v>
      </c>
      <c r="D6572" s="2" t="s">
        <v>18</v>
      </c>
      <c r="E6572" s="4">
        <v>-32416</v>
      </c>
      <c r="F6572" s="3" t="s">
        <v>954</v>
      </c>
      <c r="G6572" s="3" t="s">
        <v>47</v>
      </c>
      <c r="H6572" s="2" t="s">
        <v>148</v>
      </c>
      <c r="I6572" s="2" t="s">
        <v>16887</v>
      </c>
      <c r="J6572" s="3" t="str">
        <f>HYPERLINK("https://www.boe.es/gazeta/dias/1811/03/31/pdfs/GMD-1811-90.pdf#page=3","Abrir facsímil")</f>
        <v>Abrir facsímil</v>
      </c>
      <c r="K6572" s="3" t="s">
        <v>150</v>
      </c>
    </row>
    <row r="6573" spans="1:11" ht="42" customHeight="1">
      <c r="A6573" s="2" t="s">
        <v>16888</v>
      </c>
      <c r="B6573" s="2" t="s">
        <v>16889</v>
      </c>
      <c r="C6573" s="2" t="s">
        <v>104</v>
      </c>
      <c r="D6573" s="2" t="s">
        <v>18</v>
      </c>
      <c r="E6573" s="4">
        <v>-32172</v>
      </c>
      <c r="F6573" s="3" t="s">
        <v>300</v>
      </c>
      <c r="G6573" s="3" t="s">
        <v>305</v>
      </c>
      <c r="H6573" s="2" t="s">
        <v>21</v>
      </c>
      <c r="I6573" s="2" t="s">
        <v>16890</v>
      </c>
      <c r="J6573" s="3" t="str">
        <f>HYPERLINK("https://www.boe.es/gazeta/dias/1811/11/30/pdfs/GMD-1811-334.pdf#page=3","Abrir facsímil")</f>
        <v>Abrir facsímil</v>
      </c>
      <c r="K6573" s="3" t="s">
        <v>23</v>
      </c>
    </row>
    <row r="6574" spans="1:11" ht="42" customHeight="1">
      <c r="A6574" s="2" t="s">
        <v>16891</v>
      </c>
      <c r="B6574" s="2" t="s">
        <v>16892</v>
      </c>
      <c r="C6574" s="2" t="s">
        <v>26</v>
      </c>
      <c r="D6574" s="2" t="s">
        <v>18</v>
      </c>
      <c r="E6574" s="4">
        <v>-32256</v>
      </c>
      <c r="F6574" s="3" t="s">
        <v>161</v>
      </c>
      <c r="G6574" s="3" t="s">
        <v>282</v>
      </c>
      <c r="H6574" s="2" t="s">
        <v>21</v>
      </c>
      <c r="I6574" s="2" t="s">
        <v>16893</v>
      </c>
      <c r="J6574" s="3" t="str">
        <f>HYPERLINK("https://www.boe.es/gazeta/dias/1811/09/07/pdfs/GEI-1811-116.pdf#page=4","Abrir facsímil")</f>
        <v>Abrir facsímil</v>
      </c>
      <c r="K6574" s="3" t="s">
        <v>23</v>
      </c>
    </row>
    <row r="6575" spans="1:11" ht="42" customHeight="1">
      <c r="A6575" s="2" t="s">
        <v>16894</v>
      </c>
      <c r="B6575" s="2" t="s">
        <v>16895</v>
      </c>
      <c r="C6575" s="2" t="s">
        <v>17</v>
      </c>
      <c r="D6575" s="2" t="s">
        <v>204</v>
      </c>
      <c r="E6575" s="4">
        <v>-32371</v>
      </c>
      <c r="F6575" s="3" t="s">
        <v>1518</v>
      </c>
      <c r="G6575" s="3" t="s">
        <v>1519</v>
      </c>
      <c r="H6575" s="2" t="s">
        <v>148</v>
      </c>
      <c r="I6575" s="2" t="s">
        <v>16896</v>
      </c>
      <c r="J6575" s="3" t="str">
        <f>HYPERLINK("https://www.boe.es/gazeta/dias/1811/05/15/pdfs/GMD-1811-135.pdf#page=1","Abrir facsímil")</f>
        <v>Abrir facsímil</v>
      </c>
      <c r="K6575" s="3" t="s">
        <v>150</v>
      </c>
    </row>
    <row r="6576" spans="1:11" ht="42" customHeight="1">
      <c r="A6576" s="2" t="s">
        <v>16897</v>
      </c>
      <c r="B6576" s="2" t="s">
        <v>16898</v>
      </c>
      <c r="C6576" s="2" t="s">
        <v>26</v>
      </c>
      <c r="D6576" s="2" t="s">
        <v>18</v>
      </c>
      <c r="E6576" s="4">
        <v>-32172</v>
      </c>
      <c r="F6576" s="3" t="s">
        <v>300</v>
      </c>
      <c r="G6576" s="3" t="s">
        <v>305</v>
      </c>
      <c r="H6576" s="2" t="s">
        <v>148</v>
      </c>
      <c r="I6576" s="2" t="s">
        <v>16899</v>
      </c>
      <c r="J6576" s="3" t="str">
        <f>HYPERLINK("https://www.boe.es/gazeta/dias/1811/11/30/pdfs/GMD-1811-334.pdf#page=3","Abrir facsímil")</f>
        <v>Abrir facsímil</v>
      </c>
      <c r="K6576" s="3" t="s">
        <v>150</v>
      </c>
    </row>
    <row r="6577" spans="1:11" ht="42" customHeight="1">
      <c r="A6577" s="2" t="s">
        <v>16900</v>
      </c>
      <c r="B6577" s="2" t="s">
        <v>16901</v>
      </c>
      <c r="C6577" s="2" t="s">
        <v>367</v>
      </c>
      <c r="D6577" s="2" t="s">
        <v>156</v>
      </c>
      <c r="E6577" s="4">
        <v>-32228</v>
      </c>
      <c r="F6577" s="3" t="s">
        <v>372</v>
      </c>
      <c r="G6577" s="3" t="s">
        <v>20</v>
      </c>
      <c r="H6577" s="2" t="s">
        <v>148</v>
      </c>
      <c r="I6577" s="2" t="s">
        <v>16902</v>
      </c>
      <c r="J6577" s="3" t="str">
        <f>HYPERLINK("https://www.boe.es/gazeta/dias/1811/10/05/pdfs/GEI-1811-128.pdf#page=8","Abrir facsímil")</f>
        <v>Abrir facsímil</v>
      </c>
      <c r="K6577" s="3" t="s">
        <v>150</v>
      </c>
    </row>
    <row r="6578" spans="1:11" ht="42" customHeight="1">
      <c r="A6578" s="2" t="s">
        <v>16903</v>
      </c>
      <c r="B6578" s="2" t="s">
        <v>16904</v>
      </c>
      <c r="C6578" s="2" t="s">
        <v>17</v>
      </c>
      <c r="D6578" s="2" t="s">
        <v>156</v>
      </c>
      <c r="E6578" s="4">
        <v>-32211</v>
      </c>
      <c r="F6578" s="3" t="s">
        <v>1074</v>
      </c>
      <c r="G6578" s="3" t="s">
        <v>1058</v>
      </c>
      <c r="H6578" s="2" t="s">
        <v>148</v>
      </c>
      <c r="I6578" s="2" t="s">
        <v>16905</v>
      </c>
      <c r="J6578" s="3" t="str">
        <f>HYPERLINK("https://www.boe.es/gazeta/dias/1811/10/22/pdfs/GEI-1811-136.pdf#page=6","Abrir facsímil")</f>
        <v>Abrir facsímil</v>
      </c>
      <c r="K6578" s="3" t="s">
        <v>150</v>
      </c>
    </row>
    <row r="6579" spans="1:11" ht="42" customHeight="1">
      <c r="A6579" s="2" t="s">
        <v>16906</v>
      </c>
      <c r="B6579" s="2" t="s">
        <v>16907</v>
      </c>
      <c r="C6579" s="2" t="s">
        <v>17</v>
      </c>
      <c r="D6579" s="2" t="s">
        <v>156</v>
      </c>
      <c r="E6579" s="4">
        <v>-32270</v>
      </c>
      <c r="F6579" s="3" t="s">
        <v>431</v>
      </c>
      <c r="G6579" s="3" t="s">
        <v>432</v>
      </c>
      <c r="H6579" s="2" t="s">
        <v>148</v>
      </c>
      <c r="I6579" s="2" t="s">
        <v>16908</v>
      </c>
      <c r="J6579" s="3" t="str">
        <f>HYPERLINK("https://www.boe.es/gazeta/dias/1811/08/24/pdfs/GEI-1811-110.pdf#page=4","Abrir facsímil")</f>
        <v>Abrir facsímil</v>
      </c>
      <c r="K6579" s="3" t="s">
        <v>150</v>
      </c>
    </row>
    <row r="6580" spans="1:11" ht="42" customHeight="1">
      <c r="A6580" s="2" t="s">
        <v>16909</v>
      </c>
      <c r="B6580" s="2" t="s">
        <v>16910</v>
      </c>
      <c r="C6580" s="2" t="s">
        <v>17</v>
      </c>
      <c r="D6580" s="2" t="s">
        <v>18</v>
      </c>
      <c r="E6580" s="4">
        <v>-32421</v>
      </c>
      <c r="F6580" s="3" t="s">
        <v>79</v>
      </c>
      <c r="G6580" s="3" t="s">
        <v>80</v>
      </c>
      <c r="H6580" s="2" t="s">
        <v>148</v>
      </c>
      <c r="I6580" s="2" t="s">
        <v>16911</v>
      </c>
      <c r="J6580" s="3" t="str">
        <f>HYPERLINK("https://www.boe.es/gazeta/dias/1811/03/26/pdfs/GEI-1811-42.pdf#page=7","Abrir facsímil")</f>
        <v>Abrir facsímil</v>
      </c>
      <c r="K6580" s="3" t="s">
        <v>150</v>
      </c>
    </row>
    <row r="6581" spans="1:11" ht="42" customHeight="1">
      <c r="A6581" s="2" t="s">
        <v>16912</v>
      </c>
      <c r="B6581" s="2" t="s">
        <v>16913</v>
      </c>
      <c r="C6581" s="2" t="s">
        <v>84</v>
      </c>
      <c r="D6581" s="2" t="s">
        <v>18</v>
      </c>
      <c r="E6581" s="4">
        <v>-32181</v>
      </c>
      <c r="F6581" s="3" t="s">
        <v>1169</v>
      </c>
      <c r="G6581" s="3" t="s">
        <v>1170</v>
      </c>
      <c r="H6581" s="2" t="s">
        <v>148</v>
      </c>
      <c r="I6581" s="2" t="s">
        <v>16914</v>
      </c>
      <c r="J6581" s="3" t="str">
        <f>HYPERLINK("https://www.boe.es/gazeta/dias/1811/11/21/pdfs/GMD-1811-325.pdf#page=4","Abrir facsímil")</f>
        <v>Abrir facsímil</v>
      </c>
      <c r="K6581" s="3" t="s">
        <v>150</v>
      </c>
    </row>
    <row r="6582" spans="1:11" ht="42" customHeight="1">
      <c r="A6582" s="2" t="s">
        <v>16915</v>
      </c>
      <c r="B6582" s="2" t="s">
        <v>16915</v>
      </c>
      <c r="C6582" s="2" t="s">
        <v>17</v>
      </c>
      <c r="D6582" s="2" t="s">
        <v>18</v>
      </c>
      <c r="E6582" s="4">
        <v>-32375</v>
      </c>
      <c r="F6582" s="3" t="s">
        <v>1209</v>
      </c>
      <c r="G6582" s="3" t="s">
        <v>4086</v>
      </c>
      <c r="H6582" s="2" t="s">
        <v>148</v>
      </c>
      <c r="I6582" s="2" t="s">
        <v>16916</v>
      </c>
      <c r="J6582" s="3" t="str">
        <f>HYPERLINK("https://www.boe.es/gazeta/dias/1811/05/11/pdfs/GEI-1811-62.pdf#page=3","Abrir facsímil")</f>
        <v>Abrir facsímil</v>
      </c>
      <c r="K6582" s="3" t="s">
        <v>150</v>
      </c>
    </row>
    <row r="6583" spans="1:11" ht="42" customHeight="1">
      <c r="A6583" s="2" t="s">
        <v>16917</v>
      </c>
      <c r="B6583" s="2" t="s">
        <v>16917</v>
      </c>
      <c r="C6583" s="2" t="s">
        <v>26</v>
      </c>
      <c r="D6583" s="2" t="s">
        <v>141</v>
      </c>
      <c r="E6583" s="4">
        <v>-32280</v>
      </c>
      <c r="F6583" s="3" t="s">
        <v>142</v>
      </c>
      <c r="G6583" s="3" t="s">
        <v>47</v>
      </c>
      <c r="H6583" s="2" t="s">
        <v>148</v>
      </c>
      <c r="I6583" s="2" t="s">
        <v>16918</v>
      </c>
      <c r="J6583" s="3" t="str">
        <f>HYPERLINK("https://www.boe.es/gazeta/dias/1811/08/14/pdfs/GMD-C-1811-226.pdf#page=1","Abrir facsímil")</f>
        <v>Abrir facsímil</v>
      </c>
      <c r="K6583" s="3" t="s">
        <v>150</v>
      </c>
    </row>
    <row r="6584" spans="1:11" ht="42" customHeight="1">
      <c r="A6584" s="2" t="s">
        <v>16919</v>
      </c>
      <c r="B6584" s="2" t="s">
        <v>16919</v>
      </c>
      <c r="C6584" s="2" t="s">
        <v>26</v>
      </c>
      <c r="D6584" s="2" t="s">
        <v>18</v>
      </c>
      <c r="E6584" s="4">
        <v>-32299</v>
      </c>
      <c r="F6584" s="3" t="s">
        <v>2124</v>
      </c>
      <c r="G6584" s="3" t="s">
        <v>20</v>
      </c>
      <c r="H6584" s="2" t="s">
        <v>21</v>
      </c>
      <c r="I6584" s="2" t="s">
        <v>16920</v>
      </c>
      <c r="J6584" s="3" t="str">
        <f>HYPERLINK("https://www.boe.es/gazeta/dias/1811/07/26/pdfs/GMD-1811-207.pdf#page=3","Abrir facsímil")</f>
        <v>Abrir facsímil</v>
      </c>
      <c r="K6584" s="3" t="s">
        <v>23</v>
      </c>
    </row>
    <row r="6585" spans="1:11" ht="42" customHeight="1">
      <c r="A6585" s="2" t="s">
        <v>16921</v>
      </c>
      <c r="B6585" s="2" t="s">
        <v>16921</v>
      </c>
      <c r="C6585" s="2" t="s">
        <v>17</v>
      </c>
      <c r="D6585" s="2" t="s">
        <v>156</v>
      </c>
      <c r="E6585" s="4">
        <v>-32336</v>
      </c>
      <c r="F6585" s="3" t="s">
        <v>8466</v>
      </c>
      <c r="G6585" s="3" t="s">
        <v>2256</v>
      </c>
      <c r="H6585" s="2" t="s">
        <v>148</v>
      </c>
      <c r="I6585" s="2" t="s">
        <v>16922</v>
      </c>
      <c r="J6585" s="3" t="str">
        <f>HYPERLINK("https://www.boe.es/gazeta/dias/1811/06/19/pdfs/GMD-1811-170.pdf#page=1","Abrir facsímil")</f>
        <v>Abrir facsímil</v>
      </c>
      <c r="K6585" s="3" t="s">
        <v>150</v>
      </c>
    </row>
    <row r="6586" spans="1:11" ht="42" customHeight="1">
      <c r="A6586" s="2" t="s">
        <v>16923</v>
      </c>
      <c r="B6586" s="2" t="s">
        <v>16923</v>
      </c>
      <c r="C6586" s="2" t="s">
        <v>104</v>
      </c>
      <c r="D6586" s="2" t="s">
        <v>18</v>
      </c>
      <c r="E6586" s="4">
        <v>-32482</v>
      </c>
      <c r="F6586" s="3" t="s">
        <v>16924</v>
      </c>
      <c r="G6586" s="3" t="s">
        <v>91</v>
      </c>
      <c r="H6586" s="2" t="s">
        <v>148</v>
      </c>
      <c r="I6586" s="2" t="s">
        <v>16925</v>
      </c>
      <c r="J6586" s="3" t="str">
        <f>HYPERLINK("https://www.boe.es/gazeta/dias/1811/01/24/pdfs/GMD-1811-24.pdf#page=3","Abrir facsímil")</f>
        <v>Abrir facsímil</v>
      </c>
      <c r="K6586" s="3" t="s">
        <v>150</v>
      </c>
    </row>
    <row r="6587" spans="1:11" ht="42" customHeight="1">
      <c r="A6587" s="2" t="s">
        <v>16923</v>
      </c>
      <c r="B6587" s="2" t="s">
        <v>16923</v>
      </c>
      <c r="C6587" s="2" t="s">
        <v>17</v>
      </c>
      <c r="D6587" s="2" t="s">
        <v>156</v>
      </c>
      <c r="E6587" s="4">
        <v>-32325</v>
      </c>
      <c r="F6587" s="3" t="s">
        <v>552</v>
      </c>
      <c r="G6587" s="3" t="s">
        <v>468</v>
      </c>
      <c r="H6587" s="2" t="s">
        <v>148</v>
      </c>
      <c r="I6587" s="2" t="s">
        <v>16926</v>
      </c>
      <c r="J6587" s="3" t="str">
        <f>HYPERLINK("https://www.boe.es/gazeta/dias/1811/06/30/pdfs/GMD-1811-181.pdf#page=1","Abrir facsímil")</f>
        <v>Abrir facsímil</v>
      </c>
      <c r="K6587" s="3" t="s">
        <v>150</v>
      </c>
    </row>
    <row r="6588" spans="1:11" ht="42" customHeight="1">
      <c r="A6588" s="2" t="s">
        <v>16923</v>
      </c>
      <c r="B6588" s="2" t="s">
        <v>16923</v>
      </c>
      <c r="C6588" s="2" t="s">
        <v>26</v>
      </c>
      <c r="D6588" s="2" t="s">
        <v>18</v>
      </c>
      <c r="E6588" s="4">
        <v>-32277</v>
      </c>
      <c r="F6588" s="3" t="s">
        <v>1765</v>
      </c>
      <c r="G6588" s="3" t="s">
        <v>16927</v>
      </c>
      <c r="H6588" s="2" t="s">
        <v>148</v>
      </c>
      <c r="I6588" s="2" t="s">
        <v>16928</v>
      </c>
      <c r="J6588" s="3" t="str">
        <f>HYPERLINK("https://www.boe.es/gazeta/dias/1811/08/17/pdfs/GEI-1811-107.pdf#page=2","Abrir facsímil")</f>
        <v>Abrir facsímil</v>
      </c>
      <c r="K6588" s="3" t="s">
        <v>150</v>
      </c>
    </row>
    <row r="6589" spans="1:11" ht="42" customHeight="1">
      <c r="A6589" s="2" t="s">
        <v>16929</v>
      </c>
      <c r="B6589" s="2" t="s">
        <v>16930</v>
      </c>
      <c r="C6589" s="2" t="s">
        <v>26</v>
      </c>
      <c r="D6589" s="2" t="s">
        <v>141</v>
      </c>
      <c r="E6589" s="4">
        <v>-32355</v>
      </c>
      <c r="F6589" s="3" t="s">
        <v>537</v>
      </c>
      <c r="G6589" s="3" t="s">
        <v>9535</v>
      </c>
      <c r="H6589" s="2" t="s">
        <v>148</v>
      </c>
      <c r="I6589" s="2" t="s">
        <v>16931</v>
      </c>
      <c r="J6589" s="3" t="str">
        <f>HYPERLINK("https://www.boe.es/gazeta/dias/1811/05/31/pdfs/GMD-C-1811-151.pdf#page=7","Abrir facsímil")</f>
        <v>Abrir facsímil</v>
      </c>
      <c r="K6589" s="3" t="s">
        <v>150</v>
      </c>
    </row>
    <row r="6590" spans="1:11" ht="42" customHeight="1">
      <c r="A6590" s="2" t="s">
        <v>16929</v>
      </c>
      <c r="B6590" s="2" t="s">
        <v>16930</v>
      </c>
      <c r="C6590" s="2" t="s">
        <v>26</v>
      </c>
      <c r="D6590" s="2" t="s">
        <v>141</v>
      </c>
      <c r="E6590" s="4">
        <v>-32238</v>
      </c>
      <c r="F6590" s="3" t="s">
        <v>166</v>
      </c>
      <c r="G6590" s="3" t="s">
        <v>129</v>
      </c>
      <c r="H6590" s="2" t="s">
        <v>148</v>
      </c>
      <c r="I6590" s="2" t="s">
        <v>16932</v>
      </c>
      <c r="J6590" s="3" t="str">
        <f>HYPERLINK("https://www.boe.es/gazeta/dias/1811/09/25/pdfs/GMD-C-1811-268.pdf#page=1","Abrir facsímil")</f>
        <v>Abrir facsímil</v>
      </c>
      <c r="K6590" s="3" t="s">
        <v>150</v>
      </c>
    </row>
    <row r="6591" spans="1:11" ht="42" customHeight="1">
      <c r="A6591" s="2" t="s">
        <v>16933</v>
      </c>
      <c r="B6591" s="2" t="s">
        <v>16933</v>
      </c>
      <c r="C6591" s="2" t="s">
        <v>26</v>
      </c>
      <c r="D6591" s="2" t="s">
        <v>18</v>
      </c>
      <c r="E6591" s="4">
        <v>-32293</v>
      </c>
      <c r="F6591" s="3" t="s">
        <v>3064</v>
      </c>
      <c r="G6591" s="3" t="s">
        <v>3613</v>
      </c>
      <c r="H6591" s="2" t="s">
        <v>148</v>
      </c>
      <c r="I6591" s="2" t="s">
        <v>16934</v>
      </c>
      <c r="J6591" s="3" t="str">
        <f>HYPERLINK("https://www.boe.es/gazeta/dias/1811/08/01/pdfs/GEI-1811-100.pdf#page=2","Abrir facsímil")</f>
        <v>Abrir facsímil</v>
      </c>
      <c r="K6591" s="3" t="s">
        <v>150</v>
      </c>
    </row>
    <row r="6592" spans="1:11" ht="42" customHeight="1">
      <c r="A6592" s="2" t="s">
        <v>16935</v>
      </c>
      <c r="B6592" s="2" t="s">
        <v>16936</v>
      </c>
      <c r="C6592" s="2" t="s">
        <v>104</v>
      </c>
      <c r="D6592" s="2" t="s">
        <v>528</v>
      </c>
      <c r="E6592" s="4">
        <v>-32219</v>
      </c>
      <c r="F6592" s="3" t="s">
        <v>529</v>
      </c>
      <c r="G6592" s="3" t="s">
        <v>530</v>
      </c>
      <c r="H6592" s="2" t="s">
        <v>148</v>
      </c>
      <c r="I6592" s="2" t="s">
        <v>16937</v>
      </c>
      <c r="J6592" s="3" t="str">
        <f>HYPERLINK("https://www.boe.es/gazeta/dias/1811/10/14/pdfs/GEI-1811-132E.pdf#page=4","Abrir facsímil")</f>
        <v>Abrir facsímil</v>
      </c>
      <c r="K6592" s="3" t="s">
        <v>150</v>
      </c>
    </row>
    <row r="6593" spans="1:11" ht="42" customHeight="1">
      <c r="A6593" s="2" t="s">
        <v>16938</v>
      </c>
      <c r="B6593" s="2" t="s">
        <v>16939</v>
      </c>
      <c r="C6593" s="2" t="s">
        <v>17</v>
      </c>
      <c r="D6593" s="2" t="s">
        <v>18</v>
      </c>
      <c r="E6593" s="4">
        <v>-32379</v>
      </c>
      <c r="F6593" s="3" t="s">
        <v>462</v>
      </c>
      <c r="G6593" s="3" t="s">
        <v>228</v>
      </c>
      <c r="H6593" s="2" t="s">
        <v>148</v>
      </c>
      <c r="I6593" s="2" t="s">
        <v>16940</v>
      </c>
      <c r="J6593" s="3" t="str">
        <f>HYPERLINK("https://www.boe.es/gazeta/dias/1811/05/07/pdfs/GEI-1811-60.pdf#page=3","Abrir facsímil")</f>
        <v>Abrir facsímil</v>
      </c>
      <c r="K6593" s="3" t="s">
        <v>150</v>
      </c>
    </row>
    <row r="6594" spans="1:11" ht="42" customHeight="1">
      <c r="A6594" s="2" t="s">
        <v>16941</v>
      </c>
      <c r="B6594" s="2" t="s">
        <v>16942</v>
      </c>
      <c r="C6594" s="2" t="s">
        <v>26</v>
      </c>
      <c r="D6594" s="2" t="s">
        <v>141</v>
      </c>
      <c r="E6594" s="4">
        <v>-32188</v>
      </c>
      <c r="F6594" s="3" t="s">
        <v>505</v>
      </c>
      <c r="G6594" s="3" t="s">
        <v>162</v>
      </c>
      <c r="H6594" s="2" t="s">
        <v>148</v>
      </c>
      <c r="I6594" s="2" t="s">
        <v>16943</v>
      </c>
      <c r="J6594" s="3" t="str">
        <f>HYPERLINK("https://www.boe.es/gazeta/dias/1811/11/14/pdfs/GEI-D-1811-149.pdf#page=4","Abrir facsímil")</f>
        <v>Abrir facsímil</v>
      </c>
      <c r="K6594" s="3" t="s">
        <v>150</v>
      </c>
    </row>
    <row r="6595" spans="1:11" ht="42" customHeight="1">
      <c r="A6595" s="2" t="s">
        <v>16944</v>
      </c>
      <c r="B6595" s="2" t="s">
        <v>16944</v>
      </c>
      <c r="C6595" s="2" t="s">
        <v>17</v>
      </c>
      <c r="D6595" s="2" t="s">
        <v>156</v>
      </c>
      <c r="E6595" s="4">
        <v>-32405</v>
      </c>
      <c r="F6595" s="3" t="s">
        <v>1413</v>
      </c>
      <c r="G6595" s="3" t="s">
        <v>3218</v>
      </c>
      <c r="H6595" s="2" t="s">
        <v>148</v>
      </c>
      <c r="I6595" s="2" t="s">
        <v>16945</v>
      </c>
      <c r="J6595" s="3" t="str">
        <f>HYPERLINK("https://www.boe.es/gazeta/dias/1811/04/11/pdfs/GEI-1811-49.pdf#page=2","Abrir facsímil")</f>
        <v>Abrir facsímil</v>
      </c>
      <c r="K6595" s="3" t="s">
        <v>150</v>
      </c>
    </row>
    <row r="6596" spans="1:11" ht="42" customHeight="1">
      <c r="A6596" s="2" t="s">
        <v>16944</v>
      </c>
      <c r="B6596" s="2" t="s">
        <v>16944</v>
      </c>
      <c r="C6596" s="2" t="s">
        <v>17</v>
      </c>
      <c r="D6596" s="2" t="s">
        <v>18</v>
      </c>
      <c r="E6596" s="4">
        <v>-32287</v>
      </c>
      <c r="F6596" s="3" t="s">
        <v>16946</v>
      </c>
      <c r="G6596" s="3" t="s">
        <v>1463</v>
      </c>
      <c r="H6596" s="2" t="s">
        <v>148</v>
      </c>
      <c r="I6596" s="2" t="s">
        <v>16947</v>
      </c>
      <c r="J6596" s="3" t="str">
        <f>HYPERLINK("https://www.boe.es/gazeta/dias/1811/08/07/pdfs/GMD-1811-219.pdf#page=3","Abrir facsímil")</f>
        <v>Abrir facsímil</v>
      </c>
      <c r="K6596" s="3" t="s">
        <v>150</v>
      </c>
    </row>
    <row r="6597" spans="1:11" ht="42" customHeight="1">
      <c r="A6597" s="2" t="s">
        <v>16944</v>
      </c>
      <c r="B6597" s="2" t="s">
        <v>16944</v>
      </c>
      <c r="C6597" s="2" t="s">
        <v>17</v>
      </c>
      <c r="D6597" s="2" t="s">
        <v>18</v>
      </c>
      <c r="E6597" s="4">
        <v>-32207</v>
      </c>
      <c r="F6597" s="3" t="s">
        <v>152</v>
      </c>
      <c r="G6597" s="3" t="s">
        <v>891</v>
      </c>
      <c r="H6597" s="2" t="s">
        <v>148</v>
      </c>
      <c r="I6597" s="2" t="s">
        <v>16948</v>
      </c>
      <c r="J6597" s="3" t="str">
        <f>HYPERLINK("https://www.boe.es/gazeta/dias/1811/10/26/pdfs/GEI-1811-138.pdf#page=5","Abrir facsímil")</f>
        <v>Abrir facsímil</v>
      </c>
      <c r="K6597" s="3" t="s">
        <v>150</v>
      </c>
    </row>
    <row r="6598" spans="1:11" ht="42" customHeight="1">
      <c r="A6598" s="2" t="s">
        <v>16949</v>
      </c>
      <c r="B6598" s="2" t="s">
        <v>16949</v>
      </c>
      <c r="C6598" s="2" t="s">
        <v>17</v>
      </c>
      <c r="D6598" s="2" t="s">
        <v>18</v>
      </c>
      <c r="E6598" s="4">
        <v>-32207</v>
      </c>
      <c r="F6598" s="3" t="s">
        <v>152</v>
      </c>
      <c r="G6598" s="3" t="s">
        <v>891</v>
      </c>
      <c r="H6598" s="2" t="s">
        <v>148</v>
      </c>
      <c r="I6598" s="2" t="s">
        <v>16950</v>
      </c>
      <c r="J6598" s="3" t="str">
        <f>HYPERLINK("https://www.boe.es/gazeta/dias/1811/10/26/pdfs/GEI-1811-138.pdf#page=5","Abrir facsímil")</f>
        <v>Abrir facsímil</v>
      </c>
      <c r="K6598" s="3" t="s">
        <v>150</v>
      </c>
    </row>
    <row r="6599" spans="1:11" ht="42" customHeight="1">
      <c r="A6599" s="2" t="s">
        <v>16951</v>
      </c>
      <c r="B6599" s="2" t="s">
        <v>16952</v>
      </c>
      <c r="C6599" s="2" t="s">
        <v>26</v>
      </c>
      <c r="D6599" s="2" t="s">
        <v>18</v>
      </c>
      <c r="E6599" s="4">
        <v>-32471</v>
      </c>
      <c r="F6599" s="3" t="s">
        <v>1571</v>
      </c>
      <c r="G6599" s="3" t="s">
        <v>530</v>
      </c>
      <c r="H6599" s="2" t="s">
        <v>148</v>
      </c>
      <c r="I6599" s="2" t="s">
        <v>16953</v>
      </c>
      <c r="J6599" s="3" t="str">
        <f>HYPERLINK("https://www.boe.es/gazeta/dias/1811/02/04/pdfs/GMD-1811-35.pdf#page=3","Abrir facsímil")</f>
        <v>Abrir facsímil</v>
      </c>
      <c r="K6599" s="3" t="s">
        <v>150</v>
      </c>
    </row>
    <row r="6600" spans="1:11" ht="42" customHeight="1">
      <c r="A6600" s="2" t="s">
        <v>16954</v>
      </c>
      <c r="B6600" s="2" t="s">
        <v>16955</v>
      </c>
      <c r="C6600" s="2" t="s">
        <v>17</v>
      </c>
      <c r="D6600" s="2" t="s">
        <v>18</v>
      </c>
      <c r="E6600" s="4">
        <v>-32438</v>
      </c>
      <c r="F6600" s="3" t="s">
        <v>114</v>
      </c>
      <c r="G6600" s="3" t="s">
        <v>115</v>
      </c>
      <c r="H6600" s="2" t="s">
        <v>148</v>
      </c>
      <c r="I6600" s="2" t="s">
        <v>16956</v>
      </c>
      <c r="J6600" s="3" t="str">
        <f>HYPERLINK("https://www.boe.es/gazeta/dias/1811/03/09/pdfs/GEI-1811-33.pdf#page=3","Abrir facsímil")</f>
        <v>Abrir facsímil</v>
      </c>
      <c r="K6600" s="3" t="s">
        <v>150</v>
      </c>
    </row>
    <row r="6601" spans="1:11" ht="42" customHeight="1">
      <c r="A6601" s="2" t="s">
        <v>16957</v>
      </c>
      <c r="B6601" s="2" t="s">
        <v>16958</v>
      </c>
      <c r="C6601" s="2" t="s">
        <v>26</v>
      </c>
      <c r="D6601" s="2" t="s">
        <v>18</v>
      </c>
      <c r="E6601" s="4">
        <v>-32141</v>
      </c>
      <c r="F6601" s="3" t="s">
        <v>327</v>
      </c>
      <c r="G6601" s="3" t="s">
        <v>115</v>
      </c>
      <c r="H6601" s="2" t="s">
        <v>148</v>
      </c>
      <c r="I6601" s="2" t="s">
        <v>16959</v>
      </c>
      <c r="J6601" s="3" t="str">
        <f>HYPERLINK("https://www.boe.es/gazeta/dias/1811/12/31/pdfs/GMD-1811-365.pdf#page=3","Abrir facsímil")</f>
        <v>Abrir facsímil</v>
      </c>
      <c r="K6601" s="3" t="s">
        <v>150</v>
      </c>
    </row>
    <row r="6602" spans="1:11" ht="42" customHeight="1">
      <c r="A6602" s="2" t="s">
        <v>16960</v>
      </c>
      <c r="B6602" s="2" t="s">
        <v>16961</v>
      </c>
      <c r="C6602" s="2" t="s">
        <v>26</v>
      </c>
      <c r="D6602" s="2" t="s">
        <v>18</v>
      </c>
      <c r="E6602" s="4">
        <v>-32153</v>
      </c>
      <c r="F6602" s="3" t="s">
        <v>235</v>
      </c>
      <c r="G6602" s="3" t="s">
        <v>2181</v>
      </c>
      <c r="H6602" s="2" t="s">
        <v>148</v>
      </c>
      <c r="I6602" s="2" t="s">
        <v>16962</v>
      </c>
      <c r="J6602" s="3" t="str">
        <f>HYPERLINK("https://www.boe.es/gazeta/dias/1811/12/19/pdfs/GEI-1811-164.pdf#page=8","Abrir facsímil")</f>
        <v>Abrir facsímil</v>
      </c>
      <c r="K6602" s="3" t="s">
        <v>150</v>
      </c>
    </row>
    <row r="6603" spans="1:11" ht="42" customHeight="1">
      <c r="A6603" s="2" t="s">
        <v>16963</v>
      </c>
      <c r="B6603" s="2" t="s">
        <v>16964</v>
      </c>
      <c r="C6603" s="2" t="s">
        <v>26</v>
      </c>
      <c r="D6603" s="2" t="s">
        <v>18</v>
      </c>
      <c r="E6603" s="4">
        <v>-32505</v>
      </c>
      <c r="F6603" s="3" t="s">
        <v>475</v>
      </c>
      <c r="G6603" s="3" t="s">
        <v>755</v>
      </c>
      <c r="H6603" s="2" t="s">
        <v>148</v>
      </c>
      <c r="I6603" s="2" t="s">
        <v>16965</v>
      </c>
      <c r="J6603" s="3" t="str">
        <f>HYPERLINK("https://www.boe.es/gazeta/dias/1811/01/01/pdfs/GEI-1811-1.pdf#page=8","Abrir facsímil")</f>
        <v>Abrir facsímil</v>
      </c>
      <c r="K6603" s="3" t="s">
        <v>150</v>
      </c>
    </row>
    <row r="6604" spans="1:11" ht="42" customHeight="1">
      <c r="A6604" s="2" t="s">
        <v>16966</v>
      </c>
      <c r="B6604" s="2" t="s">
        <v>16967</v>
      </c>
      <c r="C6604" s="2" t="s">
        <v>26</v>
      </c>
      <c r="D6604" s="2" t="s">
        <v>18</v>
      </c>
      <c r="E6604" s="4">
        <v>-32505</v>
      </c>
      <c r="F6604" s="3" t="s">
        <v>475</v>
      </c>
      <c r="G6604" s="3" t="s">
        <v>476</v>
      </c>
      <c r="H6604" s="2" t="s">
        <v>148</v>
      </c>
      <c r="I6604" s="2" t="s">
        <v>16968</v>
      </c>
      <c r="J6604" s="3" t="str">
        <f>HYPERLINK("https://www.boe.es/gazeta/dias/1811/01/01/pdfs/GEI-1811-1.pdf#page=7","Abrir facsímil")</f>
        <v>Abrir facsímil</v>
      </c>
      <c r="K6604" s="3" t="s">
        <v>150</v>
      </c>
    </row>
    <row r="6605" spans="1:11" ht="42" customHeight="1">
      <c r="A6605" s="2" t="s">
        <v>16969</v>
      </c>
      <c r="B6605" s="2" t="s">
        <v>16970</v>
      </c>
      <c r="C6605" s="2" t="s">
        <v>84</v>
      </c>
      <c r="D6605" s="2" t="s">
        <v>105</v>
      </c>
      <c r="E6605" s="4">
        <v>-32396</v>
      </c>
      <c r="F6605" s="3" t="s">
        <v>804</v>
      </c>
      <c r="G6605" s="3" t="s">
        <v>805</v>
      </c>
      <c r="H6605" s="2" t="s">
        <v>148</v>
      </c>
      <c r="I6605" s="2" t="s">
        <v>16971</v>
      </c>
      <c r="J6605" s="3" t="str">
        <f>HYPERLINK("https://www.boe.es/gazeta/dias/1811/04/20/pdfs/GEI-D-1811-53.pdf#page=4","Abrir facsímil")</f>
        <v>Abrir facsímil</v>
      </c>
      <c r="K6605" s="3" t="s">
        <v>150</v>
      </c>
    </row>
    <row r="6606" spans="1:11" ht="42" customHeight="1">
      <c r="A6606" s="2" t="s">
        <v>16972</v>
      </c>
      <c r="B6606" s="2" t="s">
        <v>16973</v>
      </c>
      <c r="C6606" s="2" t="s">
        <v>26</v>
      </c>
      <c r="D6606" s="2" t="s">
        <v>18</v>
      </c>
      <c r="E6606" s="4">
        <v>-32503</v>
      </c>
      <c r="F6606" s="3" t="s">
        <v>487</v>
      </c>
      <c r="G6606" s="3" t="s">
        <v>1930</v>
      </c>
      <c r="H6606" s="2" t="s">
        <v>148</v>
      </c>
      <c r="I6606" s="2" t="s">
        <v>16974</v>
      </c>
      <c r="J6606" s="3" t="str">
        <f>HYPERLINK("https://www.boe.es/gazeta/dias/1811/01/03/pdfs/GEI-1811-2.pdf#page=8","Abrir facsímil")</f>
        <v>Abrir facsímil</v>
      </c>
      <c r="K6606" s="3" t="s">
        <v>150</v>
      </c>
    </row>
    <row r="6607" spans="1:11" ht="42" customHeight="1">
      <c r="A6607" s="2" t="s">
        <v>16972</v>
      </c>
      <c r="B6607" s="2" t="s">
        <v>16973</v>
      </c>
      <c r="C6607" s="2" t="s">
        <v>37</v>
      </c>
      <c r="D6607" s="2" t="s">
        <v>18</v>
      </c>
      <c r="E6607" s="4">
        <v>-32145</v>
      </c>
      <c r="F6607" s="3" t="s">
        <v>417</v>
      </c>
      <c r="G6607" s="3" t="s">
        <v>418</v>
      </c>
      <c r="H6607" s="2" t="s">
        <v>148</v>
      </c>
      <c r="I6607" s="2" t="s">
        <v>16975</v>
      </c>
      <c r="J6607" s="3" t="str">
        <f>HYPERLINK("https://www.boe.es/gazeta/dias/1811/12/27/pdfs/GMD-1811-361.pdf#page=4","Abrir facsímil")</f>
        <v>Abrir facsímil</v>
      </c>
      <c r="K6607" s="3" t="s">
        <v>150</v>
      </c>
    </row>
    <row r="6608" spans="1:11" ht="42" customHeight="1">
      <c r="A6608" s="2" t="s">
        <v>16976</v>
      </c>
      <c r="B6608" s="2" t="s">
        <v>16977</v>
      </c>
      <c r="C6608" s="2" t="s">
        <v>26</v>
      </c>
      <c r="D6608" s="2" t="s">
        <v>141</v>
      </c>
      <c r="E6608" s="4">
        <v>-32238</v>
      </c>
      <c r="F6608" s="3" t="s">
        <v>166</v>
      </c>
      <c r="G6608" s="3" t="s">
        <v>129</v>
      </c>
      <c r="H6608" s="2" t="s">
        <v>148</v>
      </c>
      <c r="I6608" s="2" t="s">
        <v>16978</v>
      </c>
      <c r="J6608" s="3" t="str">
        <f>HYPERLINK("https://www.boe.es/gazeta/dias/1811/09/25/pdfs/GMD-C-1811-268.pdf#page=1","Abrir facsímil")</f>
        <v>Abrir facsímil</v>
      </c>
      <c r="K6608" s="3" t="s">
        <v>150</v>
      </c>
    </row>
    <row r="6609" spans="1:11" ht="42" customHeight="1">
      <c r="A6609" s="2" t="s">
        <v>16979</v>
      </c>
      <c r="B6609" s="2" t="s">
        <v>16980</v>
      </c>
      <c r="C6609" s="2" t="s">
        <v>26</v>
      </c>
      <c r="D6609" s="2" t="s">
        <v>18</v>
      </c>
      <c r="E6609" s="4">
        <v>-32195</v>
      </c>
      <c r="F6609" s="3" t="s">
        <v>439</v>
      </c>
      <c r="G6609" s="3" t="s">
        <v>440</v>
      </c>
      <c r="H6609" s="2" t="s">
        <v>148</v>
      </c>
      <c r="I6609" s="2" t="s">
        <v>16981</v>
      </c>
      <c r="J6609" s="3" t="str">
        <f>HYPERLINK("https://www.boe.es/gazeta/dias/1811/11/07/pdfs/GEI-1811-144.pdf#page=8","Abrir facsímil")</f>
        <v>Abrir facsímil</v>
      </c>
      <c r="K6609" s="3" t="s">
        <v>150</v>
      </c>
    </row>
    <row r="6610" spans="1:11" ht="42" customHeight="1">
      <c r="A6610" s="2" t="s">
        <v>16982</v>
      </c>
      <c r="B6610" s="2" t="s">
        <v>16982</v>
      </c>
      <c r="C6610" s="2" t="s">
        <v>17</v>
      </c>
      <c r="D6610" s="2" t="s">
        <v>18</v>
      </c>
      <c r="E6610" s="4">
        <v>-32152</v>
      </c>
      <c r="F6610" s="3" t="s">
        <v>1673</v>
      </c>
      <c r="G6610" s="3" t="s">
        <v>57</v>
      </c>
      <c r="H6610" s="2" t="s">
        <v>148</v>
      </c>
      <c r="I6610" s="2" t="s">
        <v>16983</v>
      </c>
      <c r="J6610" s="3" t="str">
        <f>HYPERLINK("https://www.boe.es/gazeta/dias/1811/12/20/pdfs/GMD-1811-354.pdf#page=2","Abrir facsímil")</f>
        <v>Abrir facsímil</v>
      </c>
      <c r="K6610" s="3" t="s">
        <v>150</v>
      </c>
    </row>
    <row r="6611" spans="1:11" ht="42" customHeight="1">
      <c r="A6611" s="2" t="s">
        <v>16984</v>
      </c>
      <c r="B6611" s="2" t="s">
        <v>16985</v>
      </c>
      <c r="C6611" s="2" t="s">
        <v>26</v>
      </c>
      <c r="D6611" s="2" t="s">
        <v>18</v>
      </c>
      <c r="E6611" s="4">
        <v>-32153</v>
      </c>
      <c r="F6611" s="3" t="s">
        <v>123</v>
      </c>
      <c r="G6611" s="3" t="s">
        <v>124</v>
      </c>
      <c r="H6611" s="2" t="s">
        <v>148</v>
      </c>
      <c r="I6611" s="2" t="s">
        <v>16986</v>
      </c>
      <c r="J6611" s="3" t="str">
        <f>HYPERLINK("https://www.boe.es/gazeta/dias/1811/12/19/pdfs/GMD-1811-353.pdf#page=6","Abrir facsímil")</f>
        <v>Abrir facsímil</v>
      </c>
      <c r="K6611" s="3" t="s">
        <v>150</v>
      </c>
    </row>
    <row r="6612" spans="1:11" ht="42" customHeight="1">
      <c r="A6612" s="2" t="s">
        <v>16987</v>
      </c>
      <c r="B6612" s="2" t="s">
        <v>16987</v>
      </c>
      <c r="C6612" s="2" t="s">
        <v>17</v>
      </c>
      <c r="D6612" s="2" t="s">
        <v>204</v>
      </c>
      <c r="E6612" s="4">
        <v>-32161</v>
      </c>
      <c r="F6612" s="3" t="s">
        <v>2826</v>
      </c>
      <c r="G6612" s="3" t="s">
        <v>115</v>
      </c>
      <c r="H6612" s="2" t="s">
        <v>148</v>
      </c>
      <c r="I6612" s="2" t="s">
        <v>16988</v>
      </c>
      <c r="J6612" s="3" t="str">
        <f>HYPERLINK("https://www.boe.es/gazeta/dias/1811/12/11/pdfs/GMD-1811-345.pdf#page=3","Abrir facsímil")</f>
        <v>Abrir facsímil</v>
      </c>
      <c r="K6612" s="3" t="s">
        <v>150</v>
      </c>
    </row>
    <row r="6613" spans="1:11" ht="42" customHeight="1">
      <c r="A6613" s="2" t="s">
        <v>16989</v>
      </c>
      <c r="B6613" s="2" t="s">
        <v>16990</v>
      </c>
      <c r="C6613" s="2" t="s">
        <v>17</v>
      </c>
      <c r="D6613" s="2" t="s">
        <v>156</v>
      </c>
      <c r="E6613" s="4">
        <v>-32270</v>
      </c>
      <c r="F6613" s="3" t="s">
        <v>431</v>
      </c>
      <c r="G6613" s="3" t="s">
        <v>2080</v>
      </c>
      <c r="H6613" s="2" t="s">
        <v>148</v>
      </c>
      <c r="I6613" s="2" t="s">
        <v>16991</v>
      </c>
      <c r="J6613" s="3" t="str">
        <f>HYPERLINK("https://www.boe.es/gazeta/dias/1811/08/24/pdfs/GEI-1811-110.pdf#page=5","Abrir facsímil")</f>
        <v>Abrir facsímil</v>
      </c>
      <c r="K6613" s="3" t="s">
        <v>150</v>
      </c>
    </row>
    <row r="6614" spans="1:11" ht="42" customHeight="1">
      <c r="A6614" s="2" t="s">
        <v>16989</v>
      </c>
      <c r="B6614" s="2" t="s">
        <v>16990</v>
      </c>
      <c r="C6614" s="2" t="s">
        <v>26</v>
      </c>
      <c r="D6614" s="2" t="s">
        <v>18</v>
      </c>
      <c r="E6614" s="4">
        <v>-32195</v>
      </c>
      <c r="F6614" s="3" t="s">
        <v>439</v>
      </c>
      <c r="G6614" s="3" t="s">
        <v>440</v>
      </c>
      <c r="H6614" s="2" t="s">
        <v>148</v>
      </c>
      <c r="I6614" s="2" t="s">
        <v>16992</v>
      </c>
      <c r="J6614" s="3" t="str">
        <f>HYPERLINK("https://www.boe.es/gazeta/dias/1811/11/07/pdfs/GEI-1811-144.pdf#page=8","Abrir facsímil")</f>
        <v>Abrir facsímil</v>
      </c>
      <c r="K6614" s="3" t="s">
        <v>150</v>
      </c>
    </row>
    <row r="6615" spans="1:11" ht="42" customHeight="1">
      <c r="A6615" s="2" t="s">
        <v>16993</v>
      </c>
      <c r="B6615" s="2" t="s">
        <v>16993</v>
      </c>
      <c r="C6615" s="2" t="s">
        <v>17</v>
      </c>
      <c r="D6615" s="2" t="s">
        <v>18</v>
      </c>
      <c r="E6615" s="4">
        <v>-32279</v>
      </c>
      <c r="F6615" s="3" t="s">
        <v>540</v>
      </c>
      <c r="G6615" s="3" t="s">
        <v>20</v>
      </c>
      <c r="H6615" s="2" t="s">
        <v>148</v>
      </c>
      <c r="I6615" s="2" t="s">
        <v>16994</v>
      </c>
      <c r="J6615" s="3" t="str">
        <f>HYPERLINK("https://www.boe.es/gazeta/dias/1811/08/15/pdfs/GMD-1811-227.pdf#page=4","Abrir facsímil")</f>
        <v>Abrir facsímil</v>
      </c>
      <c r="K6615" s="3" t="s">
        <v>150</v>
      </c>
    </row>
    <row r="6616" spans="1:11" ht="42" customHeight="1">
      <c r="A6616" s="2" t="s">
        <v>16995</v>
      </c>
      <c r="B6616" s="2" t="s">
        <v>16996</v>
      </c>
      <c r="C6616" s="2" t="s">
        <v>122</v>
      </c>
      <c r="D6616" s="2" t="s">
        <v>18</v>
      </c>
      <c r="E6616" s="4">
        <v>-32449</v>
      </c>
      <c r="F6616" s="3" t="s">
        <v>381</v>
      </c>
      <c r="G6616" s="3" t="s">
        <v>382</v>
      </c>
      <c r="H6616" s="2" t="s">
        <v>148</v>
      </c>
      <c r="I6616" s="2" t="s">
        <v>16997</v>
      </c>
      <c r="J6616" s="3" t="str">
        <f>HYPERLINK("https://www.boe.es/gazeta/dias/1811/02/26/pdfs/GEI-1811-25.pdf#page=8","Abrir facsímil")</f>
        <v>Abrir facsímil</v>
      </c>
      <c r="K6616" s="3" t="s">
        <v>150</v>
      </c>
    </row>
    <row r="6617" spans="1:11" ht="42" customHeight="1">
      <c r="A6617" s="2" t="s">
        <v>16998</v>
      </c>
      <c r="B6617" s="2" t="s">
        <v>16999</v>
      </c>
      <c r="C6617" s="2" t="s">
        <v>26</v>
      </c>
      <c r="D6617" s="2" t="s">
        <v>18</v>
      </c>
      <c r="E6617" s="4">
        <v>-32242</v>
      </c>
      <c r="F6617" s="3" t="s">
        <v>1295</v>
      </c>
      <c r="G6617" s="3" t="s">
        <v>1296</v>
      </c>
      <c r="H6617" s="2" t="s">
        <v>148</v>
      </c>
      <c r="I6617" s="2" t="s">
        <v>17000</v>
      </c>
      <c r="J6617" s="3" t="str">
        <f>HYPERLINK("https://www.boe.es/gazeta/dias/1811/09/21/pdfs/GEI-1811-122.pdf#page=8","Abrir facsímil")</f>
        <v>Abrir facsímil</v>
      </c>
      <c r="K6617" s="3" t="s">
        <v>150</v>
      </c>
    </row>
    <row r="6618" spans="1:11" ht="42" customHeight="1">
      <c r="A6618" s="2" t="s">
        <v>17001</v>
      </c>
      <c r="B6618" s="2" t="s">
        <v>17002</v>
      </c>
      <c r="C6618" s="2" t="s">
        <v>17</v>
      </c>
      <c r="D6618" s="2" t="s">
        <v>141</v>
      </c>
      <c r="E6618" s="4">
        <v>-32319</v>
      </c>
      <c r="F6618" s="3" t="s">
        <v>907</v>
      </c>
      <c r="G6618" s="3" t="s">
        <v>134</v>
      </c>
      <c r="H6618" s="2" t="s">
        <v>148</v>
      </c>
      <c r="I6618" s="2" t="s">
        <v>17003</v>
      </c>
      <c r="J6618" s="3" t="str">
        <f>HYPERLINK("https://www.boe.es/gazeta/dias/1811/07/06/pdfs/GEI-D-1811-89.pdf#page=4","Abrir facsímil")</f>
        <v>Abrir facsímil</v>
      </c>
      <c r="K6618" s="3" t="s">
        <v>150</v>
      </c>
    </row>
    <row r="6619" spans="1:11" ht="42" customHeight="1">
      <c r="A6619" s="2" t="s">
        <v>17004</v>
      </c>
      <c r="B6619" s="2" t="s">
        <v>17005</v>
      </c>
      <c r="C6619" s="2" t="s">
        <v>26</v>
      </c>
      <c r="D6619" s="2" t="s">
        <v>18</v>
      </c>
      <c r="E6619" s="4">
        <v>-32452</v>
      </c>
      <c r="F6619" s="3" t="s">
        <v>106</v>
      </c>
      <c r="G6619" s="3" t="s">
        <v>20</v>
      </c>
      <c r="H6619" s="2" t="s">
        <v>148</v>
      </c>
      <c r="I6619" s="2" t="s">
        <v>17006</v>
      </c>
      <c r="J6619" s="3" t="str">
        <f>HYPERLINK("https://www.boe.es/gazeta/dias/1811/02/23/pdfs/GEI-1811-24.pdf#page=8","Abrir facsímil")</f>
        <v>Abrir facsímil</v>
      </c>
      <c r="K6619" s="3" t="s">
        <v>150</v>
      </c>
    </row>
    <row r="6620" spans="1:11" ht="42" customHeight="1">
      <c r="A6620" s="2" t="s">
        <v>17007</v>
      </c>
      <c r="B6620" s="2" t="s">
        <v>17008</v>
      </c>
      <c r="C6620" s="2" t="s">
        <v>37</v>
      </c>
      <c r="D6620" s="2" t="s">
        <v>18</v>
      </c>
      <c r="E6620" s="4">
        <v>-32472</v>
      </c>
      <c r="F6620" s="3" t="s">
        <v>398</v>
      </c>
      <c r="G6620" s="3" t="s">
        <v>382</v>
      </c>
      <c r="H6620" s="2" t="s">
        <v>148</v>
      </c>
      <c r="I6620" s="2" t="s">
        <v>17009</v>
      </c>
      <c r="J6620" s="3" t="str">
        <f>HYPERLINK("https://www.boe.es/gazeta/dias/1811/02/03/pdfs/GMD-1811-34.pdf#page=2","Abrir facsímil")</f>
        <v>Abrir facsímil</v>
      </c>
      <c r="K6620" s="3" t="s">
        <v>150</v>
      </c>
    </row>
    <row r="6621" spans="1:11" ht="42" customHeight="1">
      <c r="A6621" s="2" t="s">
        <v>17010</v>
      </c>
      <c r="B6621" s="2" t="s">
        <v>17011</v>
      </c>
      <c r="C6621" s="2" t="s">
        <v>66</v>
      </c>
      <c r="D6621" s="2" t="s">
        <v>141</v>
      </c>
      <c r="E6621" s="4">
        <v>-32355</v>
      </c>
      <c r="F6621" s="3" t="s">
        <v>537</v>
      </c>
      <c r="G6621" s="3" t="s">
        <v>593</v>
      </c>
      <c r="H6621" s="2" t="s">
        <v>148</v>
      </c>
      <c r="I6621" s="2" t="s">
        <v>17012</v>
      </c>
      <c r="J6621" s="3" t="str">
        <f>HYPERLINK("https://www.boe.es/gazeta/dias/1811/05/31/pdfs/GMD-C-1811-151.pdf#page=15","Abrir facsímil")</f>
        <v>Abrir facsímil</v>
      </c>
      <c r="K6621" s="3" t="s">
        <v>150</v>
      </c>
    </row>
    <row r="6622" spans="1:11" ht="42" customHeight="1">
      <c r="A6622" s="2" t="s">
        <v>17013</v>
      </c>
      <c r="B6622" s="2" t="s">
        <v>17014</v>
      </c>
      <c r="C6622" s="2" t="s">
        <v>26</v>
      </c>
      <c r="D6622" s="2" t="s">
        <v>18</v>
      </c>
      <c r="E6622" s="4">
        <v>-32326</v>
      </c>
      <c r="F6622" s="3" t="s">
        <v>43</v>
      </c>
      <c r="G6622" s="3" t="s">
        <v>44</v>
      </c>
      <c r="H6622" s="2" t="s">
        <v>148</v>
      </c>
      <c r="I6622" s="2" t="s">
        <v>17015</v>
      </c>
      <c r="J6622" s="3" t="str">
        <f>HYPERLINK("https://www.boe.es/gazeta/dias/1811/06/29/pdfs/GEI-1811-86.pdf#page=6","Abrir facsímil")</f>
        <v>Abrir facsímil</v>
      </c>
      <c r="K6622" s="3" t="s">
        <v>150</v>
      </c>
    </row>
    <row r="6623" spans="1:11" ht="42" customHeight="1">
      <c r="A6623" s="2" t="s">
        <v>17016</v>
      </c>
      <c r="B6623" s="2" t="s">
        <v>17017</v>
      </c>
      <c r="C6623" s="2" t="s">
        <v>17</v>
      </c>
      <c r="D6623" s="2" t="s">
        <v>18</v>
      </c>
      <c r="E6623" s="4">
        <v>-32253</v>
      </c>
      <c r="F6623" s="3" t="s">
        <v>581</v>
      </c>
      <c r="G6623" s="3" t="s">
        <v>120</v>
      </c>
      <c r="H6623" s="2" t="s">
        <v>148</v>
      </c>
      <c r="I6623" s="2" t="s">
        <v>17018</v>
      </c>
      <c r="J6623" s="3" t="str">
        <f>HYPERLINK("https://www.boe.es/gazeta/dias/1811/09/10/pdfs/GEI-1811-117.pdf#page=6","Abrir facsímil")</f>
        <v>Abrir facsímil</v>
      </c>
      <c r="K6623" s="3" t="s">
        <v>150</v>
      </c>
    </row>
    <row r="6624" spans="1:11" ht="42" customHeight="1">
      <c r="A6624" s="2" t="s">
        <v>17019</v>
      </c>
      <c r="B6624" s="2" t="s">
        <v>17020</v>
      </c>
      <c r="C6624" s="2" t="s">
        <v>104</v>
      </c>
      <c r="D6624" s="2" t="s">
        <v>141</v>
      </c>
      <c r="E6624" s="4">
        <v>-32211</v>
      </c>
      <c r="F6624" s="3" t="s">
        <v>2887</v>
      </c>
      <c r="G6624" s="3" t="s">
        <v>2888</v>
      </c>
      <c r="H6624" s="2" t="s">
        <v>148</v>
      </c>
      <c r="I6624" s="2" t="s">
        <v>17021</v>
      </c>
      <c r="J6624" s="3" t="str">
        <f>HYPERLINK("https://www.boe.es/gazeta/dias/1811/10/22/pdfs/GEI-D-1811-136.pdf#page=4","Abrir facsímil")</f>
        <v>Abrir facsímil</v>
      </c>
      <c r="K6624" s="3" t="s">
        <v>150</v>
      </c>
    </row>
    <row r="6625" spans="1:11" ht="42" customHeight="1">
      <c r="A6625" s="2" t="s">
        <v>17022</v>
      </c>
      <c r="B6625" s="2" t="s">
        <v>17022</v>
      </c>
      <c r="C6625" s="2" t="s">
        <v>104</v>
      </c>
      <c r="D6625" s="2" t="s">
        <v>18</v>
      </c>
      <c r="E6625" s="4">
        <v>-32194</v>
      </c>
      <c r="F6625" s="3" t="s">
        <v>1062</v>
      </c>
      <c r="G6625" s="3" t="s">
        <v>2908</v>
      </c>
      <c r="H6625" s="2" t="s">
        <v>148</v>
      </c>
      <c r="I6625" s="2" t="s">
        <v>17023</v>
      </c>
      <c r="J6625" s="3" t="str">
        <f>HYPERLINK("https://www.boe.es/gazeta/dias/1811/11/08/pdfs/GMD-1811-312.pdf#page=1","Abrir facsímil")</f>
        <v>Abrir facsímil</v>
      </c>
      <c r="K6625" s="3" t="s">
        <v>150</v>
      </c>
    </row>
    <row r="6626" spans="1:11" ht="42" customHeight="1">
      <c r="A6626" s="2" t="s">
        <v>17024</v>
      </c>
      <c r="B6626" s="2" t="s">
        <v>17025</v>
      </c>
      <c r="C6626" s="2" t="s">
        <v>104</v>
      </c>
      <c r="D6626" s="2" t="s">
        <v>18</v>
      </c>
      <c r="E6626" s="4">
        <v>-32279</v>
      </c>
      <c r="F6626" s="3" t="s">
        <v>540</v>
      </c>
      <c r="G6626" s="3" t="s">
        <v>20</v>
      </c>
      <c r="H6626" s="2" t="s">
        <v>148</v>
      </c>
      <c r="I6626" s="2" t="s">
        <v>17026</v>
      </c>
      <c r="J6626" s="3" t="str">
        <f>HYPERLINK("https://www.boe.es/gazeta/dias/1811/08/15/pdfs/GMD-1811-227.pdf#page=4","Abrir facsímil")</f>
        <v>Abrir facsímil</v>
      </c>
      <c r="K6626" s="3" t="s">
        <v>150</v>
      </c>
    </row>
    <row r="6627" spans="1:11" ht="42" customHeight="1">
      <c r="A6627" s="2" t="s">
        <v>17027</v>
      </c>
      <c r="B6627" s="2" t="s">
        <v>17028</v>
      </c>
      <c r="C6627" s="2" t="s">
        <v>26</v>
      </c>
      <c r="D6627" s="2" t="s">
        <v>18</v>
      </c>
      <c r="E6627" s="4">
        <v>-32379</v>
      </c>
      <c r="F6627" s="3" t="s">
        <v>462</v>
      </c>
      <c r="G6627" s="3" t="s">
        <v>463</v>
      </c>
      <c r="H6627" s="2" t="s">
        <v>148</v>
      </c>
      <c r="I6627" s="2" t="s">
        <v>17029</v>
      </c>
      <c r="J6627" s="3" t="str">
        <f>HYPERLINK("https://www.boe.es/gazeta/dias/1811/05/07/pdfs/GEI-1811-60.pdf#page=8","Abrir facsímil")</f>
        <v>Abrir facsímil</v>
      </c>
      <c r="K6627" s="3" t="s">
        <v>150</v>
      </c>
    </row>
    <row r="6628" spans="1:11" ht="42" customHeight="1">
      <c r="A6628" s="2" t="s">
        <v>17030</v>
      </c>
      <c r="B6628" s="2" t="s">
        <v>17030</v>
      </c>
      <c r="C6628" s="2" t="s">
        <v>17</v>
      </c>
      <c r="D6628" s="2" t="s">
        <v>18</v>
      </c>
      <c r="E6628" s="4">
        <v>-32317</v>
      </c>
      <c r="F6628" s="3" t="s">
        <v>2313</v>
      </c>
      <c r="G6628" s="3" t="s">
        <v>178</v>
      </c>
      <c r="H6628" s="2" t="s">
        <v>148</v>
      </c>
      <c r="I6628" s="2" t="s">
        <v>17031</v>
      </c>
      <c r="J6628" s="3" t="str">
        <f>HYPERLINK("https://www.boe.es/gazeta/dias/1811/07/08/pdfs/GMD-1811-189.pdf#page=4","Abrir facsímil")</f>
        <v>Abrir facsímil</v>
      </c>
      <c r="K6628" s="3" t="s">
        <v>150</v>
      </c>
    </row>
    <row r="6629" spans="1:11" ht="42" customHeight="1">
      <c r="A6629" s="2" t="s">
        <v>17030</v>
      </c>
      <c r="B6629" s="2" t="s">
        <v>17030</v>
      </c>
      <c r="C6629" s="2" t="s">
        <v>17</v>
      </c>
      <c r="D6629" s="2" t="s">
        <v>18</v>
      </c>
      <c r="E6629" s="4">
        <v>-32230</v>
      </c>
      <c r="F6629" s="3" t="s">
        <v>625</v>
      </c>
      <c r="G6629" s="3" t="s">
        <v>626</v>
      </c>
      <c r="H6629" s="2" t="s">
        <v>148</v>
      </c>
      <c r="I6629" s="2" t="s">
        <v>17032</v>
      </c>
      <c r="J6629" s="3" t="str">
        <f>HYPERLINK("https://www.boe.es/gazeta/dias/1811/10/03/pdfs/GEI-1811-127.pdf#page=3","Abrir facsímil")</f>
        <v>Abrir facsímil</v>
      </c>
      <c r="K6629" s="3" t="s">
        <v>150</v>
      </c>
    </row>
    <row r="6630" spans="1:11" ht="42" customHeight="1">
      <c r="A6630" s="2" t="s">
        <v>17030</v>
      </c>
      <c r="B6630" s="2" t="s">
        <v>17030</v>
      </c>
      <c r="C6630" s="2" t="s">
        <v>37</v>
      </c>
      <c r="D6630" s="2" t="s">
        <v>18</v>
      </c>
      <c r="E6630" s="4">
        <v>-32207</v>
      </c>
      <c r="F6630" s="3" t="s">
        <v>2761</v>
      </c>
      <c r="G6630" s="3" t="s">
        <v>178</v>
      </c>
      <c r="H6630" s="2" t="s">
        <v>148</v>
      </c>
      <c r="I6630" s="2" t="s">
        <v>17033</v>
      </c>
      <c r="J6630" s="3" t="str">
        <f>HYPERLINK("https://www.boe.es/gazeta/dias/1811/10/26/pdfs/GMD-1811-299.pdf#page=1","Abrir facsímil")</f>
        <v>Abrir facsímil</v>
      </c>
      <c r="K6630" s="3" t="s">
        <v>150</v>
      </c>
    </row>
    <row r="6631" spans="1:11" ht="42" customHeight="1">
      <c r="A6631" s="2" t="s">
        <v>17034</v>
      </c>
      <c r="B6631" s="2" t="s">
        <v>17035</v>
      </c>
      <c r="C6631" s="2" t="s">
        <v>26</v>
      </c>
      <c r="D6631" s="2" t="s">
        <v>18</v>
      </c>
      <c r="E6631" s="4">
        <v>-32172</v>
      </c>
      <c r="F6631" s="3" t="s">
        <v>300</v>
      </c>
      <c r="G6631" s="3" t="s">
        <v>301</v>
      </c>
      <c r="H6631" s="2" t="s">
        <v>148</v>
      </c>
      <c r="I6631" s="2" t="s">
        <v>17036</v>
      </c>
      <c r="J6631" s="3" t="str">
        <f>HYPERLINK("https://www.boe.es/gazeta/dias/1811/11/30/pdfs/GMD-1811-334.pdf#page=4","Abrir facsímil")</f>
        <v>Abrir facsímil</v>
      </c>
      <c r="K6631" s="3" t="s">
        <v>150</v>
      </c>
    </row>
    <row r="6632" spans="1:11" ht="42" customHeight="1">
      <c r="A6632" s="2" t="s">
        <v>17037</v>
      </c>
      <c r="B6632" s="2" t="s">
        <v>17037</v>
      </c>
      <c r="C6632" s="2" t="s">
        <v>17</v>
      </c>
      <c r="D6632" s="2" t="s">
        <v>18</v>
      </c>
      <c r="E6632" s="4">
        <v>-32294</v>
      </c>
      <c r="F6632" s="3" t="s">
        <v>3123</v>
      </c>
      <c r="G6632" s="3" t="s">
        <v>2916</v>
      </c>
      <c r="H6632" s="2" t="s">
        <v>148</v>
      </c>
      <c r="I6632" s="2" t="s">
        <v>17038</v>
      </c>
      <c r="J6632" s="3" t="str">
        <f>HYPERLINK("https://www.boe.es/gazeta/dias/1811/07/31/pdfs/GMD-1811-212.pdf#page=3","Abrir facsímil")</f>
        <v>Abrir facsímil</v>
      </c>
      <c r="K6632" s="3" t="s">
        <v>150</v>
      </c>
    </row>
    <row r="6633" spans="1:11" ht="42" customHeight="1">
      <c r="A6633" s="2" t="s">
        <v>17039</v>
      </c>
      <c r="B6633" s="2" t="s">
        <v>17040</v>
      </c>
      <c r="C6633" s="2" t="s">
        <v>26</v>
      </c>
      <c r="D6633" s="2" t="s">
        <v>18</v>
      </c>
      <c r="E6633" s="4">
        <v>-32153</v>
      </c>
      <c r="F6633" s="3" t="s">
        <v>123</v>
      </c>
      <c r="G6633" s="3" t="s">
        <v>124</v>
      </c>
      <c r="H6633" s="2" t="s">
        <v>148</v>
      </c>
      <c r="I6633" s="2" t="s">
        <v>17041</v>
      </c>
      <c r="J6633" s="3" t="str">
        <f>HYPERLINK("https://www.boe.es/gazeta/dias/1811/12/19/pdfs/GMD-1811-353.pdf#page=6","Abrir facsímil")</f>
        <v>Abrir facsímil</v>
      </c>
      <c r="K6633" s="3" t="s">
        <v>150</v>
      </c>
    </row>
    <row r="6634" spans="1:11" ht="42" customHeight="1">
      <c r="A6634" s="2" t="s">
        <v>17042</v>
      </c>
      <c r="B6634" s="2" t="s">
        <v>17043</v>
      </c>
      <c r="C6634" s="2" t="s">
        <v>26</v>
      </c>
      <c r="D6634" s="2" t="s">
        <v>18</v>
      </c>
      <c r="E6634" s="4">
        <v>-32225</v>
      </c>
      <c r="F6634" s="3" t="s">
        <v>390</v>
      </c>
      <c r="G6634" s="3" t="s">
        <v>1368</v>
      </c>
      <c r="H6634" s="2" t="s">
        <v>148</v>
      </c>
      <c r="I6634" s="2" t="s">
        <v>17044</v>
      </c>
      <c r="J6634" s="3" t="str">
        <f>HYPERLINK("https://www.boe.es/gazeta/dias/1811/10/08/pdfs/GEI-1811-129.pdf#page=8","Abrir facsímil")</f>
        <v>Abrir facsímil</v>
      </c>
      <c r="K6634" s="3" t="s">
        <v>150</v>
      </c>
    </row>
    <row r="6635" spans="1:11" ht="42" customHeight="1">
      <c r="A6635" s="2" t="s">
        <v>17045</v>
      </c>
      <c r="B6635" s="2" t="s">
        <v>17046</v>
      </c>
      <c r="C6635" s="2" t="s">
        <v>26</v>
      </c>
      <c r="D6635" s="2" t="s">
        <v>18</v>
      </c>
      <c r="E6635" s="4">
        <v>-32155</v>
      </c>
      <c r="F6635" s="3" t="s">
        <v>263</v>
      </c>
      <c r="G6635" s="3" t="s">
        <v>1800</v>
      </c>
      <c r="H6635" s="2" t="s">
        <v>148</v>
      </c>
      <c r="I6635" s="2" t="s">
        <v>17047</v>
      </c>
      <c r="J6635" s="3" t="str">
        <f>HYPERLINK("https://www.boe.es/gazeta/dias/1811/12/17/pdfs/GEI-1811-163.pdf#page=7","Abrir facsímil")</f>
        <v>Abrir facsímil</v>
      </c>
      <c r="K6635" s="3" t="s">
        <v>150</v>
      </c>
    </row>
    <row r="6636" spans="1:11" ht="42" customHeight="1">
      <c r="A6636" s="2" t="s">
        <v>17048</v>
      </c>
      <c r="B6636" s="2" t="s">
        <v>17049</v>
      </c>
      <c r="C6636" s="2" t="s">
        <v>26</v>
      </c>
      <c r="D6636" s="2" t="s">
        <v>141</v>
      </c>
      <c r="E6636" s="4">
        <v>-32188</v>
      </c>
      <c r="F6636" s="3" t="s">
        <v>505</v>
      </c>
      <c r="G6636" s="3" t="s">
        <v>162</v>
      </c>
      <c r="H6636" s="2" t="s">
        <v>148</v>
      </c>
      <c r="I6636" s="2" t="s">
        <v>17050</v>
      </c>
      <c r="J6636" s="3" t="str">
        <f>HYPERLINK("https://www.boe.es/gazeta/dias/1811/11/14/pdfs/GEI-D-1811-149.pdf#page=4","Abrir facsímil")</f>
        <v>Abrir facsímil</v>
      </c>
      <c r="K6636" s="3" t="s">
        <v>150</v>
      </c>
    </row>
    <row r="6637" spans="1:11" ht="42" customHeight="1">
      <c r="A6637" s="2" t="s">
        <v>17051</v>
      </c>
      <c r="B6637" s="2" t="s">
        <v>17051</v>
      </c>
      <c r="C6637" s="2" t="s">
        <v>17</v>
      </c>
      <c r="D6637" s="2" t="s">
        <v>18</v>
      </c>
      <c r="E6637" s="4">
        <v>-32294</v>
      </c>
      <c r="F6637" s="3" t="s">
        <v>3123</v>
      </c>
      <c r="G6637" s="3" t="s">
        <v>2916</v>
      </c>
      <c r="H6637" s="2" t="s">
        <v>148</v>
      </c>
      <c r="I6637" s="2" t="s">
        <v>17052</v>
      </c>
      <c r="J6637" s="3" t="str">
        <f>HYPERLINK("https://www.boe.es/gazeta/dias/1811/07/31/pdfs/GMD-1811-212.pdf#page=3","Abrir facsímil")</f>
        <v>Abrir facsímil</v>
      </c>
      <c r="K6637" s="3" t="s">
        <v>150</v>
      </c>
    </row>
    <row r="6638" spans="1:11" ht="42" customHeight="1">
      <c r="A6638" s="2" t="s">
        <v>17053</v>
      </c>
      <c r="B6638" s="2" t="s">
        <v>17054</v>
      </c>
      <c r="C6638" s="2" t="s">
        <v>17</v>
      </c>
      <c r="D6638" s="2" t="s">
        <v>18</v>
      </c>
      <c r="E6638" s="4">
        <v>-32375</v>
      </c>
      <c r="F6638" s="3" t="s">
        <v>1209</v>
      </c>
      <c r="G6638" s="3" t="s">
        <v>4086</v>
      </c>
      <c r="H6638" s="2" t="s">
        <v>148</v>
      </c>
      <c r="I6638" s="2" t="s">
        <v>17055</v>
      </c>
      <c r="J6638" s="3" t="str">
        <f>HYPERLINK("https://www.boe.es/gazeta/dias/1811/05/11/pdfs/GEI-1811-62.pdf#page=3","Abrir facsímil")</f>
        <v>Abrir facsímil</v>
      </c>
      <c r="K6638" s="3" t="s">
        <v>150</v>
      </c>
    </row>
    <row r="6639" spans="1:11" ht="42" customHeight="1">
      <c r="A6639" s="2" t="s">
        <v>17056</v>
      </c>
      <c r="B6639" s="2" t="s">
        <v>17057</v>
      </c>
      <c r="C6639" s="2" t="s">
        <v>26</v>
      </c>
      <c r="D6639" s="2" t="s">
        <v>18</v>
      </c>
      <c r="E6639" s="4">
        <v>-32300</v>
      </c>
      <c r="F6639" s="3" t="s">
        <v>492</v>
      </c>
      <c r="G6639" s="3" t="s">
        <v>493</v>
      </c>
      <c r="H6639" s="2" t="s">
        <v>148</v>
      </c>
      <c r="I6639" s="2" t="s">
        <v>17058</v>
      </c>
      <c r="J6639" s="3" t="str">
        <f>HYPERLINK("https://www.boe.es/gazeta/dias/1811/07/25/pdfs/GMD-1811-206.pdf#page=4","Abrir facsímil")</f>
        <v>Abrir facsímil</v>
      </c>
      <c r="K6639" s="3" t="s">
        <v>150</v>
      </c>
    </row>
    <row r="6640" spans="1:11" ht="42" customHeight="1">
      <c r="A6640" s="2" t="s">
        <v>17059</v>
      </c>
      <c r="B6640" s="2" t="s">
        <v>17059</v>
      </c>
      <c r="C6640" s="2" t="s">
        <v>17</v>
      </c>
      <c r="D6640" s="2" t="s">
        <v>18</v>
      </c>
      <c r="E6640" s="4">
        <v>-32375</v>
      </c>
      <c r="F6640" s="3" t="s">
        <v>1209</v>
      </c>
      <c r="G6640" s="3" t="s">
        <v>4086</v>
      </c>
      <c r="H6640" s="2" t="s">
        <v>148</v>
      </c>
      <c r="I6640" s="2" t="s">
        <v>17060</v>
      </c>
      <c r="J6640" s="3" t="str">
        <f>HYPERLINK("https://www.boe.es/gazeta/dias/1811/05/11/pdfs/GEI-1811-62.pdf#page=3","Abrir facsímil")</f>
        <v>Abrir facsímil</v>
      </c>
      <c r="K6640" s="3" t="s">
        <v>150</v>
      </c>
    </row>
    <row r="6641" spans="1:11" ht="42" customHeight="1">
      <c r="A6641" s="2" t="s">
        <v>17061</v>
      </c>
      <c r="B6641" s="2" t="s">
        <v>17061</v>
      </c>
      <c r="C6641" s="2" t="s">
        <v>17</v>
      </c>
      <c r="D6641" s="2" t="s">
        <v>18</v>
      </c>
      <c r="E6641" s="4">
        <v>-32375</v>
      </c>
      <c r="F6641" s="3" t="s">
        <v>1209</v>
      </c>
      <c r="G6641" s="3" t="s">
        <v>11417</v>
      </c>
      <c r="H6641" s="2" t="s">
        <v>148</v>
      </c>
      <c r="I6641" s="2" t="s">
        <v>17062</v>
      </c>
      <c r="J6641" s="3" t="str">
        <f>HYPERLINK("https://www.boe.es/gazeta/dias/1811/05/11/pdfs/GEI-1811-62.pdf#page=2","Abrir facsímil")</f>
        <v>Abrir facsímil</v>
      </c>
      <c r="K6641" s="3" t="s">
        <v>150</v>
      </c>
    </row>
    <row r="6642" spans="1:11" ht="42" customHeight="1">
      <c r="A6642" s="2" t="s">
        <v>17061</v>
      </c>
      <c r="B6642" s="2" t="s">
        <v>17061</v>
      </c>
      <c r="C6642" s="2" t="s">
        <v>17</v>
      </c>
      <c r="D6642" s="2" t="s">
        <v>18</v>
      </c>
      <c r="E6642" s="4">
        <v>-32158</v>
      </c>
      <c r="F6642" s="3" t="s">
        <v>46</v>
      </c>
      <c r="G6642" s="3" t="s">
        <v>17063</v>
      </c>
      <c r="H6642" s="2" t="s">
        <v>148</v>
      </c>
      <c r="I6642" s="2" t="s">
        <v>17064</v>
      </c>
      <c r="J6642" s="3" t="str">
        <f>HYPERLINK("https://www.boe.es/gazeta/dias/1811/12/14/pdfs/GEI-1811-162.pdf#page=5","Abrir facsímil")</f>
        <v>Abrir facsímil</v>
      </c>
      <c r="K6642" s="3" t="s">
        <v>150</v>
      </c>
    </row>
    <row r="6643" spans="1:11" ht="42" customHeight="1">
      <c r="A6643" s="2" t="s">
        <v>17065</v>
      </c>
      <c r="B6643" s="2" t="s">
        <v>17066</v>
      </c>
      <c r="C6643" s="2" t="s">
        <v>26</v>
      </c>
      <c r="D6643" s="2" t="s">
        <v>18</v>
      </c>
      <c r="E6643" s="4">
        <v>-32447</v>
      </c>
      <c r="F6643" s="3" t="s">
        <v>665</v>
      </c>
      <c r="G6643" s="3" t="s">
        <v>57</v>
      </c>
      <c r="H6643" s="2" t="s">
        <v>148</v>
      </c>
      <c r="I6643" s="2" t="s">
        <v>17067</v>
      </c>
      <c r="J6643" s="3" t="str">
        <f>HYPERLINK("https://www.boe.es/gazeta/dias/1811/02/28/pdfs/GMD-1811-59.pdf#page=2","Abrir facsímil")</f>
        <v>Abrir facsímil</v>
      </c>
      <c r="K6643" s="3" t="s">
        <v>150</v>
      </c>
    </row>
    <row r="6644" spans="1:11" ht="42" customHeight="1">
      <c r="A6644" s="2" t="s">
        <v>17068</v>
      </c>
      <c r="B6644" s="2" t="s">
        <v>17068</v>
      </c>
      <c r="C6644" s="2" t="s">
        <v>17</v>
      </c>
      <c r="D6644" s="2" t="s">
        <v>18</v>
      </c>
      <c r="E6644" s="4">
        <v>-32470</v>
      </c>
      <c r="F6644" s="3" t="s">
        <v>1432</v>
      </c>
      <c r="G6644" s="3" t="s">
        <v>9767</v>
      </c>
      <c r="H6644" s="2" t="s">
        <v>148</v>
      </c>
      <c r="I6644" s="2" t="s">
        <v>17069</v>
      </c>
      <c r="J6644" s="3" t="str">
        <f>HYPERLINK("https://www.boe.es/gazeta/dias/1811/02/05/pdfs/GEI-1811-16.pdf#page=6","Abrir facsímil")</f>
        <v>Abrir facsímil</v>
      </c>
      <c r="K6644" s="3" t="s">
        <v>150</v>
      </c>
    </row>
    <row r="6645" spans="1:11" ht="42" customHeight="1">
      <c r="A6645" s="2" t="s">
        <v>17070</v>
      </c>
      <c r="B6645" s="2" t="s">
        <v>17070</v>
      </c>
      <c r="C6645" s="2" t="s">
        <v>17</v>
      </c>
      <c r="D6645" s="2" t="s">
        <v>18</v>
      </c>
      <c r="E6645" s="4">
        <v>-32261</v>
      </c>
      <c r="F6645" s="3" t="s">
        <v>1694</v>
      </c>
      <c r="G6645" s="3" t="s">
        <v>178</v>
      </c>
      <c r="H6645" s="2" t="s">
        <v>148</v>
      </c>
      <c r="I6645" s="2" t="s">
        <v>17071</v>
      </c>
      <c r="J6645" s="3" t="str">
        <f>HYPERLINK("https://www.boe.es/gazeta/dias/1811/09/02/pdfs/GMD-1811-245.pdf#page=4","Abrir facsímil")</f>
        <v>Abrir facsímil</v>
      </c>
      <c r="K6645" s="3" t="s">
        <v>150</v>
      </c>
    </row>
    <row r="6646" spans="1:11" ht="42" customHeight="1">
      <c r="A6646" s="2" t="s">
        <v>17072</v>
      </c>
      <c r="B6646" s="2" t="s">
        <v>17073</v>
      </c>
      <c r="C6646" s="2" t="s">
        <v>26</v>
      </c>
      <c r="D6646" s="2" t="s">
        <v>18</v>
      </c>
      <c r="E6646" s="4">
        <v>-32155</v>
      </c>
      <c r="F6646" s="3" t="s">
        <v>263</v>
      </c>
      <c r="G6646" s="3" t="s">
        <v>264</v>
      </c>
      <c r="H6646" s="2" t="s">
        <v>148</v>
      </c>
      <c r="I6646" s="2" t="s">
        <v>17074</v>
      </c>
      <c r="J6646" s="3" t="str">
        <f>HYPERLINK("https://www.boe.es/gazeta/dias/1811/12/17/pdfs/GEI-1811-163.pdf#page=8","Abrir facsímil")</f>
        <v>Abrir facsímil</v>
      </c>
      <c r="K6646" s="3" t="s">
        <v>150</v>
      </c>
    </row>
    <row r="6647" spans="1:11" ht="42" customHeight="1">
      <c r="A6647" s="2" t="s">
        <v>17075</v>
      </c>
      <c r="B6647" s="2" t="s">
        <v>17075</v>
      </c>
      <c r="C6647" s="2" t="s">
        <v>17</v>
      </c>
      <c r="D6647" s="2" t="s">
        <v>18</v>
      </c>
      <c r="E6647" s="4">
        <v>-32318</v>
      </c>
      <c r="F6647" s="3" t="s">
        <v>1193</v>
      </c>
      <c r="G6647" s="3" t="s">
        <v>488</v>
      </c>
      <c r="H6647" s="2" t="s">
        <v>148</v>
      </c>
      <c r="I6647" s="2" t="s">
        <v>17076</v>
      </c>
      <c r="J6647" s="3" t="str">
        <f>HYPERLINK("https://www.boe.es/gazeta/dias/1811/07/07/pdfs/GMD-1811-188.pdf#page=3","Abrir facsímil")</f>
        <v>Abrir facsímil</v>
      </c>
      <c r="K6647" s="3" t="s">
        <v>150</v>
      </c>
    </row>
    <row r="6648" spans="1:11" ht="42" customHeight="1">
      <c r="A6648" s="2" t="s">
        <v>17077</v>
      </c>
      <c r="B6648" s="2" t="s">
        <v>17078</v>
      </c>
      <c r="C6648" s="2" t="s">
        <v>122</v>
      </c>
      <c r="D6648" s="2" t="s">
        <v>18</v>
      </c>
      <c r="E6648" s="4">
        <v>-32153</v>
      </c>
      <c r="F6648" s="3" t="s">
        <v>123</v>
      </c>
      <c r="G6648" s="3" t="s">
        <v>124</v>
      </c>
      <c r="H6648" s="2" t="s">
        <v>148</v>
      </c>
      <c r="I6648" s="2" t="s">
        <v>17079</v>
      </c>
      <c r="J6648" s="3" t="str">
        <f>HYPERLINK("https://www.boe.es/gazeta/dias/1811/12/19/pdfs/GMD-1811-353.pdf#page=6","Abrir facsímil")</f>
        <v>Abrir facsímil</v>
      </c>
      <c r="K6648" s="3" t="s">
        <v>150</v>
      </c>
    </row>
    <row r="6649" spans="1:11" ht="42" customHeight="1">
      <c r="A6649" s="2" t="s">
        <v>17080</v>
      </c>
      <c r="B6649" s="2" t="s">
        <v>17081</v>
      </c>
      <c r="C6649" s="2" t="s">
        <v>17</v>
      </c>
      <c r="D6649" s="2" t="s">
        <v>156</v>
      </c>
      <c r="E6649" s="4">
        <v>-32146</v>
      </c>
      <c r="F6649" s="3" t="s">
        <v>777</v>
      </c>
      <c r="G6649" s="3" t="s">
        <v>846</v>
      </c>
      <c r="H6649" s="2" t="s">
        <v>148</v>
      </c>
      <c r="I6649" s="2" t="s">
        <v>17082</v>
      </c>
      <c r="J6649" s="3" t="str">
        <f>HYPERLINK("https://www.boe.es/gazeta/dias/1811/12/26/pdfs/GEI-1811-167.pdf#page=8","Abrir facsímil")</f>
        <v>Abrir facsímil</v>
      </c>
      <c r="K6649" s="3" t="s">
        <v>150</v>
      </c>
    </row>
    <row r="6650" spans="1:11" ht="42" customHeight="1">
      <c r="A6650" s="2" t="s">
        <v>17083</v>
      </c>
      <c r="B6650" s="2" t="s">
        <v>17084</v>
      </c>
      <c r="C6650" s="2" t="s">
        <v>26</v>
      </c>
      <c r="D6650" s="2" t="s">
        <v>105</v>
      </c>
      <c r="E6650" s="4">
        <v>-32225</v>
      </c>
      <c r="F6650" s="3" t="s">
        <v>390</v>
      </c>
      <c r="G6650" s="3" t="s">
        <v>3016</v>
      </c>
      <c r="H6650" s="2" t="s">
        <v>148</v>
      </c>
      <c r="I6650" s="2" t="s">
        <v>17085</v>
      </c>
      <c r="J6650" s="3" t="str">
        <f>HYPERLINK("https://www.boe.es/gazeta/dias/1811/10/08/pdfs/GEI-1811-129.pdf#page=6","Abrir facsímil")</f>
        <v>Abrir facsímil</v>
      </c>
      <c r="K6650" s="3" t="s">
        <v>150</v>
      </c>
    </row>
    <row r="6651" spans="1:11" ht="42" customHeight="1">
      <c r="A6651" s="2" t="s">
        <v>17086</v>
      </c>
      <c r="B6651" s="2" t="s">
        <v>17087</v>
      </c>
      <c r="C6651" s="2" t="s">
        <v>26</v>
      </c>
      <c r="D6651" s="2" t="s">
        <v>18</v>
      </c>
      <c r="E6651" s="4">
        <v>-32241</v>
      </c>
      <c r="F6651" s="3" t="s">
        <v>514</v>
      </c>
      <c r="G6651" s="3" t="s">
        <v>515</v>
      </c>
      <c r="H6651" s="2" t="s">
        <v>148</v>
      </c>
      <c r="I6651" s="2" t="s">
        <v>17088</v>
      </c>
      <c r="J6651" s="3" t="str">
        <f>HYPERLINK("https://www.boe.es/gazeta/dias/1811/09/22/pdfs/GMD-1811-265.pdf#page=4","Abrir facsímil")</f>
        <v>Abrir facsímil</v>
      </c>
      <c r="K6651" s="3" t="s">
        <v>150</v>
      </c>
    </row>
    <row r="6652" spans="1:11" ht="42" customHeight="1">
      <c r="A6652" s="2" t="s">
        <v>17089</v>
      </c>
      <c r="B6652" s="2" t="s">
        <v>17090</v>
      </c>
      <c r="C6652" s="2" t="s">
        <v>17</v>
      </c>
      <c r="D6652" s="2" t="s">
        <v>156</v>
      </c>
      <c r="E6652" s="4">
        <v>-32365</v>
      </c>
      <c r="F6652" s="3" t="s">
        <v>119</v>
      </c>
      <c r="G6652" s="3" t="s">
        <v>1143</v>
      </c>
      <c r="H6652" s="2" t="s">
        <v>148</v>
      </c>
      <c r="I6652" s="2" t="s">
        <v>17091</v>
      </c>
      <c r="J6652" s="3" t="str">
        <f>HYPERLINK("https://www.boe.es/gazeta/dias/1811/05/21/pdfs/GEI-1811-67.pdf#page=4","Abrir facsímil")</f>
        <v>Abrir facsímil</v>
      </c>
      <c r="K6652" s="3" t="s">
        <v>150</v>
      </c>
    </row>
    <row r="6653" spans="1:11" ht="42" customHeight="1">
      <c r="A6653" s="2" t="s">
        <v>17092</v>
      </c>
      <c r="B6653" s="2" t="s">
        <v>17093</v>
      </c>
      <c r="C6653" s="2" t="s">
        <v>367</v>
      </c>
      <c r="D6653" s="2" t="s">
        <v>18</v>
      </c>
      <c r="E6653" s="4">
        <v>-32297</v>
      </c>
      <c r="F6653" s="3" t="s">
        <v>2174</v>
      </c>
      <c r="G6653" s="3" t="s">
        <v>183</v>
      </c>
      <c r="H6653" s="2" t="s">
        <v>148</v>
      </c>
      <c r="I6653" s="2" t="s">
        <v>17094</v>
      </c>
      <c r="J6653" s="3" t="str">
        <f>HYPERLINK("https://www.boe.es/gazeta/dias/1811/07/28/pdfs/GMD-1811-209.pdf#page=4","Abrir facsímil")</f>
        <v>Abrir facsímil</v>
      </c>
      <c r="K6653" s="3" t="s">
        <v>150</v>
      </c>
    </row>
    <row r="6654" spans="1:11" ht="42" customHeight="1">
      <c r="A6654" s="2" t="s">
        <v>17095</v>
      </c>
      <c r="B6654" s="2" t="s">
        <v>17096</v>
      </c>
      <c r="C6654" s="2" t="s">
        <v>84</v>
      </c>
      <c r="D6654" s="2" t="s">
        <v>18</v>
      </c>
      <c r="E6654" s="4">
        <v>-32502</v>
      </c>
      <c r="F6654" s="3" t="s">
        <v>6190</v>
      </c>
      <c r="G6654" s="3" t="s">
        <v>248</v>
      </c>
      <c r="H6654" s="2" t="s">
        <v>148</v>
      </c>
      <c r="I6654" s="2" t="s">
        <v>17097</v>
      </c>
      <c r="J6654" s="3" t="str">
        <f>HYPERLINK("https://www.boe.es/gazeta/dias/1811/01/04/pdfs/GMD-1811-4.pdf#page=3","Abrir facsímil")</f>
        <v>Abrir facsímil</v>
      </c>
      <c r="K6654" s="3" t="s">
        <v>150</v>
      </c>
    </row>
    <row r="6655" spans="1:11" ht="42" customHeight="1">
      <c r="A6655" s="2" t="s">
        <v>17098</v>
      </c>
      <c r="B6655" s="2" t="s">
        <v>17098</v>
      </c>
      <c r="C6655" s="2" t="s">
        <v>122</v>
      </c>
      <c r="D6655" s="2" t="s">
        <v>18</v>
      </c>
      <c r="E6655" s="4">
        <v>-32339</v>
      </c>
      <c r="F6655" s="3" t="s">
        <v>1853</v>
      </c>
      <c r="G6655" s="3" t="s">
        <v>44</v>
      </c>
      <c r="H6655" s="2" t="s">
        <v>148</v>
      </c>
      <c r="I6655" s="2" t="s">
        <v>17099</v>
      </c>
      <c r="J6655" s="3" t="str">
        <f>HYPERLINK("https://www.boe.es/gazeta/dias/1811/06/16/pdfs/GMD-1811-167.pdf#page=2","Abrir facsímil")</f>
        <v>Abrir facsímil</v>
      </c>
      <c r="K6655" s="3" t="s">
        <v>150</v>
      </c>
    </row>
    <row r="6656" spans="1:11" ht="42" customHeight="1">
      <c r="A6656" s="2" t="s">
        <v>17098</v>
      </c>
      <c r="B6656" s="2" t="s">
        <v>17098</v>
      </c>
      <c r="C6656" s="2" t="s">
        <v>37</v>
      </c>
      <c r="D6656" s="2" t="s">
        <v>18</v>
      </c>
      <c r="E6656" s="4">
        <v>-32274</v>
      </c>
      <c r="F6656" s="3" t="s">
        <v>988</v>
      </c>
      <c r="G6656" s="3" t="s">
        <v>976</v>
      </c>
      <c r="H6656" s="2" t="s">
        <v>148</v>
      </c>
      <c r="I6656" s="2" t="s">
        <v>17100</v>
      </c>
      <c r="J6656" s="3" t="str">
        <f>HYPERLINK("https://www.boe.es/gazeta/dias/1811/08/20/pdfs/GMD-1811-232.pdf#page=4","Abrir facsímil")</f>
        <v>Abrir facsímil</v>
      </c>
      <c r="K6656" s="3" t="s">
        <v>150</v>
      </c>
    </row>
    <row r="6657" spans="1:11" ht="42" customHeight="1">
      <c r="A6657" s="2" t="s">
        <v>17101</v>
      </c>
      <c r="B6657" s="2" t="s">
        <v>17102</v>
      </c>
      <c r="C6657" s="2" t="s">
        <v>26</v>
      </c>
      <c r="D6657" s="2" t="s">
        <v>105</v>
      </c>
      <c r="E6657" s="4">
        <v>-32147</v>
      </c>
      <c r="F6657" s="3" t="s">
        <v>1922</v>
      </c>
      <c r="G6657" s="3" t="s">
        <v>1923</v>
      </c>
      <c r="H6657" s="2" t="s">
        <v>148</v>
      </c>
      <c r="I6657" s="2" t="s">
        <v>17103</v>
      </c>
      <c r="J6657" s="3" t="str">
        <f>HYPERLINK("https://www.boe.es/gazeta/dias/1811/12/25/pdfs/GMD-1811-359.pdf#page=4","Abrir facsímil")</f>
        <v>Abrir facsímil</v>
      </c>
      <c r="K6657" s="3" t="s">
        <v>150</v>
      </c>
    </row>
    <row r="6658" spans="1:11" ht="42" customHeight="1">
      <c r="A6658" s="2" t="s">
        <v>17104</v>
      </c>
      <c r="B6658" s="2" t="s">
        <v>17105</v>
      </c>
      <c r="C6658" s="2" t="s">
        <v>26</v>
      </c>
      <c r="D6658" s="2" t="s">
        <v>141</v>
      </c>
      <c r="E6658" s="4">
        <v>-32396</v>
      </c>
      <c r="F6658" s="3" t="s">
        <v>804</v>
      </c>
      <c r="G6658" s="3" t="s">
        <v>805</v>
      </c>
      <c r="H6658" s="2" t="s">
        <v>148</v>
      </c>
      <c r="I6658" s="2" t="s">
        <v>17106</v>
      </c>
      <c r="J6658" s="3" t="str">
        <f>HYPERLINK("https://www.boe.es/gazeta/dias/1811/04/20/pdfs/GEI-D-1811-53.pdf#page=4","Abrir facsímil")</f>
        <v>Abrir facsímil</v>
      </c>
      <c r="K6658" s="3" t="s">
        <v>150</v>
      </c>
    </row>
    <row r="6659" spans="1:11" ht="42" customHeight="1">
      <c r="A6659" s="2" t="s">
        <v>17107</v>
      </c>
      <c r="B6659" s="2" t="s">
        <v>17108</v>
      </c>
      <c r="C6659" s="2" t="s">
        <v>26</v>
      </c>
      <c r="D6659" s="2" t="s">
        <v>141</v>
      </c>
      <c r="E6659" s="4">
        <v>-32188</v>
      </c>
      <c r="F6659" s="3" t="s">
        <v>505</v>
      </c>
      <c r="G6659" s="3" t="s">
        <v>162</v>
      </c>
      <c r="H6659" s="2" t="s">
        <v>148</v>
      </c>
      <c r="I6659" s="2" t="s">
        <v>17109</v>
      </c>
      <c r="J6659" s="3" t="str">
        <f>HYPERLINK("https://www.boe.es/gazeta/dias/1811/11/14/pdfs/GEI-D-1811-149.pdf#page=4","Abrir facsímil")</f>
        <v>Abrir facsímil</v>
      </c>
      <c r="K6659" s="3" t="s">
        <v>150</v>
      </c>
    </row>
    <row r="6660" spans="1:11" ht="42" customHeight="1">
      <c r="A6660" s="2" t="s">
        <v>17110</v>
      </c>
      <c r="B6660" s="2" t="s">
        <v>17111</v>
      </c>
      <c r="C6660" s="2" t="s">
        <v>17</v>
      </c>
      <c r="D6660" s="2" t="s">
        <v>18</v>
      </c>
      <c r="E6660" s="4">
        <v>-32193</v>
      </c>
      <c r="F6660" s="3" t="s">
        <v>1037</v>
      </c>
      <c r="G6660" s="3" t="s">
        <v>44</v>
      </c>
      <c r="H6660" s="2" t="s">
        <v>148</v>
      </c>
      <c r="I6660" s="2" t="s">
        <v>17112</v>
      </c>
      <c r="J6660" s="3" t="str">
        <f>HYPERLINK("https://www.boe.es/gazeta/dias/1811/11/09/pdfs/GEI-1811-145.pdf#page=4","Abrir facsímil")</f>
        <v>Abrir facsímil</v>
      </c>
      <c r="K6660" s="3" t="s">
        <v>150</v>
      </c>
    </row>
    <row r="6661" spans="1:11" ht="42" customHeight="1">
      <c r="A6661" s="2" t="s">
        <v>17113</v>
      </c>
      <c r="B6661" s="2" t="s">
        <v>17114</v>
      </c>
      <c r="C6661" s="2" t="s">
        <v>26</v>
      </c>
      <c r="D6661" s="2" t="s">
        <v>141</v>
      </c>
      <c r="E6661" s="4">
        <v>-32249</v>
      </c>
      <c r="F6661" s="3" t="s">
        <v>743</v>
      </c>
      <c r="G6661" s="3" t="s">
        <v>1021</v>
      </c>
      <c r="H6661" s="2" t="s">
        <v>148</v>
      </c>
      <c r="I6661" s="2" t="s">
        <v>17115</v>
      </c>
      <c r="J6661" s="3" t="str">
        <f>HYPERLINK("https://www.boe.es/gazeta/dias/1811/09/14/pdfs/GMD-C-1811-257.pdf#page=2","Abrir facsímil")</f>
        <v>Abrir facsímil</v>
      </c>
      <c r="K6661" s="3" t="s">
        <v>150</v>
      </c>
    </row>
    <row r="6662" spans="1:11" ht="42" customHeight="1">
      <c r="A6662" s="2" t="s">
        <v>17116</v>
      </c>
      <c r="B6662" s="2" t="s">
        <v>17117</v>
      </c>
      <c r="C6662" s="2" t="s">
        <v>26</v>
      </c>
      <c r="D6662" s="2" t="s">
        <v>18</v>
      </c>
      <c r="E6662" s="4">
        <v>-32200</v>
      </c>
      <c r="F6662" s="3" t="s">
        <v>109</v>
      </c>
      <c r="G6662" s="3" t="s">
        <v>268</v>
      </c>
      <c r="H6662" s="2" t="s">
        <v>148</v>
      </c>
      <c r="I6662" s="2" t="s">
        <v>17118</v>
      </c>
      <c r="J6662" s="3" t="str">
        <f>HYPERLINK("https://www.boe.es/gazeta/dias/1811/11/02/pdfs/GEI-1811-141.pdf#page=7","Abrir facsímil")</f>
        <v>Abrir facsímil</v>
      </c>
      <c r="K6662" s="3" t="s">
        <v>150</v>
      </c>
    </row>
    <row r="6663" spans="1:11" ht="42" customHeight="1">
      <c r="A6663" s="2" t="s">
        <v>17119</v>
      </c>
      <c r="B6663" s="2" t="s">
        <v>17120</v>
      </c>
      <c r="C6663" s="2" t="s">
        <v>17</v>
      </c>
      <c r="D6663" s="2" t="s">
        <v>156</v>
      </c>
      <c r="E6663" s="4">
        <v>-32274</v>
      </c>
      <c r="F6663" s="3" t="s">
        <v>988</v>
      </c>
      <c r="G6663" s="3" t="s">
        <v>976</v>
      </c>
      <c r="H6663" s="2" t="s">
        <v>148</v>
      </c>
      <c r="I6663" s="2" t="s">
        <v>17121</v>
      </c>
      <c r="J6663" s="3" t="str">
        <f>HYPERLINK("https://www.boe.es/gazeta/dias/1811/08/20/pdfs/GMD-1811-232.pdf#page=4","Abrir facsímil")</f>
        <v>Abrir facsímil</v>
      </c>
      <c r="K6663" s="3" t="s">
        <v>150</v>
      </c>
    </row>
    <row r="6664" spans="1:11" ht="42" customHeight="1">
      <c r="A6664" s="2" t="s">
        <v>17122</v>
      </c>
      <c r="B6664" s="2" t="s">
        <v>17123</v>
      </c>
      <c r="C6664" s="2" t="s">
        <v>26</v>
      </c>
      <c r="D6664" s="2" t="s">
        <v>18</v>
      </c>
      <c r="E6664" s="4">
        <v>-32158</v>
      </c>
      <c r="F6664" s="3" t="s">
        <v>46</v>
      </c>
      <c r="G6664" s="3" t="s">
        <v>47</v>
      </c>
      <c r="H6664" s="2" t="s">
        <v>148</v>
      </c>
      <c r="I6664" s="2" t="s">
        <v>17124</v>
      </c>
      <c r="J6664" s="3" t="str">
        <f>HYPERLINK("https://www.boe.es/gazeta/dias/1811/12/14/pdfs/GEI-1811-162.pdf#page=7","Abrir facsímil")</f>
        <v>Abrir facsímil</v>
      </c>
      <c r="K6664" s="3" t="s">
        <v>150</v>
      </c>
    </row>
    <row r="6665" spans="1:11" ht="42" customHeight="1">
      <c r="A6665" s="2" t="s">
        <v>17125</v>
      </c>
      <c r="B6665" s="2" t="s">
        <v>17126</v>
      </c>
      <c r="C6665" s="2" t="s">
        <v>26</v>
      </c>
      <c r="D6665" s="2" t="s">
        <v>18</v>
      </c>
      <c r="E6665" s="4">
        <v>-32463</v>
      </c>
      <c r="F6665" s="3" t="s">
        <v>734</v>
      </c>
      <c r="G6665" s="3" t="s">
        <v>735</v>
      </c>
      <c r="H6665" s="2" t="s">
        <v>148</v>
      </c>
      <c r="I6665" s="2" t="s">
        <v>17127</v>
      </c>
      <c r="J6665" s="3" t="str">
        <f>HYPERLINK("https://www.boe.es/gazeta/dias/1811/02/12/pdfs/GEI-1811-19.pdf#page=8","Abrir facsímil")</f>
        <v>Abrir facsímil</v>
      </c>
      <c r="K6665" s="3" t="s">
        <v>150</v>
      </c>
    </row>
    <row r="6666" spans="1:11" ht="42" customHeight="1">
      <c r="A6666" s="2" t="s">
        <v>17128</v>
      </c>
      <c r="B6666" s="2" t="s">
        <v>17129</v>
      </c>
      <c r="C6666" s="2" t="s">
        <v>26</v>
      </c>
      <c r="D6666" s="2" t="s">
        <v>18</v>
      </c>
      <c r="E6666" s="4">
        <v>-32463</v>
      </c>
      <c r="F6666" s="3" t="s">
        <v>734</v>
      </c>
      <c r="G6666" s="3" t="s">
        <v>735</v>
      </c>
      <c r="H6666" s="2" t="s">
        <v>148</v>
      </c>
      <c r="I6666" s="2" t="s">
        <v>17130</v>
      </c>
      <c r="J6666" s="3" t="str">
        <f>HYPERLINK("https://www.boe.es/gazeta/dias/1811/02/12/pdfs/GEI-1811-19.pdf#page=8","Abrir facsímil")</f>
        <v>Abrir facsímil</v>
      </c>
      <c r="K6666" s="3" t="s">
        <v>150</v>
      </c>
    </row>
    <row r="6667" spans="1:11" ht="42" customHeight="1">
      <c r="A6667" s="2" t="s">
        <v>17128</v>
      </c>
      <c r="B6667" s="2" t="s">
        <v>17129</v>
      </c>
      <c r="C6667" s="2" t="s">
        <v>17</v>
      </c>
      <c r="D6667" s="2" t="s">
        <v>18</v>
      </c>
      <c r="E6667" s="4">
        <v>-32239</v>
      </c>
      <c r="F6667" s="3" t="s">
        <v>1225</v>
      </c>
      <c r="G6667" s="3" t="s">
        <v>1601</v>
      </c>
      <c r="H6667" s="2" t="s">
        <v>148</v>
      </c>
      <c r="I6667" s="2" t="s">
        <v>17131</v>
      </c>
      <c r="J6667" s="3" t="str">
        <f>HYPERLINK("https://www.boe.es/gazeta/dias/1811/09/24/pdfs/GEI-1811-123.pdf#page=8","Abrir facsímil")</f>
        <v>Abrir facsímil</v>
      </c>
      <c r="K6667" s="3" t="s">
        <v>150</v>
      </c>
    </row>
    <row r="6668" spans="1:11" ht="42" customHeight="1">
      <c r="A6668" s="2" t="s">
        <v>17132</v>
      </c>
      <c r="B6668" s="2" t="s">
        <v>17133</v>
      </c>
      <c r="C6668" s="2" t="s">
        <v>841</v>
      </c>
      <c r="D6668" s="2" t="s">
        <v>105</v>
      </c>
      <c r="E6668" s="4">
        <v>-32463</v>
      </c>
      <c r="F6668" s="3" t="s">
        <v>734</v>
      </c>
      <c r="G6668" s="3" t="s">
        <v>735</v>
      </c>
      <c r="H6668" s="2" t="s">
        <v>148</v>
      </c>
      <c r="I6668" s="2" t="s">
        <v>17134</v>
      </c>
      <c r="J6668" s="3" t="str">
        <f>HYPERLINK("https://www.boe.es/gazeta/dias/1811/02/12/pdfs/GEI-1811-19.pdf#page=8","Abrir facsímil")</f>
        <v>Abrir facsímil</v>
      </c>
      <c r="K6668" s="3" t="s">
        <v>150</v>
      </c>
    </row>
    <row r="6669" spans="1:11" ht="42" customHeight="1">
      <c r="A6669" s="2" t="s">
        <v>17135</v>
      </c>
      <c r="B6669" s="2" t="s">
        <v>17136</v>
      </c>
      <c r="C6669" s="2" t="s">
        <v>26</v>
      </c>
      <c r="D6669" s="2" t="s">
        <v>18</v>
      </c>
      <c r="E6669" s="4">
        <v>-32337</v>
      </c>
      <c r="F6669" s="3" t="s">
        <v>5266</v>
      </c>
      <c r="G6669" s="3" t="s">
        <v>47</v>
      </c>
      <c r="H6669" s="2" t="s">
        <v>148</v>
      </c>
      <c r="I6669" s="2" t="s">
        <v>17137</v>
      </c>
      <c r="J6669" s="3" t="str">
        <f>HYPERLINK("https://www.boe.es/gazeta/dias/1811/06/18/pdfs/GEI-1811-81.pdf#page=6","Abrir facsímil")</f>
        <v>Abrir facsímil</v>
      </c>
      <c r="K6669" s="3" t="s">
        <v>150</v>
      </c>
    </row>
    <row r="6670" spans="1:11" ht="42" customHeight="1">
      <c r="A6670" s="2" t="s">
        <v>17138</v>
      </c>
      <c r="B6670" s="2" t="s">
        <v>17139</v>
      </c>
      <c r="C6670" s="2" t="s">
        <v>17</v>
      </c>
      <c r="D6670" s="2" t="s">
        <v>18</v>
      </c>
      <c r="E6670" s="4">
        <v>-32449</v>
      </c>
      <c r="F6670" s="3" t="s">
        <v>381</v>
      </c>
      <c r="G6670" s="3" t="s">
        <v>8960</v>
      </c>
      <c r="H6670" s="2" t="s">
        <v>148</v>
      </c>
      <c r="I6670" s="2" t="s">
        <v>17140</v>
      </c>
      <c r="J6670" s="3" t="str">
        <f>HYPERLINK("https://www.boe.es/gazeta/dias/1811/02/26/pdfs/GEI-1811-25.pdf#page=4","Abrir facsímil")</f>
        <v>Abrir facsímil</v>
      </c>
      <c r="K6670" s="3" t="s">
        <v>150</v>
      </c>
    </row>
    <row r="6671" spans="1:11" ht="42" customHeight="1">
      <c r="A6671" s="2" t="s">
        <v>17141</v>
      </c>
      <c r="B6671" s="2" t="s">
        <v>17142</v>
      </c>
      <c r="C6671" s="2" t="s">
        <v>26</v>
      </c>
      <c r="D6671" s="2" t="s">
        <v>105</v>
      </c>
      <c r="E6671" s="4">
        <v>-32276</v>
      </c>
      <c r="F6671" s="3" t="s">
        <v>1361</v>
      </c>
      <c r="G6671" s="3" t="s">
        <v>183</v>
      </c>
      <c r="H6671" s="2" t="s">
        <v>148</v>
      </c>
      <c r="I6671" s="2" t="s">
        <v>17143</v>
      </c>
      <c r="J6671" s="3" t="str">
        <f>HYPERLINK("https://www.boe.es/gazeta/dias/1811/08/18/pdfs/GMD-1811-230.pdf#page=4","Abrir facsímil")</f>
        <v>Abrir facsímil</v>
      </c>
      <c r="K6671" s="3" t="s">
        <v>150</v>
      </c>
    </row>
    <row r="6672" spans="1:11" ht="42" customHeight="1">
      <c r="A6672" s="2" t="s">
        <v>17144</v>
      </c>
      <c r="B6672" s="2" t="s">
        <v>17144</v>
      </c>
      <c r="C6672" s="2" t="s">
        <v>17</v>
      </c>
      <c r="D6672" s="2" t="s">
        <v>18</v>
      </c>
      <c r="E6672" s="4">
        <v>-32435</v>
      </c>
      <c r="F6672" s="3" t="s">
        <v>224</v>
      </c>
      <c r="G6672" s="3" t="s">
        <v>10544</v>
      </c>
      <c r="H6672" s="2" t="s">
        <v>148</v>
      </c>
      <c r="I6672" s="2" t="s">
        <v>17145</v>
      </c>
      <c r="J6672" s="3" t="str">
        <f>HYPERLINK("https://www.boe.es/gazeta/dias/1811/03/12/pdfs/GEI-1811-35.pdf#page=3","Abrir facsímil")</f>
        <v>Abrir facsímil</v>
      </c>
      <c r="K6672" s="3" t="s">
        <v>150</v>
      </c>
    </row>
    <row r="6673" spans="1:11" ht="42" customHeight="1">
      <c r="A6673" s="2" t="s">
        <v>17144</v>
      </c>
      <c r="B6673" s="2" t="s">
        <v>17144</v>
      </c>
      <c r="C6673" s="2" t="s">
        <v>17</v>
      </c>
      <c r="D6673" s="2" t="s">
        <v>204</v>
      </c>
      <c r="E6673" s="4">
        <v>-32405</v>
      </c>
      <c r="F6673" s="3" t="s">
        <v>363</v>
      </c>
      <c r="G6673" s="3" t="s">
        <v>47</v>
      </c>
      <c r="H6673" s="2" t="s">
        <v>148</v>
      </c>
      <c r="I6673" s="2" t="s">
        <v>17146</v>
      </c>
      <c r="J6673" s="3" t="str">
        <f>HYPERLINK("https://www.boe.es/gazeta/dias/1811/04/11/pdfs/GMD-1811-101.pdf#page=3","Abrir facsímil")</f>
        <v>Abrir facsímil</v>
      </c>
      <c r="K6673" s="3" t="s">
        <v>150</v>
      </c>
    </row>
    <row r="6674" spans="1:11" ht="42" customHeight="1">
      <c r="A6674" s="2" t="s">
        <v>17147</v>
      </c>
      <c r="B6674" s="2" t="s">
        <v>17147</v>
      </c>
      <c r="C6674" s="2" t="s">
        <v>26</v>
      </c>
      <c r="D6674" s="2" t="s">
        <v>18</v>
      </c>
      <c r="E6674" s="4">
        <v>-32324</v>
      </c>
      <c r="F6674" s="3" t="s">
        <v>730</v>
      </c>
      <c r="G6674" s="3" t="s">
        <v>3419</v>
      </c>
      <c r="H6674" s="2" t="s">
        <v>148</v>
      </c>
      <c r="I6674" s="2" t="s">
        <v>17148</v>
      </c>
      <c r="J6674" s="3" t="str">
        <f>HYPERLINK("https://www.boe.es/gazeta/dias/1811/07/01/pdfs/GMD-1811-182.pdf#page=4","Abrir facsímil")</f>
        <v>Abrir facsímil</v>
      </c>
      <c r="K6674" s="3" t="s">
        <v>150</v>
      </c>
    </row>
    <row r="6675" spans="1:11" ht="42" customHeight="1">
      <c r="A6675" s="2" t="s">
        <v>17147</v>
      </c>
      <c r="B6675" s="2" t="s">
        <v>17147</v>
      </c>
      <c r="C6675" s="2" t="s">
        <v>17</v>
      </c>
      <c r="D6675" s="2" t="s">
        <v>156</v>
      </c>
      <c r="E6675" s="4">
        <v>-32203</v>
      </c>
      <c r="F6675" s="3" t="s">
        <v>8645</v>
      </c>
      <c r="G6675" s="3" t="s">
        <v>44</v>
      </c>
      <c r="H6675" s="2" t="s">
        <v>148</v>
      </c>
      <c r="I6675" s="2" t="s">
        <v>17149</v>
      </c>
      <c r="J6675" s="3" t="str">
        <f>HYPERLINK("https://www.boe.es/gazeta/dias/1811/10/30/pdfs/GMD-1811-303.pdf#page=4","Abrir facsímil")</f>
        <v>Abrir facsímil</v>
      </c>
      <c r="K6675" s="3" t="s">
        <v>150</v>
      </c>
    </row>
    <row r="6676" spans="1:11" ht="42" customHeight="1">
      <c r="A6676" s="2" t="s">
        <v>17150</v>
      </c>
      <c r="B6676" s="2" t="s">
        <v>17151</v>
      </c>
      <c r="C6676" s="2" t="s">
        <v>17</v>
      </c>
      <c r="D6676" s="2" t="s">
        <v>156</v>
      </c>
      <c r="E6676" s="4">
        <v>-32151</v>
      </c>
      <c r="F6676" s="3" t="s">
        <v>2160</v>
      </c>
      <c r="G6676" s="3" t="s">
        <v>1710</v>
      </c>
      <c r="H6676" s="2" t="s">
        <v>148</v>
      </c>
      <c r="I6676" s="2" t="s">
        <v>17152</v>
      </c>
      <c r="J6676" s="3" t="str">
        <f>HYPERLINK("https://www.boe.es/gazeta/dias/1811/12/21/pdfs/GMD-1811-355.pdf#page=4","Abrir facsímil")</f>
        <v>Abrir facsímil</v>
      </c>
      <c r="K6676" s="3" t="s">
        <v>150</v>
      </c>
    </row>
    <row r="6677" spans="1:11" ht="42" customHeight="1">
      <c r="A6677" s="2" t="s">
        <v>17153</v>
      </c>
      <c r="B6677" s="2" t="s">
        <v>17154</v>
      </c>
      <c r="C6677" s="2" t="s">
        <v>104</v>
      </c>
      <c r="D6677" s="2" t="s">
        <v>18</v>
      </c>
      <c r="E6677" s="4">
        <v>-32449</v>
      </c>
      <c r="F6677" s="3" t="s">
        <v>381</v>
      </c>
      <c r="G6677" s="3" t="s">
        <v>1930</v>
      </c>
      <c r="H6677" s="2" t="s">
        <v>148</v>
      </c>
      <c r="I6677" s="2" t="s">
        <v>17155</v>
      </c>
      <c r="J6677" s="3" t="str">
        <f>HYPERLINK("https://www.boe.es/gazeta/dias/1811/02/26/pdfs/GEI-1811-25.pdf#page=3","Abrir facsímil")</f>
        <v>Abrir facsímil</v>
      </c>
      <c r="K6677" s="3" t="s">
        <v>150</v>
      </c>
    </row>
    <row r="6678" spans="1:11" ht="42" customHeight="1">
      <c r="A6678" s="2" t="s">
        <v>17156</v>
      </c>
      <c r="B6678" s="2" t="s">
        <v>17157</v>
      </c>
      <c r="C6678" s="2" t="s">
        <v>26</v>
      </c>
      <c r="D6678" s="2" t="s">
        <v>204</v>
      </c>
      <c r="E6678" s="4">
        <v>-32412</v>
      </c>
      <c r="F6678" s="3" t="s">
        <v>998</v>
      </c>
      <c r="G6678" s="3" t="s">
        <v>17158</v>
      </c>
      <c r="H6678" s="2" t="s">
        <v>148</v>
      </c>
      <c r="I6678" s="2" t="s">
        <v>17159</v>
      </c>
      <c r="J6678" s="3" t="str">
        <f>HYPERLINK("https://www.boe.es/gazeta/dias/1811/04/04/pdfs/GEI-1811-46.pdf#page=1","Abrir facsímil")</f>
        <v>Abrir facsímil</v>
      </c>
      <c r="K6678" s="3" t="s">
        <v>150</v>
      </c>
    </row>
    <row r="6679" spans="1:11" ht="42" customHeight="1">
      <c r="A6679" s="2" t="s">
        <v>17160</v>
      </c>
      <c r="B6679" s="2" t="s">
        <v>17161</v>
      </c>
      <c r="C6679" s="2" t="s">
        <v>26</v>
      </c>
      <c r="D6679" s="2" t="s">
        <v>141</v>
      </c>
      <c r="E6679" s="4">
        <v>-32249</v>
      </c>
      <c r="F6679" s="3" t="s">
        <v>743</v>
      </c>
      <c r="G6679" s="3" t="s">
        <v>1021</v>
      </c>
      <c r="H6679" s="2" t="s">
        <v>148</v>
      </c>
      <c r="I6679" s="2" t="s">
        <v>17162</v>
      </c>
      <c r="J6679" s="3" t="str">
        <f>HYPERLINK("https://www.boe.es/gazeta/dias/1811/09/14/pdfs/GMD-C-1811-257.pdf#page=2","Abrir facsímil")</f>
        <v>Abrir facsímil</v>
      </c>
      <c r="K6679" s="3" t="s">
        <v>150</v>
      </c>
    </row>
    <row r="6680" spans="1:11" ht="42" customHeight="1">
      <c r="A6680" s="2" t="s">
        <v>17163</v>
      </c>
      <c r="B6680" s="2" t="s">
        <v>17164</v>
      </c>
      <c r="C6680" s="2" t="s">
        <v>17</v>
      </c>
      <c r="D6680" s="2" t="s">
        <v>18</v>
      </c>
      <c r="E6680" s="4">
        <v>-32300</v>
      </c>
      <c r="F6680" s="3" t="s">
        <v>492</v>
      </c>
      <c r="G6680" s="3" t="s">
        <v>493</v>
      </c>
      <c r="H6680" s="2" t="s">
        <v>148</v>
      </c>
      <c r="I6680" s="2" t="s">
        <v>17165</v>
      </c>
      <c r="J6680" s="3" t="str">
        <f>HYPERLINK("https://www.boe.es/gazeta/dias/1811/07/25/pdfs/GMD-1811-206.pdf#page=4","Abrir facsímil")</f>
        <v>Abrir facsímil</v>
      </c>
      <c r="K6680" s="3" t="s">
        <v>150</v>
      </c>
    </row>
    <row r="6681" spans="1:11" ht="42" customHeight="1">
      <c r="A6681" s="2" t="s">
        <v>17166</v>
      </c>
      <c r="B6681" s="2" t="s">
        <v>17166</v>
      </c>
      <c r="C6681" s="2" t="s">
        <v>26</v>
      </c>
      <c r="D6681" s="2" t="s">
        <v>18</v>
      </c>
      <c r="E6681" s="4">
        <v>-32447</v>
      </c>
      <c r="F6681" s="3" t="s">
        <v>665</v>
      </c>
      <c r="G6681" s="3" t="s">
        <v>553</v>
      </c>
      <c r="H6681" s="2" t="s">
        <v>148</v>
      </c>
      <c r="I6681" s="2" t="s">
        <v>17167</v>
      </c>
      <c r="J6681" s="3" t="str">
        <f>HYPERLINK("https://www.boe.es/gazeta/dias/1811/02/28/pdfs/GMD-1811-59.pdf#page=1","Abrir facsímil")</f>
        <v>Abrir facsímil</v>
      </c>
      <c r="K6681" s="3" t="s">
        <v>150</v>
      </c>
    </row>
    <row r="6682" spans="1:11" ht="42" customHeight="1">
      <c r="A6682" s="2" t="s">
        <v>17168</v>
      </c>
      <c r="B6682" s="2" t="s">
        <v>17168</v>
      </c>
      <c r="C6682" s="2" t="s">
        <v>17</v>
      </c>
      <c r="D6682" s="2" t="s">
        <v>18</v>
      </c>
      <c r="E6682" s="4">
        <v>-32467</v>
      </c>
      <c r="F6682" s="3" t="s">
        <v>768</v>
      </c>
      <c r="G6682" s="3" t="s">
        <v>382</v>
      </c>
      <c r="H6682" s="2" t="s">
        <v>148</v>
      </c>
      <c r="I6682" s="2" t="s">
        <v>17169</v>
      </c>
      <c r="J6682" s="3" t="str">
        <f>HYPERLINK("https://www.boe.es/gazeta/dias/1811/02/08/pdfs/GMD-1811-39.pdf#page=3","Abrir facsímil")</f>
        <v>Abrir facsímil</v>
      </c>
      <c r="K6682" s="3" t="s">
        <v>150</v>
      </c>
    </row>
    <row r="6683" spans="1:11" ht="42" customHeight="1">
      <c r="A6683" s="2" t="s">
        <v>17170</v>
      </c>
      <c r="B6683" s="2" t="s">
        <v>17170</v>
      </c>
      <c r="C6683" s="2" t="s">
        <v>17</v>
      </c>
      <c r="D6683" s="2" t="s">
        <v>18</v>
      </c>
      <c r="E6683" s="4">
        <v>-32230</v>
      </c>
      <c r="F6683" s="3" t="s">
        <v>625</v>
      </c>
      <c r="G6683" s="3" t="s">
        <v>626</v>
      </c>
      <c r="H6683" s="2" t="s">
        <v>148</v>
      </c>
      <c r="I6683" s="2" t="s">
        <v>17171</v>
      </c>
      <c r="J6683" s="3" t="str">
        <f>HYPERLINK("https://www.boe.es/gazeta/dias/1811/10/03/pdfs/GEI-1811-127.pdf#page=3","Abrir facsímil")</f>
        <v>Abrir facsímil</v>
      </c>
      <c r="K6683" s="3" t="s">
        <v>150</v>
      </c>
    </row>
    <row r="6684" spans="1:11" ht="42" customHeight="1">
      <c r="A6684" s="2" t="s">
        <v>17170</v>
      </c>
      <c r="B6684" s="2" t="s">
        <v>17170</v>
      </c>
      <c r="C6684" s="2" t="s">
        <v>17</v>
      </c>
      <c r="D6684" s="2" t="s">
        <v>18</v>
      </c>
      <c r="E6684" s="4">
        <v>-32187</v>
      </c>
      <c r="F6684" s="3" t="s">
        <v>1775</v>
      </c>
      <c r="G6684" s="3" t="s">
        <v>47</v>
      </c>
      <c r="H6684" s="2" t="s">
        <v>148</v>
      </c>
      <c r="I6684" s="2" t="s">
        <v>17172</v>
      </c>
      <c r="J6684" s="3" t="str">
        <f>HYPERLINK("https://www.boe.es/gazeta/dias/1811/11/15/pdfs/GMD-1811-319.pdf#page=1","Abrir facsímil")</f>
        <v>Abrir facsímil</v>
      </c>
      <c r="K6684" s="3" t="s">
        <v>150</v>
      </c>
    </row>
    <row r="6685" spans="1:11" ht="42" customHeight="1">
      <c r="A6685" s="2" t="s">
        <v>17173</v>
      </c>
      <c r="B6685" s="2" t="s">
        <v>17173</v>
      </c>
      <c r="C6685" s="2" t="s">
        <v>17</v>
      </c>
      <c r="D6685" s="2" t="s">
        <v>18</v>
      </c>
      <c r="E6685" s="4">
        <v>-32300</v>
      </c>
      <c r="F6685" s="3" t="s">
        <v>492</v>
      </c>
      <c r="G6685" s="3" t="s">
        <v>20</v>
      </c>
      <c r="H6685" s="2" t="s">
        <v>148</v>
      </c>
      <c r="I6685" s="2" t="s">
        <v>17174</v>
      </c>
      <c r="J6685" s="3" t="str">
        <f>HYPERLINK("https://www.boe.es/gazeta/dias/1811/07/25/pdfs/GMD-1811-206.pdf#page=3","Abrir facsímil")</f>
        <v>Abrir facsímil</v>
      </c>
      <c r="K6685" s="3" t="s">
        <v>150</v>
      </c>
    </row>
    <row r="6686" spans="1:11" ht="42" customHeight="1">
      <c r="A6686" s="2" t="s">
        <v>17175</v>
      </c>
      <c r="B6686" s="2" t="s">
        <v>17176</v>
      </c>
      <c r="C6686" s="2" t="s">
        <v>17</v>
      </c>
      <c r="D6686" s="2" t="s">
        <v>156</v>
      </c>
      <c r="E6686" s="4">
        <v>-32261</v>
      </c>
      <c r="F6686" s="3" t="s">
        <v>1694</v>
      </c>
      <c r="G6686" s="3" t="s">
        <v>178</v>
      </c>
      <c r="H6686" s="2" t="s">
        <v>148</v>
      </c>
      <c r="I6686" s="2" t="s">
        <v>17177</v>
      </c>
      <c r="J6686" s="3" t="str">
        <f>HYPERLINK("https://www.boe.es/gazeta/dias/1811/09/02/pdfs/GMD-1811-245.pdf#page=4","Abrir facsímil")</f>
        <v>Abrir facsímil</v>
      </c>
      <c r="K6686" s="3" t="s">
        <v>150</v>
      </c>
    </row>
    <row r="6687" spans="1:11" ht="42" customHeight="1">
      <c r="A6687" s="2" t="s">
        <v>17178</v>
      </c>
      <c r="B6687" s="2" t="s">
        <v>17179</v>
      </c>
      <c r="C6687" s="2" t="s">
        <v>26</v>
      </c>
      <c r="D6687" s="2" t="s">
        <v>18</v>
      </c>
      <c r="E6687" s="4">
        <v>-32179</v>
      </c>
      <c r="F6687" s="3" t="s">
        <v>614</v>
      </c>
      <c r="G6687" s="3" t="s">
        <v>47</v>
      </c>
      <c r="H6687" s="2" t="s">
        <v>148</v>
      </c>
      <c r="I6687" s="2" t="s">
        <v>17180</v>
      </c>
      <c r="J6687" s="3" t="str">
        <f>HYPERLINK("https://www.boe.es/gazeta/dias/1811/11/23/pdfs/GEI-1811-153.pdf#page=8","Abrir facsímil")</f>
        <v>Abrir facsímil</v>
      </c>
      <c r="K6687" s="3" t="s">
        <v>150</v>
      </c>
    </row>
    <row r="6688" spans="1:11" ht="42" customHeight="1">
      <c r="A6688" s="2" t="s">
        <v>17181</v>
      </c>
      <c r="B6688" s="2" t="s">
        <v>17182</v>
      </c>
      <c r="C6688" s="2" t="s">
        <v>17</v>
      </c>
      <c r="D6688" s="2" t="s">
        <v>156</v>
      </c>
      <c r="E6688" s="4">
        <v>-32179</v>
      </c>
      <c r="F6688" s="3" t="s">
        <v>3269</v>
      </c>
      <c r="G6688" s="3" t="s">
        <v>91</v>
      </c>
      <c r="H6688" s="2" t="s">
        <v>148</v>
      </c>
      <c r="I6688" s="2" t="s">
        <v>17183</v>
      </c>
      <c r="J6688" s="3" t="str">
        <f>HYPERLINK("https://www.boe.es/gazeta/dias/1811/11/23/pdfs/GMD-1811-327.pdf#page=4","Abrir facsímil")</f>
        <v>Abrir facsímil</v>
      </c>
      <c r="K6688" s="3" t="s">
        <v>150</v>
      </c>
    </row>
    <row r="6689" spans="1:11" ht="42" customHeight="1">
      <c r="A6689" s="2" t="s">
        <v>17184</v>
      </c>
      <c r="B6689" s="2" t="s">
        <v>17185</v>
      </c>
      <c r="C6689" s="2" t="s">
        <v>84</v>
      </c>
      <c r="D6689" s="2" t="s">
        <v>18</v>
      </c>
      <c r="E6689" s="4">
        <v>-32182</v>
      </c>
      <c r="F6689" s="3" t="s">
        <v>653</v>
      </c>
      <c r="G6689" s="3" t="s">
        <v>44</v>
      </c>
      <c r="H6689" s="2" t="s">
        <v>148</v>
      </c>
      <c r="I6689" s="2" t="s">
        <v>17186</v>
      </c>
      <c r="J6689" s="3" t="str">
        <f>HYPERLINK("https://www.boe.es/gazeta/dias/1811/11/20/pdfs/GMD-1811-324.pdf#page=4","Abrir facsímil")</f>
        <v>Abrir facsímil</v>
      </c>
      <c r="K6689" s="3" t="s">
        <v>150</v>
      </c>
    </row>
    <row r="6690" spans="1:11" ht="42" customHeight="1">
      <c r="A6690" s="2" t="s">
        <v>17187</v>
      </c>
      <c r="B6690" s="2" t="s">
        <v>17188</v>
      </c>
      <c r="C6690" s="2" t="s">
        <v>17</v>
      </c>
      <c r="D6690" s="2" t="s">
        <v>156</v>
      </c>
      <c r="E6690" s="4">
        <v>-32475</v>
      </c>
      <c r="F6690" s="3" t="s">
        <v>6882</v>
      </c>
      <c r="G6690" s="3" t="s">
        <v>17189</v>
      </c>
      <c r="H6690" s="2" t="s">
        <v>148</v>
      </c>
      <c r="I6690" s="2" t="s">
        <v>17190</v>
      </c>
      <c r="J6690" s="3" t="str">
        <f>HYPERLINK("https://www.boe.es/gazeta/dias/1811/01/31/pdfs/GEI-1811-14.pdf#page=5","Abrir facsímil")</f>
        <v>Abrir facsímil</v>
      </c>
      <c r="K6690" s="3" t="s">
        <v>150</v>
      </c>
    </row>
    <row r="6691" spans="1:11" ht="42" customHeight="1">
      <c r="A6691" s="2" t="s">
        <v>17191</v>
      </c>
      <c r="B6691" s="2" t="s">
        <v>17192</v>
      </c>
      <c r="C6691" s="2" t="s">
        <v>367</v>
      </c>
      <c r="D6691" s="2" t="s">
        <v>18</v>
      </c>
      <c r="E6691" s="4">
        <v>-32141</v>
      </c>
      <c r="F6691" s="3" t="s">
        <v>327</v>
      </c>
      <c r="G6691" s="3" t="s">
        <v>20</v>
      </c>
      <c r="H6691" s="2" t="s">
        <v>148</v>
      </c>
      <c r="I6691" s="2" t="s">
        <v>17193</v>
      </c>
      <c r="J6691" s="3" t="str">
        <f>HYPERLINK("https://www.boe.es/gazeta/dias/1811/12/31/pdfs/GMD-1811-365.pdf#page=4","Abrir facsímil")</f>
        <v>Abrir facsímil</v>
      </c>
      <c r="K6691" s="3" t="s">
        <v>150</v>
      </c>
    </row>
    <row r="6692" spans="1:11" ht="42" customHeight="1">
      <c r="A6692" s="2" t="s">
        <v>17194</v>
      </c>
      <c r="B6692" s="2" t="s">
        <v>17195</v>
      </c>
      <c r="C6692" s="2" t="s">
        <v>37</v>
      </c>
      <c r="D6692" s="2" t="s">
        <v>18</v>
      </c>
      <c r="E6692" s="4">
        <v>-32505</v>
      </c>
      <c r="F6692" s="3" t="s">
        <v>661</v>
      </c>
      <c r="G6692" s="3" t="s">
        <v>530</v>
      </c>
      <c r="H6692" s="2" t="s">
        <v>148</v>
      </c>
      <c r="I6692" s="2" t="s">
        <v>17196</v>
      </c>
      <c r="J6692" s="3" t="str">
        <f>HYPERLINK("https://www.boe.es/gazeta/dias/1811/01/01/pdfs/GMD-1811-1.pdf#page=3","Abrir facsímil")</f>
        <v>Abrir facsímil</v>
      </c>
      <c r="K6692" s="3" t="s">
        <v>150</v>
      </c>
    </row>
    <row r="6693" spans="1:11" ht="42" customHeight="1">
      <c r="A6693" s="2" t="s">
        <v>17197</v>
      </c>
      <c r="B6693" s="2" t="s">
        <v>17198</v>
      </c>
      <c r="C6693" s="2" t="s">
        <v>26</v>
      </c>
      <c r="D6693" s="2" t="s">
        <v>18</v>
      </c>
      <c r="E6693" s="4">
        <v>-32225</v>
      </c>
      <c r="F6693" s="3" t="s">
        <v>390</v>
      </c>
      <c r="G6693" s="3" t="s">
        <v>1368</v>
      </c>
      <c r="H6693" s="2" t="s">
        <v>148</v>
      </c>
      <c r="I6693" s="2" t="s">
        <v>17199</v>
      </c>
      <c r="J6693" s="3" t="str">
        <f>HYPERLINK("https://www.boe.es/gazeta/dias/1811/10/08/pdfs/GEI-1811-129.pdf#page=8","Abrir facsímil")</f>
        <v>Abrir facsímil</v>
      </c>
      <c r="K6693" s="3" t="s">
        <v>150</v>
      </c>
    </row>
    <row r="6694" spans="1:11" ht="42" customHeight="1">
      <c r="A6694" s="2" t="s">
        <v>17200</v>
      </c>
      <c r="B6694" s="2" t="s">
        <v>17201</v>
      </c>
      <c r="C6694" s="2" t="s">
        <v>104</v>
      </c>
      <c r="D6694" s="2" t="s">
        <v>18</v>
      </c>
      <c r="E6694" s="4">
        <v>-32255</v>
      </c>
      <c r="F6694" s="3" t="s">
        <v>187</v>
      </c>
      <c r="G6694" s="3" t="s">
        <v>188</v>
      </c>
      <c r="H6694" s="2" t="s">
        <v>148</v>
      </c>
      <c r="I6694" s="2" t="s">
        <v>17202</v>
      </c>
      <c r="J6694" s="3" t="str">
        <f>HYPERLINK("https://www.boe.es/gazeta/dias/1811/09/08/pdfs/GMD-1811-251.pdf#page=2","Abrir facsímil")</f>
        <v>Abrir facsímil</v>
      </c>
      <c r="K6694" s="3" t="s">
        <v>150</v>
      </c>
    </row>
    <row r="6695" spans="1:11" ht="42" customHeight="1">
      <c r="A6695" s="2" t="s">
        <v>17203</v>
      </c>
      <c r="B6695" s="2" t="s">
        <v>17203</v>
      </c>
      <c r="C6695" s="2" t="s">
        <v>26</v>
      </c>
      <c r="D6695" s="2" t="s">
        <v>204</v>
      </c>
      <c r="E6695" s="4">
        <v>-32328</v>
      </c>
      <c r="F6695" s="3" t="s">
        <v>2055</v>
      </c>
      <c r="G6695" s="3" t="s">
        <v>20</v>
      </c>
      <c r="H6695" s="2" t="s">
        <v>148</v>
      </c>
      <c r="I6695" s="2" t="s">
        <v>17204</v>
      </c>
      <c r="J6695" s="3" t="str">
        <f>HYPERLINK("https://www.boe.es/gazeta/dias/1811/06/27/pdfs/GMD-1811-178.pdf#page=3","Abrir facsímil")</f>
        <v>Abrir facsímil</v>
      </c>
      <c r="K6695" s="3" t="s">
        <v>150</v>
      </c>
    </row>
    <row r="6696" spans="1:11" ht="42" customHeight="1">
      <c r="A6696" s="2" t="s">
        <v>17203</v>
      </c>
      <c r="B6696" s="2" t="s">
        <v>17203</v>
      </c>
      <c r="C6696" s="2" t="s">
        <v>84</v>
      </c>
      <c r="D6696" s="2" t="s">
        <v>18</v>
      </c>
      <c r="E6696" s="4">
        <v>-32327</v>
      </c>
      <c r="F6696" s="3" t="s">
        <v>9216</v>
      </c>
      <c r="G6696" s="3" t="s">
        <v>115</v>
      </c>
      <c r="H6696" s="2" t="s">
        <v>148</v>
      </c>
      <c r="I6696" s="2" t="s">
        <v>17205</v>
      </c>
      <c r="J6696" s="3" t="str">
        <f>HYPERLINK("https://www.boe.es/gazeta/dias/1811/06/28/pdfs/GMD-1811-179.pdf#page=3","Abrir facsímil")</f>
        <v>Abrir facsímil</v>
      </c>
      <c r="K6696" s="3" t="s">
        <v>150</v>
      </c>
    </row>
    <row r="6697" spans="1:11" ht="42" customHeight="1">
      <c r="A6697" s="2" t="s">
        <v>17206</v>
      </c>
      <c r="B6697" s="2" t="s">
        <v>17206</v>
      </c>
      <c r="C6697" s="2" t="s">
        <v>17</v>
      </c>
      <c r="D6697" s="2" t="s">
        <v>18</v>
      </c>
      <c r="E6697" s="4">
        <v>-32375</v>
      </c>
      <c r="F6697" s="3" t="s">
        <v>1209</v>
      </c>
      <c r="G6697" s="3" t="s">
        <v>440</v>
      </c>
      <c r="H6697" s="2" t="s">
        <v>148</v>
      </c>
      <c r="I6697" s="2" t="s">
        <v>17207</v>
      </c>
      <c r="J6697" s="3" t="str">
        <f>HYPERLINK("https://www.boe.es/gazeta/dias/1811/05/11/pdfs/GEI-1811-62.pdf#page=6","Abrir facsímil")</f>
        <v>Abrir facsímil</v>
      </c>
      <c r="K6697" s="3" t="s">
        <v>150</v>
      </c>
    </row>
    <row r="6698" spans="1:11" ht="42" customHeight="1">
      <c r="A6698" s="2" t="s">
        <v>17206</v>
      </c>
      <c r="B6698" s="2" t="s">
        <v>17206</v>
      </c>
      <c r="C6698" s="2" t="s">
        <v>17</v>
      </c>
      <c r="D6698" s="2" t="s">
        <v>204</v>
      </c>
      <c r="E6698" s="4">
        <v>-32361</v>
      </c>
      <c r="F6698" s="3" t="s">
        <v>1104</v>
      </c>
      <c r="G6698" s="3" t="s">
        <v>8642</v>
      </c>
      <c r="H6698" s="2" t="s">
        <v>148</v>
      </c>
      <c r="I6698" s="2" t="s">
        <v>17208</v>
      </c>
      <c r="J6698" s="3" t="str">
        <f>HYPERLINK("https://www.boe.es/gazeta/dias/1811/05/25/pdfs/GEI-1811-71.pdf#page=2","Abrir facsímil")</f>
        <v>Abrir facsímil</v>
      </c>
      <c r="K6698" s="3" t="s">
        <v>150</v>
      </c>
    </row>
    <row r="6699" spans="1:11" ht="42" customHeight="1">
      <c r="A6699" s="2" t="s">
        <v>17209</v>
      </c>
      <c r="B6699" s="2" t="s">
        <v>17210</v>
      </c>
      <c r="C6699" s="2" t="s">
        <v>104</v>
      </c>
      <c r="D6699" s="2" t="s">
        <v>18</v>
      </c>
      <c r="E6699" s="4">
        <v>-32181</v>
      </c>
      <c r="F6699" s="3" t="s">
        <v>1169</v>
      </c>
      <c r="G6699" s="3" t="s">
        <v>1170</v>
      </c>
      <c r="H6699" s="2" t="s">
        <v>148</v>
      </c>
      <c r="I6699" s="2" t="s">
        <v>17211</v>
      </c>
      <c r="J6699" s="3" t="str">
        <f>HYPERLINK("https://www.boe.es/gazeta/dias/1811/11/21/pdfs/GMD-1811-325.pdf#page=4","Abrir facsímil")</f>
        <v>Abrir facsímil</v>
      </c>
      <c r="K6699" s="3" t="s">
        <v>150</v>
      </c>
    </row>
    <row r="6700" spans="1:11" ht="42" customHeight="1">
      <c r="A6700" s="2" t="s">
        <v>17212</v>
      </c>
      <c r="B6700" s="2" t="s">
        <v>17212</v>
      </c>
      <c r="C6700" s="2" t="s">
        <v>26</v>
      </c>
      <c r="D6700" s="2" t="s">
        <v>18</v>
      </c>
      <c r="E6700" s="4">
        <v>-32155</v>
      </c>
      <c r="F6700" s="3" t="s">
        <v>263</v>
      </c>
      <c r="G6700" s="3" t="s">
        <v>1800</v>
      </c>
      <c r="H6700" s="2" t="s">
        <v>148</v>
      </c>
      <c r="I6700" s="2" t="s">
        <v>17213</v>
      </c>
      <c r="J6700" s="3" t="str">
        <f>HYPERLINK("https://www.boe.es/gazeta/dias/1811/12/17/pdfs/GEI-1811-163.pdf#page=7","Abrir facsímil")</f>
        <v>Abrir facsímil</v>
      </c>
      <c r="K6700" s="3" t="s">
        <v>150</v>
      </c>
    </row>
    <row r="6701" spans="1:11" ht="42" customHeight="1">
      <c r="A6701" s="2" t="s">
        <v>17214</v>
      </c>
      <c r="B6701" s="2" t="s">
        <v>17215</v>
      </c>
      <c r="C6701" s="2" t="s">
        <v>17</v>
      </c>
      <c r="D6701" s="2" t="s">
        <v>156</v>
      </c>
      <c r="E6701" s="4">
        <v>-32428</v>
      </c>
      <c r="F6701" s="3" t="s">
        <v>351</v>
      </c>
      <c r="G6701" s="3" t="s">
        <v>115</v>
      </c>
      <c r="H6701" s="2" t="s">
        <v>148</v>
      </c>
      <c r="I6701" s="2" t="s">
        <v>17216</v>
      </c>
      <c r="J6701" s="3" t="str">
        <f>HYPERLINK("https://www.boe.es/gazeta/dias/1811/03/19/pdfs/GMD-1811-78.pdf#page=3","Abrir facsímil")</f>
        <v>Abrir facsímil</v>
      </c>
      <c r="K6701" s="3" t="s">
        <v>150</v>
      </c>
    </row>
    <row r="6702" spans="1:11" ht="42" customHeight="1">
      <c r="A6702" s="2" t="s">
        <v>17217</v>
      </c>
      <c r="B6702" s="2" t="s">
        <v>17218</v>
      </c>
      <c r="C6702" s="2" t="s">
        <v>17</v>
      </c>
      <c r="D6702" s="2" t="s">
        <v>18</v>
      </c>
      <c r="E6702" s="4">
        <v>-32396</v>
      </c>
      <c r="F6702" s="3" t="s">
        <v>2393</v>
      </c>
      <c r="G6702" s="3" t="s">
        <v>17219</v>
      </c>
      <c r="H6702" s="2" t="s">
        <v>148</v>
      </c>
      <c r="I6702" s="2" t="s">
        <v>17220</v>
      </c>
      <c r="J6702" s="3" t="str">
        <f>HYPERLINK("https://www.boe.es/gazeta/dias/1811/04/20/pdfs/GEI-1811-53.pdf#page=5","Abrir facsímil")</f>
        <v>Abrir facsímil</v>
      </c>
      <c r="K6702" s="3" t="s">
        <v>150</v>
      </c>
    </row>
    <row r="6703" spans="1:11" ht="42" customHeight="1">
      <c r="A6703" s="2" t="s">
        <v>17221</v>
      </c>
      <c r="B6703" s="2" t="s">
        <v>17222</v>
      </c>
      <c r="C6703" s="2" t="s">
        <v>26</v>
      </c>
      <c r="D6703" s="2" t="s">
        <v>18</v>
      </c>
      <c r="E6703" s="4">
        <v>-32295</v>
      </c>
      <c r="F6703" s="3" t="s">
        <v>279</v>
      </c>
      <c r="G6703" s="3" t="s">
        <v>44</v>
      </c>
      <c r="H6703" s="2" t="s">
        <v>148</v>
      </c>
      <c r="I6703" s="2" t="s">
        <v>17223</v>
      </c>
      <c r="J6703" s="3" t="str">
        <f>HYPERLINK("https://www.boe.es/gazeta/dias/1811/07/30/pdfs/GEI-1811-99.pdf#page=8","Abrir facsímil")</f>
        <v>Abrir facsímil</v>
      </c>
      <c r="K6703" s="3" t="s">
        <v>150</v>
      </c>
    </row>
    <row r="6704" spans="1:11" ht="42" customHeight="1">
      <c r="A6704" s="2" t="s">
        <v>17224</v>
      </c>
      <c r="B6704" s="2" t="s">
        <v>17225</v>
      </c>
      <c r="C6704" s="2" t="s">
        <v>26</v>
      </c>
      <c r="D6704" s="2" t="s">
        <v>18</v>
      </c>
      <c r="E6704" s="4">
        <v>-32300</v>
      </c>
      <c r="F6704" s="3" t="s">
        <v>61</v>
      </c>
      <c r="G6704" s="3" t="s">
        <v>62</v>
      </c>
      <c r="H6704" s="2" t="s">
        <v>148</v>
      </c>
      <c r="I6704" s="2" t="s">
        <v>17226</v>
      </c>
      <c r="J6704" s="3" t="str">
        <f>HYPERLINK("https://www.boe.es/gazeta/dias/1811/07/25/pdfs/GEI-1811-97.pdf#page=5","Abrir facsímil")</f>
        <v>Abrir facsímil</v>
      </c>
      <c r="K6704" s="3" t="s">
        <v>150</v>
      </c>
    </row>
    <row r="6705" spans="1:11" ht="42" customHeight="1">
      <c r="A6705" s="2" t="s">
        <v>17227</v>
      </c>
      <c r="B6705" s="2" t="s">
        <v>17228</v>
      </c>
      <c r="C6705" s="2" t="s">
        <v>26</v>
      </c>
      <c r="D6705" s="2" t="s">
        <v>204</v>
      </c>
      <c r="E6705" s="4">
        <v>-32417</v>
      </c>
      <c r="F6705" s="3" t="s">
        <v>604</v>
      </c>
      <c r="G6705" s="3" t="s">
        <v>178</v>
      </c>
      <c r="H6705" s="2" t="s">
        <v>148</v>
      </c>
      <c r="I6705" s="2" t="s">
        <v>17229</v>
      </c>
      <c r="J6705" s="3" t="str">
        <f>HYPERLINK("https://www.boe.es/gazeta/dias/1811/03/30/pdfs/GMD-1811-89.pdf#page=3","Abrir facsímil")</f>
        <v>Abrir facsímil</v>
      </c>
      <c r="K6705" s="3" t="s">
        <v>150</v>
      </c>
    </row>
    <row r="6706" spans="1:11" ht="42" customHeight="1">
      <c r="A6706" s="2" t="s">
        <v>17227</v>
      </c>
      <c r="B6706" s="2" t="s">
        <v>17228</v>
      </c>
      <c r="C6706" s="2" t="s">
        <v>17</v>
      </c>
      <c r="D6706" s="2" t="s">
        <v>18</v>
      </c>
      <c r="E6706" s="4">
        <v>-32300</v>
      </c>
      <c r="F6706" s="3" t="s">
        <v>492</v>
      </c>
      <c r="G6706" s="3" t="s">
        <v>493</v>
      </c>
      <c r="H6706" s="2" t="s">
        <v>148</v>
      </c>
      <c r="I6706" s="2" t="s">
        <v>17230</v>
      </c>
      <c r="J6706" s="3" t="str">
        <f>HYPERLINK("https://www.boe.es/gazeta/dias/1811/07/25/pdfs/GMD-1811-206.pdf#page=4","Abrir facsímil")</f>
        <v>Abrir facsímil</v>
      </c>
      <c r="K6706" s="3" t="s">
        <v>150</v>
      </c>
    </row>
    <row r="6707" spans="1:11" ht="42" customHeight="1">
      <c r="A6707" s="2" t="s">
        <v>17231</v>
      </c>
      <c r="B6707" s="2" t="s">
        <v>17232</v>
      </c>
      <c r="C6707" s="2" t="s">
        <v>17</v>
      </c>
      <c r="D6707" s="2" t="s">
        <v>18</v>
      </c>
      <c r="E6707" s="4">
        <v>-32440</v>
      </c>
      <c r="F6707" s="3" t="s">
        <v>1254</v>
      </c>
      <c r="G6707" s="3" t="s">
        <v>47</v>
      </c>
      <c r="H6707" s="2" t="s">
        <v>148</v>
      </c>
      <c r="I6707" s="2" t="s">
        <v>17233</v>
      </c>
      <c r="J6707" s="3" t="str">
        <f>HYPERLINK("https://www.boe.es/gazeta/dias/1811/03/07/pdfs/GEI-1811-32.pdf#page=3","Abrir facsímil")</f>
        <v>Abrir facsímil</v>
      </c>
      <c r="K6707" s="3" t="s">
        <v>150</v>
      </c>
    </row>
    <row r="6708" spans="1:11" ht="42" customHeight="1">
      <c r="A6708" s="2" t="s">
        <v>17234</v>
      </c>
      <c r="B6708" s="2" t="s">
        <v>17235</v>
      </c>
      <c r="C6708" s="2" t="s">
        <v>26</v>
      </c>
      <c r="D6708" s="2" t="s">
        <v>105</v>
      </c>
      <c r="E6708" s="4">
        <v>-32272</v>
      </c>
      <c r="F6708" s="3" t="s">
        <v>1150</v>
      </c>
      <c r="G6708" s="3" t="s">
        <v>248</v>
      </c>
      <c r="H6708" s="2" t="s">
        <v>148</v>
      </c>
      <c r="I6708" s="2" t="s">
        <v>17236</v>
      </c>
      <c r="J6708" s="3" t="str">
        <f>HYPERLINK("https://www.boe.es/gazeta/dias/1811/08/22/pdfs/GMD-C-1811-234.pdf#page=1","Abrir facsímil")</f>
        <v>Abrir facsímil</v>
      </c>
      <c r="K6708" s="3" t="s">
        <v>150</v>
      </c>
    </row>
    <row r="6709" spans="1:11" ht="42" customHeight="1">
      <c r="A6709" s="2" t="s">
        <v>17234</v>
      </c>
      <c r="B6709" s="2" t="s">
        <v>17235</v>
      </c>
      <c r="C6709" s="2" t="s">
        <v>26</v>
      </c>
      <c r="D6709" s="2" t="s">
        <v>141</v>
      </c>
      <c r="E6709" s="4">
        <v>-32249</v>
      </c>
      <c r="F6709" s="3" t="s">
        <v>743</v>
      </c>
      <c r="G6709" s="3" t="s">
        <v>1021</v>
      </c>
      <c r="H6709" s="2" t="s">
        <v>148</v>
      </c>
      <c r="I6709" s="2" t="s">
        <v>17237</v>
      </c>
      <c r="J6709" s="3" t="str">
        <f>HYPERLINK("https://www.boe.es/gazeta/dias/1811/09/14/pdfs/GMD-C-1811-257.pdf#page=2","Abrir facsímil")</f>
        <v>Abrir facsímil</v>
      </c>
      <c r="K6709" s="3" t="s">
        <v>150</v>
      </c>
    </row>
    <row r="6710" spans="1:11" ht="42" customHeight="1">
      <c r="A6710" s="2" t="s">
        <v>17238</v>
      </c>
      <c r="B6710" s="2" t="s">
        <v>17239</v>
      </c>
      <c r="C6710" s="2" t="s">
        <v>26</v>
      </c>
      <c r="D6710" s="2" t="s">
        <v>105</v>
      </c>
      <c r="E6710" s="4">
        <v>-32272</v>
      </c>
      <c r="F6710" s="3" t="s">
        <v>1150</v>
      </c>
      <c r="G6710" s="3" t="s">
        <v>248</v>
      </c>
      <c r="H6710" s="2" t="s">
        <v>148</v>
      </c>
      <c r="I6710" s="2" t="s">
        <v>17240</v>
      </c>
      <c r="J6710" s="3" t="str">
        <f>HYPERLINK("https://www.boe.es/gazeta/dias/1811/08/22/pdfs/GMD-C-1811-234.pdf#page=1","Abrir facsímil")</f>
        <v>Abrir facsímil</v>
      </c>
      <c r="K6710" s="3" t="s">
        <v>150</v>
      </c>
    </row>
    <row r="6711" spans="1:11" ht="42" customHeight="1">
      <c r="A6711" s="2" t="s">
        <v>17238</v>
      </c>
      <c r="B6711" s="2" t="s">
        <v>17239</v>
      </c>
      <c r="C6711" s="2" t="s">
        <v>26</v>
      </c>
      <c r="D6711" s="2" t="s">
        <v>18</v>
      </c>
      <c r="E6711" s="4">
        <v>-32188</v>
      </c>
      <c r="F6711" s="3" t="s">
        <v>356</v>
      </c>
      <c r="G6711" s="3" t="s">
        <v>468</v>
      </c>
      <c r="H6711" s="2" t="s">
        <v>148</v>
      </c>
      <c r="I6711" s="2" t="s">
        <v>17241</v>
      </c>
      <c r="J6711" s="3" t="str">
        <f>HYPERLINK("https://www.boe.es/gazeta/dias/1811/11/14/pdfs/GMD-1811-318.pdf#page=6","Abrir facsímil")</f>
        <v>Abrir facsímil</v>
      </c>
      <c r="K6711" s="3" t="s">
        <v>150</v>
      </c>
    </row>
    <row r="6712" spans="1:11" ht="42" customHeight="1">
      <c r="A6712" s="2" t="s">
        <v>17242</v>
      </c>
      <c r="B6712" s="2" t="s">
        <v>17242</v>
      </c>
      <c r="C6712" s="2" t="s">
        <v>17</v>
      </c>
      <c r="D6712" s="2" t="s">
        <v>156</v>
      </c>
      <c r="E6712" s="4">
        <v>-32230</v>
      </c>
      <c r="F6712" s="3" t="s">
        <v>856</v>
      </c>
      <c r="G6712" s="3" t="s">
        <v>20</v>
      </c>
      <c r="H6712" s="2" t="s">
        <v>148</v>
      </c>
      <c r="I6712" s="2" t="s">
        <v>17243</v>
      </c>
      <c r="J6712" s="3" t="str">
        <f>HYPERLINK("https://www.boe.es/gazeta/dias/1811/10/03/pdfs/GMD-1811-276.pdf#page=2","Abrir facsímil")</f>
        <v>Abrir facsímil</v>
      </c>
      <c r="K6712" s="3" t="s">
        <v>150</v>
      </c>
    </row>
    <row r="6713" spans="1:11" ht="42" customHeight="1">
      <c r="A6713" s="2" t="s">
        <v>17244</v>
      </c>
      <c r="B6713" s="2" t="s">
        <v>17244</v>
      </c>
      <c r="C6713" s="2" t="s">
        <v>26</v>
      </c>
      <c r="D6713" s="2" t="s">
        <v>18</v>
      </c>
      <c r="E6713" s="4">
        <v>-32396</v>
      </c>
      <c r="F6713" s="3" t="s">
        <v>2393</v>
      </c>
      <c r="G6713" s="3" t="s">
        <v>9018</v>
      </c>
      <c r="H6713" s="2" t="s">
        <v>148</v>
      </c>
      <c r="I6713" s="2" t="s">
        <v>17245</v>
      </c>
      <c r="J6713" s="3" t="str">
        <f>HYPERLINK("https://www.boe.es/gazeta/dias/1811/04/20/pdfs/GEI-1811-53.pdf#page=3","Abrir facsímil")</f>
        <v>Abrir facsímil</v>
      </c>
      <c r="K6713" s="3" t="s">
        <v>150</v>
      </c>
    </row>
    <row r="6714" spans="1:11" ht="42" customHeight="1">
      <c r="A6714" s="2" t="s">
        <v>17246</v>
      </c>
      <c r="B6714" s="2" t="s">
        <v>17246</v>
      </c>
      <c r="C6714" s="2" t="s">
        <v>26</v>
      </c>
      <c r="D6714" s="2" t="s">
        <v>105</v>
      </c>
      <c r="E6714" s="4">
        <v>-32234</v>
      </c>
      <c r="F6714" s="3" t="s">
        <v>12552</v>
      </c>
      <c r="G6714" s="3" t="s">
        <v>1710</v>
      </c>
      <c r="H6714" s="2" t="s">
        <v>148</v>
      </c>
      <c r="I6714" s="2" t="s">
        <v>17247</v>
      </c>
      <c r="J6714" s="3" t="str">
        <f>HYPERLINK("https://www.boe.es/gazeta/dias/1811/09/29/pdfs/GMD-1811-272.pdf#page=2","Abrir facsímil")</f>
        <v>Abrir facsímil</v>
      </c>
      <c r="K6714" s="3" t="s">
        <v>150</v>
      </c>
    </row>
    <row r="6715" spans="1:11" ht="42" customHeight="1">
      <c r="A6715" s="2" t="s">
        <v>17246</v>
      </c>
      <c r="B6715" s="2" t="s">
        <v>17246</v>
      </c>
      <c r="C6715" s="2" t="s">
        <v>26</v>
      </c>
      <c r="D6715" s="2" t="s">
        <v>18</v>
      </c>
      <c r="E6715" s="4">
        <v>-32234</v>
      </c>
      <c r="F6715" s="3" t="s">
        <v>12552</v>
      </c>
      <c r="G6715" s="3" t="s">
        <v>115</v>
      </c>
      <c r="H6715" s="2" t="s">
        <v>148</v>
      </c>
      <c r="I6715" s="2" t="s">
        <v>17248</v>
      </c>
      <c r="J6715" s="3" t="str">
        <f>HYPERLINK("https://www.boe.es/gazeta/dias/1811/09/29/pdfs/GMD-1811-272.pdf#page=3","Abrir facsímil")</f>
        <v>Abrir facsímil</v>
      </c>
      <c r="K6715" s="3" t="s">
        <v>150</v>
      </c>
    </row>
    <row r="6716" spans="1:11" ht="42" customHeight="1">
      <c r="A6716" s="2" t="s">
        <v>17249</v>
      </c>
      <c r="B6716" s="2" t="s">
        <v>17250</v>
      </c>
      <c r="C6716" s="2" t="s">
        <v>26</v>
      </c>
      <c r="D6716" s="2" t="s">
        <v>18</v>
      </c>
      <c r="E6716" s="4">
        <v>-32286</v>
      </c>
      <c r="F6716" s="3" t="s">
        <v>754</v>
      </c>
      <c r="G6716" s="3" t="s">
        <v>1728</v>
      </c>
      <c r="H6716" s="2" t="s">
        <v>148</v>
      </c>
      <c r="I6716" s="2" t="s">
        <v>17251</v>
      </c>
      <c r="J6716" s="3" t="str">
        <f>HYPERLINK("https://www.boe.es/gazeta/dias/1811/08/08/pdfs/GEI-1811-103.pdf#page=8","Abrir facsímil")</f>
        <v>Abrir facsímil</v>
      </c>
      <c r="K6716" s="3" t="s">
        <v>150</v>
      </c>
    </row>
    <row r="6717" spans="1:11" ht="42" customHeight="1">
      <c r="A6717" s="2" t="s">
        <v>17252</v>
      </c>
      <c r="B6717" s="2" t="s">
        <v>17253</v>
      </c>
      <c r="C6717" s="2" t="s">
        <v>26</v>
      </c>
      <c r="D6717" s="2" t="s">
        <v>18</v>
      </c>
      <c r="E6717" s="4">
        <v>-32172</v>
      </c>
      <c r="F6717" s="3" t="s">
        <v>300</v>
      </c>
      <c r="G6717" s="3" t="s">
        <v>301</v>
      </c>
      <c r="H6717" s="2" t="s">
        <v>148</v>
      </c>
      <c r="I6717" s="2" t="s">
        <v>17254</v>
      </c>
      <c r="J6717" s="3" t="str">
        <f>HYPERLINK("https://www.boe.es/gazeta/dias/1811/11/30/pdfs/GMD-1811-334.pdf#page=4","Abrir facsímil")</f>
        <v>Abrir facsímil</v>
      </c>
      <c r="K6717" s="3" t="s">
        <v>150</v>
      </c>
    </row>
    <row r="6718" spans="1:11" ht="42" customHeight="1">
      <c r="A6718" s="2" t="s">
        <v>17255</v>
      </c>
      <c r="B6718" s="2" t="s">
        <v>17255</v>
      </c>
      <c r="C6718" s="2" t="s">
        <v>26</v>
      </c>
      <c r="D6718" s="2" t="s">
        <v>18</v>
      </c>
      <c r="E6718" s="4">
        <v>-32440</v>
      </c>
      <c r="F6718" s="3" t="s">
        <v>811</v>
      </c>
      <c r="G6718" s="3" t="s">
        <v>44</v>
      </c>
      <c r="H6718" s="2" t="s">
        <v>148</v>
      </c>
      <c r="I6718" s="2" t="s">
        <v>17256</v>
      </c>
      <c r="J6718" s="3" t="str">
        <f>HYPERLINK("https://www.boe.es/gazeta/dias/1811/03/07/pdfs/GMD-1811-66.pdf#page=2","Abrir facsímil")</f>
        <v>Abrir facsímil</v>
      </c>
      <c r="K6718" s="3" t="s">
        <v>150</v>
      </c>
    </row>
    <row r="6719" spans="1:11" ht="42" customHeight="1">
      <c r="A6719" s="2" t="s">
        <v>17255</v>
      </c>
      <c r="B6719" s="2" t="s">
        <v>17255</v>
      </c>
      <c r="C6719" s="2" t="s">
        <v>26</v>
      </c>
      <c r="D6719" s="2" t="s">
        <v>18</v>
      </c>
      <c r="E6719" s="4">
        <v>-32324</v>
      </c>
      <c r="F6719" s="3" t="s">
        <v>730</v>
      </c>
      <c r="G6719" s="3" t="s">
        <v>57</v>
      </c>
      <c r="H6719" s="2" t="s">
        <v>148</v>
      </c>
      <c r="I6719" s="2" t="s">
        <v>17257</v>
      </c>
      <c r="J6719" s="3" t="str">
        <f>HYPERLINK("https://www.boe.es/gazeta/dias/1811/07/01/pdfs/GMD-1811-182.pdf#page=2","Abrir facsímil")</f>
        <v>Abrir facsímil</v>
      </c>
      <c r="K6719" s="3" t="s">
        <v>150</v>
      </c>
    </row>
    <row r="6720" spans="1:11" ht="42" customHeight="1">
      <c r="A6720" s="2" t="s">
        <v>17255</v>
      </c>
      <c r="B6720" s="2" t="s">
        <v>17255</v>
      </c>
      <c r="C6720" s="2" t="s">
        <v>66</v>
      </c>
      <c r="D6720" s="2" t="s">
        <v>18</v>
      </c>
      <c r="E6720" s="4">
        <v>-32320</v>
      </c>
      <c r="F6720" s="3" t="s">
        <v>3234</v>
      </c>
      <c r="G6720" s="3" t="s">
        <v>2824</v>
      </c>
      <c r="H6720" s="2" t="s">
        <v>148</v>
      </c>
      <c r="I6720" s="2" t="s">
        <v>17258</v>
      </c>
      <c r="J6720" s="3" t="str">
        <f>HYPERLINK("https://www.boe.es/gazeta/dias/1811/07/05/pdfs/GMD-1811-186.pdf#page=1","Abrir facsímil")</f>
        <v>Abrir facsímil</v>
      </c>
      <c r="K6720" s="3" t="s">
        <v>150</v>
      </c>
    </row>
    <row r="6721" spans="1:11" ht="42" customHeight="1">
      <c r="A6721" s="2" t="s">
        <v>17259</v>
      </c>
      <c r="B6721" s="2" t="s">
        <v>17259</v>
      </c>
      <c r="C6721" s="2" t="s">
        <v>17</v>
      </c>
      <c r="D6721" s="2" t="s">
        <v>156</v>
      </c>
      <c r="E6721" s="4">
        <v>-32428</v>
      </c>
      <c r="F6721" s="3" t="s">
        <v>351</v>
      </c>
      <c r="G6721" s="3" t="s">
        <v>57</v>
      </c>
      <c r="H6721" s="2" t="s">
        <v>148</v>
      </c>
      <c r="I6721" s="2" t="s">
        <v>17260</v>
      </c>
      <c r="J6721" s="3" t="str">
        <f>HYPERLINK("https://www.boe.es/gazeta/dias/1811/03/19/pdfs/GMD-1811-78.pdf#page=2","Abrir facsímil")</f>
        <v>Abrir facsímil</v>
      </c>
      <c r="K6721" s="3" t="s">
        <v>150</v>
      </c>
    </row>
    <row r="6722" spans="1:11" ht="42" customHeight="1">
      <c r="A6722" s="2" t="s">
        <v>17261</v>
      </c>
      <c r="B6722" s="2" t="s">
        <v>17262</v>
      </c>
      <c r="C6722" s="2" t="s">
        <v>17</v>
      </c>
      <c r="D6722" s="2" t="s">
        <v>156</v>
      </c>
      <c r="E6722" s="4">
        <v>-32298</v>
      </c>
      <c r="F6722" s="3" t="s">
        <v>133</v>
      </c>
      <c r="G6722" s="3" t="s">
        <v>134</v>
      </c>
      <c r="H6722" s="2" t="s">
        <v>148</v>
      </c>
      <c r="I6722" s="2" t="s">
        <v>17263</v>
      </c>
      <c r="J6722" s="3" t="str">
        <f>HYPERLINK("https://www.boe.es/gazeta/dias/1811/07/27/pdfs/GEI-1811-98.pdf#page=7","Abrir facsímil")</f>
        <v>Abrir facsímil</v>
      </c>
      <c r="K6722" s="3" t="s">
        <v>150</v>
      </c>
    </row>
    <row r="6723" spans="1:11" ht="42" customHeight="1">
      <c r="A6723" s="2" t="s">
        <v>17264</v>
      </c>
      <c r="B6723" s="2" t="s">
        <v>17265</v>
      </c>
      <c r="C6723" s="2" t="s">
        <v>17</v>
      </c>
      <c r="D6723" s="2" t="s">
        <v>156</v>
      </c>
      <c r="E6723" s="4">
        <v>-32237</v>
      </c>
      <c r="F6723" s="3" t="s">
        <v>717</v>
      </c>
      <c r="G6723" s="3" t="s">
        <v>1128</v>
      </c>
      <c r="H6723" s="2" t="s">
        <v>148</v>
      </c>
      <c r="I6723" s="2" t="s">
        <v>17266</v>
      </c>
      <c r="J6723" s="3" t="str">
        <f>HYPERLINK("https://www.boe.es/gazeta/dias/1811/09/26/pdfs/GEI-1811-124.pdf#page=8","Abrir facsímil")</f>
        <v>Abrir facsímil</v>
      </c>
      <c r="K6723" s="3" t="s">
        <v>150</v>
      </c>
    </row>
    <row r="6724" spans="1:11" ht="42" customHeight="1">
      <c r="A6724" s="2" t="s">
        <v>17267</v>
      </c>
      <c r="B6724" s="2" t="s">
        <v>17268</v>
      </c>
      <c r="C6724" s="2" t="s">
        <v>26</v>
      </c>
      <c r="D6724" s="2" t="s">
        <v>18</v>
      </c>
      <c r="E6724" s="4">
        <v>-32477</v>
      </c>
      <c r="F6724" s="3" t="s">
        <v>589</v>
      </c>
      <c r="G6724" s="3" t="s">
        <v>183</v>
      </c>
      <c r="H6724" s="2" t="s">
        <v>148</v>
      </c>
      <c r="I6724" s="2" t="s">
        <v>17269</v>
      </c>
      <c r="J6724" s="3" t="str">
        <f>HYPERLINK("https://www.boe.es/gazeta/dias/1811/01/29/pdfs/GMD-1811-29.pdf#page=4","Abrir facsímil")</f>
        <v>Abrir facsímil</v>
      </c>
      <c r="K6724" s="3" t="s">
        <v>150</v>
      </c>
    </row>
    <row r="6725" spans="1:11" ht="42" customHeight="1">
      <c r="A6725" s="2" t="s">
        <v>17267</v>
      </c>
      <c r="B6725" s="2" t="s">
        <v>17268</v>
      </c>
      <c r="C6725" s="2" t="s">
        <v>17</v>
      </c>
      <c r="D6725" s="2" t="s">
        <v>18</v>
      </c>
      <c r="E6725" s="4">
        <v>-32476</v>
      </c>
      <c r="F6725" s="3" t="s">
        <v>1896</v>
      </c>
      <c r="G6725" s="3" t="s">
        <v>183</v>
      </c>
      <c r="H6725" s="2" t="s">
        <v>148</v>
      </c>
      <c r="I6725" s="2" t="s">
        <v>17270</v>
      </c>
      <c r="J6725" s="3" t="str">
        <f>HYPERLINK("https://www.boe.es/gazeta/dias/1811/01/30/pdfs/GMD-1811-30.pdf#page=4","Abrir facsímil")</f>
        <v>Abrir facsímil</v>
      </c>
      <c r="K6725" s="3" t="s">
        <v>150</v>
      </c>
    </row>
    <row r="6726" spans="1:11" ht="42" customHeight="1">
      <c r="A6726" s="2" t="s">
        <v>17267</v>
      </c>
      <c r="B6726" s="2" t="s">
        <v>17268</v>
      </c>
      <c r="C6726" s="2" t="s">
        <v>26</v>
      </c>
      <c r="D6726" s="2" t="s">
        <v>18</v>
      </c>
      <c r="E6726" s="4">
        <v>-32475</v>
      </c>
      <c r="F6726" s="3" t="s">
        <v>259</v>
      </c>
      <c r="G6726" s="3" t="s">
        <v>20</v>
      </c>
      <c r="H6726" s="2" t="s">
        <v>148</v>
      </c>
      <c r="I6726" s="2" t="s">
        <v>17271</v>
      </c>
      <c r="J6726" s="3" t="str">
        <f>HYPERLINK("https://www.boe.es/gazeta/dias/1811/01/31/pdfs/GMD-1811-31.pdf#page=4","Abrir facsímil")</f>
        <v>Abrir facsímil</v>
      </c>
      <c r="K6726" s="3" t="s">
        <v>150</v>
      </c>
    </row>
    <row r="6727" spans="1:11" ht="42" customHeight="1">
      <c r="A6727" s="2" t="s">
        <v>17267</v>
      </c>
      <c r="B6727" s="2" t="s">
        <v>17268</v>
      </c>
      <c r="C6727" s="2" t="s">
        <v>26</v>
      </c>
      <c r="D6727" s="2" t="s">
        <v>18</v>
      </c>
      <c r="E6727" s="4">
        <v>-32474</v>
      </c>
      <c r="F6727" s="3" t="s">
        <v>11509</v>
      </c>
      <c r="G6727" s="3" t="s">
        <v>468</v>
      </c>
      <c r="H6727" s="2" t="s">
        <v>148</v>
      </c>
      <c r="I6727" s="2" t="s">
        <v>17272</v>
      </c>
      <c r="J6727" s="3" t="str">
        <f>HYPERLINK("https://www.boe.es/gazeta/dias/1811/02/01/pdfs/GMD-1811-32.pdf#page=4","Abrir facsímil")</f>
        <v>Abrir facsímil</v>
      </c>
      <c r="K6727" s="3" t="s">
        <v>150</v>
      </c>
    </row>
    <row r="6728" spans="1:11" ht="42" customHeight="1">
      <c r="A6728" s="2" t="s">
        <v>17267</v>
      </c>
      <c r="B6728" s="2" t="s">
        <v>17268</v>
      </c>
      <c r="C6728" s="2" t="s">
        <v>26</v>
      </c>
      <c r="D6728" s="2" t="s">
        <v>18</v>
      </c>
      <c r="E6728" s="4">
        <v>-32473</v>
      </c>
      <c r="F6728" s="3" t="s">
        <v>1109</v>
      </c>
      <c r="G6728" s="3" t="s">
        <v>305</v>
      </c>
      <c r="H6728" s="2" t="s">
        <v>148</v>
      </c>
      <c r="I6728" s="2" t="s">
        <v>17273</v>
      </c>
      <c r="J6728" s="3" t="str">
        <f>HYPERLINK("https://www.boe.es/gazeta/dias/1811/02/02/pdfs/GMD-1811-33.pdf#page=4","Abrir facsímil")</f>
        <v>Abrir facsímil</v>
      </c>
      <c r="K6728" s="3" t="s">
        <v>150</v>
      </c>
    </row>
    <row r="6729" spans="1:11" ht="42" customHeight="1">
      <c r="A6729" s="2" t="s">
        <v>17274</v>
      </c>
      <c r="B6729" s="2" t="s">
        <v>17275</v>
      </c>
      <c r="C6729" s="2" t="s">
        <v>26</v>
      </c>
      <c r="D6729" s="2" t="s">
        <v>18</v>
      </c>
      <c r="E6729" s="4">
        <v>-32188</v>
      </c>
      <c r="F6729" s="3" t="s">
        <v>356</v>
      </c>
      <c r="G6729" s="3" t="s">
        <v>468</v>
      </c>
      <c r="H6729" s="2" t="s">
        <v>148</v>
      </c>
      <c r="I6729" s="2" t="s">
        <v>17276</v>
      </c>
      <c r="J6729" s="3" t="str">
        <f>HYPERLINK("https://www.boe.es/gazeta/dias/1811/11/14/pdfs/GMD-1811-318.pdf#page=6","Abrir facsímil")</f>
        <v>Abrir facsímil</v>
      </c>
      <c r="K6729" s="3" t="s">
        <v>150</v>
      </c>
    </row>
    <row r="6730" spans="1:11" ht="42" customHeight="1">
      <c r="A6730" s="2" t="s">
        <v>17277</v>
      </c>
      <c r="B6730" s="2" t="s">
        <v>17278</v>
      </c>
      <c r="C6730" s="2" t="s">
        <v>122</v>
      </c>
      <c r="D6730" s="2" t="s">
        <v>141</v>
      </c>
      <c r="E6730" s="4">
        <v>-32238</v>
      </c>
      <c r="F6730" s="3" t="s">
        <v>166</v>
      </c>
      <c r="G6730" s="3" t="s">
        <v>129</v>
      </c>
      <c r="H6730" s="2" t="s">
        <v>148</v>
      </c>
      <c r="I6730" s="2" t="s">
        <v>17279</v>
      </c>
      <c r="J6730" s="3" t="str">
        <f>HYPERLINK("https://www.boe.es/gazeta/dias/1811/09/25/pdfs/GMD-C-1811-268.pdf#page=1","Abrir facsímil")</f>
        <v>Abrir facsímil</v>
      </c>
      <c r="K6730" s="3" t="s">
        <v>150</v>
      </c>
    </row>
    <row r="6731" spans="1:11" ht="42" customHeight="1">
      <c r="A6731" s="2" t="s">
        <v>17280</v>
      </c>
      <c r="B6731" s="2" t="s">
        <v>17281</v>
      </c>
      <c r="C6731" s="2" t="s">
        <v>26</v>
      </c>
      <c r="D6731" s="2" t="s">
        <v>18</v>
      </c>
      <c r="E6731" s="4">
        <v>-32210</v>
      </c>
      <c r="F6731" s="3" t="s">
        <v>1737</v>
      </c>
      <c r="G6731" s="3" t="s">
        <v>391</v>
      </c>
      <c r="H6731" s="2" t="s">
        <v>148</v>
      </c>
      <c r="I6731" s="2" t="s">
        <v>17282</v>
      </c>
      <c r="J6731" s="3" t="str">
        <f>HYPERLINK("https://www.boe.es/gazeta/dias/1811/10/23/pdfs/GMD-1811-296.pdf#page=1","Abrir facsímil")</f>
        <v>Abrir facsímil</v>
      </c>
      <c r="K6731" s="3" t="s">
        <v>150</v>
      </c>
    </row>
    <row r="6732" spans="1:11" ht="42" customHeight="1">
      <c r="A6732" s="2" t="s">
        <v>17283</v>
      </c>
      <c r="B6732" s="2" t="s">
        <v>17284</v>
      </c>
      <c r="C6732" s="2" t="s">
        <v>26</v>
      </c>
      <c r="D6732" s="2" t="s">
        <v>18</v>
      </c>
      <c r="E6732" s="4">
        <v>-32247</v>
      </c>
      <c r="F6732" s="3" t="s">
        <v>12590</v>
      </c>
      <c r="G6732" s="3" t="s">
        <v>17285</v>
      </c>
      <c r="H6732" s="2" t="s">
        <v>148</v>
      </c>
      <c r="I6732" s="2" t="s">
        <v>17286</v>
      </c>
      <c r="J6732" s="3" t="str">
        <f>HYPERLINK("https://www.boe.es/gazeta/dias/1811/09/16/pdfs/GMD-1811-259.pdf#page=3","Abrir facsímil")</f>
        <v>Abrir facsímil</v>
      </c>
      <c r="K6732" s="3" t="s">
        <v>150</v>
      </c>
    </row>
    <row r="6733" spans="1:11" ht="42" customHeight="1">
      <c r="A6733" s="2" t="s">
        <v>17287</v>
      </c>
      <c r="B6733" s="2" t="s">
        <v>17288</v>
      </c>
      <c r="C6733" s="2" t="s">
        <v>17</v>
      </c>
      <c r="D6733" s="2" t="s">
        <v>18</v>
      </c>
      <c r="E6733" s="4">
        <v>-32201</v>
      </c>
      <c r="F6733" s="3" t="s">
        <v>2643</v>
      </c>
      <c r="G6733" s="3" t="s">
        <v>1087</v>
      </c>
      <c r="H6733" s="2" t="s">
        <v>148</v>
      </c>
      <c r="I6733" s="2" t="s">
        <v>17289</v>
      </c>
      <c r="J6733" s="3" t="str">
        <f>HYPERLINK("https://www.boe.es/gazeta/dias/1811/11/01/pdfs/GMD-1811-305.pdf#page=4","Abrir facsímil")</f>
        <v>Abrir facsímil</v>
      </c>
      <c r="K6733" s="3" t="s">
        <v>150</v>
      </c>
    </row>
    <row r="6734" spans="1:11" ht="42" customHeight="1">
      <c r="A6734" s="2" t="s">
        <v>17290</v>
      </c>
      <c r="B6734" s="2" t="s">
        <v>17291</v>
      </c>
      <c r="C6734" s="2" t="s">
        <v>26</v>
      </c>
      <c r="D6734" s="2" t="s">
        <v>18</v>
      </c>
      <c r="E6734" s="4">
        <v>-32481</v>
      </c>
      <c r="F6734" s="3" t="s">
        <v>1687</v>
      </c>
      <c r="G6734" s="3" t="s">
        <v>4089</v>
      </c>
      <c r="H6734" s="2" t="s">
        <v>148</v>
      </c>
      <c r="I6734" s="2" t="s">
        <v>17292</v>
      </c>
      <c r="J6734" s="3" t="str">
        <f>HYPERLINK("https://www.boe.es/gazeta/dias/1811/01/25/pdfs/GMD-1811-25.pdf#page=4","Abrir facsímil")</f>
        <v>Abrir facsímil</v>
      </c>
      <c r="K6734" s="3" t="s">
        <v>150</v>
      </c>
    </row>
    <row r="6735" spans="1:11" ht="42" customHeight="1">
      <c r="A6735" s="2" t="s">
        <v>17293</v>
      </c>
      <c r="B6735" s="2" t="s">
        <v>17294</v>
      </c>
      <c r="C6735" s="2" t="s">
        <v>17</v>
      </c>
      <c r="D6735" s="2" t="s">
        <v>156</v>
      </c>
      <c r="E6735" s="4">
        <v>-32489</v>
      </c>
      <c r="F6735" s="3" t="s">
        <v>2073</v>
      </c>
      <c r="G6735" s="3" t="s">
        <v>44</v>
      </c>
      <c r="H6735" s="2" t="s">
        <v>148</v>
      </c>
      <c r="I6735" s="2" t="s">
        <v>17295</v>
      </c>
      <c r="J6735" s="3" t="str">
        <f>HYPERLINK("https://www.boe.es/gazeta/dias/1811/01/17/pdfs/GEI-1811-8.pdf#page=8","Abrir facsímil")</f>
        <v>Abrir facsímil</v>
      </c>
      <c r="K6735" s="3" t="s">
        <v>150</v>
      </c>
    </row>
    <row r="6736" spans="1:11" ht="42" customHeight="1">
      <c r="A6736" s="2" t="s">
        <v>17296</v>
      </c>
      <c r="B6736" s="2" t="s">
        <v>17297</v>
      </c>
      <c r="C6736" s="2" t="s">
        <v>17</v>
      </c>
      <c r="D6736" s="2" t="s">
        <v>18</v>
      </c>
      <c r="E6736" s="4">
        <v>-32403</v>
      </c>
      <c r="F6736" s="3" t="s">
        <v>1915</v>
      </c>
      <c r="G6736" s="3" t="s">
        <v>1916</v>
      </c>
      <c r="H6736" s="2" t="s">
        <v>148</v>
      </c>
      <c r="I6736" s="2" t="s">
        <v>17298</v>
      </c>
      <c r="J6736" s="3" t="str">
        <f>HYPERLINK("https://www.boe.es/gazeta/dias/1811/04/13/pdfs/GEI-1811-50.pdf#page=5","Abrir facsímil")</f>
        <v>Abrir facsímil</v>
      </c>
      <c r="K6736" s="3" t="s">
        <v>150</v>
      </c>
    </row>
    <row r="6737" spans="1:11" ht="42" customHeight="1">
      <c r="A6737" s="2" t="s">
        <v>17299</v>
      </c>
      <c r="B6737" s="2" t="s">
        <v>17300</v>
      </c>
      <c r="C6737" s="2" t="s">
        <v>26</v>
      </c>
      <c r="D6737" s="2" t="s">
        <v>18</v>
      </c>
      <c r="E6737" s="4">
        <v>-32195</v>
      </c>
      <c r="F6737" s="3" t="s">
        <v>439</v>
      </c>
      <c r="G6737" s="3" t="s">
        <v>440</v>
      </c>
      <c r="H6737" s="2" t="s">
        <v>148</v>
      </c>
      <c r="I6737" s="2" t="s">
        <v>17301</v>
      </c>
      <c r="J6737" s="3" t="str">
        <f>HYPERLINK("https://www.boe.es/gazeta/dias/1811/11/07/pdfs/GEI-1811-144.pdf#page=8","Abrir facsímil")</f>
        <v>Abrir facsímil</v>
      </c>
      <c r="K6737" s="3" t="s">
        <v>150</v>
      </c>
    </row>
    <row r="6738" spans="1:11" ht="42" customHeight="1">
      <c r="A6738" s="2" t="s">
        <v>17302</v>
      </c>
      <c r="B6738" s="2" t="s">
        <v>17303</v>
      </c>
      <c r="C6738" s="2" t="s">
        <v>17</v>
      </c>
      <c r="D6738" s="2" t="s">
        <v>18</v>
      </c>
      <c r="E6738" s="4">
        <v>-32372</v>
      </c>
      <c r="F6738" s="3" t="s">
        <v>2690</v>
      </c>
      <c r="G6738" s="3" t="s">
        <v>515</v>
      </c>
      <c r="H6738" s="2" t="s">
        <v>148</v>
      </c>
      <c r="I6738" s="2" t="s">
        <v>17304</v>
      </c>
      <c r="J6738" s="3" t="str">
        <f>HYPERLINK("https://www.boe.es/gazeta/dias/1811/05/14/pdfs/GEI-1811-63.pdf#page=5","Abrir facsímil")</f>
        <v>Abrir facsímil</v>
      </c>
      <c r="K6738" s="3" t="s">
        <v>150</v>
      </c>
    </row>
    <row r="6739" spans="1:11" ht="42" customHeight="1">
      <c r="A6739" s="2" t="s">
        <v>17305</v>
      </c>
      <c r="B6739" s="2" t="s">
        <v>17305</v>
      </c>
      <c r="C6739" s="2" t="s">
        <v>104</v>
      </c>
      <c r="D6739" s="2" t="s">
        <v>18</v>
      </c>
      <c r="E6739" s="4">
        <v>-32326</v>
      </c>
      <c r="F6739" s="3" t="s">
        <v>43</v>
      </c>
      <c r="G6739" s="3" t="s">
        <v>17306</v>
      </c>
      <c r="H6739" s="2" t="s">
        <v>148</v>
      </c>
      <c r="I6739" s="2" t="s">
        <v>17307</v>
      </c>
      <c r="J6739" s="3" t="str">
        <f>HYPERLINK("https://www.boe.es/gazeta/dias/1811/06/29/pdfs/GEI-1811-86.pdf#page=1","Abrir facsímil")</f>
        <v>Abrir facsímil</v>
      </c>
      <c r="K6739" s="3" t="s">
        <v>150</v>
      </c>
    </row>
    <row r="6740" spans="1:11" ht="42" customHeight="1">
      <c r="A6740" s="2" t="s">
        <v>17308</v>
      </c>
      <c r="B6740" s="2" t="s">
        <v>17309</v>
      </c>
      <c r="C6740" s="2" t="s">
        <v>26</v>
      </c>
      <c r="D6740" s="2" t="s">
        <v>105</v>
      </c>
      <c r="E6740" s="4">
        <v>-32379</v>
      </c>
      <c r="F6740" s="3" t="s">
        <v>462</v>
      </c>
      <c r="G6740" s="3" t="s">
        <v>463</v>
      </c>
      <c r="H6740" s="2" t="s">
        <v>148</v>
      </c>
      <c r="I6740" s="2" t="s">
        <v>17310</v>
      </c>
      <c r="J6740" s="3" t="str">
        <f>HYPERLINK("https://www.boe.es/gazeta/dias/1811/05/07/pdfs/GEI-1811-60.pdf#page=8","Abrir facsímil")</f>
        <v>Abrir facsímil</v>
      </c>
      <c r="K6740" s="3" t="s">
        <v>150</v>
      </c>
    </row>
    <row r="6741" spans="1:11" ht="42" customHeight="1">
      <c r="A6741" s="2" t="s">
        <v>17311</v>
      </c>
      <c r="B6741" s="2" t="s">
        <v>17312</v>
      </c>
      <c r="C6741" s="2" t="s">
        <v>26</v>
      </c>
      <c r="D6741" s="2" t="s">
        <v>18</v>
      </c>
      <c r="E6741" s="4">
        <v>-32210</v>
      </c>
      <c r="F6741" s="3" t="s">
        <v>1737</v>
      </c>
      <c r="G6741" s="3" t="s">
        <v>248</v>
      </c>
      <c r="H6741" s="2" t="s">
        <v>148</v>
      </c>
      <c r="I6741" s="2" t="s">
        <v>17313</v>
      </c>
      <c r="J6741" s="3" t="str">
        <f>HYPERLINK("https://www.boe.es/gazeta/dias/1811/10/23/pdfs/GMD-1811-296.pdf#page=5","Abrir facsímil")</f>
        <v>Abrir facsímil</v>
      </c>
      <c r="K6741" s="3" t="s">
        <v>150</v>
      </c>
    </row>
    <row r="6742" spans="1:11" ht="42" customHeight="1">
      <c r="A6742" s="2" t="s">
        <v>17314</v>
      </c>
      <c r="B6742" s="2" t="s">
        <v>17315</v>
      </c>
      <c r="C6742" s="2" t="s">
        <v>104</v>
      </c>
      <c r="D6742" s="2" t="s">
        <v>204</v>
      </c>
      <c r="E6742" s="4">
        <v>-32489</v>
      </c>
      <c r="F6742" s="3" t="s">
        <v>2073</v>
      </c>
      <c r="G6742" s="3" t="s">
        <v>6098</v>
      </c>
      <c r="H6742" s="2" t="s">
        <v>148</v>
      </c>
      <c r="I6742" s="2" t="s">
        <v>17316</v>
      </c>
      <c r="J6742" s="3" t="str">
        <f>HYPERLINK("https://www.boe.es/gazeta/dias/1811/01/17/pdfs/GEI-1811-8.pdf#page=1","Abrir facsímil")</f>
        <v>Abrir facsímil</v>
      </c>
      <c r="K6742" s="3" t="s">
        <v>150</v>
      </c>
    </row>
    <row r="6743" spans="1:11" ht="42" customHeight="1">
      <c r="A6743" s="2" t="s">
        <v>17317</v>
      </c>
      <c r="B6743" s="2" t="s">
        <v>17318</v>
      </c>
      <c r="C6743" s="2" t="s">
        <v>26</v>
      </c>
      <c r="D6743" s="2" t="s">
        <v>141</v>
      </c>
      <c r="E6743" s="4">
        <v>-32272</v>
      </c>
      <c r="F6743" s="3" t="s">
        <v>1150</v>
      </c>
      <c r="G6743" s="3" t="s">
        <v>468</v>
      </c>
      <c r="H6743" s="2" t="s">
        <v>148</v>
      </c>
      <c r="I6743" s="2" t="s">
        <v>17319</v>
      </c>
      <c r="J6743" s="3" t="str">
        <f>HYPERLINK("https://www.boe.es/gazeta/dias/1811/08/22/pdfs/GMD-C-1811-234.pdf#page=2","Abrir facsímil")</f>
        <v>Abrir facsímil</v>
      </c>
      <c r="K6743" s="3" t="s">
        <v>150</v>
      </c>
    </row>
    <row r="6744" spans="1:11" ht="42" customHeight="1">
      <c r="A6744" s="2" t="s">
        <v>17320</v>
      </c>
      <c r="B6744" s="2" t="s">
        <v>17320</v>
      </c>
      <c r="C6744" s="2" t="s">
        <v>17</v>
      </c>
      <c r="D6744" s="2" t="s">
        <v>204</v>
      </c>
      <c r="E6744" s="4">
        <v>-32328</v>
      </c>
      <c r="F6744" s="3" t="s">
        <v>2055</v>
      </c>
      <c r="G6744" s="3" t="s">
        <v>4049</v>
      </c>
      <c r="H6744" s="2" t="s">
        <v>148</v>
      </c>
      <c r="I6744" s="2" t="s">
        <v>17321</v>
      </c>
      <c r="J6744" s="3" t="str">
        <f>HYPERLINK("https://www.boe.es/gazeta/dias/1811/06/27/pdfs/GMD-1811-178.pdf#page=2","Abrir facsímil")</f>
        <v>Abrir facsímil</v>
      </c>
      <c r="K6744" s="3" t="s">
        <v>150</v>
      </c>
    </row>
    <row r="6745" spans="1:11" ht="42" customHeight="1">
      <c r="A6745" s="2" t="s">
        <v>17322</v>
      </c>
      <c r="B6745" s="2" t="s">
        <v>17322</v>
      </c>
      <c r="C6745" s="2" t="s">
        <v>26</v>
      </c>
      <c r="D6745" s="2" t="s">
        <v>18</v>
      </c>
      <c r="E6745" s="4">
        <v>-32153</v>
      </c>
      <c r="F6745" s="3" t="s">
        <v>123</v>
      </c>
      <c r="G6745" s="3" t="s">
        <v>288</v>
      </c>
      <c r="H6745" s="2" t="s">
        <v>148</v>
      </c>
      <c r="I6745" s="2" t="s">
        <v>17323</v>
      </c>
      <c r="J6745" s="3" t="str">
        <f>HYPERLINK("https://www.boe.es/gazeta/dias/1811/12/19/pdfs/GMD-1811-353.pdf#page=4","Abrir facsímil")</f>
        <v>Abrir facsímil</v>
      </c>
      <c r="K6745" s="3" t="s">
        <v>150</v>
      </c>
    </row>
    <row r="6746" spans="1:11" ht="42" customHeight="1">
      <c r="A6746" s="2" t="s">
        <v>17324</v>
      </c>
      <c r="B6746" s="2" t="s">
        <v>17325</v>
      </c>
      <c r="C6746" s="2" t="s">
        <v>26</v>
      </c>
      <c r="D6746" s="2" t="s">
        <v>18</v>
      </c>
      <c r="E6746" s="4">
        <v>-32340</v>
      </c>
      <c r="F6746" s="3" t="s">
        <v>565</v>
      </c>
      <c r="G6746" s="3" t="s">
        <v>39</v>
      </c>
      <c r="H6746" s="2" t="s">
        <v>148</v>
      </c>
      <c r="I6746" s="2" t="s">
        <v>17326</v>
      </c>
      <c r="J6746" s="3" t="str">
        <f>HYPERLINK("https://www.boe.es/gazeta/dias/1811/06/15/pdfs/GEI-1811-80.pdf#page=1","Abrir facsímil")</f>
        <v>Abrir facsímil</v>
      </c>
      <c r="K6746" s="3" t="s">
        <v>150</v>
      </c>
    </row>
    <row r="6747" spans="1:11" ht="42" customHeight="1">
      <c r="A6747" s="2" t="s">
        <v>17327</v>
      </c>
      <c r="B6747" s="2" t="s">
        <v>17327</v>
      </c>
      <c r="C6747" s="2" t="s">
        <v>26</v>
      </c>
      <c r="D6747" s="2" t="s">
        <v>18</v>
      </c>
      <c r="E6747" s="4">
        <v>-32503</v>
      </c>
      <c r="F6747" s="3" t="s">
        <v>487</v>
      </c>
      <c r="G6747" s="3" t="s">
        <v>1930</v>
      </c>
      <c r="H6747" s="2" t="s">
        <v>148</v>
      </c>
      <c r="I6747" s="2" t="s">
        <v>17328</v>
      </c>
      <c r="J6747" s="3" t="str">
        <f>HYPERLINK("https://www.boe.es/gazeta/dias/1811/01/03/pdfs/GEI-1811-2.pdf#page=8","Abrir facsímil")</f>
        <v>Abrir facsímil</v>
      </c>
      <c r="K6747" s="3" t="s">
        <v>150</v>
      </c>
    </row>
    <row r="6748" spans="1:11" ht="42" customHeight="1">
      <c r="A6748" s="2" t="s">
        <v>17327</v>
      </c>
      <c r="B6748" s="2" t="s">
        <v>17327</v>
      </c>
      <c r="C6748" s="2" t="s">
        <v>17</v>
      </c>
      <c r="D6748" s="2" t="s">
        <v>18</v>
      </c>
      <c r="E6748" s="4">
        <v>-32480</v>
      </c>
      <c r="F6748" s="3" t="s">
        <v>2421</v>
      </c>
      <c r="G6748" s="3" t="s">
        <v>20</v>
      </c>
      <c r="H6748" s="2" t="s">
        <v>148</v>
      </c>
      <c r="I6748" s="2" t="s">
        <v>17329</v>
      </c>
      <c r="J6748" s="3" t="str">
        <f>HYPERLINK("https://www.boe.es/gazeta/dias/1811/01/26/pdfs/GMD-1811-26.pdf#page=4","Abrir facsímil")</f>
        <v>Abrir facsímil</v>
      </c>
      <c r="K6748" s="3" t="s">
        <v>150</v>
      </c>
    </row>
    <row r="6749" spans="1:11" ht="42" customHeight="1">
      <c r="A6749" s="2" t="s">
        <v>17327</v>
      </c>
      <c r="B6749" s="2" t="s">
        <v>17327</v>
      </c>
      <c r="C6749" s="2" t="s">
        <v>26</v>
      </c>
      <c r="D6749" s="2" t="s">
        <v>18</v>
      </c>
      <c r="E6749" s="4">
        <v>-32473</v>
      </c>
      <c r="F6749" s="3" t="s">
        <v>1109</v>
      </c>
      <c r="G6749" s="3" t="s">
        <v>162</v>
      </c>
      <c r="H6749" s="2" t="s">
        <v>148</v>
      </c>
      <c r="I6749" s="2" t="s">
        <v>17330</v>
      </c>
      <c r="J6749" s="3" t="str">
        <f>HYPERLINK("https://www.boe.es/gazeta/dias/1811/02/02/pdfs/GMD-1811-33.pdf#page=3","Abrir facsímil")</f>
        <v>Abrir facsímil</v>
      </c>
      <c r="K6749" s="3" t="s">
        <v>150</v>
      </c>
    </row>
    <row r="6750" spans="1:11" ht="42" customHeight="1">
      <c r="A6750" s="2" t="s">
        <v>17327</v>
      </c>
      <c r="B6750" s="2" t="s">
        <v>17327</v>
      </c>
      <c r="C6750" s="2" t="s">
        <v>367</v>
      </c>
      <c r="D6750" s="2" t="s">
        <v>18</v>
      </c>
      <c r="E6750" s="4">
        <v>-32466</v>
      </c>
      <c r="F6750" s="3" t="s">
        <v>1514</v>
      </c>
      <c r="G6750" s="3" t="s">
        <v>515</v>
      </c>
      <c r="H6750" s="2" t="s">
        <v>148</v>
      </c>
      <c r="I6750" s="2" t="s">
        <v>17331</v>
      </c>
      <c r="J6750" s="3" t="str">
        <f>HYPERLINK("https://www.boe.es/gazeta/dias/1811/02/09/pdfs/GEI-1811-18.pdf#page=8","Abrir facsímil")</f>
        <v>Abrir facsímil</v>
      </c>
      <c r="K6750" s="3" t="s">
        <v>150</v>
      </c>
    </row>
    <row r="6751" spans="1:11" ht="42" customHeight="1">
      <c r="A6751" s="2" t="s">
        <v>17327</v>
      </c>
      <c r="B6751" s="2" t="s">
        <v>17327</v>
      </c>
      <c r="C6751" s="2" t="s">
        <v>17</v>
      </c>
      <c r="D6751" s="2" t="s">
        <v>18</v>
      </c>
      <c r="E6751" s="4">
        <v>-32438</v>
      </c>
      <c r="F6751" s="3" t="s">
        <v>114</v>
      </c>
      <c r="G6751" s="3" t="s">
        <v>17332</v>
      </c>
      <c r="H6751" s="2" t="s">
        <v>148</v>
      </c>
      <c r="I6751" s="2" t="s">
        <v>17333</v>
      </c>
      <c r="J6751" s="3" t="str">
        <f>HYPERLINK("https://www.boe.es/gazeta/dias/1811/03/09/pdfs/GEI-1811-33.pdf#page=2","Abrir facsímil")</f>
        <v>Abrir facsímil</v>
      </c>
      <c r="K6751" s="3" t="s">
        <v>150</v>
      </c>
    </row>
    <row r="6752" spans="1:11" ht="42" customHeight="1">
      <c r="A6752" s="2" t="s">
        <v>17327</v>
      </c>
      <c r="B6752" s="2" t="s">
        <v>17327</v>
      </c>
      <c r="C6752" s="2" t="s">
        <v>17</v>
      </c>
      <c r="D6752" s="2" t="s">
        <v>156</v>
      </c>
      <c r="E6752" s="4">
        <v>-32428</v>
      </c>
      <c r="F6752" s="3" t="s">
        <v>351</v>
      </c>
      <c r="G6752" s="3" t="s">
        <v>57</v>
      </c>
      <c r="H6752" s="2" t="s">
        <v>148</v>
      </c>
      <c r="I6752" s="2" t="s">
        <v>17334</v>
      </c>
      <c r="J6752" s="3" t="str">
        <f>HYPERLINK("https://www.boe.es/gazeta/dias/1811/03/19/pdfs/GMD-1811-78.pdf#page=2","Abrir facsímil")</f>
        <v>Abrir facsímil</v>
      </c>
      <c r="K6752" s="3" t="s">
        <v>150</v>
      </c>
    </row>
    <row r="6753" spans="1:11" ht="42" customHeight="1">
      <c r="A6753" s="2" t="s">
        <v>17327</v>
      </c>
      <c r="B6753" s="2" t="s">
        <v>17327</v>
      </c>
      <c r="C6753" s="2" t="s">
        <v>17</v>
      </c>
      <c r="D6753" s="2" t="s">
        <v>156</v>
      </c>
      <c r="E6753" s="4">
        <v>-32428</v>
      </c>
      <c r="F6753" s="3" t="s">
        <v>351</v>
      </c>
      <c r="G6753" s="3" t="s">
        <v>115</v>
      </c>
      <c r="H6753" s="2" t="s">
        <v>148</v>
      </c>
      <c r="I6753" s="2" t="s">
        <v>17335</v>
      </c>
      <c r="J6753" s="3" t="str">
        <f>HYPERLINK("https://www.boe.es/gazeta/dias/1811/03/19/pdfs/GMD-1811-78.pdf#page=3","Abrir facsímil")</f>
        <v>Abrir facsímil</v>
      </c>
      <c r="K6753" s="3" t="s">
        <v>150</v>
      </c>
    </row>
    <row r="6754" spans="1:11" ht="42" customHeight="1">
      <c r="A6754" s="2" t="s">
        <v>17327</v>
      </c>
      <c r="B6754" s="2" t="s">
        <v>17327</v>
      </c>
      <c r="C6754" s="2" t="s">
        <v>17</v>
      </c>
      <c r="D6754" s="2" t="s">
        <v>156</v>
      </c>
      <c r="E6754" s="4">
        <v>-32428</v>
      </c>
      <c r="F6754" s="3" t="s">
        <v>351</v>
      </c>
      <c r="G6754" s="3" t="s">
        <v>352</v>
      </c>
      <c r="H6754" s="2" t="s">
        <v>148</v>
      </c>
      <c r="I6754" s="2" t="s">
        <v>17336</v>
      </c>
      <c r="J6754" s="3" t="str">
        <f>HYPERLINK("https://www.boe.es/gazeta/dias/1811/03/19/pdfs/GMD-1811-78.pdf#page=4","Abrir facsímil")</f>
        <v>Abrir facsímil</v>
      </c>
      <c r="K6754" s="3" t="s">
        <v>150</v>
      </c>
    </row>
    <row r="6755" spans="1:11" ht="42" customHeight="1">
      <c r="A6755" s="2" t="s">
        <v>17327</v>
      </c>
      <c r="B6755" s="2" t="s">
        <v>17327</v>
      </c>
      <c r="C6755" s="2" t="s">
        <v>17</v>
      </c>
      <c r="D6755" s="2" t="s">
        <v>156</v>
      </c>
      <c r="E6755" s="4">
        <v>-32419</v>
      </c>
      <c r="F6755" s="3" t="s">
        <v>2585</v>
      </c>
      <c r="G6755" s="3" t="s">
        <v>4049</v>
      </c>
      <c r="H6755" s="2" t="s">
        <v>148</v>
      </c>
      <c r="I6755" s="2" t="s">
        <v>17337</v>
      </c>
      <c r="J6755" s="3" t="str">
        <f>HYPERLINK("https://www.boe.es/gazeta/dias/1811/03/28/pdfs/GEI-1811-43.pdf#page=7","Abrir facsímil")</f>
        <v>Abrir facsímil</v>
      </c>
      <c r="K6755" s="3" t="s">
        <v>150</v>
      </c>
    </row>
    <row r="6756" spans="1:11" ht="42" customHeight="1">
      <c r="A6756" s="2" t="s">
        <v>17327</v>
      </c>
      <c r="B6756" s="2" t="s">
        <v>17327</v>
      </c>
      <c r="C6756" s="2" t="s">
        <v>17</v>
      </c>
      <c r="D6756" s="2" t="s">
        <v>156</v>
      </c>
      <c r="E6756" s="4">
        <v>-32398</v>
      </c>
      <c r="F6756" s="3" t="s">
        <v>946</v>
      </c>
      <c r="G6756" s="3" t="s">
        <v>2561</v>
      </c>
      <c r="H6756" s="2" t="s">
        <v>148</v>
      </c>
      <c r="I6756" s="2" t="s">
        <v>17338</v>
      </c>
      <c r="J6756" s="3" t="str">
        <f>HYPERLINK("https://www.boe.es/gazeta/dias/1811/04/18/pdfs/GEI-1811-52.pdf#page=5","Abrir facsímil")</f>
        <v>Abrir facsímil</v>
      </c>
      <c r="K6756" s="3" t="s">
        <v>150</v>
      </c>
    </row>
    <row r="6757" spans="1:11" ht="42" customHeight="1">
      <c r="A6757" s="2" t="s">
        <v>17327</v>
      </c>
      <c r="B6757" s="2" t="s">
        <v>17327</v>
      </c>
      <c r="C6757" s="2" t="s">
        <v>26</v>
      </c>
      <c r="D6757" s="2" t="s">
        <v>141</v>
      </c>
      <c r="E6757" s="4">
        <v>-32396</v>
      </c>
      <c r="F6757" s="3" t="s">
        <v>804</v>
      </c>
      <c r="G6757" s="3" t="s">
        <v>805</v>
      </c>
      <c r="H6757" s="2" t="s">
        <v>148</v>
      </c>
      <c r="I6757" s="2" t="s">
        <v>17339</v>
      </c>
      <c r="J6757" s="3" t="str">
        <f>HYPERLINK("https://www.boe.es/gazeta/dias/1811/04/20/pdfs/GEI-D-1811-53.pdf#page=4","Abrir facsímil")</f>
        <v>Abrir facsímil</v>
      </c>
      <c r="K6757" s="3" t="s">
        <v>150</v>
      </c>
    </row>
    <row r="6758" spans="1:11" ht="42" customHeight="1">
      <c r="A6758" s="2" t="s">
        <v>17327</v>
      </c>
      <c r="B6758" s="2" t="s">
        <v>17327</v>
      </c>
      <c r="C6758" s="2" t="s">
        <v>17</v>
      </c>
      <c r="D6758" s="2" t="s">
        <v>156</v>
      </c>
      <c r="E6758" s="4">
        <v>-32378</v>
      </c>
      <c r="F6758" s="3" t="s">
        <v>2655</v>
      </c>
      <c r="G6758" s="3" t="s">
        <v>57</v>
      </c>
      <c r="H6758" s="2" t="s">
        <v>148</v>
      </c>
      <c r="I6758" s="2" t="s">
        <v>17340</v>
      </c>
      <c r="J6758" s="3" t="str">
        <f>HYPERLINK("https://www.boe.es/gazeta/dias/1811/05/08/pdfs/GMD-1811-128.pdf#page=2","Abrir facsímil")</f>
        <v>Abrir facsímil</v>
      </c>
      <c r="K6758" s="3" t="s">
        <v>150</v>
      </c>
    </row>
    <row r="6759" spans="1:11" ht="42" customHeight="1">
      <c r="A6759" s="2" t="s">
        <v>17327</v>
      </c>
      <c r="B6759" s="2" t="s">
        <v>17327</v>
      </c>
      <c r="C6759" s="2" t="s">
        <v>26</v>
      </c>
      <c r="D6759" s="2" t="s">
        <v>141</v>
      </c>
      <c r="E6759" s="4">
        <v>-32330</v>
      </c>
      <c r="F6759" s="3" t="s">
        <v>1713</v>
      </c>
      <c r="G6759" s="3" t="s">
        <v>91</v>
      </c>
      <c r="H6759" s="2" t="s">
        <v>148</v>
      </c>
      <c r="I6759" s="2" t="s">
        <v>17341</v>
      </c>
      <c r="J6759" s="3" t="str">
        <f>HYPERLINK("https://www.boe.es/gazeta/dias/1811/06/25/pdfs/GEI-D-1811-84.pdf#page=7","Abrir facsímil")</f>
        <v>Abrir facsímil</v>
      </c>
      <c r="K6759" s="3" t="s">
        <v>150</v>
      </c>
    </row>
    <row r="6760" spans="1:11" ht="42" customHeight="1">
      <c r="A6760" s="2" t="s">
        <v>17327</v>
      </c>
      <c r="B6760" s="2" t="s">
        <v>17327</v>
      </c>
      <c r="C6760" s="2" t="s">
        <v>26</v>
      </c>
      <c r="D6760" s="2" t="s">
        <v>18</v>
      </c>
      <c r="E6760" s="4">
        <v>-32284</v>
      </c>
      <c r="F6760" s="3" t="s">
        <v>2818</v>
      </c>
      <c r="G6760" s="3" t="s">
        <v>44</v>
      </c>
      <c r="H6760" s="2" t="s">
        <v>148</v>
      </c>
      <c r="I6760" s="2" t="s">
        <v>17342</v>
      </c>
      <c r="J6760" s="3" t="str">
        <f>HYPERLINK("https://www.boe.es/gazeta/dias/1811/08/10/pdfs/GMD-1811-222.pdf#page=4","Abrir facsímil")</f>
        <v>Abrir facsímil</v>
      </c>
      <c r="K6760" s="3" t="s">
        <v>150</v>
      </c>
    </row>
    <row r="6761" spans="1:11" ht="42" customHeight="1">
      <c r="A6761" s="2" t="s">
        <v>17327</v>
      </c>
      <c r="B6761" s="2" t="s">
        <v>17327</v>
      </c>
      <c r="C6761" s="2" t="s">
        <v>17</v>
      </c>
      <c r="D6761" s="2" t="s">
        <v>156</v>
      </c>
      <c r="E6761" s="4">
        <v>-32279</v>
      </c>
      <c r="F6761" s="3" t="s">
        <v>540</v>
      </c>
      <c r="G6761" s="3" t="s">
        <v>91</v>
      </c>
      <c r="H6761" s="2" t="s">
        <v>148</v>
      </c>
      <c r="I6761" s="2" t="s">
        <v>17343</v>
      </c>
      <c r="J6761" s="3" t="str">
        <f>HYPERLINK("https://www.boe.es/gazeta/dias/1811/08/15/pdfs/GMD-1811-227.pdf#page=3","Abrir facsímil")</f>
        <v>Abrir facsímil</v>
      </c>
      <c r="K6761" s="3" t="s">
        <v>150</v>
      </c>
    </row>
    <row r="6762" spans="1:11" ht="42" customHeight="1">
      <c r="A6762" s="2" t="s">
        <v>17327</v>
      </c>
      <c r="B6762" s="2" t="s">
        <v>17327</v>
      </c>
      <c r="C6762" s="2" t="s">
        <v>104</v>
      </c>
      <c r="D6762" s="2" t="s">
        <v>105</v>
      </c>
      <c r="E6762" s="4">
        <v>-32279</v>
      </c>
      <c r="F6762" s="3" t="s">
        <v>540</v>
      </c>
      <c r="G6762" s="3" t="s">
        <v>20</v>
      </c>
      <c r="H6762" s="2" t="s">
        <v>148</v>
      </c>
      <c r="I6762" s="2" t="s">
        <v>17344</v>
      </c>
      <c r="J6762" s="3" t="str">
        <f>HYPERLINK("https://www.boe.es/gazeta/dias/1811/08/15/pdfs/GMD-1811-227.pdf#page=4","Abrir facsímil")</f>
        <v>Abrir facsímil</v>
      </c>
      <c r="K6762" s="3" t="s">
        <v>150</v>
      </c>
    </row>
    <row r="6763" spans="1:11" ht="42" customHeight="1">
      <c r="A6763" s="2" t="s">
        <v>17327</v>
      </c>
      <c r="B6763" s="2" t="s">
        <v>17327</v>
      </c>
      <c r="C6763" s="2" t="s">
        <v>26</v>
      </c>
      <c r="D6763" s="2" t="s">
        <v>18</v>
      </c>
      <c r="E6763" s="4">
        <v>-32260</v>
      </c>
      <c r="F6763" s="3" t="s">
        <v>27</v>
      </c>
      <c r="G6763" s="3" t="s">
        <v>183</v>
      </c>
      <c r="H6763" s="2" t="s">
        <v>148</v>
      </c>
      <c r="I6763" s="2" t="s">
        <v>17345</v>
      </c>
      <c r="J6763" s="3" t="str">
        <f>HYPERLINK("https://www.boe.es/gazeta/dias/1811/09/03/pdfs/GEI-1811-114.pdf#page=4","Abrir facsímil")</f>
        <v>Abrir facsímil</v>
      </c>
      <c r="K6763" s="3" t="s">
        <v>150</v>
      </c>
    </row>
    <row r="6764" spans="1:11" ht="42" customHeight="1">
      <c r="A6764" s="2" t="s">
        <v>17327</v>
      </c>
      <c r="B6764" s="2" t="s">
        <v>17327</v>
      </c>
      <c r="C6764" s="2" t="s">
        <v>17</v>
      </c>
      <c r="D6764" s="2" t="s">
        <v>156</v>
      </c>
      <c r="E6764" s="4">
        <v>-32221</v>
      </c>
      <c r="F6764" s="3" t="s">
        <v>747</v>
      </c>
      <c r="G6764" s="3" t="s">
        <v>10299</v>
      </c>
      <c r="H6764" s="2" t="s">
        <v>148</v>
      </c>
      <c r="I6764" s="2" t="s">
        <v>17346</v>
      </c>
      <c r="J6764" s="3" t="str">
        <f>HYPERLINK("https://www.boe.es/gazeta/dias/1811/10/12/pdfs/GEI-1811-131.pdf#page=2","Abrir facsímil")</f>
        <v>Abrir facsímil</v>
      </c>
      <c r="K6764" s="3" t="s">
        <v>150</v>
      </c>
    </row>
    <row r="6765" spans="1:11" ht="42" customHeight="1">
      <c r="A6765" s="2" t="s">
        <v>17327</v>
      </c>
      <c r="B6765" s="2" t="s">
        <v>17327</v>
      </c>
      <c r="C6765" s="2" t="s">
        <v>26</v>
      </c>
      <c r="D6765" s="2" t="s">
        <v>18</v>
      </c>
      <c r="E6765" s="4">
        <v>-32169</v>
      </c>
      <c r="F6765" s="3" t="s">
        <v>4012</v>
      </c>
      <c r="G6765" s="3" t="s">
        <v>183</v>
      </c>
      <c r="H6765" s="2" t="s">
        <v>148</v>
      </c>
      <c r="I6765" s="2" t="s">
        <v>17347</v>
      </c>
      <c r="J6765" s="3" t="str">
        <f>HYPERLINK("https://www.boe.es/gazeta/dias/1811/12/03/pdfs/GMD-1811-337.pdf#page=4","Abrir facsímil")</f>
        <v>Abrir facsímil</v>
      </c>
      <c r="K6765" s="3" t="s">
        <v>150</v>
      </c>
    </row>
    <row r="6766" spans="1:11" ht="42" customHeight="1">
      <c r="A6766" s="2" t="s">
        <v>17327</v>
      </c>
      <c r="B6766" s="2" t="s">
        <v>17327</v>
      </c>
      <c r="C6766" s="2" t="s">
        <v>26</v>
      </c>
      <c r="D6766" s="2" t="s">
        <v>18</v>
      </c>
      <c r="E6766" s="4">
        <v>-32153</v>
      </c>
      <c r="F6766" s="3" t="s">
        <v>123</v>
      </c>
      <c r="G6766" s="3" t="s">
        <v>124</v>
      </c>
      <c r="H6766" s="2" t="s">
        <v>148</v>
      </c>
      <c r="I6766" s="2" t="s">
        <v>17348</v>
      </c>
      <c r="J6766" s="3" t="str">
        <f>HYPERLINK("https://www.boe.es/gazeta/dias/1811/12/19/pdfs/GMD-1811-353.pdf#page=6","Abrir facsímil")</f>
        <v>Abrir facsímil</v>
      </c>
      <c r="K6766" s="3" t="s">
        <v>150</v>
      </c>
    </row>
    <row r="6767" spans="1:11" ht="42" customHeight="1">
      <c r="A6767" s="2" t="s">
        <v>17327</v>
      </c>
      <c r="B6767" s="2" t="s">
        <v>17327</v>
      </c>
      <c r="C6767" s="2" t="s">
        <v>26</v>
      </c>
      <c r="D6767" s="2" t="s">
        <v>18</v>
      </c>
      <c r="E6767" s="4">
        <v>-32141</v>
      </c>
      <c r="F6767" s="3" t="s">
        <v>327</v>
      </c>
      <c r="G6767" s="3" t="s">
        <v>115</v>
      </c>
      <c r="H6767" s="2" t="s">
        <v>148</v>
      </c>
      <c r="I6767" s="2" t="s">
        <v>17349</v>
      </c>
      <c r="J6767" s="3" t="str">
        <f>HYPERLINK("https://www.boe.es/gazeta/dias/1811/12/31/pdfs/GMD-1811-365.pdf#page=3","Abrir facsímil")</f>
        <v>Abrir facsímil</v>
      </c>
      <c r="K6767" s="3" t="s">
        <v>150</v>
      </c>
    </row>
    <row r="6768" spans="1:11" ht="42" customHeight="1">
      <c r="A6768" s="2" t="s">
        <v>17350</v>
      </c>
      <c r="B6768" s="2" t="s">
        <v>17351</v>
      </c>
      <c r="C6768" s="2" t="s">
        <v>26</v>
      </c>
      <c r="D6768" s="2" t="s">
        <v>18</v>
      </c>
      <c r="E6768" s="4">
        <v>-32263</v>
      </c>
      <c r="F6768" s="3" t="s">
        <v>3780</v>
      </c>
      <c r="G6768" s="3" t="s">
        <v>3781</v>
      </c>
      <c r="H6768" s="2" t="s">
        <v>148</v>
      </c>
      <c r="I6768" s="2" t="s">
        <v>17352</v>
      </c>
      <c r="J6768" s="3" t="str">
        <f>HYPERLINK("https://www.boe.es/gazeta/dias/1811/08/31/pdfs/GMD-1811-243.pdf#page=4","Abrir facsímil")</f>
        <v>Abrir facsímil</v>
      </c>
      <c r="K6768" s="3" t="s">
        <v>150</v>
      </c>
    </row>
    <row r="6769" spans="1:11" ht="42" customHeight="1">
      <c r="A6769" s="2" t="s">
        <v>17353</v>
      </c>
      <c r="B6769" s="2" t="s">
        <v>17354</v>
      </c>
      <c r="C6769" s="2" t="s">
        <v>17</v>
      </c>
      <c r="D6769" s="2" t="s">
        <v>156</v>
      </c>
      <c r="E6769" s="4">
        <v>-32477</v>
      </c>
      <c r="F6769" s="3" t="s">
        <v>6777</v>
      </c>
      <c r="G6769" s="3" t="s">
        <v>16549</v>
      </c>
      <c r="H6769" s="2" t="s">
        <v>148</v>
      </c>
      <c r="I6769" s="2" t="s">
        <v>17355</v>
      </c>
      <c r="J6769" s="3" t="str">
        <f>HYPERLINK("https://www.boe.es/gazeta/dias/1811/01/29/pdfs/GEI-1811-13.pdf#page=6","Abrir facsímil")</f>
        <v>Abrir facsímil</v>
      </c>
      <c r="K6769" s="3" t="s">
        <v>150</v>
      </c>
    </row>
    <row r="6770" spans="1:11" ht="42" customHeight="1">
      <c r="A6770" s="2" t="s">
        <v>17356</v>
      </c>
      <c r="B6770" s="2" t="s">
        <v>17357</v>
      </c>
      <c r="C6770" s="2" t="s">
        <v>17</v>
      </c>
      <c r="D6770" s="2" t="s">
        <v>156</v>
      </c>
      <c r="E6770" s="4">
        <v>-32292</v>
      </c>
      <c r="F6770" s="3" t="s">
        <v>408</v>
      </c>
      <c r="G6770" s="3" t="s">
        <v>409</v>
      </c>
      <c r="H6770" s="2" t="s">
        <v>148</v>
      </c>
      <c r="I6770" s="2" t="s">
        <v>17358</v>
      </c>
      <c r="J6770" s="3" t="str">
        <f>HYPERLINK("https://www.boe.es/gazeta/dias/1811/08/02/pdfs/GMD-1811-214.pdf#page=4","Abrir facsímil")</f>
        <v>Abrir facsímil</v>
      </c>
      <c r="K6770" s="3" t="s">
        <v>150</v>
      </c>
    </row>
    <row r="6771" spans="1:11" ht="42" customHeight="1">
      <c r="A6771" s="2" t="s">
        <v>17359</v>
      </c>
      <c r="B6771" s="2" t="s">
        <v>17360</v>
      </c>
      <c r="C6771" s="2" t="s">
        <v>17</v>
      </c>
      <c r="D6771" s="2" t="s">
        <v>18</v>
      </c>
      <c r="E6771" s="4">
        <v>-32428</v>
      </c>
      <c r="F6771" s="3" t="s">
        <v>351</v>
      </c>
      <c r="G6771" s="3" t="s">
        <v>352</v>
      </c>
      <c r="H6771" s="2" t="s">
        <v>148</v>
      </c>
      <c r="I6771" s="2" t="s">
        <v>17361</v>
      </c>
      <c r="J6771" s="3" t="str">
        <f>HYPERLINK("https://www.boe.es/gazeta/dias/1811/03/19/pdfs/GMD-1811-78.pdf#page=4","Abrir facsímil")</f>
        <v>Abrir facsímil</v>
      </c>
      <c r="K6771" s="3" t="s">
        <v>150</v>
      </c>
    </row>
    <row r="6772" spans="1:11" ht="42" customHeight="1">
      <c r="A6772" s="2" t="s">
        <v>17362</v>
      </c>
      <c r="B6772" s="2" t="s">
        <v>17362</v>
      </c>
      <c r="C6772" s="2" t="s">
        <v>26</v>
      </c>
      <c r="D6772" s="2" t="s">
        <v>105</v>
      </c>
      <c r="E6772" s="4">
        <v>-32155</v>
      </c>
      <c r="F6772" s="3" t="s">
        <v>99</v>
      </c>
      <c r="G6772" s="3" t="s">
        <v>100</v>
      </c>
      <c r="H6772" s="2" t="s">
        <v>148</v>
      </c>
      <c r="I6772" s="2" t="s">
        <v>17363</v>
      </c>
      <c r="J6772" s="3" t="str">
        <f>HYPERLINK("https://www.boe.es/gazeta/dias/1811/12/17/pdfs/GMD-1811-351.pdf#page=4","Abrir facsímil")</f>
        <v>Abrir facsímil</v>
      </c>
      <c r="K6772" s="3" t="s">
        <v>150</v>
      </c>
    </row>
    <row r="6773" spans="1:11" ht="42" customHeight="1">
      <c r="A6773" s="2" t="s">
        <v>17364</v>
      </c>
      <c r="B6773" s="2" t="s">
        <v>17365</v>
      </c>
      <c r="C6773" s="2" t="s">
        <v>26</v>
      </c>
      <c r="D6773" s="2" t="s">
        <v>141</v>
      </c>
      <c r="E6773" s="4">
        <v>-32249</v>
      </c>
      <c r="F6773" s="3" t="s">
        <v>743</v>
      </c>
      <c r="G6773" s="3" t="s">
        <v>1021</v>
      </c>
      <c r="H6773" s="2" t="s">
        <v>148</v>
      </c>
      <c r="I6773" s="2" t="s">
        <v>17366</v>
      </c>
      <c r="J6773" s="3" t="str">
        <f>HYPERLINK("https://www.boe.es/gazeta/dias/1811/09/14/pdfs/GMD-C-1811-257.pdf#page=2","Abrir facsímil")</f>
        <v>Abrir facsímil</v>
      </c>
      <c r="K6773" s="3" t="s">
        <v>150</v>
      </c>
    </row>
    <row r="6774" spans="1:11" ht="42" customHeight="1">
      <c r="A6774" s="2" t="s">
        <v>17367</v>
      </c>
      <c r="B6774" s="2" t="s">
        <v>17368</v>
      </c>
      <c r="C6774" s="2" t="s">
        <v>26</v>
      </c>
      <c r="D6774" s="2" t="s">
        <v>18</v>
      </c>
      <c r="E6774" s="4">
        <v>-32242</v>
      </c>
      <c r="F6774" s="3" t="s">
        <v>1295</v>
      </c>
      <c r="G6774" s="3" t="s">
        <v>1296</v>
      </c>
      <c r="H6774" s="2" t="s">
        <v>148</v>
      </c>
      <c r="I6774" s="2" t="s">
        <v>17369</v>
      </c>
      <c r="J6774" s="3" t="str">
        <f>HYPERLINK("https://www.boe.es/gazeta/dias/1811/09/21/pdfs/GEI-1811-122.pdf#page=8","Abrir facsímil")</f>
        <v>Abrir facsímil</v>
      </c>
      <c r="K6774" s="3" t="s">
        <v>150</v>
      </c>
    </row>
    <row r="6775" spans="1:11" ht="42" customHeight="1">
      <c r="A6775" s="2" t="s">
        <v>17370</v>
      </c>
      <c r="B6775" s="2" t="s">
        <v>17371</v>
      </c>
      <c r="C6775" s="2" t="s">
        <v>17</v>
      </c>
      <c r="D6775" s="2" t="s">
        <v>156</v>
      </c>
      <c r="E6775" s="4">
        <v>-32323</v>
      </c>
      <c r="F6775" s="3" t="s">
        <v>322</v>
      </c>
      <c r="G6775" s="3" t="s">
        <v>323</v>
      </c>
      <c r="H6775" s="2" t="s">
        <v>148</v>
      </c>
      <c r="I6775" s="2" t="s">
        <v>17372</v>
      </c>
      <c r="J6775" s="3" t="str">
        <f>HYPERLINK("https://www.boe.es/gazeta/dias/1811/07/02/pdfs/GEI-1811-87.pdf#page=8","Abrir facsímil")</f>
        <v>Abrir facsímil</v>
      </c>
      <c r="K6775" s="3" t="s">
        <v>150</v>
      </c>
    </row>
    <row r="6776" spans="1:11" ht="42" customHeight="1">
      <c r="A6776" s="2" t="s">
        <v>17373</v>
      </c>
      <c r="B6776" s="2" t="s">
        <v>17374</v>
      </c>
      <c r="C6776" s="2" t="s">
        <v>17</v>
      </c>
      <c r="D6776" s="2" t="s">
        <v>18</v>
      </c>
      <c r="E6776" s="4">
        <v>-32251</v>
      </c>
      <c r="F6776" s="3" t="s">
        <v>726</v>
      </c>
      <c r="G6776" s="3" t="s">
        <v>44</v>
      </c>
      <c r="H6776" s="2" t="s">
        <v>148</v>
      </c>
      <c r="I6776" s="2" t="s">
        <v>17375</v>
      </c>
      <c r="J6776" s="3" t="str">
        <f>HYPERLINK("https://www.boe.es/gazeta/dias/1811/09/12/pdfs/GEI-1811-118.pdf#page=7","Abrir facsímil")</f>
        <v>Abrir facsímil</v>
      </c>
      <c r="K6776" s="3" t="s">
        <v>150</v>
      </c>
    </row>
    <row r="6777" spans="1:11" ht="42" customHeight="1">
      <c r="A6777" s="2" t="s">
        <v>17370</v>
      </c>
      <c r="B6777" s="2" t="s">
        <v>17371</v>
      </c>
      <c r="C6777" s="2" t="s">
        <v>84</v>
      </c>
      <c r="D6777" s="2" t="s">
        <v>105</v>
      </c>
      <c r="E6777" s="4">
        <v>-32228</v>
      </c>
      <c r="F6777" s="3" t="s">
        <v>372</v>
      </c>
      <c r="G6777" s="3" t="s">
        <v>20</v>
      </c>
      <c r="H6777" s="2" t="s">
        <v>148</v>
      </c>
      <c r="I6777" s="2" t="s">
        <v>17376</v>
      </c>
      <c r="J6777" s="3" t="str">
        <f>HYPERLINK("https://www.boe.es/gazeta/dias/1811/10/05/pdfs/GEI-1811-128.pdf#page=8","Abrir facsímil")</f>
        <v>Abrir facsímil</v>
      </c>
      <c r="K6777" s="3" t="s">
        <v>150</v>
      </c>
    </row>
    <row r="6778" spans="1:11" ht="42" customHeight="1">
      <c r="A6778" s="2" t="s">
        <v>17377</v>
      </c>
      <c r="B6778" s="2" t="s">
        <v>17378</v>
      </c>
      <c r="C6778" s="2" t="s">
        <v>26</v>
      </c>
      <c r="D6778" s="2" t="s">
        <v>18</v>
      </c>
      <c r="E6778" s="4">
        <v>-32284</v>
      </c>
      <c r="F6778" s="3" t="s">
        <v>170</v>
      </c>
      <c r="G6778" s="3" t="s">
        <v>1388</v>
      </c>
      <c r="H6778" s="2" t="s">
        <v>148</v>
      </c>
      <c r="I6778" s="2" t="s">
        <v>17379</v>
      </c>
      <c r="J6778" s="3" t="str">
        <f>HYPERLINK("https://www.boe.es/gazeta/dias/1811/08/10/pdfs/GEI-1811-104.pdf#page=8","Abrir facsímil")</f>
        <v>Abrir facsímil</v>
      </c>
      <c r="K6778" s="3" t="s">
        <v>150</v>
      </c>
    </row>
    <row r="6779" spans="1:11" ht="42" customHeight="1">
      <c r="A6779" s="2" t="s">
        <v>17380</v>
      </c>
      <c r="B6779" s="2" t="s">
        <v>17381</v>
      </c>
      <c r="C6779" s="2" t="s">
        <v>17</v>
      </c>
      <c r="D6779" s="2" t="s">
        <v>156</v>
      </c>
      <c r="E6779" s="4">
        <v>-32200</v>
      </c>
      <c r="F6779" s="3" t="s">
        <v>109</v>
      </c>
      <c r="G6779" s="3" t="s">
        <v>586</v>
      </c>
      <c r="H6779" s="2" t="s">
        <v>148</v>
      </c>
      <c r="I6779" s="2" t="s">
        <v>17382</v>
      </c>
      <c r="J6779" s="3" t="str">
        <f>HYPERLINK("https://www.boe.es/gazeta/dias/1811/11/02/pdfs/GEI-1811-141.pdf#page=8","Abrir facsímil")</f>
        <v>Abrir facsímil</v>
      </c>
      <c r="K6779" s="3" t="s">
        <v>150</v>
      </c>
    </row>
    <row r="6780" spans="1:11" ht="42" customHeight="1">
      <c r="A6780" s="2" t="s">
        <v>17383</v>
      </c>
      <c r="B6780" s="2" t="s">
        <v>17383</v>
      </c>
      <c r="C6780" s="2" t="s">
        <v>26</v>
      </c>
      <c r="D6780" s="2" t="s">
        <v>204</v>
      </c>
      <c r="E6780" s="4">
        <v>-32208</v>
      </c>
      <c r="F6780" s="3" t="s">
        <v>8346</v>
      </c>
      <c r="G6780" s="3" t="s">
        <v>1710</v>
      </c>
      <c r="H6780" s="2" t="s">
        <v>148</v>
      </c>
      <c r="I6780" s="2" t="s">
        <v>17384</v>
      </c>
      <c r="J6780" s="3" t="str">
        <f>HYPERLINK("https://www.boe.es/gazeta/dias/1811/10/25/pdfs/GMD-1811-298.pdf#page=3","Abrir facsímil")</f>
        <v>Abrir facsímil</v>
      </c>
      <c r="K6780" s="3" t="s">
        <v>150</v>
      </c>
    </row>
    <row r="6781" spans="1:11" ht="42" customHeight="1">
      <c r="A6781" s="2" t="s">
        <v>17385</v>
      </c>
      <c r="B6781" s="2" t="s">
        <v>17386</v>
      </c>
      <c r="C6781" s="2" t="s">
        <v>66</v>
      </c>
      <c r="D6781" s="2" t="s">
        <v>18</v>
      </c>
      <c r="E6781" s="4">
        <v>-32153</v>
      </c>
      <c r="F6781" s="3" t="s">
        <v>123</v>
      </c>
      <c r="G6781" s="3" t="s">
        <v>288</v>
      </c>
      <c r="H6781" s="2" t="s">
        <v>148</v>
      </c>
      <c r="I6781" s="2" t="s">
        <v>17387</v>
      </c>
      <c r="J6781" s="3" t="str">
        <f>HYPERLINK("https://www.boe.es/gazeta/dias/1811/12/19/pdfs/GMD-1811-353.pdf#page=4","Abrir facsímil")</f>
        <v>Abrir facsímil</v>
      </c>
      <c r="K6781" s="3" t="s">
        <v>150</v>
      </c>
    </row>
    <row r="6782" spans="1:11" ht="42" customHeight="1">
      <c r="A6782" s="2" t="s">
        <v>17388</v>
      </c>
      <c r="B6782" s="2" t="s">
        <v>17389</v>
      </c>
      <c r="C6782" s="2" t="s">
        <v>367</v>
      </c>
      <c r="D6782" s="2" t="s">
        <v>141</v>
      </c>
      <c r="E6782" s="4">
        <v>-32249</v>
      </c>
      <c r="F6782" s="3" t="s">
        <v>743</v>
      </c>
      <c r="G6782" s="3" t="s">
        <v>1021</v>
      </c>
      <c r="H6782" s="2" t="s">
        <v>148</v>
      </c>
      <c r="I6782" s="2" t="s">
        <v>17390</v>
      </c>
      <c r="J6782" s="3" t="str">
        <f>HYPERLINK("https://www.boe.es/gazeta/dias/1811/09/14/pdfs/GMD-C-1811-257.pdf#page=2","Abrir facsímil")</f>
        <v>Abrir facsímil</v>
      </c>
      <c r="K6782" s="3" t="s">
        <v>150</v>
      </c>
    </row>
    <row r="6783" spans="1:11" ht="42" customHeight="1">
      <c r="A6783" s="2" t="s">
        <v>17391</v>
      </c>
      <c r="B6783" s="2" t="s">
        <v>17392</v>
      </c>
      <c r="C6783" s="2" t="s">
        <v>26</v>
      </c>
      <c r="D6783" s="2" t="s">
        <v>141</v>
      </c>
      <c r="E6783" s="4">
        <v>-32238</v>
      </c>
      <c r="F6783" s="3" t="s">
        <v>166</v>
      </c>
      <c r="G6783" s="3" t="s">
        <v>129</v>
      </c>
      <c r="H6783" s="2" t="s">
        <v>148</v>
      </c>
      <c r="I6783" s="2" t="s">
        <v>17393</v>
      </c>
      <c r="J6783" s="3" t="str">
        <f>HYPERLINK("https://www.boe.es/gazeta/dias/1811/09/25/pdfs/GMD-C-1811-268.pdf#page=1","Abrir facsímil")</f>
        <v>Abrir facsímil</v>
      </c>
      <c r="K6783" s="3" t="s">
        <v>150</v>
      </c>
    </row>
    <row r="6784" spans="1:11" ht="42" customHeight="1">
      <c r="A6784" s="2" t="s">
        <v>17394</v>
      </c>
      <c r="B6784" s="2" t="s">
        <v>17395</v>
      </c>
      <c r="C6784" s="2" t="s">
        <v>26</v>
      </c>
      <c r="D6784" s="2" t="s">
        <v>18</v>
      </c>
      <c r="E6784" s="4">
        <v>-32379</v>
      </c>
      <c r="F6784" s="3" t="s">
        <v>462</v>
      </c>
      <c r="G6784" s="3" t="s">
        <v>228</v>
      </c>
      <c r="H6784" s="2" t="s">
        <v>148</v>
      </c>
      <c r="I6784" s="2" t="s">
        <v>17396</v>
      </c>
      <c r="J6784" s="3" t="str">
        <f>HYPERLINK("https://www.boe.es/gazeta/dias/1811/05/07/pdfs/GEI-1811-60.pdf#page=3","Abrir facsímil")</f>
        <v>Abrir facsímil</v>
      </c>
      <c r="K6784" s="3" t="s">
        <v>150</v>
      </c>
    </row>
    <row r="6785" spans="1:11" ht="42" customHeight="1">
      <c r="A6785" s="2" t="s">
        <v>17397</v>
      </c>
      <c r="B6785" s="2" t="s">
        <v>17398</v>
      </c>
      <c r="C6785" s="2" t="s">
        <v>26</v>
      </c>
      <c r="D6785" s="2" t="s">
        <v>18</v>
      </c>
      <c r="E6785" s="4">
        <v>-32193</v>
      </c>
      <c r="F6785" s="3" t="s">
        <v>1037</v>
      </c>
      <c r="G6785" s="3" t="s">
        <v>44</v>
      </c>
      <c r="H6785" s="2" t="s">
        <v>148</v>
      </c>
      <c r="I6785" s="2" t="s">
        <v>17399</v>
      </c>
      <c r="J6785" s="3" t="str">
        <f>HYPERLINK("https://www.boe.es/gazeta/dias/1811/11/09/pdfs/GEI-1811-145.pdf#page=4","Abrir facsímil")</f>
        <v>Abrir facsímil</v>
      </c>
      <c r="K6785" s="3" t="s">
        <v>150</v>
      </c>
    </row>
    <row r="6786" spans="1:11" ht="42" customHeight="1">
      <c r="A6786" s="2" t="s">
        <v>17400</v>
      </c>
      <c r="B6786" s="2" t="s">
        <v>17401</v>
      </c>
      <c r="C6786" s="2" t="s">
        <v>26</v>
      </c>
      <c r="D6786" s="2" t="s">
        <v>18</v>
      </c>
      <c r="E6786" s="4">
        <v>-32496</v>
      </c>
      <c r="F6786" s="3" t="s">
        <v>1927</v>
      </c>
      <c r="G6786" s="3" t="s">
        <v>1184</v>
      </c>
      <c r="H6786" s="2" t="s">
        <v>148</v>
      </c>
      <c r="I6786" s="2" t="s">
        <v>17402</v>
      </c>
      <c r="J6786" s="3" t="str">
        <f>HYPERLINK("https://www.boe.es/gazeta/dias/1811/01/10/pdfs/GEI-1811-5.pdf#page=5","Abrir facsímil")</f>
        <v>Abrir facsímil</v>
      </c>
      <c r="K6786" s="3" t="s">
        <v>150</v>
      </c>
    </row>
    <row r="6787" spans="1:11" ht="42" customHeight="1">
      <c r="A6787" s="2" t="s">
        <v>17403</v>
      </c>
      <c r="B6787" s="2" t="s">
        <v>17404</v>
      </c>
      <c r="C6787" s="2" t="s">
        <v>26</v>
      </c>
      <c r="D6787" s="2" t="s">
        <v>18</v>
      </c>
      <c r="E6787" s="4">
        <v>-32210</v>
      </c>
      <c r="F6787" s="3" t="s">
        <v>1737</v>
      </c>
      <c r="G6787" s="3" t="s">
        <v>391</v>
      </c>
      <c r="H6787" s="2" t="s">
        <v>148</v>
      </c>
      <c r="I6787" s="2" t="s">
        <v>17405</v>
      </c>
      <c r="J6787" s="3" t="str">
        <f>HYPERLINK("https://www.boe.es/gazeta/dias/1811/10/23/pdfs/GMD-1811-296.pdf#page=1","Abrir facsímil")</f>
        <v>Abrir facsímil</v>
      </c>
      <c r="K6787" s="3" t="s">
        <v>150</v>
      </c>
    </row>
    <row r="6788" spans="1:11" ht="42" customHeight="1">
      <c r="A6788" s="2" t="s">
        <v>17403</v>
      </c>
      <c r="B6788" s="2" t="s">
        <v>17404</v>
      </c>
      <c r="C6788" s="2" t="s">
        <v>26</v>
      </c>
      <c r="D6788" s="2" t="s">
        <v>18</v>
      </c>
      <c r="E6788" s="4">
        <v>-32210</v>
      </c>
      <c r="F6788" s="3" t="s">
        <v>1737</v>
      </c>
      <c r="G6788" s="3" t="s">
        <v>115</v>
      </c>
      <c r="H6788" s="2" t="s">
        <v>148</v>
      </c>
      <c r="I6788" s="2" t="s">
        <v>17406</v>
      </c>
      <c r="J6788" s="3" t="str">
        <f>HYPERLINK("https://www.boe.es/gazeta/dias/1811/10/23/pdfs/GMD-1811-296.pdf#page=3","Abrir facsímil")</f>
        <v>Abrir facsímil</v>
      </c>
      <c r="K6788" s="3" t="s">
        <v>150</v>
      </c>
    </row>
    <row r="6789" spans="1:11" ht="42" customHeight="1">
      <c r="A6789" s="2" t="s">
        <v>17407</v>
      </c>
      <c r="B6789" s="2" t="s">
        <v>17408</v>
      </c>
      <c r="C6789" s="2" t="s">
        <v>17</v>
      </c>
      <c r="D6789" s="2" t="s">
        <v>156</v>
      </c>
      <c r="E6789" s="4">
        <v>-32237</v>
      </c>
      <c r="F6789" s="3" t="s">
        <v>717</v>
      </c>
      <c r="G6789" s="3" t="s">
        <v>1128</v>
      </c>
      <c r="H6789" s="2" t="s">
        <v>148</v>
      </c>
      <c r="I6789" s="2" t="s">
        <v>17409</v>
      </c>
      <c r="J6789" s="3" t="str">
        <f>HYPERLINK("https://www.boe.es/gazeta/dias/1811/09/26/pdfs/GEI-1811-124.pdf#page=8","Abrir facsímil")</f>
        <v>Abrir facsímil</v>
      </c>
      <c r="K6789" s="3" t="s">
        <v>150</v>
      </c>
    </row>
    <row r="6790" spans="1:11" ht="42" customHeight="1">
      <c r="A6790" s="2" t="s">
        <v>17410</v>
      </c>
      <c r="B6790" s="2" t="s">
        <v>17411</v>
      </c>
      <c r="C6790" s="2" t="s">
        <v>26</v>
      </c>
      <c r="D6790" s="2" t="s">
        <v>18</v>
      </c>
      <c r="E6790" s="4">
        <v>-32489</v>
      </c>
      <c r="F6790" s="3" t="s">
        <v>722</v>
      </c>
      <c r="G6790" s="3" t="s">
        <v>468</v>
      </c>
      <c r="H6790" s="2" t="s">
        <v>148</v>
      </c>
      <c r="I6790" s="2" t="s">
        <v>17412</v>
      </c>
      <c r="J6790" s="3" t="str">
        <f>HYPERLINK("https://www.boe.es/gazeta/dias/1811/01/17/pdfs/GMD-1811-17.pdf#page=4","Abrir facsímil")</f>
        <v>Abrir facsímil</v>
      </c>
      <c r="K6790" s="3" t="s">
        <v>150</v>
      </c>
    </row>
    <row r="6791" spans="1:11" ht="42" customHeight="1">
      <c r="A6791" s="2" t="s">
        <v>17413</v>
      </c>
      <c r="B6791" s="2" t="s">
        <v>17414</v>
      </c>
      <c r="C6791" s="2" t="s">
        <v>26</v>
      </c>
      <c r="D6791" s="2" t="s">
        <v>18</v>
      </c>
      <c r="E6791" s="4">
        <v>-32379</v>
      </c>
      <c r="F6791" s="3" t="s">
        <v>462</v>
      </c>
      <c r="G6791" s="3" t="s">
        <v>228</v>
      </c>
      <c r="H6791" s="2" t="s">
        <v>148</v>
      </c>
      <c r="I6791" s="2" t="s">
        <v>17415</v>
      </c>
      <c r="J6791" s="3" t="str">
        <f>HYPERLINK("https://www.boe.es/gazeta/dias/1811/05/07/pdfs/GEI-1811-60.pdf#page=3","Abrir facsímil")</f>
        <v>Abrir facsímil</v>
      </c>
      <c r="K6791" s="3" t="s">
        <v>150</v>
      </c>
    </row>
    <row r="6792" spans="1:11" ht="42" customHeight="1">
      <c r="A6792" s="2" t="s">
        <v>17416</v>
      </c>
      <c r="B6792" s="2" t="s">
        <v>17417</v>
      </c>
      <c r="C6792" s="2" t="s">
        <v>17</v>
      </c>
      <c r="D6792" s="2" t="s">
        <v>18</v>
      </c>
      <c r="E6792" s="4">
        <v>-32503</v>
      </c>
      <c r="F6792" s="3" t="s">
        <v>487</v>
      </c>
      <c r="G6792" s="3" t="s">
        <v>1930</v>
      </c>
      <c r="H6792" s="2" t="s">
        <v>148</v>
      </c>
      <c r="I6792" s="2" t="s">
        <v>17418</v>
      </c>
      <c r="J6792" s="3" t="str">
        <f>HYPERLINK("https://www.boe.es/gazeta/dias/1811/01/03/pdfs/GEI-1811-2.pdf#page=8","Abrir facsímil")</f>
        <v>Abrir facsímil</v>
      </c>
      <c r="K6792" s="3" t="s">
        <v>150</v>
      </c>
    </row>
    <row r="6793" spans="1:11" ht="42" customHeight="1">
      <c r="A6793" s="2" t="s">
        <v>17419</v>
      </c>
      <c r="B6793" s="2" t="s">
        <v>17420</v>
      </c>
      <c r="C6793" s="2" t="s">
        <v>17</v>
      </c>
      <c r="D6793" s="2" t="s">
        <v>18</v>
      </c>
      <c r="E6793" s="4">
        <v>-32309</v>
      </c>
      <c r="F6793" s="3" t="s">
        <v>2496</v>
      </c>
      <c r="G6793" s="3" t="s">
        <v>47</v>
      </c>
      <c r="H6793" s="2" t="s">
        <v>148</v>
      </c>
      <c r="I6793" s="2" t="s">
        <v>17421</v>
      </c>
      <c r="J6793" s="3" t="str">
        <f>HYPERLINK("https://www.boe.es/gazeta/dias/1811/07/16/pdfs/GEI-1811-93.pdf#page=8","Abrir facsímil")</f>
        <v>Abrir facsímil</v>
      </c>
      <c r="K6793" s="3" t="s">
        <v>150</v>
      </c>
    </row>
    <row r="6794" spans="1:11" ht="42" customHeight="1">
      <c r="A6794" s="2" t="s">
        <v>17422</v>
      </c>
      <c r="B6794" s="2" t="s">
        <v>17423</v>
      </c>
      <c r="C6794" s="2" t="s">
        <v>17</v>
      </c>
      <c r="D6794" s="2" t="s">
        <v>18</v>
      </c>
      <c r="E6794" s="4">
        <v>-32239</v>
      </c>
      <c r="F6794" s="3" t="s">
        <v>1225</v>
      </c>
      <c r="G6794" s="3" t="s">
        <v>1601</v>
      </c>
      <c r="H6794" s="2" t="s">
        <v>148</v>
      </c>
      <c r="I6794" s="2" t="s">
        <v>17424</v>
      </c>
      <c r="J6794" s="3" t="str">
        <f>HYPERLINK("https://www.boe.es/gazeta/dias/1811/09/24/pdfs/GEI-1811-123.pdf#page=8","Abrir facsímil")</f>
        <v>Abrir facsímil</v>
      </c>
      <c r="K6794" s="3" t="s">
        <v>150</v>
      </c>
    </row>
    <row r="6795" spans="1:11" ht="42" customHeight="1">
      <c r="A6795" s="2" t="s">
        <v>17425</v>
      </c>
      <c r="B6795" s="2" t="s">
        <v>17426</v>
      </c>
      <c r="C6795" s="2" t="s">
        <v>841</v>
      </c>
      <c r="D6795" s="2" t="s">
        <v>18</v>
      </c>
      <c r="E6795" s="4">
        <v>-32251</v>
      </c>
      <c r="F6795" s="3" t="s">
        <v>726</v>
      </c>
      <c r="G6795" s="3" t="s">
        <v>727</v>
      </c>
      <c r="H6795" s="2" t="s">
        <v>148</v>
      </c>
      <c r="I6795" s="2" t="s">
        <v>17427</v>
      </c>
      <c r="J6795" s="3" t="str">
        <f>HYPERLINK("https://www.boe.es/gazeta/dias/1811/09/12/pdfs/GEI-1811-118.pdf#page=8","Abrir facsímil")</f>
        <v>Abrir facsímil</v>
      </c>
      <c r="K6795" s="3" t="s">
        <v>150</v>
      </c>
    </row>
    <row r="6796" spans="1:11" ht="42" customHeight="1">
      <c r="A6796" s="2" t="s">
        <v>17425</v>
      </c>
      <c r="B6796" s="2" t="s">
        <v>17426</v>
      </c>
      <c r="C6796" s="2" t="s">
        <v>26</v>
      </c>
      <c r="D6796" s="2" t="s">
        <v>18</v>
      </c>
      <c r="E6796" s="4">
        <v>-32228</v>
      </c>
      <c r="F6796" s="3" t="s">
        <v>372</v>
      </c>
      <c r="G6796" s="3" t="s">
        <v>20</v>
      </c>
      <c r="H6796" s="2" t="s">
        <v>148</v>
      </c>
      <c r="I6796" s="2" t="s">
        <v>17428</v>
      </c>
      <c r="J6796" s="3" t="str">
        <f>HYPERLINK("https://www.boe.es/gazeta/dias/1811/10/05/pdfs/GEI-1811-128.pdf#page=8","Abrir facsímil")</f>
        <v>Abrir facsímil</v>
      </c>
      <c r="K6796" s="3" t="s">
        <v>150</v>
      </c>
    </row>
    <row r="6797" spans="1:11" ht="42" customHeight="1">
      <c r="A6797" s="2" t="s">
        <v>17429</v>
      </c>
      <c r="B6797" s="2" t="s">
        <v>17430</v>
      </c>
      <c r="C6797" s="2" t="s">
        <v>26</v>
      </c>
      <c r="D6797" s="2" t="s">
        <v>18</v>
      </c>
      <c r="E6797" s="4">
        <v>-32272</v>
      </c>
      <c r="F6797" s="3" t="s">
        <v>1121</v>
      </c>
      <c r="G6797" s="3" t="s">
        <v>510</v>
      </c>
      <c r="H6797" s="2" t="s">
        <v>148</v>
      </c>
      <c r="I6797" s="2" t="s">
        <v>17431</v>
      </c>
      <c r="J6797" s="3" t="str">
        <f>HYPERLINK("https://www.boe.es/gazeta/dias/1811/08/22/pdfs/GEI-1811-109.pdf#page=8","Abrir facsímil")</f>
        <v>Abrir facsímil</v>
      </c>
      <c r="K6797" s="3" t="s">
        <v>150</v>
      </c>
    </row>
    <row r="6798" spans="1:11" ht="42" customHeight="1">
      <c r="A6798" s="2" t="s">
        <v>17432</v>
      </c>
      <c r="B6798" s="2" t="s">
        <v>17433</v>
      </c>
      <c r="C6798" s="2" t="s">
        <v>26</v>
      </c>
      <c r="D6798" s="2" t="s">
        <v>18</v>
      </c>
      <c r="E6798" s="4">
        <v>-32200</v>
      </c>
      <c r="F6798" s="3" t="s">
        <v>109</v>
      </c>
      <c r="G6798" s="3" t="s">
        <v>586</v>
      </c>
      <c r="H6798" s="2" t="s">
        <v>148</v>
      </c>
      <c r="I6798" s="2" t="s">
        <v>17434</v>
      </c>
      <c r="J6798" s="3" t="str">
        <f>HYPERLINK("https://www.boe.es/gazeta/dias/1811/11/02/pdfs/GEI-1811-141.pdf#page=8","Abrir facsímil")</f>
        <v>Abrir facsímil</v>
      </c>
      <c r="K6798" s="3" t="s">
        <v>150</v>
      </c>
    </row>
    <row r="6799" spans="1:11" ht="42" customHeight="1">
      <c r="A6799" s="2" t="s">
        <v>17435</v>
      </c>
      <c r="B6799" s="2" t="s">
        <v>17436</v>
      </c>
      <c r="C6799" s="2" t="s">
        <v>26</v>
      </c>
      <c r="D6799" s="2" t="s">
        <v>18</v>
      </c>
      <c r="E6799" s="4">
        <v>-32433</v>
      </c>
      <c r="F6799" s="3" t="s">
        <v>209</v>
      </c>
      <c r="G6799" s="3" t="s">
        <v>488</v>
      </c>
      <c r="H6799" s="2" t="s">
        <v>148</v>
      </c>
      <c r="I6799" s="2" t="s">
        <v>17437</v>
      </c>
      <c r="J6799" s="3" t="str">
        <f>HYPERLINK("https://www.boe.es/gazeta/dias/1811/03/14/pdfs/GMD-1811-73.pdf#page=2","Abrir facsímil")</f>
        <v>Abrir facsímil</v>
      </c>
      <c r="K6799" s="3" t="s">
        <v>150</v>
      </c>
    </row>
    <row r="6800" spans="1:11" ht="42" customHeight="1">
      <c r="A6800" s="2" t="s">
        <v>17438</v>
      </c>
      <c r="B6800" s="2" t="s">
        <v>17439</v>
      </c>
      <c r="C6800" s="2" t="s">
        <v>26</v>
      </c>
      <c r="D6800" s="2" t="s">
        <v>18</v>
      </c>
      <c r="E6800" s="4">
        <v>-32288</v>
      </c>
      <c r="F6800" s="3" t="s">
        <v>95</v>
      </c>
      <c r="G6800" s="3" t="s">
        <v>47</v>
      </c>
      <c r="H6800" s="2" t="s">
        <v>148</v>
      </c>
      <c r="I6800" s="2" t="s">
        <v>17440</v>
      </c>
      <c r="J6800" s="3" t="str">
        <f>HYPERLINK("https://www.boe.es/gazeta/dias/1811/08/06/pdfs/GEI-1811-102.pdf#page=8","Abrir facsímil")</f>
        <v>Abrir facsímil</v>
      </c>
      <c r="K6800" s="3" t="s">
        <v>150</v>
      </c>
    </row>
    <row r="6801" spans="1:11" ht="42" customHeight="1">
      <c r="A6801" s="2" t="s">
        <v>17438</v>
      </c>
      <c r="B6801" s="2" t="s">
        <v>17439</v>
      </c>
      <c r="C6801" s="2" t="s">
        <v>26</v>
      </c>
      <c r="D6801" s="2" t="s">
        <v>18</v>
      </c>
      <c r="E6801" s="4">
        <v>-32197</v>
      </c>
      <c r="F6801" s="3" t="s">
        <v>687</v>
      </c>
      <c r="G6801" s="3" t="s">
        <v>1240</v>
      </c>
      <c r="H6801" s="2" t="s">
        <v>148</v>
      </c>
      <c r="I6801" s="2" t="s">
        <v>17441</v>
      </c>
      <c r="J6801" s="3" t="str">
        <f>HYPERLINK("https://www.boe.es/gazeta/dias/1811/11/05/pdfs/GEI-1811-143.pdf#page=8","Abrir facsímil")</f>
        <v>Abrir facsímil</v>
      </c>
      <c r="K6801" s="3" t="s">
        <v>150</v>
      </c>
    </row>
    <row r="6802" spans="1:11" ht="42" customHeight="1">
      <c r="A6802" s="2" t="s">
        <v>17442</v>
      </c>
      <c r="B6802" s="2" t="s">
        <v>17442</v>
      </c>
      <c r="C6802" s="2" t="s">
        <v>17</v>
      </c>
      <c r="D6802" s="2" t="s">
        <v>18</v>
      </c>
      <c r="E6802" s="4">
        <v>-32281</v>
      </c>
      <c r="F6802" s="3" t="s">
        <v>982</v>
      </c>
      <c r="G6802" s="3" t="s">
        <v>305</v>
      </c>
      <c r="H6802" s="2" t="s">
        <v>148</v>
      </c>
      <c r="I6802" s="2" t="s">
        <v>17443</v>
      </c>
      <c r="J6802" s="3" t="str">
        <f>HYPERLINK("https://www.boe.es/gazeta/dias/1811/08/13/pdfs/GEI-1811-105.pdf#page=3","Abrir facsímil")</f>
        <v>Abrir facsímil</v>
      </c>
      <c r="K6802" s="3" t="s">
        <v>150</v>
      </c>
    </row>
    <row r="6803" spans="1:11" ht="42" customHeight="1">
      <c r="A6803" s="2" t="s">
        <v>17444</v>
      </c>
      <c r="B6803" s="2" t="s">
        <v>17445</v>
      </c>
      <c r="C6803" s="2" t="s">
        <v>17</v>
      </c>
      <c r="D6803" s="2" t="s">
        <v>18</v>
      </c>
      <c r="E6803" s="4">
        <v>-32447</v>
      </c>
      <c r="F6803" s="3" t="s">
        <v>3655</v>
      </c>
      <c r="G6803" s="3" t="s">
        <v>8991</v>
      </c>
      <c r="H6803" s="2" t="s">
        <v>148</v>
      </c>
      <c r="I6803" s="2" t="s">
        <v>17446</v>
      </c>
      <c r="J6803" s="3" t="str">
        <f>HYPERLINK("https://www.boe.es/gazeta/dias/1811/02/28/pdfs/GEI-1811-26.pdf#page=8","Abrir facsímil")</f>
        <v>Abrir facsímil</v>
      </c>
      <c r="K6803" s="3" t="s">
        <v>150</v>
      </c>
    </row>
    <row r="6804" spans="1:11" ht="42" customHeight="1">
      <c r="A6804" s="2" t="s">
        <v>17447</v>
      </c>
      <c r="B6804" s="2" t="s">
        <v>17448</v>
      </c>
      <c r="C6804" s="2" t="s">
        <v>26</v>
      </c>
      <c r="D6804" s="2" t="s">
        <v>18</v>
      </c>
      <c r="E6804" s="4">
        <v>-32375</v>
      </c>
      <c r="F6804" s="3" t="s">
        <v>1209</v>
      </c>
      <c r="G6804" s="3" t="s">
        <v>440</v>
      </c>
      <c r="H6804" s="2" t="s">
        <v>148</v>
      </c>
      <c r="I6804" s="2" t="s">
        <v>17449</v>
      </c>
      <c r="J6804" s="3" t="str">
        <f>HYPERLINK("https://www.boe.es/gazeta/dias/1811/05/11/pdfs/GEI-1811-62.pdf#page=6","Abrir facsímil")</f>
        <v>Abrir facsímil</v>
      </c>
      <c r="K6804" s="3" t="s">
        <v>150</v>
      </c>
    </row>
    <row r="6805" spans="1:11" ht="42" customHeight="1">
      <c r="A6805" s="2" t="s">
        <v>17450</v>
      </c>
      <c r="B6805" s="2" t="s">
        <v>17451</v>
      </c>
      <c r="C6805" s="2" t="s">
        <v>26</v>
      </c>
      <c r="D6805" s="2" t="s">
        <v>105</v>
      </c>
      <c r="E6805" s="4">
        <v>-32379</v>
      </c>
      <c r="F6805" s="3" t="s">
        <v>462</v>
      </c>
      <c r="G6805" s="3" t="s">
        <v>463</v>
      </c>
      <c r="H6805" s="2" t="s">
        <v>148</v>
      </c>
      <c r="I6805" s="2" t="s">
        <v>17452</v>
      </c>
      <c r="J6805" s="3" t="str">
        <f>HYPERLINK("https://www.boe.es/gazeta/dias/1811/05/07/pdfs/GEI-1811-60.pdf#page=8","Abrir facsímil")</f>
        <v>Abrir facsímil</v>
      </c>
      <c r="K6805" s="3" t="s">
        <v>150</v>
      </c>
    </row>
    <row r="6806" spans="1:11" ht="42" customHeight="1">
      <c r="A6806" s="2" t="s">
        <v>17453</v>
      </c>
      <c r="B6806" s="2" t="s">
        <v>17454</v>
      </c>
      <c r="C6806" s="2" t="s">
        <v>17</v>
      </c>
      <c r="D6806" s="2" t="s">
        <v>18</v>
      </c>
      <c r="E6806" s="4">
        <v>-32210</v>
      </c>
      <c r="F6806" s="3" t="s">
        <v>1737</v>
      </c>
      <c r="G6806" s="3" t="s">
        <v>248</v>
      </c>
      <c r="H6806" s="2" t="s">
        <v>148</v>
      </c>
      <c r="I6806" s="2" t="s">
        <v>17455</v>
      </c>
      <c r="J6806" s="3" t="str">
        <f>HYPERLINK("https://www.boe.es/gazeta/dias/1811/10/23/pdfs/GMD-1811-296.pdf#page=5","Abrir facsímil")</f>
        <v>Abrir facsímil</v>
      </c>
      <c r="K6806" s="3" t="s">
        <v>150</v>
      </c>
    </row>
    <row r="6807" spans="1:11" ht="42" customHeight="1">
      <c r="A6807" s="2" t="s">
        <v>17456</v>
      </c>
      <c r="B6807" s="2" t="s">
        <v>17457</v>
      </c>
      <c r="C6807" s="2" t="s">
        <v>104</v>
      </c>
      <c r="D6807" s="2" t="s">
        <v>141</v>
      </c>
      <c r="E6807" s="4">
        <v>-32238</v>
      </c>
      <c r="F6807" s="3" t="s">
        <v>166</v>
      </c>
      <c r="G6807" s="3" t="s">
        <v>657</v>
      </c>
      <c r="H6807" s="2" t="s">
        <v>148</v>
      </c>
      <c r="I6807" s="2" t="s">
        <v>17458</v>
      </c>
      <c r="J6807" s="3" t="str">
        <f>HYPERLINK("https://www.boe.es/gazeta/dias/1811/09/25/pdfs/GMD-C-1811-268.pdf#page=3","Abrir facsímil")</f>
        <v>Abrir facsímil</v>
      </c>
      <c r="K6807" s="3" t="s">
        <v>150</v>
      </c>
    </row>
    <row r="6808" spans="1:11" ht="42" customHeight="1">
      <c r="A6808" s="2" t="s">
        <v>17459</v>
      </c>
      <c r="B6808" s="2" t="s">
        <v>17459</v>
      </c>
      <c r="C6808" s="2" t="s">
        <v>17</v>
      </c>
      <c r="D6808" s="2" t="s">
        <v>18</v>
      </c>
      <c r="E6808" s="4">
        <v>-32149</v>
      </c>
      <c r="F6808" s="3" t="s">
        <v>2292</v>
      </c>
      <c r="G6808" s="3" t="s">
        <v>91</v>
      </c>
      <c r="H6808" s="2" t="s">
        <v>148</v>
      </c>
      <c r="I6808" s="2" t="s">
        <v>17460</v>
      </c>
      <c r="J6808" s="3" t="str">
        <f>HYPERLINK("https://www.boe.es/gazeta/dias/1811/12/23/pdfs/GMD-1811-357.pdf#page=3","Abrir facsímil")</f>
        <v>Abrir facsímil</v>
      </c>
      <c r="K6808" s="3" t="s">
        <v>150</v>
      </c>
    </row>
    <row r="6809" spans="1:11" ht="42" customHeight="1">
      <c r="A6809" s="2" t="s">
        <v>17461</v>
      </c>
      <c r="B6809" s="2" t="s">
        <v>17462</v>
      </c>
      <c r="C6809" s="2" t="s">
        <v>17</v>
      </c>
      <c r="D6809" s="2" t="s">
        <v>141</v>
      </c>
      <c r="E6809" s="4">
        <v>-32188</v>
      </c>
      <c r="F6809" s="3" t="s">
        <v>505</v>
      </c>
      <c r="G6809" s="3" t="s">
        <v>162</v>
      </c>
      <c r="H6809" s="2" t="s">
        <v>148</v>
      </c>
      <c r="I6809" s="2" t="s">
        <v>17463</v>
      </c>
      <c r="J6809" s="3" t="str">
        <f>HYPERLINK("https://www.boe.es/gazeta/dias/1811/11/14/pdfs/GEI-D-1811-149.pdf#page=4","Abrir facsímil")</f>
        <v>Abrir facsímil</v>
      </c>
      <c r="K6809" s="3" t="s">
        <v>150</v>
      </c>
    </row>
    <row r="6810" spans="1:11" ht="42" customHeight="1">
      <c r="A6810" s="2" t="s">
        <v>17464</v>
      </c>
      <c r="B6810" s="2" t="s">
        <v>17465</v>
      </c>
      <c r="C6810" s="2" t="s">
        <v>17</v>
      </c>
      <c r="D6810" s="2" t="s">
        <v>156</v>
      </c>
      <c r="E6810" s="4">
        <v>-32309</v>
      </c>
      <c r="F6810" s="3" t="s">
        <v>2496</v>
      </c>
      <c r="G6810" s="3" t="s">
        <v>3169</v>
      </c>
      <c r="H6810" s="2" t="s">
        <v>148</v>
      </c>
      <c r="I6810" s="2" t="s">
        <v>17466</v>
      </c>
      <c r="J6810" s="3" t="str">
        <f>HYPERLINK("https://www.boe.es/gazeta/dias/1811/07/16/pdfs/GEI-1811-93.pdf#page=1","Abrir facsímil")</f>
        <v>Abrir facsímil</v>
      </c>
      <c r="K6810" s="3" t="s">
        <v>150</v>
      </c>
    </row>
    <row r="6811" spans="1:11" ht="42" customHeight="1">
      <c r="A6811" s="2" t="s">
        <v>17467</v>
      </c>
      <c r="B6811" s="2" t="s">
        <v>17468</v>
      </c>
      <c r="C6811" s="2" t="s">
        <v>17</v>
      </c>
      <c r="D6811" s="2" t="s">
        <v>204</v>
      </c>
      <c r="E6811" s="4">
        <v>-32253</v>
      </c>
      <c r="F6811" s="3" t="s">
        <v>581</v>
      </c>
      <c r="G6811" s="3" t="s">
        <v>231</v>
      </c>
      <c r="H6811" s="2" t="s">
        <v>148</v>
      </c>
      <c r="I6811" s="2" t="s">
        <v>17469</v>
      </c>
      <c r="J6811" s="3" t="str">
        <f>HYPERLINK("https://www.boe.es/gazeta/dias/1811/09/10/pdfs/GEI-1811-117.pdf#page=4","Abrir facsímil")</f>
        <v>Abrir facsímil</v>
      </c>
      <c r="K6811" s="3" t="s">
        <v>150</v>
      </c>
    </row>
    <row r="6812" spans="1:11" ht="42" customHeight="1">
      <c r="A6812" s="2" t="s">
        <v>17470</v>
      </c>
      <c r="B6812" s="2" t="s">
        <v>17471</v>
      </c>
      <c r="C6812" s="2" t="s">
        <v>26</v>
      </c>
      <c r="D6812" s="2" t="s">
        <v>18</v>
      </c>
      <c r="E6812" s="4">
        <v>-32447</v>
      </c>
      <c r="F6812" s="3" t="s">
        <v>665</v>
      </c>
      <c r="G6812" s="3" t="s">
        <v>57</v>
      </c>
      <c r="H6812" s="2" t="s">
        <v>148</v>
      </c>
      <c r="I6812" s="2" t="s">
        <v>17472</v>
      </c>
      <c r="J6812" s="3" t="str">
        <f>HYPERLINK("https://www.boe.es/gazeta/dias/1811/02/28/pdfs/GMD-1811-59.pdf#page=2","Abrir facsímil")</f>
        <v>Abrir facsímil</v>
      </c>
      <c r="K6812" s="3" t="s">
        <v>150</v>
      </c>
    </row>
    <row r="6813" spans="1:11" ht="42" customHeight="1">
      <c r="A6813" s="2" t="s">
        <v>17473</v>
      </c>
      <c r="B6813" s="2" t="s">
        <v>17474</v>
      </c>
      <c r="C6813" s="2" t="s">
        <v>26</v>
      </c>
      <c r="D6813" s="2" t="s">
        <v>18</v>
      </c>
      <c r="E6813" s="4">
        <v>-32257</v>
      </c>
      <c r="F6813" s="3" t="s">
        <v>1093</v>
      </c>
      <c r="G6813" s="3" t="s">
        <v>183</v>
      </c>
      <c r="H6813" s="2" t="s">
        <v>148</v>
      </c>
      <c r="I6813" s="2" t="s">
        <v>17475</v>
      </c>
      <c r="J6813" s="3" t="str">
        <f>HYPERLINK("https://www.boe.es/gazeta/dias/1811/09/06/pdfs/GMD-1811-249.pdf#page=4","Abrir facsímil")</f>
        <v>Abrir facsímil</v>
      </c>
      <c r="K6813" s="3" t="s">
        <v>150</v>
      </c>
    </row>
    <row r="6814" spans="1:11" ht="42" customHeight="1">
      <c r="A6814" s="2" t="s">
        <v>17476</v>
      </c>
      <c r="B6814" s="2" t="s">
        <v>17477</v>
      </c>
      <c r="C6814" s="2" t="s">
        <v>104</v>
      </c>
      <c r="D6814" s="2" t="s">
        <v>18</v>
      </c>
      <c r="E6814" s="4">
        <v>-32501</v>
      </c>
      <c r="F6814" s="3" t="s">
        <v>509</v>
      </c>
      <c r="G6814" s="3" t="s">
        <v>510</v>
      </c>
      <c r="H6814" s="2" t="s">
        <v>148</v>
      </c>
      <c r="I6814" s="2" t="s">
        <v>17478</v>
      </c>
      <c r="J6814" s="3" t="str">
        <f>HYPERLINK("https://www.boe.es/gazeta/dias/1811/01/05/pdfs/GEI-1811-3.pdf#page=8","Abrir facsímil")</f>
        <v>Abrir facsímil</v>
      </c>
      <c r="K6814" s="3" t="s">
        <v>150</v>
      </c>
    </row>
    <row r="6815" spans="1:11" ht="42" customHeight="1">
      <c r="A6815" s="2" t="s">
        <v>17479</v>
      </c>
      <c r="B6815" s="2" t="s">
        <v>17480</v>
      </c>
      <c r="C6815" s="2" t="s">
        <v>104</v>
      </c>
      <c r="D6815" s="2" t="s">
        <v>141</v>
      </c>
      <c r="E6815" s="4">
        <v>-32319</v>
      </c>
      <c r="F6815" s="3" t="s">
        <v>907</v>
      </c>
      <c r="G6815" s="3" t="s">
        <v>134</v>
      </c>
      <c r="H6815" s="2" t="s">
        <v>148</v>
      </c>
      <c r="I6815" s="2" t="s">
        <v>17481</v>
      </c>
      <c r="J6815" s="3" t="str">
        <f>HYPERLINK("https://www.boe.es/gazeta/dias/1811/07/06/pdfs/GEI-D-1811-89.pdf#page=4","Abrir facsímil")</f>
        <v>Abrir facsímil</v>
      </c>
      <c r="K6815" s="3" t="s">
        <v>150</v>
      </c>
    </row>
    <row r="6816" spans="1:11" ht="42" customHeight="1">
      <c r="A6816" s="2" t="s">
        <v>17482</v>
      </c>
      <c r="B6816" s="2" t="s">
        <v>17482</v>
      </c>
      <c r="C6816" s="2" t="s">
        <v>26</v>
      </c>
      <c r="D6816" s="2" t="s">
        <v>18</v>
      </c>
      <c r="E6816" s="4">
        <v>-32291</v>
      </c>
      <c r="F6816" s="3" t="s">
        <v>13464</v>
      </c>
      <c r="G6816" s="3" t="s">
        <v>17483</v>
      </c>
      <c r="H6816" s="2" t="s">
        <v>148</v>
      </c>
      <c r="I6816" s="2" t="s">
        <v>17484</v>
      </c>
      <c r="J6816" s="3" t="str">
        <f>HYPERLINK("https://www.boe.es/gazeta/dias/1811/08/03/pdfs/GMD-1811-215.pdf#page=4","Abrir facsímil")</f>
        <v>Abrir facsímil</v>
      </c>
      <c r="K6816" s="3" t="s">
        <v>150</v>
      </c>
    </row>
    <row r="6817" spans="1:11" ht="42" customHeight="1">
      <c r="A6817" s="2" t="s">
        <v>17485</v>
      </c>
      <c r="B6817" s="2" t="s">
        <v>17486</v>
      </c>
      <c r="C6817" s="2" t="s">
        <v>37</v>
      </c>
      <c r="D6817" s="2" t="s">
        <v>156</v>
      </c>
      <c r="E6817" s="4">
        <v>-32230</v>
      </c>
      <c r="F6817" s="3" t="s">
        <v>625</v>
      </c>
      <c r="G6817" s="3" t="s">
        <v>162</v>
      </c>
      <c r="H6817" s="2" t="s">
        <v>148</v>
      </c>
      <c r="I6817" s="2" t="s">
        <v>17487</v>
      </c>
      <c r="J6817" s="3" t="str">
        <f>HYPERLINK("https://www.boe.es/gazeta/dias/1811/10/03/pdfs/GEI-1811-127.pdf#page=7","Abrir facsímil")</f>
        <v>Abrir facsímil</v>
      </c>
      <c r="K6817" s="3" t="s">
        <v>150</v>
      </c>
    </row>
    <row r="6818" spans="1:11" ht="42" customHeight="1">
      <c r="A6818" s="2" t="s">
        <v>17488</v>
      </c>
      <c r="B6818" s="2" t="s">
        <v>17489</v>
      </c>
      <c r="C6818" s="2" t="s">
        <v>26</v>
      </c>
      <c r="D6818" s="2" t="s">
        <v>18</v>
      </c>
      <c r="E6818" s="4">
        <v>-32386</v>
      </c>
      <c r="F6818" s="3" t="s">
        <v>6053</v>
      </c>
      <c r="G6818" s="3" t="s">
        <v>20</v>
      </c>
      <c r="H6818" s="2" t="s">
        <v>148</v>
      </c>
      <c r="I6818" s="2" t="s">
        <v>17490</v>
      </c>
      <c r="J6818" s="3" t="str">
        <f>HYPERLINK("https://www.boe.es/gazeta/dias/1811/04/30/pdfs/GMD-1811-120.pdf#page=4","Abrir facsímil")</f>
        <v>Abrir facsímil</v>
      </c>
      <c r="K6818" s="3" t="s">
        <v>150</v>
      </c>
    </row>
    <row r="6819" spans="1:11" ht="42" customHeight="1">
      <c r="A6819" s="2" t="s">
        <v>17491</v>
      </c>
      <c r="B6819" s="2" t="s">
        <v>17492</v>
      </c>
      <c r="C6819" s="2" t="s">
        <v>17</v>
      </c>
      <c r="D6819" s="2" t="s">
        <v>18</v>
      </c>
      <c r="E6819" s="4">
        <v>-32355</v>
      </c>
      <c r="F6819" s="3" t="s">
        <v>2342</v>
      </c>
      <c r="G6819" s="3" t="s">
        <v>20</v>
      </c>
      <c r="H6819" s="2" t="s">
        <v>148</v>
      </c>
      <c r="I6819" s="2" t="s">
        <v>17493</v>
      </c>
      <c r="J6819" s="3" t="str">
        <f>HYPERLINK("https://www.boe.es/gazeta/dias/1811/05/31/pdfs/GMD-1811-151.pdf#page=4","Abrir facsímil")</f>
        <v>Abrir facsímil</v>
      </c>
      <c r="K6819" s="3" t="s">
        <v>150</v>
      </c>
    </row>
    <row r="6820" spans="1:11" ht="42" customHeight="1">
      <c r="A6820" s="2" t="s">
        <v>17491</v>
      </c>
      <c r="B6820" s="2" t="s">
        <v>17492</v>
      </c>
      <c r="C6820" s="2" t="s">
        <v>84</v>
      </c>
      <c r="D6820" s="2" t="s">
        <v>18</v>
      </c>
      <c r="E6820" s="4">
        <v>-32326</v>
      </c>
      <c r="F6820" s="3" t="s">
        <v>2321</v>
      </c>
      <c r="G6820" s="3" t="s">
        <v>183</v>
      </c>
      <c r="H6820" s="2" t="s">
        <v>148</v>
      </c>
      <c r="I6820" s="2" t="s">
        <v>17494</v>
      </c>
      <c r="J6820" s="3" t="str">
        <f>HYPERLINK("https://www.boe.es/gazeta/dias/1811/06/29/pdfs/GMD-1811-180.pdf#page=4","Abrir facsímil")</f>
        <v>Abrir facsímil</v>
      </c>
      <c r="K6820" s="3" t="s">
        <v>150</v>
      </c>
    </row>
    <row r="6821" spans="1:11" ht="42" customHeight="1">
      <c r="A6821" s="2" t="s">
        <v>17491</v>
      </c>
      <c r="B6821" s="2" t="s">
        <v>17492</v>
      </c>
      <c r="C6821" s="2" t="s">
        <v>26</v>
      </c>
      <c r="D6821" s="2" t="s">
        <v>18</v>
      </c>
      <c r="E6821" s="4">
        <v>-32225</v>
      </c>
      <c r="F6821" s="3" t="s">
        <v>2347</v>
      </c>
      <c r="G6821" s="3" t="s">
        <v>1087</v>
      </c>
      <c r="H6821" s="2" t="s">
        <v>148</v>
      </c>
      <c r="I6821" s="2" t="s">
        <v>17495</v>
      </c>
      <c r="J6821" s="3" t="str">
        <f>HYPERLINK("https://www.boe.es/gazeta/dias/1811/10/08/pdfs/GMD-1811-281.pdf#page=4","Abrir facsímil")</f>
        <v>Abrir facsímil</v>
      </c>
      <c r="K6821" s="3" t="s">
        <v>150</v>
      </c>
    </row>
    <row r="6822" spans="1:11" ht="42" customHeight="1">
      <c r="A6822" s="2" t="s">
        <v>17496</v>
      </c>
      <c r="B6822" s="2" t="s">
        <v>17497</v>
      </c>
      <c r="C6822" s="2" t="s">
        <v>26</v>
      </c>
      <c r="D6822" s="2" t="s">
        <v>105</v>
      </c>
      <c r="E6822" s="4">
        <v>-32197</v>
      </c>
      <c r="F6822" s="3" t="s">
        <v>687</v>
      </c>
      <c r="G6822" s="3" t="s">
        <v>1240</v>
      </c>
      <c r="H6822" s="2" t="s">
        <v>148</v>
      </c>
      <c r="I6822" s="2" t="s">
        <v>17498</v>
      </c>
      <c r="J6822" s="3" t="str">
        <f>HYPERLINK("https://www.boe.es/gazeta/dias/1811/11/05/pdfs/GEI-1811-143.pdf#page=8","Abrir facsímil")</f>
        <v>Abrir facsímil</v>
      </c>
      <c r="K6822" s="3" t="s">
        <v>150</v>
      </c>
    </row>
    <row r="6823" spans="1:11" ht="42" customHeight="1">
      <c r="A6823" s="2" t="s">
        <v>17499</v>
      </c>
      <c r="B6823" s="2" t="s">
        <v>17500</v>
      </c>
      <c r="C6823" s="2" t="s">
        <v>26</v>
      </c>
      <c r="D6823" s="2" t="s">
        <v>105</v>
      </c>
      <c r="E6823" s="4">
        <v>-32238</v>
      </c>
      <c r="F6823" s="3" t="s">
        <v>166</v>
      </c>
      <c r="G6823" s="3" t="s">
        <v>178</v>
      </c>
      <c r="H6823" s="2" t="s">
        <v>148</v>
      </c>
      <c r="I6823" s="2" t="s">
        <v>17501</v>
      </c>
      <c r="J6823" s="3" t="str">
        <f>HYPERLINK("https://www.boe.es/gazeta/dias/1811/09/25/pdfs/GMD-C-1811-268.pdf#page=4","Abrir facsímil")</f>
        <v>Abrir facsímil</v>
      </c>
      <c r="K6823" s="3" t="s">
        <v>150</v>
      </c>
    </row>
    <row r="6824" spans="1:11" ht="42" customHeight="1">
      <c r="A6824" s="2" t="s">
        <v>17502</v>
      </c>
      <c r="B6824" s="2" t="s">
        <v>17503</v>
      </c>
      <c r="C6824" s="2" t="s">
        <v>367</v>
      </c>
      <c r="D6824" s="2" t="s">
        <v>18</v>
      </c>
      <c r="E6824" s="4">
        <v>-32141</v>
      </c>
      <c r="F6824" s="3" t="s">
        <v>327</v>
      </c>
      <c r="G6824" s="3" t="s">
        <v>115</v>
      </c>
      <c r="H6824" s="2" t="s">
        <v>148</v>
      </c>
      <c r="I6824" s="2" t="s">
        <v>17504</v>
      </c>
      <c r="J6824" s="3" t="str">
        <f>HYPERLINK("https://www.boe.es/gazeta/dias/1811/12/31/pdfs/GMD-1811-365.pdf#page=3","Abrir facsímil")</f>
        <v>Abrir facsímil</v>
      </c>
      <c r="K6824" s="3" t="s">
        <v>150</v>
      </c>
    </row>
    <row r="6825" spans="1:11" ht="42" customHeight="1">
      <c r="A6825" s="2" t="s">
        <v>17505</v>
      </c>
      <c r="B6825" s="2" t="s">
        <v>17506</v>
      </c>
      <c r="C6825" s="2" t="s">
        <v>17</v>
      </c>
      <c r="D6825" s="2" t="s">
        <v>18</v>
      </c>
      <c r="E6825" s="4">
        <v>-32447</v>
      </c>
      <c r="F6825" s="3" t="s">
        <v>3655</v>
      </c>
      <c r="G6825" s="3" t="s">
        <v>8991</v>
      </c>
      <c r="H6825" s="2" t="s">
        <v>148</v>
      </c>
      <c r="I6825" s="2" t="s">
        <v>17507</v>
      </c>
      <c r="J6825" s="3" t="str">
        <f>HYPERLINK("https://www.boe.es/gazeta/dias/1811/02/28/pdfs/GEI-1811-26.pdf#page=8","Abrir facsímil")</f>
        <v>Abrir facsímil</v>
      </c>
      <c r="K6825" s="3" t="s">
        <v>150</v>
      </c>
    </row>
    <row r="6826" spans="1:11" ht="42" customHeight="1">
      <c r="A6826" s="2" t="s">
        <v>17508</v>
      </c>
      <c r="B6826" s="2" t="s">
        <v>17509</v>
      </c>
      <c r="C6826" s="2" t="s">
        <v>26</v>
      </c>
      <c r="D6826" s="2" t="s">
        <v>18</v>
      </c>
      <c r="E6826" s="4">
        <v>-32204</v>
      </c>
      <c r="F6826" s="3" t="s">
        <v>177</v>
      </c>
      <c r="G6826" s="3" t="s">
        <v>178</v>
      </c>
      <c r="H6826" s="2" t="s">
        <v>148</v>
      </c>
      <c r="I6826" s="2" t="s">
        <v>17510</v>
      </c>
      <c r="J6826" s="3" t="str">
        <f>HYPERLINK("https://www.boe.es/gazeta/dias/1811/10/29/pdfs/GMD-1811-302.pdf#page=4","Abrir facsímil")</f>
        <v>Abrir facsímil</v>
      </c>
      <c r="K6826" s="3" t="s">
        <v>150</v>
      </c>
    </row>
    <row r="6827" spans="1:11" ht="42" customHeight="1">
      <c r="A6827" s="2" t="s">
        <v>17511</v>
      </c>
      <c r="B6827" s="2" t="s">
        <v>17512</v>
      </c>
      <c r="C6827" s="2" t="s">
        <v>17</v>
      </c>
      <c r="D6827" s="2" t="s">
        <v>156</v>
      </c>
      <c r="E6827" s="4">
        <v>-32494</v>
      </c>
      <c r="F6827" s="3" t="s">
        <v>3050</v>
      </c>
      <c r="G6827" s="3" t="s">
        <v>3619</v>
      </c>
      <c r="H6827" s="2" t="s">
        <v>148</v>
      </c>
      <c r="I6827" s="2" t="s">
        <v>17513</v>
      </c>
      <c r="J6827" s="3" t="str">
        <f>HYPERLINK("https://www.boe.es/gazeta/dias/1811/01/12/pdfs/GEI-1811-6.pdf#page=8","Abrir facsímil")</f>
        <v>Abrir facsímil</v>
      </c>
      <c r="K6827" s="3" t="s">
        <v>150</v>
      </c>
    </row>
    <row r="6828" spans="1:11" ht="42" customHeight="1">
      <c r="A6828" s="2" t="s">
        <v>17514</v>
      </c>
      <c r="B6828" s="2" t="s">
        <v>17515</v>
      </c>
      <c r="C6828" s="2" t="s">
        <v>26</v>
      </c>
      <c r="D6828" s="2" t="s">
        <v>18</v>
      </c>
      <c r="E6828" s="4">
        <v>-32489</v>
      </c>
      <c r="F6828" s="3" t="s">
        <v>2073</v>
      </c>
      <c r="G6828" s="3" t="s">
        <v>44</v>
      </c>
      <c r="H6828" s="2" t="s">
        <v>148</v>
      </c>
      <c r="I6828" s="2" t="s">
        <v>17516</v>
      </c>
      <c r="J6828" s="3" t="str">
        <f>HYPERLINK("https://www.boe.es/gazeta/dias/1811/01/17/pdfs/GEI-1811-8.pdf#page=8","Abrir facsímil")</f>
        <v>Abrir facsímil</v>
      </c>
      <c r="K6828" s="3" t="s">
        <v>150</v>
      </c>
    </row>
    <row r="6829" spans="1:11" ht="42" customHeight="1">
      <c r="A6829" s="2" t="s">
        <v>17514</v>
      </c>
      <c r="B6829" s="2" t="s">
        <v>17515</v>
      </c>
      <c r="C6829" s="2" t="s">
        <v>26</v>
      </c>
      <c r="D6829" s="2" t="s">
        <v>18</v>
      </c>
      <c r="E6829" s="4">
        <v>-32288</v>
      </c>
      <c r="F6829" s="3" t="s">
        <v>95</v>
      </c>
      <c r="G6829" s="3" t="s">
        <v>846</v>
      </c>
      <c r="H6829" s="2" t="s">
        <v>148</v>
      </c>
      <c r="I6829" s="2" t="s">
        <v>17517</v>
      </c>
      <c r="J6829" s="3" t="str">
        <f>HYPERLINK("https://www.boe.es/gazeta/dias/1811/08/06/pdfs/GEI-1811-102.pdf#page=2","Abrir facsímil")</f>
        <v>Abrir facsímil</v>
      </c>
      <c r="K6829" s="3" t="s">
        <v>150</v>
      </c>
    </row>
    <row r="6830" spans="1:11" ht="42" customHeight="1">
      <c r="A6830" s="2" t="s">
        <v>17518</v>
      </c>
      <c r="B6830" s="2" t="s">
        <v>17519</v>
      </c>
      <c r="C6830" s="2" t="s">
        <v>26</v>
      </c>
      <c r="D6830" s="2" t="s">
        <v>141</v>
      </c>
      <c r="E6830" s="4">
        <v>-32280</v>
      </c>
      <c r="F6830" s="3" t="s">
        <v>142</v>
      </c>
      <c r="G6830" s="3" t="s">
        <v>47</v>
      </c>
      <c r="H6830" s="2" t="s">
        <v>148</v>
      </c>
      <c r="I6830" s="2" t="s">
        <v>17520</v>
      </c>
      <c r="J6830" s="3" t="str">
        <f>HYPERLINK("https://www.boe.es/gazeta/dias/1811/08/14/pdfs/GMD-C-1811-226.pdf#page=1","Abrir facsímil")</f>
        <v>Abrir facsímil</v>
      </c>
      <c r="K6830" s="3" t="s">
        <v>150</v>
      </c>
    </row>
    <row r="6831" spans="1:11" ht="42" customHeight="1">
      <c r="A6831" s="2" t="s">
        <v>17518</v>
      </c>
      <c r="B6831" s="2" t="s">
        <v>17519</v>
      </c>
      <c r="C6831" s="2" t="s">
        <v>84</v>
      </c>
      <c r="D6831" s="2" t="s">
        <v>18</v>
      </c>
      <c r="E6831" s="4">
        <v>-32192</v>
      </c>
      <c r="F6831" s="3" t="s">
        <v>673</v>
      </c>
      <c r="G6831" s="3" t="s">
        <v>305</v>
      </c>
      <c r="H6831" s="2" t="s">
        <v>148</v>
      </c>
      <c r="I6831" s="2" t="s">
        <v>17521</v>
      </c>
      <c r="J6831" s="3" t="str">
        <f>HYPERLINK("https://www.boe.es/gazeta/dias/1811/11/10/pdfs/GMD-1811-314.pdf#page=4","Abrir facsímil")</f>
        <v>Abrir facsímil</v>
      </c>
      <c r="K6831" s="3" t="s">
        <v>150</v>
      </c>
    </row>
    <row r="6832" spans="1:11" ht="42" customHeight="1">
      <c r="A6832" s="2" t="s">
        <v>17522</v>
      </c>
      <c r="B6832" s="2" t="s">
        <v>17523</v>
      </c>
      <c r="C6832" s="2" t="s">
        <v>37</v>
      </c>
      <c r="D6832" s="2" t="s">
        <v>18</v>
      </c>
      <c r="E6832" s="4">
        <v>-32426</v>
      </c>
      <c r="F6832" s="3" t="s">
        <v>2729</v>
      </c>
      <c r="G6832" s="3" t="s">
        <v>2730</v>
      </c>
      <c r="H6832" s="2" t="s">
        <v>148</v>
      </c>
      <c r="I6832" s="2" t="s">
        <v>17524</v>
      </c>
      <c r="J6832" s="3" t="str">
        <f>HYPERLINK("https://www.boe.es/gazeta/dias/1811/03/21/pdfs/GEI-1811-40.pdf#page=6","Abrir facsímil")</f>
        <v>Abrir facsímil</v>
      </c>
      <c r="K6832" s="3" t="s">
        <v>150</v>
      </c>
    </row>
    <row r="6833" spans="1:11" ht="42" customHeight="1">
      <c r="A6833" s="2" t="s">
        <v>17525</v>
      </c>
      <c r="B6833" s="2" t="s">
        <v>17526</v>
      </c>
      <c r="C6833" s="2" t="s">
        <v>26</v>
      </c>
      <c r="D6833" s="2" t="s">
        <v>141</v>
      </c>
      <c r="E6833" s="4">
        <v>-32238</v>
      </c>
      <c r="F6833" s="3" t="s">
        <v>166</v>
      </c>
      <c r="G6833" s="3" t="s">
        <v>39</v>
      </c>
      <c r="H6833" s="2" t="s">
        <v>148</v>
      </c>
      <c r="I6833" s="2" t="s">
        <v>17527</v>
      </c>
      <c r="J6833" s="3" t="str">
        <f>HYPERLINK("https://www.boe.es/gazeta/dias/1811/09/25/pdfs/GMD-C-1811-268.pdf#page=2","Abrir facsímil")</f>
        <v>Abrir facsímil</v>
      </c>
      <c r="K6833" s="3" t="s">
        <v>150</v>
      </c>
    </row>
    <row r="6834" spans="1:11" ht="42" customHeight="1">
      <c r="A6834" s="2" t="s">
        <v>17528</v>
      </c>
      <c r="B6834" s="2" t="s">
        <v>17529</v>
      </c>
      <c r="C6834" s="2" t="s">
        <v>17</v>
      </c>
      <c r="D6834" s="2" t="s">
        <v>141</v>
      </c>
      <c r="E6834" s="4">
        <v>-32188</v>
      </c>
      <c r="F6834" s="3" t="s">
        <v>505</v>
      </c>
      <c r="G6834" s="3" t="s">
        <v>47</v>
      </c>
      <c r="H6834" s="2" t="s">
        <v>148</v>
      </c>
      <c r="I6834" s="2" t="s">
        <v>17530</v>
      </c>
      <c r="J6834" s="3" t="str">
        <f>HYPERLINK("https://www.boe.es/gazeta/dias/1811/11/14/pdfs/GEI-D-1811-149.pdf#page=3","Abrir facsímil")</f>
        <v>Abrir facsímil</v>
      </c>
      <c r="K6834" s="3" t="s">
        <v>150</v>
      </c>
    </row>
    <row r="6835" spans="1:11" ht="42" customHeight="1">
      <c r="A6835" s="2" t="s">
        <v>17531</v>
      </c>
      <c r="B6835" s="2" t="s">
        <v>17532</v>
      </c>
      <c r="C6835" s="2" t="s">
        <v>17</v>
      </c>
      <c r="D6835" s="2" t="s">
        <v>156</v>
      </c>
      <c r="E6835" s="4">
        <v>-32491</v>
      </c>
      <c r="F6835" s="3" t="s">
        <v>533</v>
      </c>
      <c r="G6835" s="3" t="s">
        <v>272</v>
      </c>
      <c r="H6835" s="2" t="s">
        <v>148</v>
      </c>
      <c r="I6835" s="2" t="s">
        <v>17533</v>
      </c>
      <c r="J6835" s="3" t="str">
        <f>HYPERLINK("https://www.boe.es/gazeta/dias/1811/01/15/pdfs/GEI-1811-7.pdf#page=5","Abrir facsímil")</f>
        <v>Abrir facsímil</v>
      </c>
      <c r="K6835" s="3" t="s">
        <v>150</v>
      </c>
    </row>
    <row r="6836" spans="1:11" ht="42" customHeight="1">
      <c r="A6836" s="2" t="s">
        <v>17531</v>
      </c>
      <c r="B6836" s="2" t="s">
        <v>17532</v>
      </c>
      <c r="C6836" s="2" t="s">
        <v>26</v>
      </c>
      <c r="D6836" s="2" t="s">
        <v>105</v>
      </c>
      <c r="E6836" s="4">
        <v>-32200</v>
      </c>
      <c r="F6836" s="3" t="s">
        <v>109</v>
      </c>
      <c r="G6836" s="3" t="s">
        <v>268</v>
      </c>
      <c r="H6836" s="2" t="s">
        <v>148</v>
      </c>
      <c r="I6836" s="2" t="s">
        <v>17534</v>
      </c>
      <c r="J6836" s="3" t="str">
        <f>HYPERLINK("https://www.boe.es/gazeta/dias/1811/11/02/pdfs/GEI-1811-141.pdf#page=7","Abrir facsímil")</f>
        <v>Abrir facsímil</v>
      </c>
      <c r="K6836" s="3" t="s">
        <v>150</v>
      </c>
    </row>
    <row r="6837" spans="1:11" ht="42" customHeight="1">
      <c r="A6837" s="2" t="s">
        <v>17535</v>
      </c>
      <c r="B6837" s="2" t="s">
        <v>17536</v>
      </c>
      <c r="C6837" s="2" t="s">
        <v>367</v>
      </c>
      <c r="D6837" s="2" t="s">
        <v>18</v>
      </c>
      <c r="E6837" s="4">
        <v>-32389</v>
      </c>
      <c r="F6837" s="3" t="s">
        <v>5334</v>
      </c>
      <c r="G6837" s="3" t="s">
        <v>20</v>
      </c>
      <c r="H6837" s="2" t="s">
        <v>148</v>
      </c>
      <c r="I6837" s="2" t="s">
        <v>17537</v>
      </c>
      <c r="J6837" s="3" t="str">
        <f>HYPERLINK("https://www.boe.es/gazeta/dias/1811/04/27/pdfs/GEI-1811-56.pdf#page=6","Abrir facsímil")</f>
        <v>Abrir facsímil</v>
      </c>
      <c r="K6837" s="3" t="s">
        <v>150</v>
      </c>
    </row>
    <row r="6838" spans="1:11" ht="42" customHeight="1">
      <c r="A6838" s="2" t="s">
        <v>17538</v>
      </c>
      <c r="B6838" s="2" t="s">
        <v>17539</v>
      </c>
      <c r="C6838" s="2" t="s">
        <v>37</v>
      </c>
      <c r="D6838" s="2" t="s">
        <v>18</v>
      </c>
      <c r="E6838" s="4">
        <v>-32400</v>
      </c>
      <c r="F6838" s="3" t="s">
        <v>13774</v>
      </c>
      <c r="G6838" s="3" t="s">
        <v>498</v>
      </c>
      <c r="H6838" s="2" t="s">
        <v>148</v>
      </c>
      <c r="I6838" s="2" t="s">
        <v>17540</v>
      </c>
      <c r="J6838" s="3" t="str">
        <f>HYPERLINK("https://www.boe.es/gazeta/dias/1811/04/16/pdfs/GEI-1811-51.pdf#page=8","Abrir facsímil")</f>
        <v>Abrir facsímil</v>
      </c>
      <c r="K6838" s="3" t="s">
        <v>150</v>
      </c>
    </row>
    <row r="6839" spans="1:11" ht="42" customHeight="1">
      <c r="A6839" s="2" t="s">
        <v>17541</v>
      </c>
      <c r="B6839" s="2" t="s">
        <v>17542</v>
      </c>
      <c r="C6839" s="2" t="s">
        <v>26</v>
      </c>
      <c r="D6839" s="2" t="s">
        <v>18</v>
      </c>
      <c r="E6839" s="4">
        <v>-32218</v>
      </c>
      <c r="F6839" s="3" t="s">
        <v>938</v>
      </c>
      <c r="G6839" s="3" t="s">
        <v>9559</v>
      </c>
      <c r="H6839" s="2" t="s">
        <v>148</v>
      </c>
      <c r="I6839" s="2" t="s">
        <v>17543</v>
      </c>
      <c r="J6839" s="3" t="str">
        <f>HYPERLINK("https://www.boe.es/gazeta/dias/1811/10/15/pdfs/GEI-1811-133.pdf#page=2","Abrir facsímil")</f>
        <v>Abrir facsímil</v>
      </c>
      <c r="K6839" s="3" t="s">
        <v>150</v>
      </c>
    </row>
    <row r="6840" spans="1:11" ht="42" customHeight="1">
      <c r="A6840" s="2" t="s">
        <v>17544</v>
      </c>
      <c r="B6840" s="2" t="s">
        <v>17545</v>
      </c>
      <c r="C6840" s="2" t="s">
        <v>26</v>
      </c>
      <c r="D6840" s="2" t="s">
        <v>18</v>
      </c>
      <c r="E6840" s="4">
        <v>-32263</v>
      </c>
      <c r="F6840" s="3" t="s">
        <v>3780</v>
      </c>
      <c r="G6840" s="3" t="s">
        <v>3781</v>
      </c>
      <c r="H6840" s="2" t="s">
        <v>148</v>
      </c>
      <c r="I6840" s="2" t="s">
        <v>17546</v>
      </c>
      <c r="J6840" s="3" t="str">
        <f>HYPERLINK("https://www.boe.es/gazeta/dias/1811/08/31/pdfs/GMD-1811-243.pdf#page=4","Abrir facsímil")</f>
        <v>Abrir facsímil</v>
      </c>
      <c r="K6840" s="3" t="s">
        <v>150</v>
      </c>
    </row>
    <row r="6841" spans="1:11" ht="42" customHeight="1">
      <c r="A6841" s="2" t="s">
        <v>17547</v>
      </c>
      <c r="B6841" s="2" t="s">
        <v>17548</v>
      </c>
      <c r="C6841" s="2" t="s">
        <v>26</v>
      </c>
      <c r="D6841" s="2" t="s">
        <v>105</v>
      </c>
      <c r="E6841" s="4">
        <v>-32379</v>
      </c>
      <c r="F6841" s="3" t="s">
        <v>462</v>
      </c>
      <c r="G6841" s="3" t="s">
        <v>463</v>
      </c>
      <c r="H6841" s="2" t="s">
        <v>148</v>
      </c>
      <c r="I6841" s="2" t="s">
        <v>17549</v>
      </c>
      <c r="J6841" s="3" t="str">
        <f>HYPERLINK("https://www.boe.es/gazeta/dias/1811/05/07/pdfs/GEI-1811-60.pdf#page=8","Abrir facsímil")</f>
        <v>Abrir facsímil</v>
      </c>
      <c r="K6841" s="3" t="s">
        <v>150</v>
      </c>
    </row>
    <row r="6842" spans="1:11" ht="42" customHeight="1">
      <c r="A6842" s="2" t="s">
        <v>17547</v>
      </c>
      <c r="B6842" s="2" t="s">
        <v>17548</v>
      </c>
      <c r="C6842" s="2" t="s">
        <v>84</v>
      </c>
      <c r="D6842" s="2" t="s">
        <v>18</v>
      </c>
      <c r="E6842" s="4">
        <v>-32298</v>
      </c>
      <c r="F6842" s="3" t="s">
        <v>2813</v>
      </c>
      <c r="G6842" s="3" t="s">
        <v>162</v>
      </c>
      <c r="H6842" s="2" t="s">
        <v>148</v>
      </c>
      <c r="I6842" s="2" t="s">
        <v>17550</v>
      </c>
      <c r="J6842" s="3" t="str">
        <f>HYPERLINK("https://www.boe.es/gazeta/dias/1811/07/27/pdfs/GMD-1811-208.pdf#page=4","Abrir facsímil")</f>
        <v>Abrir facsímil</v>
      </c>
      <c r="K6842" s="3" t="s">
        <v>150</v>
      </c>
    </row>
    <row r="6843" spans="1:11" ht="42" customHeight="1">
      <c r="A6843" s="2" t="s">
        <v>17547</v>
      </c>
      <c r="B6843" s="2" t="s">
        <v>17548</v>
      </c>
      <c r="C6843" s="2" t="s">
        <v>26</v>
      </c>
      <c r="D6843" s="2" t="s">
        <v>18</v>
      </c>
      <c r="E6843" s="4">
        <v>-32242</v>
      </c>
      <c r="F6843" s="3" t="s">
        <v>1295</v>
      </c>
      <c r="G6843" s="3" t="s">
        <v>1296</v>
      </c>
      <c r="H6843" s="2" t="s">
        <v>148</v>
      </c>
      <c r="I6843" s="2" t="s">
        <v>17551</v>
      </c>
      <c r="J6843" s="3" t="str">
        <f>HYPERLINK("https://www.boe.es/gazeta/dias/1811/09/21/pdfs/GEI-1811-122.pdf#page=8","Abrir facsímil")</f>
        <v>Abrir facsímil</v>
      </c>
      <c r="K6843" s="3" t="s">
        <v>150</v>
      </c>
    </row>
    <row r="6844" spans="1:11" ht="42" customHeight="1">
      <c r="A6844" s="2" t="s">
        <v>17552</v>
      </c>
      <c r="B6844" s="2" t="s">
        <v>17553</v>
      </c>
      <c r="C6844" s="2" t="s">
        <v>26</v>
      </c>
      <c r="D6844" s="2" t="s">
        <v>18</v>
      </c>
      <c r="E6844" s="4">
        <v>-32172</v>
      </c>
      <c r="F6844" s="3" t="s">
        <v>300</v>
      </c>
      <c r="G6844" s="3" t="s">
        <v>301</v>
      </c>
      <c r="H6844" s="2" t="s">
        <v>148</v>
      </c>
      <c r="I6844" s="2" t="s">
        <v>17554</v>
      </c>
      <c r="J6844" s="3" t="str">
        <f>HYPERLINK("https://www.boe.es/gazeta/dias/1811/11/30/pdfs/GMD-1811-334.pdf#page=4","Abrir facsímil")</f>
        <v>Abrir facsímil</v>
      </c>
      <c r="K6844" s="3" t="s">
        <v>150</v>
      </c>
    </row>
    <row r="6845" spans="1:11" ht="42" customHeight="1">
      <c r="A6845" s="2" t="s">
        <v>17555</v>
      </c>
      <c r="B6845" s="2" t="s">
        <v>17556</v>
      </c>
      <c r="C6845" s="2" t="s">
        <v>26</v>
      </c>
      <c r="D6845" s="2" t="s">
        <v>18</v>
      </c>
      <c r="E6845" s="4">
        <v>-32162</v>
      </c>
      <c r="F6845" s="3" t="s">
        <v>317</v>
      </c>
      <c r="G6845" s="3" t="s">
        <v>318</v>
      </c>
      <c r="H6845" s="2" t="s">
        <v>21</v>
      </c>
      <c r="I6845" s="2" t="s">
        <v>17557</v>
      </c>
      <c r="J6845" s="3" t="str">
        <f>HYPERLINK("https://www.boe.es/gazeta/dias/1811/12/10/pdfs/GEI-1811-160.pdf#page=8","Abrir facsímil")</f>
        <v>Abrir facsímil</v>
      </c>
      <c r="K6845" s="3" t="s">
        <v>23</v>
      </c>
    </row>
    <row r="6846" spans="1:11" ht="42" customHeight="1">
      <c r="A6846" s="2" t="s">
        <v>17558</v>
      </c>
      <c r="B6846" s="2" t="s">
        <v>17559</v>
      </c>
      <c r="C6846" s="2" t="s">
        <v>26</v>
      </c>
      <c r="D6846" s="2" t="s">
        <v>18</v>
      </c>
      <c r="E6846" s="4">
        <v>-32489</v>
      </c>
      <c r="F6846" s="3" t="s">
        <v>722</v>
      </c>
      <c r="G6846" s="3" t="s">
        <v>468</v>
      </c>
      <c r="H6846" s="2" t="s">
        <v>148</v>
      </c>
      <c r="I6846" s="2" t="s">
        <v>17560</v>
      </c>
      <c r="J6846" s="3" t="str">
        <f>HYPERLINK("https://www.boe.es/gazeta/dias/1811/01/17/pdfs/GMD-1811-17.pdf#page=4","Abrir facsímil")</f>
        <v>Abrir facsímil</v>
      </c>
      <c r="K6846" s="3" t="s">
        <v>150</v>
      </c>
    </row>
    <row r="6847" spans="1:11" ht="42" customHeight="1">
      <c r="A6847" s="2" t="s">
        <v>17561</v>
      </c>
      <c r="B6847" s="2" t="s">
        <v>17562</v>
      </c>
      <c r="C6847" s="2" t="s">
        <v>26</v>
      </c>
      <c r="D6847" s="2" t="s">
        <v>18</v>
      </c>
      <c r="E6847" s="4">
        <v>-32193</v>
      </c>
      <c r="F6847" s="3" t="s">
        <v>1037</v>
      </c>
      <c r="G6847" s="3" t="s">
        <v>44</v>
      </c>
      <c r="H6847" s="2" t="s">
        <v>148</v>
      </c>
      <c r="I6847" s="2" t="s">
        <v>17563</v>
      </c>
      <c r="J6847" s="3" t="str">
        <f>HYPERLINK("https://www.boe.es/gazeta/dias/1811/11/09/pdfs/GEI-1811-145.pdf#page=4","Abrir facsímil")</f>
        <v>Abrir facsímil</v>
      </c>
      <c r="K6847" s="3" t="s">
        <v>150</v>
      </c>
    </row>
    <row r="6848" spans="1:11" ht="42" customHeight="1">
      <c r="A6848" s="2" t="s">
        <v>17564</v>
      </c>
      <c r="B6848" s="2" t="s">
        <v>17565</v>
      </c>
      <c r="C6848" s="2" t="s">
        <v>17</v>
      </c>
      <c r="D6848" s="2" t="s">
        <v>18</v>
      </c>
      <c r="E6848" s="4">
        <v>-32416</v>
      </c>
      <c r="F6848" s="3" t="s">
        <v>954</v>
      </c>
      <c r="G6848" s="3" t="s">
        <v>47</v>
      </c>
      <c r="H6848" s="2" t="s">
        <v>148</v>
      </c>
      <c r="I6848" s="2" t="s">
        <v>17566</v>
      </c>
      <c r="J6848" s="3" t="str">
        <f>HYPERLINK("https://www.boe.es/gazeta/dias/1811/03/31/pdfs/GMD-1811-90.pdf#page=3","Abrir facsímil")</f>
        <v>Abrir facsímil</v>
      </c>
      <c r="K6848" s="3" t="s">
        <v>150</v>
      </c>
    </row>
    <row r="6849" spans="1:11" ht="42" customHeight="1">
      <c r="A6849" s="2" t="s">
        <v>17567</v>
      </c>
      <c r="B6849" s="2" t="s">
        <v>17568</v>
      </c>
      <c r="C6849" s="2" t="s">
        <v>26</v>
      </c>
      <c r="D6849" s="2" t="s">
        <v>105</v>
      </c>
      <c r="E6849" s="4">
        <v>-32241</v>
      </c>
      <c r="F6849" s="3" t="s">
        <v>514</v>
      </c>
      <c r="G6849" s="3" t="s">
        <v>515</v>
      </c>
      <c r="H6849" s="2" t="s">
        <v>148</v>
      </c>
      <c r="I6849" s="2" t="s">
        <v>17569</v>
      </c>
      <c r="J6849" s="3" t="str">
        <f>HYPERLINK("https://www.boe.es/gazeta/dias/1811/09/22/pdfs/GMD-1811-265.pdf#page=4","Abrir facsímil")</f>
        <v>Abrir facsímil</v>
      </c>
      <c r="K6849" s="3" t="s">
        <v>150</v>
      </c>
    </row>
    <row r="6850" spans="1:11" ht="42" customHeight="1">
      <c r="A6850" s="2" t="s">
        <v>17570</v>
      </c>
      <c r="B6850" s="2" t="s">
        <v>17571</v>
      </c>
      <c r="C6850" s="2" t="s">
        <v>84</v>
      </c>
      <c r="D6850" s="2" t="s">
        <v>18</v>
      </c>
      <c r="E6850" s="4">
        <v>-32340</v>
      </c>
      <c r="F6850" s="3" t="s">
        <v>6102</v>
      </c>
      <c r="G6850" s="3" t="s">
        <v>57</v>
      </c>
      <c r="H6850" s="2" t="s">
        <v>148</v>
      </c>
      <c r="I6850" s="2" t="s">
        <v>17572</v>
      </c>
      <c r="J6850" s="3" t="str">
        <f>HYPERLINK("https://www.boe.es/gazeta/dias/1811/06/15/pdfs/GMD-1811-166.pdf#page=2","Abrir facsímil")</f>
        <v>Abrir facsímil</v>
      </c>
      <c r="K6850" s="3" t="s">
        <v>150</v>
      </c>
    </row>
    <row r="6851" spans="1:11" ht="42" customHeight="1">
      <c r="A6851" s="2" t="s">
        <v>17573</v>
      </c>
      <c r="B6851" s="2" t="s">
        <v>17574</v>
      </c>
      <c r="C6851" s="2" t="s">
        <v>26</v>
      </c>
      <c r="D6851" s="2" t="s">
        <v>18</v>
      </c>
      <c r="E6851" s="4">
        <v>-32379</v>
      </c>
      <c r="F6851" s="3" t="s">
        <v>462</v>
      </c>
      <c r="G6851" s="3" t="s">
        <v>463</v>
      </c>
      <c r="H6851" s="2" t="s">
        <v>148</v>
      </c>
      <c r="I6851" s="2" t="s">
        <v>17575</v>
      </c>
      <c r="J6851" s="3" t="str">
        <f>HYPERLINK("https://www.boe.es/gazeta/dias/1811/05/07/pdfs/GEI-1811-60.pdf#page=8","Abrir facsímil")</f>
        <v>Abrir facsímil</v>
      </c>
      <c r="K6851" s="3" t="s">
        <v>150</v>
      </c>
    </row>
    <row r="6852" spans="1:11" ht="42" customHeight="1">
      <c r="A6852" s="2" t="s">
        <v>17576</v>
      </c>
      <c r="B6852" s="2" t="s">
        <v>17576</v>
      </c>
      <c r="C6852" s="2" t="s">
        <v>17</v>
      </c>
      <c r="D6852" s="2" t="s">
        <v>18</v>
      </c>
      <c r="E6852" s="4">
        <v>-32166</v>
      </c>
      <c r="F6852" s="3" t="s">
        <v>2263</v>
      </c>
      <c r="G6852" s="3" t="s">
        <v>17577</v>
      </c>
      <c r="H6852" s="2" t="s">
        <v>148</v>
      </c>
      <c r="I6852" s="2" t="s">
        <v>17578</v>
      </c>
      <c r="J6852" s="3" t="str">
        <f>HYPERLINK("https://www.boe.es/gazeta/dias/1811/12/06/pdfs/GMD-1811-340.pdf#page=2","Abrir facsímil")</f>
        <v>Abrir facsímil</v>
      </c>
      <c r="K6852" s="3" t="s">
        <v>150</v>
      </c>
    </row>
    <row r="6853" spans="1:11" ht="42" customHeight="1">
      <c r="A6853" s="2" t="s">
        <v>17579</v>
      </c>
      <c r="B6853" s="2" t="s">
        <v>17579</v>
      </c>
      <c r="C6853" s="2" t="s">
        <v>122</v>
      </c>
      <c r="D6853" s="2" t="s">
        <v>18</v>
      </c>
      <c r="E6853" s="4">
        <v>-32474</v>
      </c>
      <c r="F6853" s="3" t="s">
        <v>11509</v>
      </c>
      <c r="G6853" s="3" t="s">
        <v>468</v>
      </c>
      <c r="H6853" s="2" t="s">
        <v>148</v>
      </c>
      <c r="I6853" s="2" t="s">
        <v>17580</v>
      </c>
      <c r="J6853" s="3" t="str">
        <f>HYPERLINK("https://www.boe.es/gazeta/dias/1811/02/01/pdfs/GMD-1811-32.pdf#page=3","Abrir facsímil")</f>
        <v>Abrir facsímil</v>
      </c>
      <c r="K6853" s="3" t="s">
        <v>150</v>
      </c>
    </row>
    <row r="6854" spans="1:11" ht="42" customHeight="1">
      <c r="A6854" s="2" t="s">
        <v>17581</v>
      </c>
      <c r="B6854" s="2" t="s">
        <v>17582</v>
      </c>
      <c r="C6854" s="2" t="s">
        <v>841</v>
      </c>
      <c r="D6854" s="2" t="s">
        <v>18</v>
      </c>
      <c r="E6854" s="4">
        <v>-32379</v>
      </c>
      <c r="F6854" s="3" t="s">
        <v>462</v>
      </c>
      <c r="G6854" s="3" t="s">
        <v>463</v>
      </c>
      <c r="H6854" s="2" t="s">
        <v>148</v>
      </c>
      <c r="I6854" s="2" t="s">
        <v>17583</v>
      </c>
      <c r="J6854" s="3" t="str">
        <f>HYPERLINK("https://www.boe.es/gazeta/dias/1811/05/07/pdfs/GEI-1811-60.pdf#page=8","Abrir facsímil")</f>
        <v>Abrir facsímil</v>
      </c>
      <c r="K6854" s="3" t="s">
        <v>150</v>
      </c>
    </row>
    <row r="6855" spans="1:11" ht="42" customHeight="1">
      <c r="A6855" s="2" t="s">
        <v>17584</v>
      </c>
      <c r="B6855" s="2" t="s">
        <v>17584</v>
      </c>
      <c r="C6855" s="2" t="s">
        <v>37</v>
      </c>
      <c r="D6855" s="2" t="s">
        <v>156</v>
      </c>
      <c r="E6855" s="4">
        <v>-32475</v>
      </c>
      <c r="F6855" s="3" t="s">
        <v>259</v>
      </c>
      <c r="G6855" s="3" t="s">
        <v>1463</v>
      </c>
      <c r="H6855" s="2" t="s">
        <v>148</v>
      </c>
      <c r="I6855" s="2" t="s">
        <v>17585</v>
      </c>
      <c r="J6855" s="3" t="str">
        <f>HYPERLINK("https://www.boe.es/gazeta/dias/1811/01/31/pdfs/GMD-1811-31.pdf#page=1","Abrir facsímil")</f>
        <v>Abrir facsímil</v>
      </c>
      <c r="K6855" s="3" t="s">
        <v>150</v>
      </c>
    </row>
    <row r="6856" spans="1:11" ht="42" customHeight="1">
      <c r="A6856" s="2" t="s">
        <v>17586</v>
      </c>
      <c r="B6856" s="2" t="s">
        <v>17587</v>
      </c>
      <c r="C6856" s="2" t="s">
        <v>17</v>
      </c>
      <c r="D6856" s="2" t="s">
        <v>156</v>
      </c>
      <c r="E6856" s="4">
        <v>-32438</v>
      </c>
      <c r="F6856" s="3" t="s">
        <v>114</v>
      </c>
      <c r="G6856" s="3" t="s">
        <v>115</v>
      </c>
      <c r="H6856" s="2" t="s">
        <v>148</v>
      </c>
      <c r="I6856" s="2" t="s">
        <v>17588</v>
      </c>
      <c r="J6856" s="3" t="str">
        <f>HYPERLINK("https://www.boe.es/gazeta/dias/1811/03/09/pdfs/GEI-1811-33.pdf#page=3","Abrir facsímil")</f>
        <v>Abrir facsímil</v>
      </c>
      <c r="K6856" s="3" t="s">
        <v>150</v>
      </c>
    </row>
    <row r="6857" spans="1:11" ht="42" customHeight="1">
      <c r="A6857" s="2" t="s">
        <v>17589</v>
      </c>
      <c r="B6857" s="2" t="s">
        <v>17590</v>
      </c>
      <c r="C6857" s="2" t="s">
        <v>26</v>
      </c>
      <c r="D6857" s="2" t="s">
        <v>18</v>
      </c>
      <c r="E6857" s="4">
        <v>-32396</v>
      </c>
      <c r="F6857" s="3" t="s">
        <v>1267</v>
      </c>
      <c r="G6857" s="3" t="s">
        <v>1143</v>
      </c>
      <c r="H6857" s="2" t="s">
        <v>148</v>
      </c>
      <c r="I6857" s="2" t="s">
        <v>17591</v>
      </c>
      <c r="J6857" s="3" t="str">
        <f>HYPERLINK("https://www.boe.es/gazeta/dias/1811/04/20/pdfs/GMD-1811-110.pdf#page=3","Abrir facsímil")</f>
        <v>Abrir facsímil</v>
      </c>
      <c r="K6857" s="3" t="s">
        <v>150</v>
      </c>
    </row>
    <row r="6858" spans="1:11" ht="42" customHeight="1">
      <c r="A6858" s="2" t="s">
        <v>17592</v>
      </c>
      <c r="B6858" s="2" t="s">
        <v>17592</v>
      </c>
      <c r="C6858" s="2" t="s">
        <v>17</v>
      </c>
      <c r="D6858" s="2" t="s">
        <v>18</v>
      </c>
      <c r="E6858" s="4">
        <v>-32505</v>
      </c>
      <c r="F6858" s="3" t="s">
        <v>661</v>
      </c>
      <c r="G6858" s="3" t="s">
        <v>248</v>
      </c>
      <c r="H6858" s="2" t="s">
        <v>148</v>
      </c>
      <c r="I6858" s="2" t="s">
        <v>17593</v>
      </c>
      <c r="J6858" s="3" t="str">
        <f>HYPERLINK("https://www.boe.es/gazeta/dias/1811/01/01/pdfs/GMD-1811-1.pdf#page=1","Abrir facsímil")</f>
        <v>Abrir facsímil</v>
      </c>
      <c r="K6858" s="3" t="s">
        <v>150</v>
      </c>
    </row>
    <row r="6859" spans="1:11" ht="42" customHeight="1">
      <c r="A6859" s="2" t="s">
        <v>17594</v>
      </c>
      <c r="B6859" s="2" t="s">
        <v>17595</v>
      </c>
      <c r="C6859" s="2" t="s">
        <v>26</v>
      </c>
      <c r="D6859" s="2" t="s">
        <v>18</v>
      </c>
      <c r="E6859" s="4">
        <v>-32235</v>
      </c>
      <c r="F6859" s="3" t="s">
        <v>190</v>
      </c>
      <c r="G6859" s="3" t="s">
        <v>188</v>
      </c>
      <c r="H6859" s="2" t="s">
        <v>148</v>
      </c>
      <c r="I6859" s="2" t="s">
        <v>17596</v>
      </c>
      <c r="J6859" s="3" t="str">
        <f>HYPERLINK("https://www.boe.es/gazeta/dias/1811/09/28/pdfs/GEI-1811-125.pdf#page=8","Abrir facsímil")</f>
        <v>Abrir facsímil</v>
      </c>
      <c r="K6859" s="3" t="s">
        <v>150</v>
      </c>
    </row>
    <row r="6860" spans="1:11" ht="42" customHeight="1">
      <c r="A6860" s="2" t="s">
        <v>17597</v>
      </c>
      <c r="B6860" s="2" t="s">
        <v>17598</v>
      </c>
      <c r="C6860" s="2" t="s">
        <v>26</v>
      </c>
      <c r="D6860" s="2" t="s">
        <v>141</v>
      </c>
      <c r="E6860" s="4">
        <v>-32330</v>
      </c>
      <c r="F6860" s="3" t="s">
        <v>1713</v>
      </c>
      <c r="G6860" s="3" t="s">
        <v>44</v>
      </c>
      <c r="H6860" s="2" t="s">
        <v>148</v>
      </c>
      <c r="I6860" s="2" t="s">
        <v>17599</v>
      </c>
      <c r="J6860" s="3" t="str">
        <f>HYPERLINK("https://www.boe.es/gazeta/dias/1811/06/25/pdfs/GEI-D-1811-84.pdf#page=1","Abrir facsímil")</f>
        <v>Abrir facsímil</v>
      </c>
      <c r="K6860" s="3" t="s">
        <v>150</v>
      </c>
    </row>
    <row r="6861" spans="1:11" ht="42" customHeight="1">
      <c r="A6861" s="2" t="s">
        <v>17600</v>
      </c>
      <c r="B6861" s="2" t="s">
        <v>17601</v>
      </c>
      <c r="C6861" s="2" t="s">
        <v>26</v>
      </c>
      <c r="D6861" s="2" t="s">
        <v>18</v>
      </c>
      <c r="E6861" s="4">
        <v>-32249</v>
      </c>
      <c r="F6861" s="3" t="s">
        <v>182</v>
      </c>
      <c r="G6861" s="3" t="s">
        <v>44</v>
      </c>
      <c r="H6861" s="2" t="s">
        <v>148</v>
      </c>
      <c r="I6861" s="2" t="s">
        <v>17602</v>
      </c>
      <c r="J6861" s="3" t="str">
        <f>HYPERLINK("https://www.boe.es/gazeta/dias/1811/09/14/pdfs/GMD-1811-257.pdf#page=3","Abrir facsímil")</f>
        <v>Abrir facsímil</v>
      </c>
      <c r="K6861" s="3" t="s">
        <v>150</v>
      </c>
    </row>
    <row r="6862" spans="1:11" ht="42" customHeight="1">
      <c r="A6862" s="2" t="s">
        <v>17603</v>
      </c>
      <c r="B6862" s="2" t="s">
        <v>17603</v>
      </c>
      <c r="C6862" s="2" t="s">
        <v>17</v>
      </c>
      <c r="D6862" s="2" t="s">
        <v>156</v>
      </c>
      <c r="E6862" s="4">
        <v>-32303</v>
      </c>
      <c r="F6862" s="3" t="s">
        <v>2811</v>
      </c>
      <c r="G6862" s="3" t="s">
        <v>3577</v>
      </c>
      <c r="H6862" s="2" t="s">
        <v>148</v>
      </c>
      <c r="I6862" s="2" t="s">
        <v>17604</v>
      </c>
      <c r="J6862" s="3" t="str">
        <f>HYPERLINK("https://www.boe.es/gazeta/dias/1811/07/22/pdfs/GMD-1811-203.pdf#page=4","Abrir facsímil")</f>
        <v>Abrir facsímil</v>
      </c>
      <c r="K6862" s="3" t="s">
        <v>150</v>
      </c>
    </row>
    <row r="6863" spans="1:11" ht="42" customHeight="1">
      <c r="A6863" s="2" t="s">
        <v>17603</v>
      </c>
      <c r="B6863" s="2" t="s">
        <v>17603</v>
      </c>
      <c r="C6863" s="2" t="s">
        <v>17</v>
      </c>
      <c r="D6863" s="2" t="s">
        <v>18</v>
      </c>
      <c r="E6863" s="4">
        <v>-32295</v>
      </c>
      <c r="F6863" s="3" t="s">
        <v>6168</v>
      </c>
      <c r="G6863" s="3" t="s">
        <v>2682</v>
      </c>
      <c r="H6863" s="2" t="s">
        <v>148</v>
      </c>
      <c r="I6863" s="2" t="s">
        <v>17605</v>
      </c>
      <c r="J6863" s="3" t="str">
        <f>HYPERLINK("https://www.boe.es/gazeta/dias/1811/07/30/pdfs/GMD-1811-211.pdf#page=3","Abrir facsímil")</f>
        <v>Abrir facsímil</v>
      </c>
      <c r="K6863" s="3" t="s">
        <v>150</v>
      </c>
    </row>
    <row r="6864" spans="1:11" ht="42" customHeight="1">
      <c r="A6864" s="2" t="s">
        <v>17603</v>
      </c>
      <c r="B6864" s="2" t="s">
        <v>17603</v>
      </c>
      <c r="C6864" s="2" t="s">
        <v>17</v>
      </c>
      <c r="D6864" s="2" t="s">
        <v>156</v>
      </c>
      <c r="E6864" s="4">
        <v>-32293</v>
      </c>
      <c r="F6864" s="3" t="s">
        <v>2815</v>
      </c>
      <c r="G6864" s="3" t="s">
        <v>134</v>
      </c>
      <c r="H6864" s="2" t="s">
        <v>148</v>
      </c>
      <c r="I6864" s="2" t="s">
        <v>17606</v>
      </c>
      <c r="J6864" s="3" t="str">
        <f>HYPERLINK("https://www.boe.es/gazeta/dias/1811/08/01/pdfs/GMD-1811-213.pdf#page=2","Abrir facsímil")</f>
        <v>Abrir facsímil</v>
      </c>
      <c r="K6864" s="3" t="s">
        <v>150</v>
      </c>
    </row>
    <row r="6865" spans="1:11" ht="42" customHeight="1">
      <c r="A6865" s="2" t="s">
        <v>17607</v>
      </c>
      <c r="B6865" s="2" t="s">
        <v>17607</v>
      </c>
      <c r="C6865" s="2" t="s">
        <v>17</v>
      </c>
      <c r="D6865" s="2" t="s">
        <v>156</v>
      </c>
      <c r="E6865" s="4">
        <v>-32292</v>
      </c>
      <c r="F6865" s="3" t="s">
        <v>408</v>
      </c>
      <c r="G6865" s="3" t="s">
        <v>57</v>
      </c>
      <c r="H6865" s="2" t="s">
        <v>148</v>
      </c>
      <c r="I6865" s="2" t="s">
        <v>17608</v>
      </c>
      <c r="J6865" s="3" t="str">
        <f>HYPERLINK("https://www.boe.es/gazeta/dias/1811/08/02/pdfs/GMD-1811-214.pdf#page=2","Abrir facsímil")</f>
        <v>Abrir facsímil</v>
      </c>
      <c r="K6865" s="3" t="s">
        <v>150</v>
      </c>
    </row>
    <row r="6866" spans="1:11" ht="42" customHeight="1">
      <c r="A6866" s="2" t="s">
        <v>17607</v>
      </c>
      <c r="B6866" s="2" t="s">
        <v>17607</v>
      </c>
      <c r="C6866" s="2" t="s">
        <v>17</v>
      </c>
      <c r="D6866" s="2" t="s">
        <v>18</v>
      </c>
      <c r="E6866" s="4">
        <v>-32292</v>
      </c>
      <c r="F6866" s="3" t="s">
        <v>408</v>
      </c>
      <c r="G6866" s="3" t="s">
        <v>228</v>
      </c>
      <c r="H6866" s="2" t="s">
        <v>148</v>
      </c>
      <c r="I6866" s="2" t="s">
        <v>17609</v>
      </c>
      <c r="J6866" s="3" t="str">
        <f>HYPERLINK("https://www.boe.es/gazeta/dias/1811/08/02/pdfs/GMD-1811-214.pdf#page=3","Abrir facsímil")</f>
        <v>Abrir facsímil</v>
      </c>
      <c r="K6866" s="3" t="s">
        <v>150</v>
      </c>
    </row>
    <row r="6867" spans="1:11" ht="42" customHeight="1">
      <c r="A6867" s="2" t="s">
        <v>17610</v>
      </c>
      <c r="B6867" s="2" t="s">
        <v>17611</v>
      </c>
      <c r="C6867" s="2" t="s">
        <v>26</v>
      </c>
      <c r="D6867" s="2" t="s">
        <v>141</v>
      </c>
      <c r="E6867" s="4">
        <v>-32188</v>
      </c>
      <c r="F6867" s="3" t="s">
        <v>505</v>
      </c>
      <c r="G6867" s="3" t="s">
        <v>47</v>
      </c>
      <c r="H6867" s="2" t="s">
        <v>148</v>
      </c>
      <c r="I6867" s="2" t="s">
        <v>17612</v>
      </c>
      <c r="J6867" s="3" t="str">
        <f>HYPERLINK("https://www.boe.es/gazeta/dias/1811/11/14/pdfs/GEI-D-1811-149.pdf#page=3","Abrir facsímil")</f>
        <v>Abrir facsímil</v>
      </c>
      <c r="K6867" s="3" t="s">
        <v>150</v>
      </c>
    </row>
    <row r="6868" spans="1:11" ht="42" customHeight="1">
      <c r="A6868" s="2" t="s">
        <v>17613</v>
      </c>
      <c r="B6868" s="2" t="s">
        <v>17614</v>
      </c>
      <c r="C6868" s="2" t="s">
        <v>17</v>
      </c>
      <c r="D6868" s="2" t="s">
        <v>18</v>
      </c>
      <c r="E6868" s="4">
        <v>-32144</v>
      </c>
      <c r="F6868" s="3" t="s">
        <v>1097</v>
      </c>
      <c r="G6868" s="3" t="s">
        <v>1098</v>
      </c>
      <c r="H6868" s="2" t="s">
        <v>148</v>
      </c>
      <c r="I6868" s="2" t="s">
        <v>17615</v>
      </c>
      <c r="J6868" s="3" t="str">
        <f>HYPERLINK("https://www.boe.es/gazeta/dias/1811/12/28/pdfs/GEI-1811-168.pdf#page=8","Abrir facsímil")</f>
        <v>Abrir facsímil</v>
      </c>
      <c r="K6868" s="3" t="s">
        <v>150</v>
      </c>
    </row>
    <row r="6869" spans="1:11" ht="42" customHeight="1">
      <c r="A6869" s="2" t="s">
        <v>17616</v>
      </c>
      <c r="B6869" s="2" t="s">
        <v>17617</v>
      </c>
      <c r="C6869" s="2" t="s">
        <v>26</v>
      </c>
      <c r="D6869" s="2" t="s">
        <v>18</v>
      </c>
      <c r="E6869" s="4">
        <v>-32200</v>
      </c>
      <c r="F6869" s="3" t="s">
        <v>109</v>
      </c>
      <c r="G6869" s="3" t="s">
        <v>268</v>
      </c>
      <c r="H6869" s="2" t="s">
        <v>148</v>
      </c>
      <c r="I6869" s="2" t="s">
        <v>17618</v>
      </c>
      <c r="J6869" s="3" t="str">
        <f>HYPERLINK("https://www.boe.es/gazeta/dias/1811/11/02/pdfs/GEI-1811-141.pdf#page=7","Abrir facsímil")</f>
        <v>Abrir facsímil</v>
      </c>
      <c r="K6869" s="3" t="s">
        <v>150</v>
      </c>
    </row>
    <row r="6870" spans="1:11" ht="42" customHeight="1">
      <c r="A6870" s="2" t="s">
        <v>17619</v>
      </c>
      <c r="B6870" s="2" t="s">
        <v>17619</v>
      </c>
      <c r="C6870" s="2" t="s">
        <v>26</v>
      </c>
      <c r="D6870" s="2" t="s">
        <v>18</v>
      </c>
      <c r="E6870" s="4">
        <v>-32167</v>
      </c>
      <c r="F6870" s="3" t="s">
        <v>195</v>
      </c>
      <c r="G6870" s="3" t="s">
        <v>476</v>
      </c>
      <c r="H6870" s="2" t="s">
        <v>148</v>
      </c>
      <c r="I6870" s="2" t="s">
        <v>17620</v>
      </c>
      <c r="J6870" s="3" t="str">
        <f>HYPERLINK("https://www.boe.es/gazeta/dias/1811/12/05/pdfs/GEI-1811-158.pdf#page=7","Abrir facsímil")</f>
        <v>Abrir facsímil</v>
      </c>
      <c r="K6870" s="3" t="s">
        <v>150</v>
      </c>
    </row>
    <row r="6871" spans="1:11" ht="42" customHeight="1">
      <c r="A6871" s="2" t="s">
        <v>17621</v>
      </c>
      <c r="B6871" s="2" t="s">
        <v>17622</v>
      </c>
      <c r="C6871" s="2" t="s">
        <v>26</v>
      </c>
      <c r="D6871" s="2" t="s">
        <v>18</v>
      </c>
      <c r="E6871" s="4">
        <v>-32192</v>
      </c>
      <c r="F6871" s="3" t="s">
        <v>673</v>
      </c>
      <c r="G6871" s="3" t="s">
        <v>305</v>
      </c>
      <c r="H6871" s="2" t="s">
        <v>148</v>
      </c>
      <c r="I6871" s="2" t="s">
        <v>17623</v>
      </c>
      <c r="J6871" s="3" t="str">
        <f>HYPERLINK("https://www.boe.es/gazeta/dias/1811/11/10/pdfs/GMD-1811-314.pdf#page=4","Abrir facsímil")</f>
        <v>Abrir facsímil</v>
      </c>
      <c r="K6871" s="3" t="s">
        <v>150</v>
      </c>
    </row>
    <row r="6872" spans="1:11" ht="42" customHeight="1">
      <c r="A6872" s="2" t="s">
        <v>17624</v>
      </c>
      <c r="B6872" s="2" t="s">
        <v>17624</v>
      </c>
      <c r="C6872" s="2" t="s">
        <v>17</v>
      </c>
      <c r="D6872" s="2" t="s">
        <v>156</v>
      </c>
      <c r="E6872" s="4">
        <v>-32410</v>
      </c>
      <c r="F6872" s="3" t="s">
        <v>2678</v>
      </c>
      <c r="G6872" s="3" t="s">
        <v>468</v>
      </c>
      <c r="H6872" s="2" t="s">
        <v>148</v>
      </c>
      <c r="I6872" s="2" t="s">
        <v>17625</v>
      </c>
      <c r="J6872" s="3" t="str">
        <f>HYPERLINK("https://www.boe.es/gazeta/dias/1811/04/06/pdfs/GEI-1811-47.pdf#page=6","Abrir facsímil")</f>
        <v>Abrir facsímil</v>
      </c>
      <c r="K6872" s="3" t="s">
        <v>150</v>
      </c>
    </row>
    <row r="6873" spans="1:11" ht="42" customHeight="1">
      <c r="A6873" s="2" t="s">
        <v>17626</v>
      </c>
      <c r="B6873" s="2" t="s">
        <v>17627</v>
      </c>
      <c r="C6873" s="2" t="s">
        <v>26</v>
      </c>
      <c r="D6873" s="2" t="s">
        <v>18</v>
      </c>
      <c r="E6873" s="4">
        <v>-32494</v>
      </c>
      <c r="F6873" s="3" t="s">
        <v>3050</v>
      </c>
      <c r="G6873" s="3" t="s">
        <v>1179</v>
      </c>
      <c r="H6873" s="2" t="s">
        <v>148</v>
      </c>
      <c r="I6873" s="2" t="s">
        <v>17628</v>
      </c>
      <c r="J6873" s="3" t="str">
        <f>HYPERLINK("https://www.boe.es/gazeta/dias/1811/01/12/pdfs/GEI-1811-6.pdf#page=7","Abrir facsímil")</f>
        <v>Abrir facsímil</v>
      </c>
      <c r="K6873" s="3" t="s">
        <v>150</v>
      </c>
    </row>
    <row r="6874" spans="1:11" ht="42" customHeight="1">
      <c r="A6874" s="2" t="s">
        <v>17629</v>
      </c>
      <c r="B6874" s="2" t="s">
        <v>17629</v>
      </c>
      <c r="C6874" s="2" t="s">
        <v>17</v>
      </c>
      <c r="D6874" s="2" t="s">
        <v>204</v>
      </c>
      <c r="E6874" s="4">
        <v>-32166</v>
      </c>
      <c r="F6874" s="3" t="s">
        <v>2263</v>
      </c>
      <c r="G6874" s="3" t="s">
        <v>17577</v>
      </c>
      <c r="H6874" s="2" t="s">
        <v>148</v>
      </c>
      <c r="I6874" s="2" t="s">
        <v>17630</v>
      </c>
      <c r="J6874" s="3" t="str">
        <f>HYPERLINK("https://www.boe.es/gazeta/dias/1811/12/06/pdfs/GMD-1811-340.pdf#page=2","Abrir facsímil")</f>
        <v>Abrir facsímil</v>
      </c>
      <c r="K6874" s="3" t="s">
        <v>150</v>
      </c>
    </row>
    <row r="6875" spans="1:11" ht="42" customHeight="1">
      <c r="A6875" s="2" t="s">
        <v>17631</v>
      </c>
      <c r="B6875" s="2" t="s">
        <v>17632</v>
      </c>
      <c r="C6875" s="2" t="s">
        <v>26</v>
      </c>
      <c r="D6875" s="2" t="s">
        <v>18</v>
      </c>
      <c r="E6875" s="4">
        <v>-32288</v>
      </c>
      <c r="F6875" s="3" t="s">
        <v>95</v>
      </c>
      <c r="G6875" s="3" t="s">
        <v>47</v>
      </c>
      <c r="H6875" s="2" t="s">
        <v>148</v>
      </c>
      <c r="I6875" s="2" t="s">
        <v>17633</v>
      </c>
      <c r="J6875" s="3" t="str">
        <f>HYPERLINK("https://www.boe.es/gazeta/dias/1811/08/06/pdfs/GEI-1811-102.pdf#page=8","Abrir facsímil")</f>
        <v>Abrir facsímil</v>
      </c>
      <c r="K6875" s="3" t="s">
        <v>150</v>
      </c>
    </row>
    <row r="6876" spans="1:11" ht="42" customHeight="1">
      <c r="A6876" s="2" t="s">
        <v>17634</v>
      </c>
      <c r="B6876" s="2" t="s">
        <v>17635</v>
      </c>
      <c r="C6876" s="2" t="s">
        <v>26</v>
      </c>
      <c r="D6876" s="2" t="s">
        <v>105</v>
      </c>
      <c r="E6876" s="4">
        <v>-32300</v>
      </c>
      <c r="F6876" s="3" t="s">
        <v>492</v>
      </c>
      <c r="G6876" s="3" t="s">
        <v>493</v>
      </c>
      <c r="H6876" s="2" t="s">
        <v>148</v>
      </c>
      <c r="I6876" s="2" t="s">
        <v>17636</v>
      </c>
      <c r="J6876" s="3" t="str">
        <f>HYPERLINK("https://www.boe.es/gazeta/dias/1811/07/25/pdfs/GMD-1811-206.pdf#page=4","Abrir facsímil")</f>
        <v>Abrir facsímil</v>
      </c>
      <c r="K6876" s="3" t="s">
        <v>150</v>
      </c>
    </row>
    <row r="6877" spans="1:11" ht="42" customHeight="1">
      <c r="A6877" s="2" t="s">
        <v>17637</v>
      </c>
      <c r="B6877" s="2" t="s">
        <v>17638</v>
      </c>
      <c r="C6877" s="2" t="s">
        <v>17</v>
      </c>
      <c r="D6877" s="2" t="s">
        <v>156</v>
      </c>
      <c r="E6877" s="4">
        <v>-32283</v>
      </c>
      <c r="F6877" s="3" t="s">
        <v>90</v>
      </c>
      <c r="G6877" s="3" t="s">
        <v>91</v>
      </c>
      <c r="H6877" s="2" t="s">
        <v>148</v>
      </c>
      <c r="I6877" s="2" t="s">
        <v>17639</v>
      </c>
      <c r="J6877" s="3" t="str">
        <f>HYPERLINK("https://www.boe.es/gazeta/dias/1811/08/11/pdfs/GMD-1811-223.pdf#page=4","Abrir facsímil")</f>
        <v>Abrir facsímil</v>
      </c>
      <c r="K6877" s="3" t="s">
        <v>150</v>
      </c>
    </row>
    <row r="6878" spans="1:11" ht="42" customHeight="1">
      <c r="A6878" s="2" t="s">
        <v>17640</v>
      </c>
      <c r="B6878" s="2" t="s">
        <v>17640</v>
      </c>
      <c r="C6878" s="2" t="s">
        <v>17</v>
      </c>
      <c r="D6878" s="2" t="s">
        <v>156</v>
      </c>
      <c r="E6878" s="4">
        <v>-32405</v>
      </c>
      <c r="F6878" s="3" t="s">
        <v>1413</v>
      </c>
      <c r="G6878" s="3" t="s">
        <v>3218</v>
      </c>
      <c r="H6878" s="2" t="s">
        <v>148</v>
      </c>
      <c r="I6878" s="2" t="s">
        <v>17641</v>
      </c>
      <c r="J6878" s="3" t="str">
        <f>HYPERLINK("https://www.boe.es/gazeta/dias/1811/04/11/pdfs/GEI-1811-49.pdf#page=2","Abrir facsímil")</f>
        <v>Abrir facsímil</v>
      </c>
      <c r="K6878" s="3" t="s">
        <v>150</v>
      </c>
    </row>
    <row r="6879" spans="1:11" ht="42" customHeight="1">
      <c r="A6879" s="2" t="s">
        <v>17642</v>
      </c>
      <c r="B6879" s="2" t="s">
        <v>17642</v>
      </c>
      <c r="C6879" s="2" t="s">
        <v>17</v>
      </c>
      <c r="D6879" s="2" t="s">
        <v>156</v>
      </c>
      <c r="E6879" s="4">
        <v>-32405</v>
      </c>
      <c r="F6879" s="3" t="s">
        <v>1413</v>
      </c>
      <c r="G6879" s="3" t="s">
        <v>1623</v>
      </c>
      <c r="H6879" s="2" t="s">
        <v>148</v>
      </c>
      <c r="I6879" s="2" t="s">
        <v>17643</v>
      </c>
      <c r="J6879" s="3" t="str">
        <f>HYPERLINK("https://www.boe.es/gazeta/dias/1811/04/11/pdfs/GEI-1811-49.pdf#page=3","Abrir facsímil")</f>
        <v>Abrir facsímil</v>
      </c>
      <c r="K6879" s="3" t="s">
        <v>150</v>
      </c>
    </row>
    <row r="6880" spans="1:11" ht="42" customHeight="1">
      <c r="A6880" s="2" t="s">
        <v>17642</v>
      </c>
      <c r="B6880" s="2" t="s">
        <v>17642</v>
      </c>
      <c r="C6880" s="2" t="s">
        <v>17</v>
      </c>
      <c r="D6880" s="2" t="s">
        <v>18</v>
      </c>
      <c r="E6880" s="4">
        <v>-32405</v>
      </c>
      <c r="F6880" s="3" t="s">
        <v>1413</v>
      </c>
      <c r="G6880" s="3" t="s">
        <v>8834</v>
      </c>
      <c r="H6880" s="2" t="s">
        <v>148</v>
      </c>
      <c r="I6880" s="2" t="s">
        <v>17644</v>
      </c>
      <c r="J6880" s="3" t="str">
        <f>HYPERLINK("https://www.boe.es/gazeta/dias/1811/04/11/pdfs/GEI-1811-49.pdf#page=4","Abrir facsímil")</f>
        <v>Abrir facsímil</v>
      </c>
      <c r="K6880" s="3" t="s">
        <v>150</v>
      </c>
    </row>
    <row r="6881" spans="1:11" ht="42" customHeight="1">
      <c r="A6881" s="2" t="s">
        <v>17642</v>
      </c>
      <c r="B6881" s="2" t="s">
        <v>17642</v>
      </c>
      <c r="C6881" s="2" t="s">
        <v>17</v>
      </c>
      <c r="D6881" s="2" t="s">
        <v>18</v>
      </c>
      <c r="E6881" s="4">
        <v>-32405</v>
      </c>
      <c r="F6881" s="3" t="s">
        <v>1413</v>
      </c>
      <c r="G6881" s="3" t="s">
        <v>248</v>
      </c>
      <c r="H6881" s="2" t="s">
        <v>148</v>
      </c>
      <c r="I6881" s="2" t="s">
        <v>17645</v>
      </c>
      <c r="J6881" s="3" t="str">
        <f>HYPERLINK("https://www.boe.es/gazeta/dias/1811/04/11/pdfs/GEI-1811-49.pdf#page=7","Abrir facsímil")</f>
        <v>Abrir facsímil</v>
      </c>
      <c r="K6881" s="3" t="s">
        <v>150</v>
      </c>
    </row>
    <row r="6882" spans="1:11" ht="42" customHeight="1">
      <c r="A6882" s="2" t="s">
        <v>17646</v>
      </c>
      <c r="B6882" s="2" t="s">
        <v>17646</v>
      </c>
      <c r="C6882" s="2" t="s">
        <v>17</v>
      </c>
      <c r="D6882" s="2" t="s">
        <v>18</v>
      </c>
      <c r="E6882" s="4">
        <v>-32386</v>
      </c>
      <c r="F6882" s="3" t="s">
        <v>1934</v>
      </c>
      <c r="G6882" s="3" t="s">
        <v>2445</v>
      </c>
      <c r="H6882" s="2" t="s">
        <v>148</v>
      </c>
      <c r="I6882" s="2" t="s">
        <v>17647</v>
      </c>
      <c r="J6882" s="3" t="str">
        <f>HYPERLINK("https://www.boe.es/gazeta/dias/1811/04/30/pdfs/GEI-1811-57.pdf#page=3","Abrir facsímil")</f>
        <v>Abrir facsímil</v>
      </c>
      <c r="K6882" s="3" t="s">
        <v>150</v>
      </c>
    </row>
    <row r="6883" spans="1:11" ht="42" customHeight="1">
      <c r="A6883" s="2" t="s">
        <v>17642</v>
      </c>
      <c r="B6883" s="2" t="s">
        <v>17642</v>
      </c>
      <c r="C6883" s="2" t="s">
        <v>17</v>
      </c>
      <c r="D6883" s="2" t="s">
        <v>18</v>
      </c>
      <c r="E6883" s="4">
        <v>-32386</v>
      </c>
      <c r="F6883" s="3" t="s">
        <v>1934</v>
      </c>
      <c r="G6883" s="3" t="s">
        <v>2442</v>
      </c>
      <c r="H6883" s="2" t="s">
        <v>148</v>
      </c>
      <c r="I6883" s="2" t="s">
        <v>17648</v>
      </c>
      <c r="J6883" s="3" t="str">
        <f>HYPERLINK("https://www.boe.es/gazeta/dias/1811/04/30/pdfs/GEI-1811-57.pdf#page=4","Abrir facsímil")</f>
        <v>Abrir facsímil</v>
      </c>
      <c r="K6883" s="3" t="s">
        <v>150</v>
      </c>
    </row>
    <row r="6884" spans="1:11" ht="42" customHeight="1">
      <c r="A6884" s="2" t="s">
        <v>17642</v>
      </c>
      <c r="B6884" s="2" t="s">
        <v>17642</v>
      </c>
      <c r="C6884" s="2" t="s">
        <v>17</v>
      </c>
      <c r="D6884" s="2" t="s">
        <v>156</v>
      </c>
      <c r="E6884" s="4">
        <v>-32356</v>
      </c>
      <c r="F6884" s="3" t="s">
        <v>1992</v>
      </c>
      <c r="G6884" s="3" t="s">
        <v>409</v>
      </c>
      <c r="H6884" s="2" t="s">
        <v>148</v>
      </c>
      <c r="I6884" s="2" t="s">
        <v>17649</v>
      </c>
      <c r="J6884" s="3" t="str">
        <f>HYPERLINK("https://www.boe.es/gazeta/dias/1811/05/30/pdfs/GEI-1811-73.pdf#page=2","Abrir facsímil")</f>
        <v>Abrir facsímil</v>
      </c>
      <c r="K6884" s="3" t="s">
        <v>150</v>
      </c>
    </row>
    <row r="6885" spans="1:11" ht="42" customHeight="1">
      <c r="A6885" s="2" t="s">
        <v>17642</v>
      </c>
      <c r="B6885" s="2" t="s">
        <v>17642</v>
      </c>
      <c r="C6885" s="2" t="s">
        <v>17</v>
      </c>
      <c r="D6885" s="2" t="s">
        <v>18</v>
      </c>
      <c r="E6885" s="4">
        <v>-32283</v>
      </c>
      <c r="F6885" s="3" t="s">
        <v>90</v>
      </c>
      <c r="G6885" s="3" t="s">
        <v>1856</v>
      </c>
      <c r="H6885" s="2" t="s">
        <v>148</v>
      </c>
      <c r="I6885" s="2" t="s">
        <v>17650</v>
      </c>
      <c r="J6885" s="3" t="str">
        <f>HYPERLINK("https://www.boe.es/gazeta/dias/1811/08/11/pdfs/GMD-1811-223.pdf#page=1","Abrir facsímil")</f>
        <v>Abrir facsímil</v>
      </c>
      <c r="K6885" s="3" t="s">
        <v>150</v>
      </c>
    </row>
    <row r="6886" spans="1:11" ht="42" customHeight="1">
      <c r="A6886" s="2" t="s">
        <v>17642</v>
      </c>
      <c r="B6886" s="2" t="s">
        <v>17642</v>
      </c>
      <c r="C6886" s="2" t="s">
        <v>17</v>
      </c>
      <c r="D6886" s="2" t="s">
        <v>18</v>
      </c>
      <c r="E6886" s="4">
        <v>-32228</v>
      </c>
      <c r="F6886" s="3" t="s">
        <v>899</v>
      </c>
      <c r="G6886" s="3" t="s">
        <v>900</v>
      </c>
      <c r="H6886" s="2" t="s">
        <v>148</v>
      </c>
      <c r="I6886" s="2" t="s">
        <v>17651</v>
      </c>
      <c r="J6886" s="3" t="str">
        <f>HYPERLINK("https://www.boe.es/gazeta/dias/1811/10/05/pdfs/GMD-1811-278.pdf#page=2","Abrir facsímil")</f>
        <v>Abrir facsímil</v>
      </c>
      <c r="K6886" s="3" t="s">
        <v>150</v>
      </c>
    </row>
    <row r="6887" spans="1:11" ht="42" customHeight="1">
      <c r="A6887" s="2" t="s">
        <v>17652</v>
      </c>
      <c r="B6887" s="2" t="s">
        <v>17652</v>
      </c>
      <c r="C6887" s="2" t="s">
        <v>26</v>
      </c>
      <c r="D6887" s="2" t="s">
        <v>18</v>
      </c>
      <c r="E6887" s="4">
        <v>-32153</v>
      </c>
      <c r="F6887" s="3" t="s">
        <v>235</v>
      </c>
      <c r="G6887" s="3" t="s">
        <v>1315</v>
      </c>
      <c r="H6887" s="2" t="s">
        <v>148</v>
      </c>
      <c r="I6887" s="2" t="s">
        <v>17653</v>
      </c>
      <c r="J6887" s="3" t="str">
        <f>HYPERLINK("https://www.boe.es/gazeta/dias/1811/12/19/pdfs/GEI-1811-164.pdf#page=2","Abrir facsímil")</f>
        <v>Abrir facsímil</v>
      </c>
      <c r="K6887" s="3" t="s">
        <v>150</v>
      </c>
    </row>
    <row r="6888" spans="1:11" ht="42" customHeight="1">
      <c r="A6888" s="2" t="s">
        <v>17654</v>
      </c>
      <c r="B6888" s="2" t="s">
        <v>17655</v>
      </c>
      <c r="C6888" s="2" t="s">
        <v>26</v>
      </c>
      <c r="D6888" s="2" t="s">
        <v>18</v>
      </c>
      <c r="E6888" s="4">
        <v>-32344</v>
      </c>
      <c r="F6888" s="3" t="s">
        <v>761</v>
      </c>
      <c r="G6888" s="3" t="s">
        <v>2371</v>
      </c>
      <c r="H6888" s="2" t="s">
        <v>148</v>
      </c>
      <c r="I6888" s="2" t="s">
        <v>17656</v>
      </c>
      <c r="J6888" s="3" t="str">
        <f>HYPERLINK("https://www.boe.es/gazeta/dias/1811/06/11/pdfs/GEI-1811-78.pdf#page=2","Abrir facsímil")</f>
        <v>Abrir facsímil</v>
      </c>
      <c r="K6888" s="3" t="s">
        <v>150</v>
      </c>
    </row>
    <row r="6889" spans="1:11" ht="42" customHeight="1">
      <c r="A6889" s="2" t="s">
        <v>17657</v>
      </c>
      <c r="B6889" s="2" t="s">
        <v>17657</v>
      </c>
      <c r="C6889" s="2" t="s">
        <v>17</v>
      </c>
      <c r="D6889" s="2" t="s">
        <v>156</v>
      </c>
      <c r="E6889" s="4">
        <v>-32494</v>
      </c>
      <c r="F6889" s="3" t="s">
        <v>3050</v>
      </c>
      <c r="G6889" s="3" t="s">
        <v>1646</v>
      </c>
      <c r="H6889" s="2" t="s">
        <v>148</v>
      </c>
      <c r="I6889" s="2" t="s">
        <v>17658</v>
      </c>
      <c r="J6889" s="3" t="str">
        <f>HYPERLINK("https://www.boe.es/gazeta/dias/1811/01/12/pdfs/GEI-1811-6.pdf#page=6","Abrir facsímil")</f>
        <v>Abrir facsímil</v>
      </c>
      <c r="K6889" s="3" t="s">
        <v>150</v>
      </c>
    </row>
    <row r="6890" spans="1:11" ht="42" customHeight="1">
      <c r="A6890" s="2" t="s">
        <v>17659</v>
      </c>
      <c r="B6890" s="2" t="s">
        <v>17659</v>
      </c>
      <c r="C6890" s="2" t="s">
        <v>17</v>
      </c>
      <c r="D6890" s="2" t="s">
        <v>156</v>
      </c>
      <c r="E6890" s="4">
        <v>-32207</v>
      </c>
      <c r="F6890" s="3" t="s">
        <v>152</v>
      </c>
      <c r="G6890" s="3" t="s">
        <v>893</v>
      </c>
      <c r="H6890" s="2" t="s">
        <v>148</v>
      </c>
      <c r="I6890" s="2" t="s">
        <v>17660</v>
      </c>
      <c r="J6890" s="3" t="str">
        <f>HYPERLINK("https://www.boe.es/gazeta/dias/1811/10/26/pdfs/GEI-1811-138.pdf#page=6","Abrir facsímil")</f>
        <v>Abrir facsímil</v>
      </c>
      <c r="K6890" s="3" t="s">
        <v>150</v>
      </c>
    </row>
    <row r="6891" spans="1:11" ht="42" customHeight="1">
      <c r="A6891" s="2" t="s">
        <v>17661</v>
      </c>
      <c r="B6891" s="2" t="s">
        <v>17662</v>
      </c>
      <c r="C6891" s="2" t="s">
        <v>17</v>
      </c>
      <c r="D6891" s="2" t="s">
        <v>156</v>
      </c>
      <c r="E6891" s="4">
        <v>-32403</v>
      </c>
      <c r="F6891" s="3" t="s">
        <v>1915</v>
      </c>
      <c r="G6891" s="3" t="s">
        <v>1916</v>
      </c>
      <c r="H6891" s="2" t="s">
        <v>148</v>
      </c>
      <c r="I6891" s="2" t="s">
        <v>17663</v>
      </c>
      <c r="J6891" s="3" t="str">
        <f>HYPERLINK("https://www.boe.es/gazeta/dias/1811/04/13/pdfs/GEI-1811-50.pdf#page=5","Abrir facsímil")</f>
        <v>Abrir facsímil</v>
      </c>
      <c r="K6891" s="3" t="s">
        <v>150</v>
      </c>
    </row>
    <row r="6892" spans="1:11" ht="42" customHeight="1">
      <c r="A6892" s="2" t="s">
        <v>17664</v>
      </c>
      <c r="B6892" s="2" t="s">
        <v>17665</v>
      </c>
      <c r="C6892" s="2" t="s">
        <v>26</v>
      </c>
      <c r="D6892" s="2" t="s">
        <v>18</v>
      </c>
      <c r="E6892" s="4">
        <v>-32421</v>
      </c>
      <c r="F6892" s="3" t="s">
        <v>79</v>
      </c>
      <c r="G6892" s="3" t="s">
        <v>91</v>
      </c>
      <c r="H6892" s="2" t="s">
        <v>148</v>
      </c>
      <c r="I6892" s="2" t="s">
        <v>17666</v>
      </c>
      <c r="J6892" s="3" t="str">
        <f>HYPERLINK("https://www.boe.es/gazeta/dias/1811/03/26/pdfs/GEI-1811-42.pdf#page=3","Abrir facsímil")</f>
        <v>Abrir facsímil</v>
      </c>
      <c r="K6892" s="3" t="s">
        <v>150</v>
      </c>
    </row>
    <row r="6893" spans="1:11" ht="42" customHeight="1">
      <c r="A6893" s="2" t="s">
        <v>17667</v>
      </c>
      <c r="B6893" s="2" t="s">
        <v>17668</v>
      </c>
      <c r="C6893" s="2" t="s">
        <v>17</v>
      </c>
      <c r="D6893" s="2" t="s">
        <v>156</v>
      </c>
      <c r="E6893" s="4">
        <v>-32311</v>
      </c>
      <c r="F6893" s="3" t="s">
        <v>9612</v>
      </c>
      <c r="G6893" s="3" t="s">
        <v>162</v>
      </c>
      <c r="H6893" s="2" t="s">
        <v>148</v>
      </c>
      <c r="I6893" s="2" t="s">
        <v>17669</v>
      </c>
      <c r="J6893" s="3" t="str">
        <f>HYPERLINK("https://www.boe.es/gazeta/dias/1811/07/14/pdfs/GMD-1811-195.pdf#page=2","Abrir facsímil")</f>
        <v>Abrir facsímil</v>
      </c>
      <c r="K6893" s="3" t="s">
        <v>150</v>
      </c>
    </row>
    <row r="6894" spans="1:11" ht="42" customHeight="1">
      <c r="A6894" s="2" t="s">
        <v>17670</v>
      </c>
      <c r="B6894" s="2" t="s">
        <v>17670</v>
      </c>
      <c r="C6894" s="2" t="s">
        <v>17</v>
      </c>
      <c r="D6894" s="2" t="s">
        <v>18</v>
      </c>
      <c r="E6894" s="4">
        <v>-32203</v>
      </c>
      <c r="F6894" s="3" t="s">
        <v>8645</v>
      </c>
      <c r="G6894" s="3" t="s">
        <v>115</v>
      </c>
      <c r="H6894" s="2" t="s">
        <v>148</v>
      </c>
      <c r="I6894" s="2" t="s">
        <v>17671</v>
      </c>
      <c r="J6894" s="3" t="str">
        <f>HYPERLINK("https://www.boe.es/gazeta/dias/1811/10/30/pdfs/GMD-1811-303.pdf#page=3","Abrir facsímil")</f>
        <v>Abrir facsímil</v>
      </c>
      <c r="K6894" s="3" t="s">
        <v>150</v>
      </c>
    </row>
    <row r="6895" spans="1:11" ht="42" customHeight="1">
      <c r="A6895" s="2" t="s">
        <v>17672</v>
      </c>
      <c r="B6895" s="2" t="s">
        <v>17673</v>
      </c>
      <c r="C6895" s="2" t="s">
        <v>17</v>
      </c>
      <c r="D6895" s="2" t="s">
        <v>18</v>
      </c>
      <c r="E6895" s="4">
        <v>-32144</v>
      </c>
      <c r="F6895" s="3" t="s">
        <v>1097</v>
      </c>
      <c r="G6895" s="3" t="s">
        <v>476</v>
      </c>
      <c r="H6895" s="2" t="s">
        <v>148</v>
      </c>
      <c r="I6895" s="2" t="s">
        <v>17674</v>
      </c>
      <c r="J6895" s="3" t="str">
        <f>HYPERLINK("https://www.boe.es/gazeta/dias/1811/12/28/pdfs/GEI-1811-168.pdf#page=7","Abrir facsímil")</f>
        <v>Abrir facsímil</v>
      </c>
      <c r="K6895" s="3" t="s">
        <v>150</v>
      </c>
    </row>
    <row r="6896" spans="1:11" ht="42" customHeight="1">
      <c r="A6896" s="2" t="s">
        <v>17675</v>
      </c>
      <c r="B6896" s="2" t="s">
        <v>17676</v>
      </c>
      <c r="C6896" s="2" t="s">
        <v>26</v>
      </c>
      <c r="D6896" s="2" t="s">
        <v>18</v>
      </c>
      <c r="E6896" s="4">
        <v>-32433</v>
      </c>
      <c r="F6896" s="3" t="s">
        <v>209</v>
      </c>
      <c r="G6896" s="3" t="s">
        <v>115</v>
      </c>
      <c r="H6896" s="2" t="s">
        <v>148</v>
      </c>
      <c r="I6896" s="2" t="s">
        <v>17677</v>
      </c>
      <c r="J6896" s="3" t="str">
        <f>HYPERLINK("https://www.boe.es/gazeta/dias/1811/03/14/pdfs/GMD-1811-73.pdf#page=3","Abrir facsímil")</f>
        <v>Abrir facsímil</v>
      </c>
      <c r="K6896" s="3" t="s">
        <v>150</v>
      </c>
    </row>
    <row r="6897" spans="1:11" ht="42" customHeight="1">
      <c r="A6897" s="2" t="s">
        <v>17678</v>
      </c>
      <c r="B6897" s="2" t="s">
        <v>17679</v>
      </c>
      <c r="C6897" s="2" t="s">
        <v>104</v>
      </c>
      <c r="D6897" s="2" t="s">
        <v>18</v>
      </c>
      <c r="E6897" s="4">
        <v>-32452</v>
      </c>
      <c r="F6897" s="3" t="s">
        <v>106</v>
      </c>
      <c r="G6897" s="3" t="s">
        <v>20</v>
      </c>
      <c r="H6897" s="2" t="s">
        <v>148</v>
      </c>
      <c r="I6897" s="2" t="s">
        <v>17680</v>
      </c>
      <c r="J6897" s="3" t="str">
        <f>HYPERLINK("https://www.boe.es/gazeta/dias/1811/02/23/pdfs/GEI-1811-24.pdf#page=8","Abrir facsímil")</f>
        <v>Abrir facsímil</v>
      </c>
      <c r="K6897" s="3" t="s">
        <v>150</v>
      </c>
    </row>
    <row r="6898" spans="1:11" ht="42" customHeight="1">
      <c r="A6898" s="2" t="s">
        <v>17681</v>
      </c>
      <c r="B6898" s="2" t="s">
        <v>17682</v>
      </c>
      <c r="C6898" s="2" t="s">
        <v>26</v>
      </c>
      <c r="D6898" s="2" t="s">
        <v>18</v>
      </c>
      <c r="E6898" s="4">
        <v>-32153</v>
      </c>
      <c r="F6898" s="3" t="s">
        <v>123</v>
      </c>
      <c r="G6898" s="3" t="s">
        <v>1067</v>
      </c>
      <c r="H6898" s="2" t="s">
        <v>148</v>
      </c>
      <c r="I6898" s="2" t="s">
        <v>17683</v>
      </c>
      <c r="J6898" s="3" t="str">
        <f>HYPERLINK("https://www.boe.es/gazeta/dias/1811/12/19/pdfs/GMD-1811-353.pdf#page=5","Abrir facsímil")</f>
        <v>Abrir facsímil</v>
      </c>
      <c r="K6898" s="3" t="s">
        <v>150</v>
      </c>
    </row>
    <row r="6899" spans="1:11" ht="42" customHeight="1">
      <c r="A6899" s="2" t="s">
        <v>17684</v>
      </c>
      <c r="B6899" s="2" t="s">
        <v>17685</v>
      </c>
      <c r="C6899" s="2" t="s">
        <v>104</v>
      </c>
      <c r="D6899" s="2" t="s">
        <v>18</v>
      </c>
      <c r="E6899" s="4">
        <v>-32232</v>
      </c>
      <c r="F6899" s="3" t="s">
        <v>1816</v>
      </c>
      <c r="G6899" s="3" t="s">
        <v>1817</v>
      </c>
      <c r="H6899" s="2" t="s">
        <v>148</v>
      </c>
      <c r="I6899" s="2" t="s">
        <v>17686</v>
      </c>
      <c r="J6899" s="3" t="str">
        <f>HYPERLINK("https://www.boe.es/gazeta/dias/1811/10/01/pdfs/GEI-1811-126.pdf#page=8","Abrir facsímil")</f>
        <v>Abrir facsímil</v>
      </c>
      <c r="K6899" s="3" t="s">
        <v>150</v>
      </c>
    </row>
    <row r="6900" spans="1:11" ht="42" customHeight="1">
      <c r="A6900" s="2" t="s">
        <v>17687</v>
      </c>
      <c r="B6900" s="2" t="s">
        <v>17688</v>
      </c>
      <c r="C6900" s="2" t="s">
        <v>17</v>
      </c>
      <c r="D6900" s="2" t="s">
        <v>156</v>
      </c>
      <c r="E6900" s="4">
        <v>-32242</v>
      </c>
      <c r="F6900" s="3" t="s">
        <v>1295</v>
      </c>
      <c r="G6900" s="3" t="s">
        <v>10551</v>
      </c>
      <c r="H6900" s="2" t="s">
        <v>148</v>
      </c>
      <c r="I6900" s="2" t="s">
        <v>17689</v>
      </c>
      <c r="J6900" s="3" t="str">
        <f>HYPERLINK("https://www.boe.es/gazeta/dias/1811/09/21/pdfs/GEI-1811-122.pdf#page=7","Abrir facsímil")</f>
        <v>Abrir facsímil</v>
      </c>
      <c r="K6900" s="3" t="s">
        <v>150</v>
      </c>
    </row>
    <row r="6901" spans="1:11" ht="42" customHeight="1">
      <c r="A6901" s="2" t="s">
        <v>17690</v>
      </c>
      <c r="B6901" s="2" t="s">
        <v>17691</v>
      </c>
      <c r="C6901" s="2" t="s">
        <v>17</v>
      </c>
      <c r="D6901" s="2" t="s">
        <v>156</v>
      </c>
      <c r="E6901" s="4">
        <v>-32279</v>
      </c>
      <c r="F6901" s="3" t="s">
        <v>540</v>
      </c>
      <c r="G6901" s="3" t="s">
        <v>91</v>
      </c>
      <c r="H6901" s="2" t="s">
        <v>148</v>
      </c>
      <c r="I6901" s="2" t="s">
        <v>17692</v>
      </c>
      <c r="J6901" s="3" t="str">
        <f>HYPERLINK("https://www.boe.es/gazeta/dias/1811/08/15/pdfs/GMD-1811-227.pdf#page=3","Abrir facsímil")</f>
        <v>Abrir facsímil</v>
      </c>
      <c r="K6901" s="3" t="s">
        <v>150</v>
      </c>
    </row>
    <row r="6902" spans="1:11" ht="42" customHeight="1">
      <c r="A6902" s="2" t="s">
        <v>17693</v>
      </c>
      <c r="B6902" s="2" t="s">
        <v>17694</v>
      </c>
      <c r="C6902" s="2" t="s">
        <v>17</v>
      </c>
      <c r="D6902" s="2" t="s">
        <v>18</v>
      </c>
      <c r="E6902" s="4">
        <v>-32200</v>
      </c>
      <c r="F6902" s="3" t="s">
        <v>109</v>
      </c>
      <c r="G6902" s="3" t="s">
        <v>110</v>
      </c>
      <c r="H6902" s="2" t="s">
        <v>148</v>
      </c>
      <c r="I6902" s="2" t="s">
        <v>17695</v>
      </c>
      <c r="J6902" s="3" t="str">
        <f>HYPERLINK("https://www.boe.es/gazeta/dias/1811/11/02/pdfs/GEI-1811-141.pdf#page=6","Abrir facsímil")</f>
        <v>Abrir facsímil</v>
      </c>
      <c r="K6902" s="3" t="s">
        <v>150</v>
      </c>
    </row>
    <row r="6903" spans="1:11" ht="42" customHeight="1">
      <c r="A6903" s="2" t="s">
        <v>17696</v>
      </c>
      <c r="B6903" s="2" t="s">
        <v>17696</v>
      </c>
      <c r="C6903" s="2" t="s">
        <v>26</v>
      </c>
      <c r="D6903" s="2" t="s">
        <v>204</v>
      </c>
      <c r="E6903" s="4">
        <v>-32502</v>
      </c>
      <c r="F6903" s="3" t="s">
        <v>6190</v>
      </c>
      <c r="G6903" s="3" t="s">
        <v>39</v>
      </c>
      <c r="H6903" s="2" t="s">
        <v>148</v>
      </c>
      <c r="I6903" s="2" t="s">
        <v>17697</v>
      </c>
      <c r="J6903" s="3" t="str">
        <f>HYPERLINK("https://www.boe.es/gazeta/dias/1811/01/04/pdfs/GMD-1811-4.pdf#page=1","Abrir facsímil")</f>
        <v>Abrir facsímil</v>
      </c>
      <c r="K6903" s="3" t="s">
        <v>150</v>
      </c>
    </row>
    <row r="6904" spans="1:11" ht="42" customHeight="1">
      <c r="A6904" s="2" t="s">
        <v>17698</v>
      </c>
      <c r="B6904" s="2" t="s">
        <v>17699</v>
      </c>
      <c r="C6904" s="2" t="s">
        <v>26</v>
      </c>
      <c r="D6904" s="2" t="s">
        <v>141</v>
      </c>
      <c r="E6904" s="4">
        <v>-32238</v>
      </c>
      <c r="F6904" s="3" t="s">
        <v>166</v>
      </c>
      <c r="G6904" s="3" t="s">
        <v>129</v>
      </c>
      <c r="H6904" s="2" t="s">
        <v>148</v>
      </c>
      <c r="I6904" s="2" t="s">
        <v>17700</v>
      </c>
      <c r="J6904" s="3" t="str">
        <f>HYPERLINK("https://www.boe.es/gazeta/dias/1811/09/25/pdfs/GMD-C-1811-268.pdf#page=1","Abrir facsímil")</f>
        <v>Abrir facsímil</v>
      </c>
      <c r="K6904" s="3" t="s">
        <v>150</v>
      </c>
    </row>
    <row r="6905" spans="1:11" ht="42" customHeight="1">
      <c r="A6905" s="2" t="s">
        <v>17701</v>
      </c>
      <c r="B6905" s="2" t="s">
        <v>17702</v>
      </c>
      <c r="C6905" s="2" t="s">
        <v>66</v>
      </c>
      <c r="D6905" s="2" t="s">
        <v>141</v>
      </c>
      <c r="E6905" s="4">
        <v>-32238</v>
      </c>
      <c r="F6905" s="3" t="s">
        <v>166</v>
      </c>
      <c r="G6905" s="3" t="s">
        <v>178</v>
      </c>
      <c r="H6905" s="2" t="s">
        <v>148</v>
      </c>
      <c r="I6905" s="2" t="s">
        <v>17703</v>
      </c>
      <c r="J6905" s="3" t="str">
        <f>HYPERLINK("https://www.boe.es/gazeta/dias/1811/09/25/pdfs/GMD-C-1811-268.pdf#page=4","Abrir facsímil")</f>
        <v>Abrir facsímil</v>
      </c>
      <c r="K6905" s="3" t="s">
        <v>150</v>
      </c>
    </row>
    <row r="6906" spans="1:11" ht="42" customHeight="1">
      <c r="A6906" s="2" t="s">
        <v>17704</v>
      </c>
      <c r="B6906" s="2" t="s">
        <v>17704</v>
      </c>
      <c r="C6906" s="2" t="s">
        <v>17</v>
      </c>
      <c r="D6906" s="2" t="s">
        <v>156</v>
      </c>
      <c r="E6906" s="4">
        <v>-32495</v>
      </c>
      <c r="F6906" s="3" t="s">
        <v>1681</v>
      </c>
      <c r="G6906" s="3" t="s">
        <v>8259</v>
      </c>
      <c r="H6906" s="2" t="s">
        <v>148</v>
      </c>
      <c r="I6906" s="2" t="s">
        <v>17705</v>
      </c>
      <c r="J6906" s="3" t="str">
        <f>HYPERLINK("https://www.boe.es/gazeta/dias/1811/01/11/pdfs/GMD-1811-11.pdf#page=3","Abrir facsímil")</f>
        <v>Abrir facsímil</v>
      </c>
      <c r="K6906" s="3" t="s">
        <v>150</v>
      </c>
    </row>
    <row r="6907" spans="1:11" ht="42" customHeight="1">
      <c r="A6907" s="2" t="s">
        <v>17706</v>
      </c>
      <c r="B6907" s="2" t="s">
        <v>17707</v>
      </c>
      <c r="C6907" s="2" t="s">
        <v>26</v>
      </c>
      <c r="D6907" s="2" t="s">
        <v>18</v>
      </c>
      <c r="E6907" s="4">
        <v>-32394</v>
      </c>
      <c r="F6907" s="3" t="s">
        <v>1709</v>
      </c>
      <c r="G6907" s="3" t="s">
        <v>115</v>
      </c>
      <c r="H6907" s="2" t="s">
        <v>148</v>
      </c>
      <c r="I6907" s="2" t="s">
        <v>17708</v>
      </c>
      <c r="J6907" s="3" t="str">
        <f>HYPERLINK("https://www.boe.es/gazeta/dias/1811/04/22/pdfs/GMD-1811-112.pdf#page=3","Abrir facsímil")</f>
        <v>Abrir facsímil</v>
      </c>
      <c r="K6907" s="3" t="s">
        <v>150</v>
      </c>
    </row>
    <row r="6908" spans="1:11" ht="42" customHeight="1">
      <c r="A6908" s="2" t="s">
        <v>17709</v>
      </c>
      <c r="B6908" s="2" t="s">
        <v>17709</v>
      </c>
      <c r="C6908" s="2" t="s">
        <v>17</v>
      </c>
      <c r="D6908" s="2" t="s">
        <v>156</v>
      </c>
      <c r="E6908" s="4">
        <v>-32356</v>
      </c>
      <c r="F6908" s="3" t="s">
        <v>1992</v>
      </c>
      <c r="G6908" s="3" t="s">
        <v>3613</v>
      </c>
      <c r="H6908" s="2" t="s">
        <v>148</v>
      </c>
      <c r="I6908" s="2" t="s">
        <v>17710</v>
      </c>
      <c r="J6908" s="3" t="str">
        <f>HYPERLINK("https://www.boe.es/gazeta/dias/1811/05/30/pdfs/GEI-1811-73.pdf#page=5","Abrir facsímil")</f>
        <v>Abrir facsímil</v>
      </c>
      <c r="K6908" s="3" t="s">
        <v>150</v>
      </c>
    </row>
    <row r="6909" spans="1:11" ht="42" customHeight="1">
      <c r="A6909" s="2" t="s">
        <v>17711</v>
      </c>
      <c r="B6909" s="2" t="s">
        <v>17712</v>
      </c>
      <c r="C6909" s="2" t="s">
        <v>17</v>
      </c>
      <c r="D6909" s="2" t="s">
        <v>156</v>
      </c>
      <c r="E6909" s="4">
        <v>-32312</v>
      </c>
      <c r="F6909" s="3" t="s">
        <v>2640</v>
      </c>
      <c r="G6909" s="3" t="s">
        <v>3105</v>
      </c>
      <c r="H6909" s="2" t="s">
        <v>148</v>
      </c>
      <c r="I6909" s="2" t="s">
        <v>17713</v>
      </c>
      <c r="J6909" s="3" t="str">
        <f>HYPERLINK("https://www.boe.es/gazeta/dias/1811/07/13/pdfs/GEI-1811-92.pdf#page=5","Abrir facsímil")</f>
        <v>Abrir facsímil</v>
      </c>
      <c r="K6909" s="3" t="s">
        <v>150</v>
      </c>
    </row>
    <row r="6910" spans="1:11" ht="42" customHeight="1">
      <c r="A6910" s="2" t="s">
        <v>17714</v>
      </c>
      <c r="B6910" s="2" t="s">
        <v>17715</v>
      </c>
      <c r="C6910" s="2" t="s">
        <v>26</v>
      </c>
      <c r="D6910" s="2" t="s">
        <v>18</v>
      </c>
      <c r="E6910" s="4">
        <v>-32452</v>
      </c>
      <c r="F6910" s="3" t="s">
        <v>106</v>
      </c>
      <c r="G6910" s="3" t="s">
        <v>20</v>
      </c>
      <c r="H6910" s="2" t="s">
        <v>148</v>
      </c>
      <c r="I6910" s="2" t="s">
        <v>17716</v>
      </c>
      <c r="J6910" s="3" t="str">
        <f>HYPERLINK("https://www.boe.es/gazeta/dias/1811/02/23/pdfs/GEI-1811-24.pdf#page=8","Abrir facsímil")</f>
        <v>Abrir facsímil</v>
      </c>
      <c r="K6910" s="3" t="s">
        <v>150</v>
      </c>
    </row>
    <row r="6911" spans="1:11" ht="42" customHeight="1">
      <c r="A6911" s="2" t="s">
        <v>17717</v>
      </c>
      <c r="B6911" s="2" t="s">
        <v>17718</v>
      </c>
      <c r="C6911" s="2" t="s">
        <v>122</v>
      </c>
      <c r="D6911" s="2" t="s">
        <v>105</v>
      </c>
      <c r="E6911" s="4">
        <v>-32153</v>
      </c>
      <c r="F6911" s="3" t="s">
        <v>123</v>
      </c>
      <c r="G6911" s="3" t="s">
        <v>1067</v>
      </c>
      <c r="H6911" s="2" t="s">
        <v>148</v>
      </c>
      <c r="I6911" s="2" t="s">
        <v>17719</v>
      </c>
      <c r="J6911" s="3" t="str">
        <f>HYPERLINK("https://www.boe.es/gazeta/dias/1811/12/19/pdfs/GMD-1811-353.pdf#page=5","Abrir facsímil")</f>
        <v>Abrir facsímil</v>
      </c>
      <c r="K6911" s="3" t="s">
        <v>150</v>
      </c>
    </row>
    <row r="6912" spans="1:11" ht="42" customHeight="1">
      <c r="A6912" s="2" t="s">
        <v>17720</v>
      </c>
      <c r="B6912" s="2" t="s">
        <v>17721</v>
      </c>
      <c r="C6912" s="2" t="s">
        <v>26</v>
      </c>
      <c r="D6912" s="2" t="s">
        <v>141</v>
      </c>
      <c r="E6912" s="4">
        <v>-32250</v>
      </c>
      <c r="F6912" s="3" t="s">
        <v>1178</v>
      </c>
      <c r="G6912" s="3" t="s">
        <v>1179</v>
      </c>
      <c r="H6912" s="2" t="s">
        <v>148</v>
      </c>
      <c r="I6912" s="2" t="s">
        <v>17722</v>
      </c>
      <c r="J6912" s="3" t="str">
        <f>HYPERLINK("https://www.boe.es/gazeta/dias/1811/09/13/pdfs/GMD-C-1811-256.pdf#page=1","Abrir facsímil")</f>
        <v>Abrir facsímil</v>
      </c>
      <c r="K6912" s="3" t="s">
        <v>150</v>
      </c>
    </row>
    <row r="6913" spans="1:11" ht="42" customHeight="1">
      <c r="A6913" s="2" t="s">
        <v>17720</v>
      </c>
      <c r="B6913" s="2" t="s">
        <v>17721</v>
      </c>
      <c r="C6913" s="2" t="s">
        <v>26</v>
      </c>
      <c r="D6913" s="2" t="s">
        <v>141</v>
      </c>
      <c r="E6913" s="4">
        <v>-32250</v>
      </c>
      <c r="F6913" s="3" t="s">
        <v>1178</v>
      </c>
      <c r="G6913" s="3" t="s">
        <v>657</v>
      </c>
      <c r="H6913" s="2" t="s">
        <v>148</v>
      </c>
      <c r="I6913" s="2" t="s">
        <v>17723</v>
      </c>
      <c r="J6913" s="3" t="str">
        <f>HYPERLINK("https://www.boe.es/gazeta/dias/1811/09/13/pdfs/GMD-C-1811-256.pdf#page=4","Abrir facsímil")</f>
        <v>Abrir facsímil</v>
      </c>
      <c r="K6913" s="3" t="s">
        <v>150</v>
      </c>
    </row>
    <row r="6914" spans="1:11" ht="42" customHeight="1">
      <c r="A6914" s="2" t="s">
        <v>17720</v>
      </c>
      <c r="B6914" s="2" t="s">
        <v>17721</v>
      </c>
      <c r="C6914" s="2" t="s">
        <v>26</v>
      </c>
      <c r="D6914" s="2" t="s">
        <v>141</v>
      </c>
      <c r="E6914" s="4">
        <v>-32250</v>
      </c>
      <c r="F6914" s="3" t="s">
        <v>1178</v>
      </c>
      <c r="G6914" s="3" t="s">
        <v>20</v>
      </c>
      <c r="H6914" s="2" t="s">
        <v>148</v>
      </c>
      <c r="I6914" s="2" t="s">
        <v>17724</v>
      </c>
      <c r="J6914" s="3" t="str">
        <f>HYPERLINK("https://www.boe.es/gazeta/dias/1811/09/13/pdfs/GMD-C-1811-256.pdf#page=8","Abrir facsímil")</f>
        <v>Abrir facsímil</v>
      </c>
      <c r="K6914" s="3" t="s">
        <v>150</v>
      </c>
    </row>
    <row r="6915" spans="1:11" ht="42" customHeight="1">
      <c r="A6915" s="2" t="s">
        <v>17720</v>
      </c>
      <c r="B6915" s="2" t="s">
        <v>17721</v>
      </c>
      <c r="C6915" s="2" t="s">
        <v>26</v>
      </c>
      <c r="D6915" s="2" t="s">
        <v>141</v>
      </c>
      <c r="E6915" s="4">
        <v>-32250</v>
      </c>
      <c r="F6915" s="3" t="s">
        <v>1178</v>
      </c>
      <c r="G6915" s="3" t="s">
        <v>134</v>
      </c>
      <c r="H6915" s="2" t="s">
        <v>148</v>
      </c>
      <c r="I6915" s="2" t="s">
        <v>17725</v>
      </c>
      <c r="J6915" s="3" t="str">
        <f>HYPERLINK("https://www.boe.es/gazeta/dias/1811/09/13/pdfs/GMD-C-1811-256.pdf#page=11","Abrir facsímil")</f>
        <v>Abrir facsímil</v>
      </c>
      <c r="K6915" s="3" t="s">
        <v>150</v>
      </c>
    </row>
    <row r="6916" spans="1:11" ht="42" customHeight="1">
      <c r="A6916" s="2" t="s">
        <v>17726</v>
      </c>
      <c r="B6916" s="2" t="s">
        <v>17727</v>
      </c>
      <c r="C6916" s="2" t="s">
        <v>26</v>
      </c>
      <c r="D6916" s="2" t="s">
        <v>141</v>
      </c>
      <c r="E6916" s="4">
        <v>-32238</v>
      </c>
      <c r="F6916" s="3" t="s">
        <v>166</v>
      </c>
      <c r="G6916" s="3" t="s">
        <v>178</v>
      </c>
      <c r="H6916" s="2" t="s">
        <v>148</v>
      </c>
      <c r="I6916" s="2" t="s">
        <v>17728</v>
      </c>
      <c r="J6916" s="3" t="str">
        <f>HYPERLINK("https://www.boe.es/gazeta/dias/1811/09/25/pdfs/GMD-C-1811-268.pdf#page=4","Abrir facsímil")</f>
        <v>Abrir facsímil</v>
      </c>
      <c r="K6916" s="3" t="s">
        <v>150</v>
      </c>
    </row>
    <row r="6917" spans="1:11" ht="42" customHeight="1">
      <c r="A6917" s="2" t="s">
        <v>17729</v>
      </c>
      <c r="B6917" s="2" t="s">
        <v>17729</v>
      </c>
      <c r="C6917" s="2" t="s">
        <v>17</v>
      </c>
      <c r="D6917" s="2" t="s">
        <v>156</v>
      </c>
      <c r="E6917" s="4">
        <v>-32228</v>
      </c>
      <c r="F6917" s="3" t="s">
        <v>372</v>
      </c>
      <c r="G6917" s="3" t="s">
        <v>20</v>
      </c>
      <c r="H6917" s="2" t="s">
        <v>148</v>
      </c>
      <c r="I6917" s="2" t="s">
        <v>17730</v>
      </c>
      <c r="J6917" s="3" t="str">
        <f>HYPERLINK("https://www.boe.es/gazeta/dias/1811/10/05/pdfs/GEI-1811-128.pdf#page=8","Abrir facsímil")</f>
        <v>Abrir facsímil</v>
      </c>
      <c r="K6917" s="3" t="s">
        <v>150</v>
      </c>
    </row>
    <row r="6918" spans="1:11" ht="42" customHeight="1">
      <c r="A6918" s="2" t="s">
        <v>17731</v>
      </c>
      <c r="B6918" s="2" t="s">
        <v>17732</v>
      </c>
      <c r="C6918" s="2" t="s">
        <v>26</v>
      </c>
      <c r="D6918" s="2" t="s">
        <v>18</v>
      </c>
      <c r="E6918" s="4">
        <v>-32342</v>
      </c>
      <c r="F6918" s="3" t="s">
        <v>1474</v>
      </c>
      <c r="G6918" s="3" t="s">
        <v>44</v>
      </c>
      <c r="H6918" s="2" t="s">
        <v>148</v>
      </c>
      <c r="I6918" s="2" t="s">
        <v>17733</v>
      </c>
      <c r="J6918" s="3" t="str">
        <f>HYPERLINK("https://www.boe.es/gazeta/dias/1811/06/13/pdfs/GEI-1811-79.pdf#page=8","Abrir facsímil")</f>
        <v>Abrir facsímil</v>
      </c>
      <c r="K6918" s="3" t="s">
        <v>150</v>
      </c>
    </row>
    <row r="6919" spans="1:11" ht="42" customHeight="1">
      <c r="A6919" s="2" t="s">
        <v>17734</v>
      </c>
      <c r="B6919" s="2" t="s">
        <v>17735</v>
      </c>
      <c r="C6919" s="2" t="s">
        <v>17</v>
      </c>
      <c r="D6919" s="2" t="s">
        <v>156</v>
      </c>
      <c r="E6919" s="4">
        <v>-32192</v>
      </c>
      <c r="F6919" s="3" t="s">
        <v>673</v>
      </c>
      <c r="G6919" s="3" t="s">
        <v>8354</v>
      </c>
      <c r="H6919" s="2" t="s">
        <v>148</v>
      </c>
      <c r="I6919" s="2" t="s">
        <v>17736</v>
      </c>
      <c r="J6919" s="3" t="str">
        <f>HYPERLINK("https://www.boe.es/gazeta/dias/1811/11/10/pdfs/GMD-1811-314.pdf#page=3","Abrir facsímil")</f>
        <v>Abrir facsímil</v>
      </c>
      <c r="K6919" s="3" t="s">
        <v>150</v>
      </c>
    </row>
    <row r="6920" spans="1:11" ht="42" customHeight="1">
      <c r="A6920" s="2" t="s">
        <v>17737</v>
      </c>
      <c r="B6920" s="2" t="s">
        <v>17738</v>
      </c>
      <c r="C6920" s="2" t="s">
        <v>17</v>
      </c>
      <c r="D6920" s="2" t="s">
        <v>156</v>
      </c>
      <c r="E6920" s="4">
        <v>-32146</v>
      </c>
      <c r="F6920" s="3" t="s">
        <v>777</v>
      </c>
      <c r="G6920" s="3" t="s">
        <v>846</v>
      </c>
      <c r="H6920" s="2" t="s">
        <v>148</v>
      </c>
      <c r="I6920" s="2" t="s">
        <v>17739</v>
      </c>
      <c r="J6920" s="3" t="str">
        <f>HYPERLINK("https://www.boe.es/gazeta/dias/1811/12/26/pdfs/GEI-1811-167.pdf#page=8","Abrir facsímil")</f>
        <v>Abrir facsímil</v>
      </c>
      <c r="K6920" s="3" t="s">
        <v>150</v>
      </c>
    </row>
    <row r="6921" spans="1:11" ht="42" customHeight="1">
      <c r="A6921" s="2" t="s">
        <v>17740</v>
      </c>
      <c r="B6921" s="2" t="s">
        <v>17740</v>
      </c>
      <c r="C6921" s="2" t="s">
        <v>26</v>
      </c>
      <c r="D6921" s="2" t="s">
        <v>18</v>
      </c>
      <c r="E6921" s="4">
        <v>-32169</v>
      </c>
      <c r="F6921" s="3" t="s">
        <v>1702</v>
      </c>
      <c r="G6921" s="3" t="s">
        <v>1703</v>
      </c>
      <c r="H6921" s="2" t="s">
        <v>148</v>
      </c>
      <c r="I6921" s="2" t="s">
        <v>17741</v>
      </c>
      <c r="J6921" s="3" t="str">
        <f>HYPERLINK("https://www.boe.es/gazeta/dias/1811/12/03/pdfs/GEI-1811-157.pdf#page=4","Abrir facsímil")</f>
        <v>Abrir facsímil</v>
      </c>
      <c r="K6921" s="3" t="s">
        <v>150</v>
      </c>
    </row>
    <row r="6922" spans="1:11" ht="42" customHeight="1">
      <c r="A6922" s="2" t="s">
        <v>17742</v>
      </c>
      <c r="B6922" s="2" t="s">
        <v>17743</v>
      </c>
      <c r="C6922" s="2" t="s">
        <v>26</v>
      </c>
      <c r="D6922" s="2" t="s">
        <v>18</v>
      </c>
      <c r="E6922" s="4">
        <v>-32225</v>
      </c>
      <c r="F6922" s="3" t="s">
        <v>390</v>
      </c>
      <c r="G6922" s="3" t="s">
        <v>1368</v>
      </c>
      <c r="H6922" s="2" t="s">
        <v>148</v>
      </c>
      <c r="I6922" s="2" t="s">
        <v>17744</v>
      </c>
      <c r="J6922" s="3" t="str">
        <f>HYPERLINK("https://www.boe.es/gazeta/dias/1811/10/08/pdfs/GEI-1811-129.pdf#page=8","Abrir facsímil")</f>
        <v>Abrir facsímil</v>
      </c>
      <c r="K6922" s="3" t="s">
        <v>150</v>
      </c>
    </row>
    <row r="6923" spans="1:11" ht="42" customHeight="1">
      <c r="A6923" s="2" t="s">
        <v>17745</v>
      </c>
      <c r="B6923" s="2" t="s">
        <v>17746</v>
      </c>
      <c r="C6923" s="2" t="s">
        <v>37</v>
      </c>
      <c r="D6923" s="2" t="s">
        <v>18</v>
      </c>
      <c r="E6923" s="4">
        <v>-32258</v>
      </c>
      <c r="F6923" s="3" t="s">
        <v>449</v>
      </c>
      <c r="G6923" s="3" t="s">
        <v>903</v>
      </c>
      <c r="H6923" s="2" t="s">
        <v>148</v>
      </c>
      <c r="I6923" s="2" t="s">
        <v>17747</v>
      </c>
      <c r="J6923" s="3" t="str">
        <f>HYPERLINK("https://www.boe.es/gazeta/dias/1811/09/05/pdfs/GEI-1811-115.pdf#page=4","Abrir facsímil")</f>
        <v>Abrir facsímil</v>
      </c>
      <c r="K6923" s="3" t="s">
        <v>150</v>
      </c>
    </row>
    <row r="6924" spans="1:11" ht="42" customHeight="1">
      <c r="A6924" s="2" t="s">
        <v>17748</v>
      </c>
      <c r="B6924" s="2" t="s">
        <v>17749</v>
      </c>
      <c r="C6924" s="2" t="s">
        <v>26</v>
      </c>
      <c r="D6924" s="2" t="s">
        <v>18</v>
      </c>
      <c r="E6924" s="4">
        <v>-32188</v>
      </c>
      <c r="F6924" s="3" t="s">
        <v>356</v>
      </c>
      <c r="G6924" s="3" t="s">
        <v>248</v>
      </c>
      <c r="H6924" s="2" t="s">
        <v>148</v>
      </c>
      <c r="I6924" s="2" t="s">
        <v>17750</v>
      </c>
      <c r="J6924" s="3" t="str">
        <f>HYPERLINK("https://www.boe.es/gazeta/dias/1811/11/14/pdfs/GMD-1811-318.pdf#page=5","Abrir facsímil")</f>
        <v>Abrir facsímil</v>
      </c>
      <c r="K6924" s="3" t="s">
        <v>150</v>
      </c>
    </row>
    <row r="6925" spans="1:11" ht="42" customHeight="1">
      <c r="A6925" s="2" t="s">
        <v>17751</v>
      </c>
      <c r="B6925" s="2" t="s">
        <v>17751</v>
      </c>
      <c r="C6925" s="2" t="s">
        <v>17</v>
      </c>
      <c r="D6925" s="2" t="s">
        <v>18</v>
      </c>
      <c r="E6925" s="4">
        <v>-32418</v>
      </c>
      <c r="F6925" s="3" t="s">
        <v>9181</v>
      </c>
      <c r="G6925" s="3" t="s">
        <v>47</v>
      </c>
      <c r="H6925" s="2" t="s">
        <v>148</v>
      </c>
      <c r="I6925" s="2" t="s">
        <v>17752</v>
      </c>
      <c r="J6925" s="3" t="str">
        <f>HYPERLINK("https://www.boe.es/gazeta/dias/1811/03/29/pdfs/GMD-1811-88.pdf#page=3","Abrir facsímil")</f>
        <v>Abrir facsímil</v>
      </c>
      <c r="K6925" s="3" t="s">
        <v>150</v>
      </c>
    </row>
    <row r="6926" spans="1:11" ht="42" customHeight="1">
      <c r="A6926" s="2" t="s">
        <v>17753</v>
      </c>
      <c r="B6926" s="2" t="s">
        <v>17754</v>
      </c>
      <c r="C6926" s="2" t="s">
        <v>17</v>
      </c>
      <c r="D6926" s="2" t="s">
        <v>18</v>
      </c>
      <c r="E6926" s="4">
        <v>-32363</v>
      </c>
      <c r="F6926" s="3" t="s">
        <v>1645</v>
      </c>
      <c r="G6926" s="3" t="s">
        <v>1646</v>
      </c>
      <c r="H6926" s="2" t="s">
        <v>148</v>
      </c>
      <c r="I6926" s="2" t="s">
        <v>17755</v>
      </c>
      <c r="J6926" s="3" t="str">
        <f>HYPERLINK("https://www.boe.es/gazeta/dias/1811/05/23/pdfs/GEI-1811-68.pdf#page=8","Abrir facsímil")</f>
        <v>Abrir facsímil</v>
      </c>
      <c r="K6926" s="3" t="s">
        <v>150</v>
      </c>
    </row>
    <row r="6927" spans="1:11" ht="42" customHeight="1">
      <c r="A6927" s="2" t="s">
        <v>17756</v>
      </c>
      <c r="B6927" s="2" t="s">
        <v>17757</v>
      </c>
      <c r="C6927" s="2" t="s">
        <v>26</v>
      </c>
      <c r="D6927" s="2" t="s">
        <v>18</v>
      </c>
      <c r="E6927" s="4">
        <v>-32200</v>
      </c>
      <c r="F6927" s="3" t="s">
        <v>109</v>
      </c>
      <c r="G6927" s="3" t="s">
        <v>268</v>
      </c>
      <c r="H6927" s="2" t="s">
        <v>148</v>
      </c>
      <c r="I6927" s="2" t="s">
        <v>17758</v>
      </c>
      <c r="J6927" s="3" t="str">
        <f>HYPERLINK("https://www.boe.es/gazeta/dias/1811/11/02/pdfs/GEI-1811-141.pdf#page=7","Abrir facsímil")</f>
        <v>Abrir facsímil</v>
      </c>
      <c r="K6927" s="3" t="s">
        <v>150</v>
      </c>
    </row>
    <row r="6928" spans="1:11" ht="42" customHeight="1">
      <c r="A6928" s="2" t="s">
        <v>17759</v>
      </c>
      <c r="B6928" s="2" t="s">
        <v>17759</v>
      </c>
      <c r="C6928" s="2" t="s">
        <v>17</v>
      </c>
      <c r="D6928" s="2" t="s">
        <v>156</v>
      </c>
      <c r="E6928" s="4">
        <v>-32330</v>
      </c>
      <c r="F6928" s="3" t="s">
        <v>1824</v>
      </c>
      <c r="G6928" s="3" t="s">
        <v>891</v>
      </c>
      <c r="H6928" s="2" t="s">
        <v>148</v>
      </c>
      <c r="I6928" s="2" t="s">
        <v>17760</v>
      </c>
      <c r="J6928" s="3" t="str">
        <f>HYPERLINK("https://www.boe.es/gazeta/dias/1811/06/25/pdfs/GEI-1811-84.pdf#page=2","Abrir facsímil")</f>
        <v>Abrir facsímil</v>
      </c>
      <c r="K6928" s="3" t="s">
        <v>150</v>
      </c>
    </row>
    <row r="6929" spans="1:11" ht="42" customHeight="1">
      <c r="A6929" s="2" t="s">
        <v>17761</v>
      </c>
      <c r="B6929" s="2" t="s">
        <v>17762</v>
      </c>
      <c r="C6929" s="2" t="s">
        <v>17</v>
      </c>
      <c r="D6929" s="2" t="s">
        <v>18</v>
      </c>
      <c r="E6929" s="4">
        <v>-32421</v>
      </c>
      <c r="F6929" s="3" t="s">
        <v>79</v>
      </c>
      <c r="G6929" s="3" t="s">
        <v>8682</v>
      </c>
      <c r="H6929" s="2" t="s">
        <v>148</v>
      </c>
      <c r="I6929" s="2" t="s">
        <v>17763</v>
      </c>
      <c r="J6929" s="3" t="str">
        <f>HYPERLINK("https://www.boe.es/gazeta/dias/1811/03/26/pdfs/GEI-1811-42.pdf#page=4","Abrir facsímil")</f>
        <v>Abrir facsímil</v>
      </c>
      <c r="K6929" s="3" t="s">
        <v>150</v>
      </c>
    </row>
    <row r="6930" spans="1:11" ht="42" customHeight="1">
      <c r="A6930" s="2" t="s">
        <v>17764</v>
      </c>
      <c r="B6930" s="2" t="s">
        <v>17765</v>
      </c>
      <c r="C6930" s="2" t="s">
        <v>26</v>
      </c>
      <c r="D6930" s="2" t="s">
        <v>18</v>
      </c>
      <c r="E6930" s="4">
        <v>-32242</v>
      </c>
      <c r="F6930" s="3" t="s">
        <v>1295</v>
      </c>
      <c r="G6930" s="3" t="s">
        <v>1296</v>
      </c>
      <c r="H6930" s="2" t="s">
        <v>148</v>
      </c>
      <c r="I6930" s="2" t="s">
        <v>17766</v>
      </c>
      <c r="J6930" s="3" t="str">
        <f>HYPERLINK("https://www.boe.es/gazeta/dias/1811/09/21/pdfs/GEI-1811-122.pdf#page=8","Abrir facsímil")</f>
        <v>Abrir facsímil</v>
      </c>
      <c r="K6930" s="3" t="s">
        <v>150</v>
      </c>
    </row>
    <row r="6931" spans="1:11" ht="42" customHeight="1">
      <c r="A6931" s="2" t="s">
        <v>17767</v>
      </c>
      <c r="B6931" s="2" t="s">
        <v>17768</v>
      </c>
      <c r="C6931" s="2" t="s">
        <v>17</v>
      </c>
      <c r="D6931" s="2" t="s">
        <v>18</v>
      </c>
      <c r="E6931" s="4">
        <v>-32179</v>
      </c>
      <c r="F6931" s="3" t="s">
        <v>614</v>
      </c>
      <c r="G6931" s="3" t="s">
        <v>11939</v>
      </c>
      <c r="H6931" s="2" t="s">
        <v>148</v>
      </c>
      <c r="I6931" s="2" t="s">
        <v>17769</v>
      </c>
      <c r="J6931" s="3" t="str">
        <f>HYPERLINK("https://www.boe.es/gazeta/dias/1811/11/23/pdfs/GEI-1811-153.pdf#page=3","Abrir facsímil")</f>
        <v>Abrir facsímil</v>
      </c>
      <c r="K6931" s="3" t="s">
        <v>150</v>
      </c>
    </row>
    <row r="6932" spans="1:11" ht="42" customHeight="1">
      <c r="A6932" s="2" t="s">
        <v>17770</v>
      </c>
      <c r="B6932" s="2" t="s">
        <v>17770</v>
      </c>
      <c r="C6932" s="2" t="s">
        <v>17</v>
      </c>
      <c r="D6932" s="2" t="s">
        <v>156</v>
      </c>
      <c r="E6932" s="4">
        <v>-32249</v>
      </c>
      <c r="F6932" s="3" t="s">
        <v>182</v>
      </c>
      <c r="G6932" s="3" t="s">
        <v>162</v>
      </c>
      <c r="H6932" s="2" t="s">
        <v>148</v>
      </c>
      <c r="I6932" s="2" t="s">
        <v>17771</v>
      </c>
      <c r="J6932" s="3" t="str">
        <f>HYPERLINK("https://www.boe.es/gazeta/dias/1811/09/14/pdfs/GMD-1811-257.pdf#page=1","Abrir facsímil")</f>
        <v>Abrir facsímil</v>
      </c>
      <c r="K6932" s="3" t="s">
        <v>150</v>
      </c>
    </row>
    <row r="6933" spans="1:11" ht="42" customHeight="1">
      <c r="A6933" s="2" t="s">
        <v>17772</v>
      </c>
      <c r="B6933" s="2" t="s">
        <v>17773</v>
      </c>
      <c r="C6933" s="2" t="s">
        <v>84</v>
      </c>
      <c r="D6933" s="2" t="s">
        <v>18</v>
      </c>
      <c r="E6933" s="4">
        <v>-32417</v>
      </c>
      <c r="F6933" s="3" t="s">
        <v>604</v>
      </c>
      <c r="G6933" s="3" t="s">
        <v>178</v>
      </c>
      <c r="H6933" s="2" t="s">
        <v>148</v>
      </c>
      <c r="I6933" s="2" t="s">
        <v>17774</v>
      </c>
      <c r="J6933" s="3" t="str">
        <f>HYPERLINK("https://www.boe.es/gazeta/dias/1811/03/30/pdfs/GMD-1811-89.pdf#page=3","Abrir facsímil")</f>
        <v>Abrir facsímil</v>
      </c>
      <c r="K6933" s="3" t="s">
        <v>150</v>
      </c>
    </row>
    <row r="6934" spans="1:11" ht="42" customHeight="1">
      <c r="A6934" s="2" t="s">
        <v>17775</v>
      </c>
      <c r="B6934" s="2" t="s">
        <v>17776</v>
      </c>
      <c r="C6934" s="2" t="s">
        <v>26</v>
      </c>
      <c r="D6934" s="2" t="s">
        <v>18</v>
      </c>
      <c r="E6934" s="4">
        <v>-32200</v>
      </c>
      <c r="F6934" s="3" t="s">
        <v>109</v>
      </c>
      <c r="G6934" s="3" t="s">
        <v>268</v>
      </c>
      <c r="H6934" s="2" t="s">
        <v>148</v>
      </c>
      <c r="I6934" s="2" t="s">
        <v>17777</v>
      </c>
      <c r="J6934" s="3" t="str">
        <f>HYPERLINK("https://www.boe.es/gazeta/dias/1811/11/02/pdfs/GEI-1811-141.pdf#page=7","Abrir facsímil")</f>
        <v>Abrir facsímil</v>
      </c>
      <c r="K6934" s="3" t="s">
        <v>150</v>
      </c>
    </row>
    <row r="6935" spans="1:11" ht="42" customHeight="1">
      <c r="A6935" s="2" t="s">
        <v>17778</v>
      </c>
      <c r="B6935" s="2" t="s">
        <v>17779</v>
      </c>
      <c r="C6935" s="2" t="s">
        <v>104</v>
      </c>
      <c r="D6935" s="2" t="s">
        <v>18</v>
      </c>
      <c r="E6935" s="4">
        <v>-32298</v>
      </c>
      <c r="F6935" s="3" t="s">
        <v>2813</v>
      </c>
      <c r="G6935" s="3" t="s">
        <v>162</v>
      </c>
      <c r="H6935" s="2" t="s">
        <v>148</v>
      </c>
      <c r="I6935" s="2" t="s">
        <v>17780</v>
      </c>
      <c r="J6935" s="3" t="str">
        <f>HYPERLINK("https://www.boe.es/gazeta/dias/1811/07/27/pdfs/GMD-1811-208.pdf#page=4","Abrir facsímil")</f>
        <v>Abrir facsímil</v>
      </c>
      <c r="K6935" s="3" t="s">
        <v>150</v>
      </c>
    </row>
    <row r="6936" spans="1:11" ht="42" customHeight="1">
      <c r="A6936" s="2" t="s">
        <v>17781</v>
      </c>
      <c r="B6936" s="2" t="s">
        <v>17781</v>
      </c>
      <c r="C6936" s="2" t="s">
        <v>17</v>
      </c>
      <c r="D6936" s="2" t="s">
        <v>156</v>
      </c>
      <c r="E6936" s="4">
        <v>-32227</v>
      </c>
      <c r="F6936" s="3" t="s">
        <v>4688</v>
      </c>
      <c r="G6936" s="3" t="s">
        <v>248</v>
      </c>
      <c r="H6936" s="2" t="s">
        <v>148</v>
      </c>
      <c r="I6936" s="2" t="s">
        <v>17782</v>
      </c>
      <c r="J6936" s="3" t="str">
        <f>HYPERLINK("https://www.boe.es/gazeta/dias/1811/10/06/pdfs/GMD-1811-279.pdf#page=3","Abrir facsímil")</f>
        <v>Abrir facsímil</v>
      </c>
      <c r="K6936" s="3" t="s">
        <v>150</v>
      </c>
    </row>
    <row r="6937" spans="1:11" ht="42" customHeight="1">
      <c r="A6937" s="2" t="s">
        <v>17783</v>
      </c>
      <c r="B6937" s="2" t="s">
        <v>17783</v>
      </c>
      <c r="C6937" s="2" t="s">
        <v>17</v>
      </c>
      <c r="D6937" s="2" t="s">
        <v>204</v>
      </c>
      <c r="E6937" s="4">
        <v>-32405</v>
      </c>
      <c r="F6937" s="3" t="s">
        <v>363</v>
      </c>
      <c r="G6937" s="3" t="s">
        <v>47</v>
      </c>
      <c r="H6937" s="2" t="s">
        <v>148</v>
      </c>
      <c r="I6937" s="2" t="s">
        <v>17784</v>
      </c>
      <c r="J6937" s="3" t="str">
        <f>HYPERLINK("https://www.boe.es/gazeta/dias/1811/04/11/pdfs/GMD-1811-101.pdf#page=3","Abrir facsímil")</f>
        <v>Abrir facsímil</v>
      </c>
      <c r="K6937" s="3" t="s">
        <v>150</v>
      </c>
    </row>
    <row r="6938" spans="1:11" ht="42" customHeight="1">
      <c r="A6938" s="2" t="s">
        <v>17785</v>
      </c>
      <c r="B6938" s="2" t="s">
        <v>17786</v>
      </c>
      <c r="C6938" s="2" t="s">
        <v>17</v>
      </c>
      <c r="D6938" s="2" t="s">
        <v>18</v>
      </c>
      <c r="E6938" s="4">
        <v>-32149</v>
      </c>
      <c r="F6938" s="3" t="s">
        <v>2292</v>
      </c>
      <c r="G6938" s="3" t="s">
        <v>183</v>
      </c>
      <c r="H6938" s="2" t="s">
        <v>148</v>
      </c>
      <c r="I6938" s="2" t="s">
        <v>17787</v>
      </c>
      <c r="J6938" s="3" t="str">
        <f>HYPERLINK("https://www.boe.es/gazeta/dias/1811/12/23/pdfs/GMD-1811-357.pdf#page=4","Abrir facsímil")</f>
        <v>Abrir facsímil</v>
      </c>
      <c r="K6938" s="3" t="s">
        <v>150</v>
      </c>
    </row>
    <row r="6939" spans="1:11" ht="42" customHeight="1">
      <c r="A6939" s="2" t="s">
        <v>17788</v>
      </c>
      <c r="B6939" s="2" t="s">
        <v>17789</v>
      </c>
      <c r="C6939" s="2" t="s">
        <v>26</v>
      </c>
      <c r="D6939" s="2" t="s">
        <v>18</v>
      </c>
      <c r="E6939" s="4">
        <v>-32459</v>
      </c>
      <c r="F6939" s="3" t="s">
        <v>1034</v>
      </c>
      <c r="G6939" s="3" t="s">
        <v>510</v>
      </c>
      <c r="H6939" s="2" t="s">
        <v>148</v>
      </c>
      <c r="I6939" s="2" t="s">
        <v>17790</v>
      </c>
      <c r="J6939" s="3" t="str">
        <f>HYPERLINK("https://www.boe.es/gazeta/dias/1811/02/16/pdfs/GEI-1811-21.pdf#page=8","Abrir facsímil")</f>
        <v>Abrir facsímil</v>
      </c>
      <c r="K6939" s="3" t="s">
        <v>150</v>
      </c>
    </row>
    <row r="6940" spans="1:11" ht="42" customHeight="1">
      <c r="A6940" s="2" t="s">
        <v>17791</v>
      </c>
      <c r="B6940" s="2" t="s">
        <v>17792</v>
      </c>
      <c r="C6940" s="2" t="s">
        <v>17</v>
      </c>
      <c r="D6940" s="2" t="s">
        <v>18</v>
      </c>
      <c r="E6940" s="4">
        <v>-32428</v>
      </c>
      <c r="F6940" s="3" t="s">
        <v>1974</v>
      </c>
      <c r="G6940" s="3" t="s">
        <v>4738</v>
      </c>
      <c r="H6940" s="2" t="s">
        <v>148</v>
      </c>
      <c r="I6940" s="2" t="s">
        <v>17793</v>
      </c>
      <c r="J6940" s="3" t="str">
        <f>HYPERLINK("https://www.boe.es/gazeta/dias/1811/03/19/pdfs/GEI-1811-39.pdf#page=8","Abrir facsímil")</f>
        <v>Abrir facsímil</v>
      </c>
      <c r="K6940" s="3" t="s">
        <v>150</v>
      </c>
    </row>
    <row r="6941" spans="1:11" ht="42" customHeight="1">
      <c r="A6941" s="2" t="s">
        <v>17794</v>
      </c>
      <c r="B6941" s="2" t="s">
        <v>17795</v>
      </c>
      <c r="C6941" s="2" t="s">
        <v>17</v>
      </c>
      <c r="D6941" s="2" t="s">
        <v>18</v>
      </c>
      <c r="E6941" s="4">
        <v>-32428</v>
      </c>
      <c r="F6941" s="3" t="s">
        <v>1974</v>
      </c>
      <c r="G6941" s="3" t="s">
        <v>4738</v>
      </c>
      <c r="H6941" s="2" t="s">
        <v>148</v>
      </c>
      <c r="I6941" s="2" t="s">
        <v>17796</v>
      </c>
      <c r="J6941" s="3" t="str">
        <f>HYPERLINK("https://www.boe.es/gazeta/dias/1811/03/19/pdfs/GEI-1811-39.pdf#page=8","Abrir facsímil")</f>
        <v>Abrir facsímil</v>
      </c>
      <c r="K6941" s="3" t="s">
        <v>150</v>
      </c>
    </row>
    <row r="6942" spans="1:11" ht="42" customHeight="1">
      <c r="A6942" s="2" t="s">
        <v>17797</v>
      </c>
      <c r="B6942" s="2" t="s">
        <v>17798</v>
      </c>
      <c r="C6942" s="2" t="s">
        <v>26</v>
      </c>
      <c r="D6942" s="2" t="s">
        <v>18</v>
      </c>
      <c r="E6942" s="4">
        <v>-32363</v>
      </c>
      <c r="F6942" s="3" t="s">
        <v>4788</v>
      </c>
      <c r="G6942" s="3" t="s">
        <v>5259</v>
      </c>
      <c r="H6942" s="2" t="s">
        <v>148</v>
      </c>
      <c r="I6942" s="2" t="s">
        <v>17799</v>
      </c>
      <c r="J6942" s="3" t="str">
        <f>HYPERLINK("https://www.boe.es/gazeta/dias/1811/05/23/pdfs/GMD-1811-143.pdf#page=2","Abrir facsímil")</f>
        <v>Abrir facsímil</v>
      </c>
      <c r="K6942" s="3" t="s">
        <v>150</v>
      </c>
    </row>
    <row r="6943" spans="1:11" ht="42" customHeight="1">
      <c r="A6943" s="2" t="s">
        <v>17800</v>
      </c>
      <c r="B6943" s="2" t="s">
        <v>17800</v>
      </c>
      <c r="C6943" s="2" t="s">
        <v>17</v>
      </c>
      <c r="D6943" s="2" t="s">
        <v>156</v>
      </c>
      <c r="E6943" s="4">
        <v>-32235</v>
      </c>
      <c r="F6943" s="3" t="s">
        <v>190</v>
      </c>
      <c r="G6943" s="3" t="s">
        <v>191</v>
      </c>
      <c r="H6943" s="2" t="s">
        <v>148</v>
      </c>
      <c r="I6943" s="2" t="s">
        <v>17801</v>
      </c>
      <c r="J6943" s="3" t="str">
        <f>HYPERLINK("https://www.boe.es/gazeta/dias/1811/09/28/pdfs/GEI-1811-125.pdf#page=3","Abrir facsímil")</f>
        <v>Abrir facsímil</v>
      </c>
      <c r="K6943" s="3" t="s">
        <v>150</v>
      </c>
    </row>
    <row r="6944" spans="1:11" ht="42" customHeight="1">
      <c r="A6944" s="2" t="s">
        <v>17802</v>
      </c>
      <c r="B6944" s="2" t="s">
        <v>17802</v>
      </c>
      <c r="C6944" s="2" t="s">
        <v>37</v>
      </c>
      <c r="D6944" s="2" t="s">
        <v>105</v>
      </c>
      <c r="E6944" s="4">
        <v>-32141</v>
      </c>
      <c r="F6944" s="3" t="s">
        <v>308</v>
      </c>
      <c r="G6944" s="3" t="s">
        <v>1198</v>
      </c>
      <c r="H6944" s="2" t="s">
        <v>148</v>
      </c>
      <c r="I6944" s="2" t="s">
        <v>17803</v>
      </c>
      <c r="J6944" s="3" t="str">
        <f>HYPERLINK("https://www.boe.es/gazeta/dias/1811/12/31/pdfs/GEI-1811-169.pdf#page=8","Abrir facsímil")</f>
        <v>Abrir facsímil</v>
      </c>
      <c r="K6944" s="3" t="s">
        <v>150</v>
      </c>
    </row>
    <row r="6945" spans="1:11" ht="42" customHeight="1">
      <c r="A6945" s="2" t="s">
        <v>17804</v>
      </c>
      <c r="B6945" s="2" t="s">
        <v>17805</v>
      </c>
      <c r="C6945" s="2" t="s">
        <v>26</v>
      </c>
      <c r="D6945" s="2" t="s">
        <v>18</v>
      </c>
      <c r="E6945" s="4">
        <v>-32326</v>
      </c>
      <c r="F6945" s="3" t="s">
        <v>43</v>
      </c>
      <c r="G6945" s="3" t="s">
        <v>44</v>
      </c>
      <c r="H6945" s="2" t="s">
        <v>148</v>
      </c>
      <c r="I6945" s="2" t="s">
        <v>17806</v>
      </c>
      <c r="J6945" s="3" t="str">
        <f>HYPERLINK("https://www.boe.es/gazeta/dias/1811/06/29/pdfs/GEI-1811-86.pdf#page=6","Abrir facsímil")</f>
        <v>Abrir facsímil</v>
      </c>
      <c r="K6945" s="3" t="s">
        <v>150</v>
      </c>
    </row>
    <row r="6946" spans="1:11" ht="42" customHeight="1">
      <c r="A6946" s="2" t="s">
        <v>17807</v>
      </c>
      <c r="B6946" s="2" t="s">
        <v>17808</v>
      </c>
      <c r="C6946" s="2" t="s">
        <v>17</v>
      </c>
      <c r="D6946" s="2" t="s">
        <v>156</v>
      </c>
      <c r="E6946" s="4">
        <v>-32246</v>
      </c>
      <c r="F6946" s="3" t="s">
        <v>19</v>
      </c>
      <c r="G6946" s="3" t="s">
        <v>891</v>
      </c>
      <c r="H6946" s="2" t="s">
        <v>148</v>
      </c>
      <c r="I6946" s="2" t="s">
        <v>17809</v>
      </c>
      <c r="J6946" s="3" t="str">
        <f>HYPERLINK("https://www.boe.es/gazeta/dias/1811/09/17/pdfs/GEI-1811-120.pdf#page=5","Abrir facsímil")</f>
        <v>Abrir facsímil</v>
      </c>
      <c r="K6946" s="3" t="s">
        <v>150</v>
      </c>
    </row>
    <row r="6947" spans="1:11" ht="42" customHeight="1">
      <c r="A6947" s="2" t="s">
        <v>17810</v>
      </c>
      <c r="B6947" s="2" t="s">
        <v>17811</v>
      </c>
      <c r="C6947" s="2" t="s">
        <v>26</v>
      </c>
      <c r="D6947" s="2" t="s">
        <v>18</v>
      </c>
      <c r="E6947" s="4">
        <v>-32300</v>
      </c>
      <c r="F6947" s="3" t="s">
        <v>61</v>
      </c>
      <c r="G6947" s="3" t="s">
        <v>62</v>
      </c>
      <c r="H6947" s="2" t="s">
        <v>148</v>
      </c>
      <c r="I6947" s="2" t="s">
        <v>17812</v>
      </c>
      <c r="J6947" s="3" t="str">
        <f>HYPERLINK("https://www.boe.es/gazeta/dias/1811/07/25/pdfs/GEI-1811-97.pdf#page=5","Abrir facsímil")</f>
        <v>Abrir facsímil</v>
      </c>
      <c r="K6947" s="3" t="s">
        <v>150</v>
      </c>
    </row>
    <row r="6948" spans="1:11" ht="42" customHeight="1">
      <c r="A6948" s="2" t="s">
        <v>17813</v>
      </c>
      <c r="B6948" s="2" t="s">
        <v>17813</v>
      </c>
      <c r="C6948" s="2" t="s">
        <v>26</v>
      </c>
      <c r="D6948" s="2" t="s">
        <v>18</v>
      </c>
      <c r="E6948" s="4">
        <v>-32422</v>
      </c>
      <c r="F6948" s="3" t="s">
        <v>5675</v>
      </c>
      <c r="G6948" s="3" t="s">
        <v>13701</v>
      </c>
      <c r="H6948" s="2" t="s">
        <v>148</v>
      </c>
      <c r="I6948" s="2" t="s">
        <v>17814</v>
      </c>
      <c r="J6948" s="3" t="str">
        <f>HYPERLINK("https://www.boe.es/gazeta/dias/1811/03/25/pdfs/GMD-1811-84.pdf#page=1","Abrir facsímil")</f>
        <v>Abrir facsímil</v>
      </c>
      <c r="K6948" s="3" t="s">
        <v>150</v>
      </c>
    </row>
    <row r="6949" spans="1:11" ht="42" customHeight="1">
      <c r="A6949" s="2" t="s">
        <v>17813</v>
      </c>
      <c r="B6949" s="2" t="s">
        <v>17813</v>
      </c>
      <c r="C6949" s="2" t="s">
        <v>26</v>
      </c>
      <c r="D6949" s="2" t="s">
        <v>18</v>
      </c>
      <c r="E6949" s="4">
        <v>-32413</v>
      </c>
      <c r="F6949" s="3" t="s">
        <v>5311</v>
      </c>
      <c r="G6949" s="3" t="s">
        <v>1184</v>
      </c>
      <c r="H6949" s="2" t="s">
        <v>148</v>
      </c>
      <c r="I6949" s="2" t="s">
        <v>17815</v>
      </c>
      <c r="J6949" s="3" t="str">
        <f>HYPERLINK("https://www.boe.es/gazeta/dias/1811/04/03/pdfs/GMD-1811-93.pdf#page=2","Abrir facsímil")</f>
        <v>Abrir facsímil</v>
      </c>
      <c r="K6949" s="3" t="s">
        <v>150</v>
      </c>
    </row>
    <row r="6950" spans="1:11" ht="42" customHeight="1">
      <c r="A6950" s="2" t="s">
        <v>17816</v>
      </c>
      <c r="B6950" s="2" t="s">
        <v>17817</v>
      </c>
      <c r="C6950" s="2" t="s">
        <v>26</v>
      </c>
      <c r="D6950" s="2" t="s">
        <v>18</v>
      </c>
      <c r="E6950" s="4">
        <v>-32422</v>
      </c>
      <c r="F6950" s="3" t="s">
        <v>5675</v>
      </c>
      <c r="G6950" s="3" t="s">
        <v>13701</v>
      </c>
      <c r="H6950" s="2" t="s">
        <v>148</v>
      </c>
      <c r="I6950" s="2" t="s">
        <v>17818</v>
      </c>
      <c r="J6950" s="3" t="str">
        <f>HYPERLINK("https://www.boe.es/gazeta/dias/1811/03/25/pdfs/GMD-1811-84.pdf#page=1","Abrir facsímil")</f>
        <v>Abrir facsímil</v>
      </c>
      <c r="K6950" s="3" t="s">
        <v>150</v>
      </c>
    </row>
    <row r="6951" spans="1:11" ht="42" customHeight="1">
      <c r="A6951" s="2" t="s">
        <v>17819</v>
      </c>
      <c r="B6951" s="2" t="s">
        <v>17820</v>
      </c>
      <c r="C6951" s="2" t="s">
        <v>26</v>
      </c>
      <c r="D6951" s="2" t="s">
        <v>18</v>
      </c>
      <c r="E6951" s="4">
        <v>-32396</v>
      </c>
      <c r="F6951" s="3" t="s">
        <v>1267</v>
      </c>
      <c r="G6951" s="3" t="s">
        <v>382</v>
      </c>
      <c r="H6951" s="2" t="s">
        <v>148</v>
      </c>
      <c r="I6951" s="2" t="s">
        <v>17821</v>
      </c>
      <c r="J6951" s="3" t="str">
        <f>HYPERLINK("https://www.boe.es/gazeta/dias/1811/04/20/pdfs/GMD-1811-110.pdf#page=2","Abrir facsímil")</f>
        <v>Abrir facsímil</v>
      </c>
      <c r="K6951" s="3" t="s">
        <v>150</v>
      </c>
    </row>
    <row r="6952" spans="1:11" ht="42" customHeight="1">
      <c r="A6952" s="2" t="s">
        <v>17822</v>
      </c>
      <c r="B6952" s="2" t="s">
        <v>17823</v>
      </c>
      <c r="C6952" s="2" t="s">
        <v>104</v>
      </c>
      <c r="D6952" s="2" t="s">
        <v>18</v>
      </c>
      <c r="E6952" s="4">
        <v>-32263</v>
      </c>
      <c r="F6952" s="3" t="s">
        <v>128</v>
      </c>
      <c r="G6952" s="3" t="s">
        <v>925</v>
      </c>
      <c r="H6952" s="2" t="s">
        <v>148</v>
      </c>
      <c r="I6952" s="2" t="s">
        <v>17824</v>
      </c>
      <c r="J6952" s="3" t="str">
        <f>HYPERLINK("https://www.boe.es/gazeta/dias/1811/08/31/pdfs/GEI-1811-113.pdf#page=7","Abrir facsímil")</f>
        <v>Abrir facsímil</v>
      </c>
      <c r="K6952" s="3" t="s">
        <v>150</v>
      </c>
    </row>
    <row r="6953" spans="1:11" ht="42" customHeight="1">
      <c r="A6953" s="2" t="s">
        <v>17825</v>
      </c>
      <c r="B6953" s="2" t="s">
        <v>17826</v>
      </c>
      <c r="C6953" s="2" t="s">
        <v>26</v>
      </c>
      <c r="D6953" s="2" t="s">
        <v>18</v>
      </c>
      <c r="E6953" s="4">
        <v>-32412</v>
      </c>
      <c r="F6953" s="3" t="s">
        <v>998</v>
      </c>
      <c r="G6953" s="3" t="s">
        <v>178</v>
      </c>
      <c r="H6953" s="2" t="s">
        <v>148</v>
      </c>
      <c r="I6953" s="2" t="s">
        <v>17827</v>
      </c>
      <c r="J6953" s="3" t="str">
        <f>HYPERLINK("https://www.boe.es/gazeta/dias/1811/04/04/pdfs/GEI-1811-46.pdf#page=5","Abrir facsímil")</f>
        <v>Abrir facsímil</v>
      </c>
      <c r="K6953" s="3" t="s">
        <v>150</v>
      </c>
    </row>
    <row r="6954" spans="1:11" ht="42" customHeight="1">
      <c r="A6954" s="2" t="s">
        <v>17828</v>
      </c>
      <c r="B6954" s="2" t="s">
        <v>17828</v>
      </c>
      <c r="C6954" s="2" t="s">
        <v>26</v>
      </c>
      <c r="D6954" s="2" t="s">
        <v>18</v>
      </c>
      <c r="E6954" s="4">
        <v>-32258</v>
      </c>
      <c r="F6954" s="3" t="s">
        <v>7467</v>
      </c>
      <c r="G6954" s="3" t="s">
        <v>47</v>
      </c>
      <c r="H6954" s="2" t="s">
        <v>148</v>
      </c>
      <c r="I6954" s="2" t="s">
        <v>17829</v>
      </c>
      <c r="J6954" s="3" t="str">
        <f>HYPERLINK("https://www.boe.es/gazeta/dias/1811/09/05/pdfs/GMD-1811-248.pdf#page=3","Abrir facsímil")</f>
        <v>Abrir facsímil</v>
      </c>
      <c r="K6954" s="3" t="s">
        <v>150</v>
      </c>
    </row>
    <row r="6955" spans="1:11" ht="42" customHeight="1">
      <c r="A6955" s="2" t="s">
        <v>17830</v>
      </c>
      <c r="B6955" s="2" t="s">
        <v>17830</v>
      </c>
      <c r="C6955" s="2" t="s">
        <v>17</v>
      </c>
      <c r="D6955" s="2" t="s">
        <v>156</v>
      </c>
      <c r="E6955" s="4">
        <v>-32237</v>
      </c>
      <c r="F6955" s="3" t="s">
        <v>717</v>
      </c>
      <c r="G6955" s="3" t="s">
        <v>17831</v>
      </c>
      <c r="H6955" s="2" t="s">
        <v>148</v>
      </c>
      <c r="I6955" s="2" t="s">
        <v>17832</v>
      </c>
      <c r="J6955" s="3" t="str">
        <f>HYPERLINK("https://www.boe.es/gazeta/dias/1811/09/26/pdfs/GEI-1811-124.pdf#page=2","Abrir facsímil")</f>
        <v>Abrir facsímil</v>
      </c>
      <c r="K6955" s="3" t="s">
        <v>150</v>
      </c>
    </row>
    <row r="6956" spans="1:11" ht="42" customHeight="1">
      <c r="A6956" s="2" t="s">
        <v>17833</v>
      </c>
      <c r="B6956" s="2" t="s">
        <v>17834</v>
      </c>
      <c r="C6956" s="2" t="s">
        <v>26</v>
      </c>
      <c r="D6956" s="2" t="s">
        <v>18</v>
      </c>
      <c r="E6956" s="4">
        <v>-32144</v>
      </c>
      <c r="F6956" s="3" t="s">
        <v>1097</v>
      </c>
      <c r="G6956" s="3" t="s">
        <v>2019</v>
      </c>
      <c r="H6956" s="2" t="s">
        <v>148</v>
      </c>
      <c r="I6956" s="2" t="s">
        <v>17835</v>
      </c>
      <c r="J6956" s="3" t="str">
        <f>HYPERLINK("https://www.boe.es/gazeta/dias/1811/12/28/pdfs/GEI-1811-168.pdf#page=3","Abrir facsímil")</f>
        <v>Abrir facsímil</v>
      </c>
      <c r="K6956" s="3" t="s">
        <v>150</v>
      </c>
    </row>
    <row r="6957" spans="1:11" ht="42" customHeight="1">
      <c r="A6957" s="2" t="s">
        <v>17836</v>
      </c>
      <c r="B6957" s="2" t="s">
        <v>17837</v>
      </c>
      <c r="C6957" s="2" t="s">
        <v>26</v>
      </c>
      <c r="D6957" s="2" t="s">
        <v>18</v>
      </c>
      <c r="E6957" s="4">
        <v>-32481</v>
      </c>
      <c r="F6957" s="3" t="s">
        <v>1687</v>
      </c>
      <c r="G6957" s="3" t="s">
        <v>4089</v>
      </c>
      <c r="H6957" s="2" t="s">
        <v>148</v>
      </c>
      <c r="I6957" s="2" t="s">
        <v>17838</v>
      </c>
      <c r="J6957" s="3" t="str">
        <f>HYPERLINK("https://www.boe.es/gazeta/dias/1811/01/25/pdfs/GMD-1811-25.pdf#page=4","Abrir facsímil")</f>
        <v>Abrir facsímil</v>
      </c>
      <c r="K6957" s="3" t="s">
        <v>150</v>
      </c>
    </row>
    <row r="6958" spans="1:11" ht="42" customHeight="1">
      <c r="A6958" s="2" t="s">
        <v>17839</v>
      </c>
      <c r="B6958" s="2" t="s">
        <v>17839</v>
      </c>
      <c r="C6958" s="2" t="s">
        <v>26</v>
      </c>
      <c r="D6958" s="2" t="s">
        <v>18</v>
      </c>
      <c r="E6958" s="4">
        <v>-32349</v>
      </c>
      <c r="F6958" s="3" t="s">
        <v>3983</v>
      </c>
      <c r="G6958" s="3" t="s">
        <v>183</v>
      </c>
      <c r="H6958" s="2" t="s">
        <v>148</v>
      </c>
      <c r="I6958" s="2" t="s">
        <v>17840</v>
      </c>
      <c r="J6958" s="3" t="str">
        <f>HYPERLINK("https://www.boe.es/gazeta/dias/1811/06/06/pdfs/GMD-1811-157.pdf#page=4","Abrir facsímil")</f>
        <v>Abrir facsímil</v>
      </c>
      <c r="K6958" s="3" t="s">
        <v>150</v>
      </c>
    </row>
    <row r="6959" spans="1:11" ht="42" customHeight="1">
      <c r="A6959" s="2" t="s">
        <v>17841</v>
      </c>
      <c r="B6959" s="2" t="s">
        <v>17841</v>
      </c>
      <c r="C6959" s="2" t="s">
        <v>26</v>
      </c>
      <c r="D6959" s="2" t="s">
        <v>105</v>
      </c>
      <c r="E6959" s="4">
        <v>-32363</v>
      </c>
      <c r="F6959" s="3" t="s">
        <v>4788</v>
      </c>
      <c r="G6959" s="3" t="s">
        <v>5259</v>
      </c>
      <c r="H6959" s="2" t="s">
        <v>148</v>
      </c>
      <c r="I6959" s="2" t="s">
        <v>17842</v>
      </c>
      <c r="J6959" s="3" t="str">
        <f>HYPERLINK("https://www.boe.es/gazeta/dias/1811/05/23/pdfs/GMD-1811-143.pdf#page=2","Abrir facsímil")</f>
        <v>Abrir facsímil</v>
      </c>
      <c r="K6959" s="3" t="s">
        <v>150</v>
      </c>
    </row>
    <row r="6960" spans="1:11" ht="42" customHeight="1">
      <c r="A6960" s="2" t="s">
        <v>17843</v>
      </c>
      <c r="B6960" s="2" t="s">
        <v>17843</v>
      </c>
      <c r="C6960" s="2" t="s">
        <v>26</v>
      </c>
      <c r="D6960" s="2" t="s">
        <v>18</v>
      </c>
      <c r="E6960" s="4">
        <v>-32221</v>
      </c>
      <c r="F6960" s="3" t="s">
        <v>775</v>
      </c>
      <c r="G6960" s="3" t="s">
        <v>248</v>
      </c>
      <c r="H6960" s="2" t="s">
        <v>148</v>
      </c>
      <c r="I6960" s="2" t="s">
        <v>17844</v>
      </c>
      <c r="J6960" s="3" t="str">
        <f>HYPERLINK("https://www.boe.es/gazeta/dias/1811/10/12/pdfs/GMD-1811-285.pdf#page=1","Abrir facsímil")</f>
        <v>Abrir facsímil</v>
      </c>
      <c r="K6960" s="3" t="s">
        <v>150</v>
      </c>
    </row>
    <row r="6961" spans="1:11" ht="42" customHeight="1">
      <c r="A6961" s="2" t="s">
        <v>17845</v>
      </c>
      <c r="B6961" s="2" t="s">
        <v>17846</v>
      </c>
      <c r="C6961" s="2" t="s">
        <v>17</v>
      </c>
      <c r="D6961" s="2" t="s">
        <v>105</v>
      </c>
      <c r="E6961" s="4">
        <v>-32349</v>
      </c>
      <c r="F6961" s="3" t="s">
        <v>3983</v>
      </c>
      <c r="G6961" s="3" t="s">
        <v>183</v>
      </c>
      <c r="H6961" s="2" t="s">
        <v>148</v>
      </c>
      <c r="I6961" s="2" t="s">
        <v>17847</v>
      </c>
      <c r="J6961" s="3" t="str">
        <f>HYPERLINK("https://www.boe.es/gazeta/dias/1811/06/06/pdfs/GMD-1811-157.pdf#page=4","Abrir facsímil")</f>
        <v>Abrir facsímil</v>
      </c>
      <c r="K6961" s="3" t="s">
        <v>150</v>
      </c>
    </row>
    <row r="6962" spans="1:11" ht="42" customHeight="1">
      <c r="A6962" s="2" t="s">
        <v>17848</v>
      </c>
      <c r="B6962" s="2" t="s">
        <v>17848</v>
      </c>
      <c r="C6962" s="2" t="s">
        <v>17</v>
      </c>
      <c r="D6962" s="2" t="s">
        <v>18</v>
      </c>
      <c r="E6962" s="4">
        <v>-32470</v>
      </c>
      <c r="F6962" s="3" t="s">
        <v>10438</v>
      </c>
      <c r="G6962" s="3" t="s">
        <v>10439</v>
      </c>
      <c r="H6962" s="2" t="s">
        <v>148</v>
      </c>
      <c r="I6962" s="2" t="s">
        <v>17849</v>
      </c>
      <c r="J6962" s="3" t="str">
        <f>HYPERLINK("https://www.boe.es/gazeta/dias/1811/02/05/pdfs/GMD-1811-36.pdf#page=2","Abrir facsímil")</f>
        <v>Abrir facsímil</v>
      </c>
      <c r="K6962" s="3" t="s">
        <v>150</v>
      </c>
    </row>
    <row r="6963" spans="1:11" ht="42" customHeight="1">
      <c r="A6963" s="2" t="s">
        <v>17850</v>
      </c>
      <c r="B6963" s="2" t="s">
        <v>17850</v>
      </c>
      <c r="C6963" s="2" t="s">
        <v>17</v>
      </c>
      <c r="D6963" s="2" t="s">
        <v>156</v>
      </c>
      <c r="E6963" s="4">
        <v>-32169</v>
      </c>
      <c r="F6963" s="3" t="s">
        <v>1702</v>
      </c>
      <c r="G6963" s="3" t="s">
        <v>9754</v>
      </c>
      <c r="H6963" s="2" t="s">
        <v>148</v>
      </c>
      <c r="I6963" s="2" t="s">
        <v>17851</v>
      </c>
      <c r="J6963" s="3" t="str">
        <f>HYPERLINK("https://www.boe.es/gazeta/dias/1811/12/03/pdfs/GEI-1811-157.pdf#page=3","Abrir facsímil")</f>
        <v>Abrir facsímil</v>
      </c>
      <c r="K6963" s="3" t="s">
        <v>150</v>
      </c>
    </row>
    <row r="6964" spans="1:11" ht="42" customHeight="1">
      <c r="A6964" s="2" t="s">
        <v>17852</v>
      </c>
      <c r="B6964" s="2" t="s">
        <v>17853</v>
      </c>
      <c r="C6964" s="2" t="s">
        <v>17</v>
      </c>
      <c r="D6964" s="2" t="s">
        <v>18</v>
      </c>
      <c r="E6964" s="4">
        <v>-32470</v>
      </c>
      <c r="F6964" s="3" t="s">
        <v>1432</v>
      </c>
      <c r="G6964" s="3" t="s">
        <v>1433</v>
      </c>
      <c r="H6964" s="2" t="s">
        <v>148</v>
      </c>
      <c r="I6964" s="2" t="s">
        <v>17854</v>
      </c>
      <c r="J6964" s="3" t="str">
        <f>HYPERLINK("https://www.boe.es/gazeta/dias/1811/02/05/pdfs/GEI-1811-16.pdf#page=4","Abrir facsímil")</f>
        <v>Abrir facsímil</v>
      </c>
      <c r="K6964" s="3" t="s">
        <v>150</v>
      </c>
    </row>
    <row r="6965" spans="1:11" ht="42" customHeight="1">
      <c r="A6965" s="2" t="s">
        <v>17855</v>
      </c>
      <c r="B6965" s="2" t="s">
        <v>17856</v>
      </c>
      <c r="C6965" s="2" t="s">
        <v>26</v>
      </c>
      <c r="D6965" s="2" t="s">
        <v>18</v>
      </c>
      <c r="E6965" s="4">
        <v>-32188</v>
      </c>
      <c r="F6965" s="3" t="s">
        <v>356</v>
      </c>
      <c r="G6965" s="3" t="s">
        <v>248</v>
      </c>
      <c r="H6965" s="2" t="s">
        <v>148</v>
      </c>
      <c r="I6965" s="2" t="s">
        <v>17857</v>
      </c>
      <c r="J6965" s="3" t="str">
        <f>HYPERLINK("https://www.boe.es/gazeta/dias/1811/11/14/pdfs/GMD-1811-318.pdf#page=5","Abrir facsímil")</f>
        <v>Abrir facsímil</v>
      </c>
      <c r="K6965" s="3" t="s">
        <v>150</v>
      </c>
    </row>
    <row r="6966" spans="1:11" ht="42" customHeight="1">
      <c r="A6966" s="2" t="s">
        <v>17858</v>
      </c>
      <c r="B6966" s="2" t="s">
        <v>17859</v>
      </c>
      <c r="C6966" s="2" t="s">
        <v>26</v>
      </c>
      <c r="D6966" s="2" t="s">
        <v>18</v>
      </c>
      <c r="E6966" s="4">
        <v>-32188</v>
      </c>
      <c r="F6966" s="3" t="s">
        <v>356</v>
      </c>
      <c r="G6966" s="3" t="s">
        <v>248</v>
      </c>
      <c r="H6966" s="2" t="s">
        <v>148</v>
      </c>
      <c r="I6966" s="2" t="s">
        <v>17860</v>
      </c>
      <c r="J6966" s="3" t="str">
        <f>HYPERLINK("https://www.boe.es/gazeta/dias/1811/11/14/pdfs/GMD-1811-318.pdf#page=5","Abrir facsímil")</f>
        <v>Abrir facsímil</v>
      </c>
      <c r="K6966" s="3" t="s">
        <v>150</v>
      </c>
    </row>
    <row r="6967" spans="1:11" ht="42" customHeight="1">
      <c r="A6967" s="2" t="s">
        <v>17861</v>
      </c>
      <c r="B6967" s="2" t="s">
        <v>17862</v>
      </c>
      <c r="C6967" s="2" t="s">
        <v>17</v>
      </c>
      <c r="D6967" s="2" t="s">
        <v>18</v>
      </c>
      <c r="E6967" s="4">
        <v>-32309</v>
      </c>
      <c r="F6967" s="3" t="s">
        <v>2496</v>
      </c>
      <c r="G6967" s="3" t="s">
        <v>91</v>
      </c>
      <c r="H6967" s="2" t="s">
        <v>148</v>
      </c>
      <c r="I6967" s="2" t="s">
        <v>17863</v>
      </c>
      <c r="J6967" s="3" t="str">
        <f>HYPERLINK("https://www.boe.es/gazeta/dias/1811/07/16/pdfs/GEI-1811-93.pdf#page=7","Abrir facsímil")</f>
        <v>Abrir facsímil</v>
      </c>
      <c r="K6967" s="3" t="s">
        <v>150</v>
      </c>
    </row>
    <row r="6968" spans="1:11" ht="42" customHeight="1">
      <c r="A6968" s="2" t="s">
        <v>17864</v>
      </c>
      <c r="B6968" s="2" t="s">
        <v>17865</v>
      </c>
      <c r="C6968" s="2" t="s">
        <v>84</v>
      </c>
      <c r="D6968" s="2" t="s">
        <v>18</v>
      </c>
      <c r="E6968" s="4">
        <v>-32144</v>
      </c>
      <c r="F6968" s="3" t="s">
        <v>1097</v>
      </c>
      <c r="G6968" s="3" t="s">
        <v>1098</v>
      </c>
      <c r="H6968" s="2" t="s">
        <v>148</v>
      </c>
      <c r="I6968" s="2" t="s">
        <v>17866</v>
      </c>
      <c r="J6968" s="3" t="str">
        <f>HYPERLINK("https://www.boe.es/gazeta/dias/1811/12/28/pdfs/GEI-1811-168.pdf#page=8","Abrir facsímil")</f>
        <v>Abrir facsímil</v>
      </c>
      <c r="K6968" s="3" t="s">
        <v>150</v>
      </c>
    </row>
    <row r="6969" spans="1:11" ht="42" customHeight="1">
      <c r="A6969" s="2" t="s">
        <v>17867</v>
      </c>
      <c r="B6969" s="2" t="s">
        <v>17867</v>
      </c>
      <c r="C6969" s="2" t="s">
        <v>26</v>
      </c>
      <c r="D6969" s="2" t="s">
        <v>18</v>
      </c>
      <c r="E6969" s="4">
        <v>-32470</v>
      </c>
      <c r="F6969" s="3" t="s">
        <v>1432</v>
      </c>
      <c r="G6969" s="3" t="s">
        <v>2098</v>
      </c>
      <c r="H6969" s="2" t="s">
        <v>148</v>
      </c>
      <c r="I6969" s="2" t="s">
        <v>17868</v>
      </c>
      <c r="J6969" s="3" t="str">
        <f>HYPERLINK("https://www.boe.es/gazeta/dias/1811/02/05/pdfs/GEI-1811-16.pdf#page=2","Abrir facsímil")</f>
        <v>Abrir facsímil</v>
      </c>
      <c r="K6969" s="3" t="s">
        <v>150</v>
      </c>
    </row>
    <row r="6970" spans="1:11" ht="42" customHeight="1">
      <c r="A6970" s="2" t="s">
        <v>17867</v>
      </c>
      <c r="B6970" s="2" t="s">
        <v>17867</v>
      </c>
      <c r="C6970" s="2" t="s">
        <v>26</v>
      </c>
      <c r="D6970" s="2" t="s">
        <v>105</v>
      </c>
      <c r="E6970" s="4">
        <v>-32408</v>
      </c>
      <c r="F6970" s="3" t="s">
        <v>17869</v>
      </c>
      <c r="G6970" s="3" t="s">
        <v>162</v>
      </c>
      <c r="H6970" s="2" t="s">
        <v>148</v>
      </c>
      <c r="I6970" s="2" t="s">
        <v>17870</v>
      </c>
      <c r="J6970" s="3" t="str">
        <f>HYPERLINK("https://www.boe.es/gazeta/dias/1811/04/08/pdfs/GMD-1811-98.pdf#page=1","Abrir facsímil")</f>
        <v>Abrir facsímil</v>
      </c>
      <c r="K6970" s="3" t="s">
        <v>150</v>
      </c>
    </row>
    <row r="6971" spans="1:11" ht="42" customHeight="1">
      <c r="A6971" s="2" t="s">
        <v>17867</v>
      </c>
      <c r="B6971" s="2" t="s">
        <v>17867</v>
      </c>
      <c r="C6971" s="2" t="s">
        <v>37</v>
      </c>
      <c r="D6971" s="2" t="s">
        <v>18</v>
      </c>
      <c r="E6971" s="4">
        <v>-32368</v>
      </c>
      <c r="F6971" s="3" t="s">
        <v>1561</v>
      </c>
      <c r="G6971" s="3" t="s">
        <v>57</v>
      </c>
      <c r="H6971" s="2" t="s">
        <v>148</v>
      </c>
      <c r="I6971" s="2" t="s">
        <v>17871</v>
      </c>
      <c r="J6971" s="3" t="str">
        <f>HYPERLINK("https://www.boe.es/gazeta/dias/1811/05/18/pdfs/GMD-1811-138.pdf#page=2","Abrir facsímil")</f>
        <v>Abrir facsímil</v>
      </c>
      <c r="K6971" s="3" t="s">
        <v>150</v>
      </c>
    </row>
    <row r="6972" spans="1:11" ht="42" customHeight="1">
      <c r="A6972" s="2" t="s">
        <v>17867</v>
      </c>
      <c r="B6972" s="2" t="s">
        <v>17867</v>
      </c>
      <c r="C6972" s="2" t="s">
        <v>17</v>
      </c>
      <c r="D6972" s="2" t="s">
        <v>156</v>
      </c>
      <c r="E6972" s="4">
        <v>-32318</v>
      </c>
      <c r="F6972" s="3" t="s">
        <v>1193</v>
      </c>
      <c r="G6972" s="3" t="s">
        <v>488</v>
      </c>
      <c r="H6972" s="2" t="s">
        <v>148</v>
      </c>
      <c r="I6972" s="2" t="s">
        <v>17872</v>
      </c>
      <c r="J6972" s="3" t="str">
        <f>HYPERLINK("https://www.boe.es/gazeta/dias/1811/07/07/pdfs/GMD-1811-188.pdf#page=3","Abrir facsímil")</f>
        <v>Abrir facsímil</v>
      </c>
      <c r="K6972" s="3" t="s">
        <v>150</v>
      </c>
    </row>
    <row r="6973" spans="1:11" ht="42" customHeight="1">
      <c r="A6973" s="2" t="s">
        <v>17867</v>
      </c>
      <c r="B6973" s="2" t="s">
        <v>17867</v>
      </c>
      <c r="C6973" s="2" t="s">
        <v>17</v>
      </c>
      <c r="D6973" s="2" t="s">
        <v>156</v>
      </c>
      <c r="E6973" s="4">
        <v>-32256</v>
      </c>
      <c r="F6973" s="3" t="s">
        <v>161</v>
      </c>
      <c r="G6973" s="3" t="s">
        <v>282</v>
      </c>
      <c r="H6973" s="2" t="s">
        <v>148</v>
      </c>
      <c r="I6973" s="2" t="s">
        <v>17873</v>
      </c>
      <c r="J6973" s="3" t="str">
        <f>HYPERLINK("https://www.boe.es/gazeta/dias/1811/09/07/pdfs/GEI-1811-116.pdf#page=4","Abrir facsímil")</f>
        <v>Abrir facsímil</v>
      </c>
      <c r="K6973" s="3" t="s">
        <v>150</v>
      </c>
    </row>
    <row r="6974" spans="1:11" ht="42" customHeight="1">
      <c r="A6974" s="2" t="s">
        <v>17874</v>
      </c>
      <c r="B6974" s="2" t="s">
        <v>17875</v>
      </c>
      <c r="C6974" s="2" t="s">
        <v>26</v>
      </c>
      <c r="D6974" s="2" t="s">
        <v>18</v>
      </c>
      <c r="E6974" s="4">
        <v>-32281</v>
      </c>
      <c r="F6974" s="3" t="s">
        <v>1041</v>
      </c>
      <c r="G6974" s="3" t="s">
        <v>115</v>
      </c>
      <c r="H6974" s="2" t="s">
        <v>21</v>
      </c>
      <c r="I6974" s="2" t="s">
        <v>17876</v>
      </c>
      <c r="J6974" s="3" t="str">
        <f>HYPERLINK("https://www.boe.es/gazeta/dias/1811/08/13/pdfs/GMD-1811-225.pdf#page=3","Abrir facsímil")</f>
        <v>Abrir facsímil</v>
      </c>
      <c r="K6974" s="3" t="s">
        <v>23</v>
      </c>
    </row>
    <row r="6975" spans="1:11" ht="42" customHeight="1">
      <c r="A6975" s="2" t="s">
        <v>17877</v>
      </c>
      <c r="B6975" s="2" t="s">
        <v>17877</v>
      </c>
      <c r="C6975" s="2" t="s">
        <v>26</v>
      </c>
      <c r="D6975" s="2" t="s">
        <v>18</v>
      </c>
      <c r="E6975" s="4">
        <v>-32291</v>
      </c>
      <c r="F6975" s="3" t="s">
        <v>712</v>
      </c>
      <c r="G6975" s="3" t="s">
        <v>468</v>
      </c>
      <c r="H6975" s="2" t="s">
        <v>148</v>
      </c>
      <c r="I6975" s="2" t="s">
        <v>17878</v>
      </c>
      <c r="J6975" s="3" t="str">
        <f>HYPERLINK("https://www.boe.es/gazeta/dias/1811/08/03/pdfs/GEI-1811-101.pdf#page=1","Abrir facsímil")</f>
        <v>Abrir facsímil</v>
      </c>
      <c r="K6975" s="3" t="s">
        <v>150</v>
      </c>
    </row>
    <row r="6976" spans="1:11" ht="42" customHeight="1">
      <c r="A6976" s="2" t="s">
        <v>17879</v>
      </c>
      <c r="B6976" s="2" t="s">
        <v>17879</v>
      </c>
      <c r="C6976" s="2" t="s">
        <v>26</v>
      </c>
      <c r="D6976" s="2" t="s">
        <v>18</v>
      </c>
      <c r="E6976" s="4">
        <v>-32253</v>
      </c>
      <c r="F6976" s="3" t="s">
        <v>581</v>
      </c>
      <c r="G6976" s="3" t="s">
        <v>248</v>
      </c>
      <c r="H6976" s="2" t="s">
        <v>148</v>
      </c>
      <c r="I6976" s="2" t="s">
        <v>17880</v>
      </c>
      <c r="J6976" s="3" t="str">
        <f>HYPERLINK("https://www.boe.es/gazeta/dias/1811/09/10/pdfs/GEI-1811-117.pdf#page=5","Abrir facsímil")</f>
        <v>Abrir facsímil</v>
      </c>
      <c r="K6976" s="3" t="s">
        <v>150</v>
      </c>
    </row>
    <row r="6977" spans="1:11" ht="42" customHeight="1">
      <c r="A6977" s="2" t="s">
        <v>17881</v>
      </c>
      <c r="B6977" s="2" t="s">
        <v>17881</v>
      </c>
      <c r="C6977" s="2" t="s">
        <v>17</v>
      </c>
      <c r="D6977" s="2" t="s">
        <v>156</v>
      </c>
      <c r="E6977" s="4">
        <v>-32501</v>
      </c>
      <c r="F6977" s="3" t="s">
        <v>509</v>
      </c>
      <c r="G6977" s="3" t="s">
        <v>39</v>
      </c>
      <c r="H6977" s="2" t="s">
        <v>148</v>
      </c>
      <c r="I6977" s="2" t="s">
        <v>17882</v>
      </c>
      <c r="J6977" s="3" t="str">
        <f>HYPERLINK("https://www.boe.es/gazeta/dias/1811/01/05/pdfs/GEI-1811-3.pdf#page=1","Abrir facsímil")</f>
        <v>Abrir facsímil</v>
      </c>
      <c r="K6977" s="3" t="s">
        <v>150</v>
      </c>
    </row>
    <row r="6978" spans="1:11" ht="42" customHeight="1">
      <c r="A6978" s="2" t="s">
        <v>17881</v>
      </c>
      <c r="B6978" s="2" t="s">
        <v>17881</v>
      </c>
      <c r="C6978" s="2" t="s">
        <v>17</v>
      </c>
      <c r="D6978" s="2" t="s">
        <v>156</v>
      </c>
      <c r="E6978" s="4">
        <v>-32470</v>
      </c>
      <c r="F6978" s="3" t="s">
        <v>1432</v>
      </c>
      <c r="G6978" s="3" t="s">
        <v>17883</v>
      </c>
      <c r="H6978" s="2" t="s">
        <v>148</v>
      </c>
      <c r="I6978" s="2" t="s">
        <v>17884</v>
      </c>
      <c r="J6978" s="3" t="str">
        <f>HYPERLINK("https://www.boe.es/gazeta/dias/1811/02/05/pdfs/GEI-1811-16.pdf#page=3","Abrir facsímil")</f>
        <v>Abrir facsímil</v>
      </c>
      <c r="K6978" s="3" t="s">
        <v>150</v>
      </c>
    </row>
    <row r="6979" spans="1:11" ht="42" customHeight="1">
      <c r="A6979" s="2" t="s">
        <v>17881</v>
      </c>
      <c r="B6979" s="2" t="s">
        <v>17881</v>
      </c>
      <c r="C6979" s="2" t="s">
        <v>17</v>
      </c>
      <c r="D6979" s="2" t="s">
        <v>18</v>
      </c>
      <c r="E6979" s="4">
        <v>-32461</v>
      </c>
      <c r="F6979" s="3" t="s">
        <v>2429</v>
      </c>
      <c r="G6979" s="3" t="s">
        <v>553</v>
      </c>
      <c r="H6979" s="2" t="s">
        <v>148</v>
      </c>
      <c r="I6979" s="2" t="s">
        <v>17885</v>
      </c>
      <c r="J6979" s="3" t="str">
        <f>HYPERLINK("https://www.boe.es/gazeta/dias/1811/02/14/pdfs/GEI-1811-20.pdf#page=1","Abrir facsímil")</f>
        <v>Abrir facsímil</v>
      </c>
      <c r="K6979" s="3" t="s">
        <v>150</v>
      </c>
    </row>
    <row r="6980" spans="1:11" ht="42" customHeight="1">
      <c r="A6980" s="2" t="s">
        <v>17881</v>
      </c>
      <c r="B6980" s="2" t="s">
        <v>17881</v>
      </c>
      <c r="C6980" s="2" t="s">
        <v>17</v>
      </c>
      <c r="D6980" s="2" t="s">
        <v>156</v>
      </c>
      <c r="E6980" s="4">
        <v>-32459</v>
      </c>
      <c r="F6980" s="3" t="s">
        <v>1034</v>
      </c>
      <c r="G6980" s="3" t="s">
        <v>2101</v>
      </c>
      <c r="H6980" s="2" t="s">
        <v>148</v>
      </c>
      <c r="I6980" s="2" t="s">
        <v>17886</v>
      </c>
      <c r="J6980" s="3" t="str">
        <f>HYPERLINK("https://www.boe.es/gazeta/dias/1811/02/16/pdfs/GEI-1811-21.pdf#page=4","Abrir facsímil")</f>
        <v>Abrir facsímil</v>
      </c>
      <c r="K6980" s="3" t="s">
        <v>150</v>
      </c>
    </row>
    <row r="6981" spans="1:11" ht="42" customHeight="1">
      <c r="A6981" s="2" t="s">
        <v>17881</v>
      </c>
      <c r="B6981" s="2" t="s">
        <v>17881</v>
      </c>
      <c r="C6981" s="2" t="s">
        <v>17</v>
      </c>
      <c r="D6981" s="2" t="s">
        <v>156</v>
      </c>
      <c r="E6981" s="4">
        <v>-32146</v>
      </c>
      <c r="F6981" s="3" t="s">
        <v>777</v>
      </c>
      <c r="G6981" s="3" t="s">
        <v>9371</v>
      </c>
      <c r="H6981" s="2" t="s">
        <v>148</v>
      </c>
      <c r="I6981" s="2" t="s">
        <v>17887</v>
      </c>
      <c r="J6981" s="3" t="str">
        <f>HYPERLINK("https://www.boe.es/gazeta/dias/1811/12/26/pdfs/GEI-1811-167.pdf#page=6","Abrir facsímil")</f>
        <v>Abrir facsímil</v>
      </c>
      <c r="K6981" s="3" t="s">
        <v>150</v>
      </c>
    </row>
    <row r="6982" spans="1:11" ht="42" customHeight="1">
      <c r="A6982" s="2" t="s">
        <v>17888</v>
      </c>
      <c r="B6982" s="2" t="s">
        <v>17889</v>
      </c>
      <c r="C6982" s="2" t="s">
        <v>17</v>
      </c>
      <c r="D6982" s="2" t="s">
        <v>18</v>
      </c>
      <c r="E6982" s="4">
        <v>-32466</v>
      </c>
      <c r="F6982" s="3" t="s">
        <v>1514</v>
      </c>
      <c r="G6982" s="3" t="s">
        <v>846</v>
      </c>
      <c r="H6982" s="2" t="s">
        <v>21</v>
      </c>
      <c r="I6982" s="2" t="s">
        <v>17890</v>
      </c>
      <c r="J6982" s="3" t="str">
        <f>HYPERLINK("https://www.boe.es/gazeta/dias/1811/02/09/pdfs/GEI-1811-18.pdf#page=4","Abrir facsímil")</f>
        <v>Abrir facsímil</v>
      </c>
      <c r="K6982" s="3" t="s">
        <v>23</v>
      </c>
    </row>
    <row r="6983" spans="1:11" ht="42" customHeight="1">
      <c r="A6983" s="2" t="s">
        <v>17891</v>
      </c>
      <c r="B6983" s="2" t="s">
        <v>17892</v>
      </c>
      <c r="C6983" s="2" t="s">
        <v>17</v>
      </c>
      <c r="D6983" s="2" t="s">
        <v>156</v>
      </c>
      <c r="E6983" s="4">
        <v>-32461</v>
      </c>
      <c r="F6983" s="3" t="s">
        <v>2429</v>
      </c>
      <c r="G6983" s="3" t="s">
        <v>553</v>
      </c>
      <c r="H6983" s="2" t="s">
        <v>148</v>
      </c>
      <c r="I6983" s="2" t="s">
        <v>17893</v>
      </c>
      <c r="J6983" s="3" t="str">
        <f>HYPERLINK("https://www.boe.es/gazeta/dias/1811/02/14/pdfs/GEI-1811-20.pdf#page=1","Abrir facsímil")</f>
        <v>Abrir facsímil</v>
      </c>
      <c r="K6983" s="3" t="s">
        <v>150</v>
      </c>
    </row>
    <row r="6984" spans="1:11" ht="42" customHeight="1">
      <c r="A6984" s="2" t="s">
        <v>17894</v>
      </c>
      <c r="B6984" s="2" t="s">
        <v>17895</v>
      </c>
      <c r="C6984" s="2" t="s">
        <v>26</v>
      </c>
      <c r="D6984" s="2" t="s">
        <v>18</v>
      </c>
      <c r="E6984" s="4">
        <v>-32326</v>
      </c>
      <c r="F6984" s="3" t="s">
        <v>43</v>
      </c>
      <c r="G6984" s="3" t="s">
        <v>91</v>
      </c>
      <c r="H6984" s="2" t="s">
        <v>148</v>
      </c>
      <c r="I6984" s="2" t="s">
        <v>17896</v>
      </c>
      <c r="J6984" s="3" t="str">
        <f>HYPERLINK("https://www.boe.es/gazeta/dias/1811/06/29/pdfs/GEI-1811-86.pdf#page=7","Abrir facsímil")</f>
        <v>Abrir facsímil</v>
      </c>
      <c r="K6984" s="3" t="s">
        <v>150</v>
      </c>
    </row>
    <row r="6985" spans="1:11" ht="42" customHeight="1">
      <c r="A6985" s="2" t="s">
        <v>17897</v>
      </c>
      <c r="B6985" s="2" t="s">
        <v>17898</v>
      </c>
      <c r="C6985" s="2" t="s">
        <v>26</v>
      </c>
      <c r="D6985" s="2" t="s">
        <v>18</v>
      </c>
      <c r="E6985" s="4">
        <v>-32412</v>
      </c>
      <c r="F6985" s="3" t="s">
        <v>998</v>
      </c>
      <c r="G6985" s="3" t="s">
        <v>4144</v>
      </c>
      <c r="H6985" s="2" t="s">
        <v>148</v>
      </c>
      <c r="I6985" s="2" t="s">
        <v>17899</v>
      </c>
      <c r="J6985" s="3" t="str">
        <f>HYPERLINK("https://www.boe.es/gazeta/dias/1811/04/04/pdfs/GEI-1811-46.pdf#page=2","Abrir facsímil")</f>
        <v>Abrir facsímil</v>
      </c>
      <c r="K6985" s="3" t="s">
        <v>150</v>
      </c>
    </row>
    <row r="6986" spans="1:11" ht="42" customHeight="1">
      <c r="A6986" s="2" t="s">
        <v>17900</v>
      </c>
      <c r="B6986" s="2" t="s">
        <v>17901</v>
      </c>
      <c r="C6986" s="2" t="s">
        <v>26</v>
      </c>
      <c r="D6986" s="2" t="s">
        <v>18</v>
      </c>
      <c r="E6986" s="4">
        <v>-32165</v>
      </c>
      <c r="F6986" s="3" t="s">
        <v>4621</v>
      </c>
      <c r="G6986" s="3" t="s">
        <v>553</v>
      </c>
      <c r="H6986" s="2" t="s">
        <v>148</v>
      </c>
      <c r="I6986" s="2" t="s">
        <v>17902</v>
      </c>
      <c r="J6986" s="3" t="str">
        <f>HYPERLINK("https://www.boe.es/gazeta/dias/1811/12/07/pdfs/GEI-1811-159.pdf#page=7","Abrir facsímil")</f>
        <v>Abrir facsímil</v>
      </c>
      <c r="K6986" s="3" t="s">
        <v>150</v>
      </c>
    </row>
    <row r="6987" spans="1:11" ht="42" customHeight="1">
      <c r="A6987" s="2" t="s">
        <v>17903</v>
      </c>
      <c r="B6987" s="2" t="s">
        <v>17904</v>
      </c>
      <c r="C6987" s="2" t="s">
        <v>26</v>
      </c>
      <c r="D6987" s="2" t="s">
        <v>18</v>
      </c>
      <c r="E6987" s="4">
        <v>-32242</v>
      </c>
      <c r="F6987" s="3" t="s">
        <v>1295</v>
      </c>
      <c r="G6987" s="3" t="s">
        <v>1296</v>
      </c>
      <c r="H6987" s="2" t="s">
        <v>148</v>
      </c>
      <c r="I6987" s="2" t="s">
        <v>17905</v>
      </c>
      <c r="J6987" s="3" t="str">
        <f>HYPERLINK("https://www.boe.es/gazeta/dias/1811/09/21/pdfs/GEI-1811-122.pdf#page=8","Abrir facsímil")</f>
        <v>Abrir facsímil</v>
      </c>
      <c r="K6987" s="3" t="s">
        <v>150</v>
      </c>
    </row>
    <row r="6988" spans="1:11" ht="42" customHeight="1">
      <c r="A6988" s="2" t="s">
        <v>17906</v>
      </c>
      <c r="B6988" s="2" t="s">
        <v>17907</v>
      </c>
      <c r="C6988" s="2" t="s">
        <v>26</v>
      </c>
      <c r="D6988" s="2" t="s">
        <v>105</v>
      </c>
      <c r="E6988" s="4">
        <v>-32414</v>
      </c>
      <c r="F6988" s="3" t="s">
        <v>213</v>
      </c>
      <c r="G6988" s="3" t="s">
        <v>214</v>
      </c>
      <c r="H6988" s="2" t="s">
        <v>148</v>
      </c>
      <c r="I6988" s="2" t="s">
        <v>17908</v>
      </c>
      <c r="J6988" s="3" t="str">
        <f>HYPERLINK("https://www.boe.es/gazeta/dias/1811/04/02/pdfs/GEI-1811-45.pdf#page=6","Abrir facsímil")</f>
        <v>Abrir facsímil</v>
      </c>
      <c r="K6988" s="3" t="s">
        <v>150</v>
      </c>
    </row>
    <row r="6989" spans="1:11" ht="42" customHeight="1">
      <c r="A6989" s="2" t="s">
        <v>17909</v>
      </c>
      <c r="B6989" s="2" t="s">
        <v>17910</v>
      </c>
      <c r="C6989" s="2" t="s">
        <v>17</v>
      </c>
      <c r="D6989" s="2" t="s">
        <v>18</v>
      </c>
      <c r="E6989" s="4">
        <v>-32424</v>
      </c>
      <c r="F6989" s="3" t="s">
        <v>1028</v>
      </c>
      <c r="G6989" s="3" t="s">
        <v>20</v>
      </c>
      <c r="H6989" s="2" t="s">
        <v>148</v>
      </c>
      <c r="I6989" s="2" t="s">
        <v>17911</v>
      </c>
      <c r="J6989" s="3" t="str">
        <f>HYPERLINK("https://www.boe.es/gazeta/dias/1811/03/23/pdfs/GEI-1811-41.pdf#page=2","Abrir facsímil")</f>
        <v>Abrir facsímil</v>
      </c>
      <c r="K6989" s="3" t="s">
        <v>150</v>
      </c>
    </row>
    <row r="6990" spans="1:11" ht="42" customHeight="1">
      <c r="A6990" s="2" t="s">
        <v>17912</v>
      </c>
      <c r="B6990" s="2" t="s">
        <v>17912</v>
      </c>
      <c r="C6990" s="2" t="s">
        <v>17</v>
      </c>
      <c r="D6990" s="2" t="s">
        <v>18</v>
      </c>
      <c r="E6990" s="4">
        <v>-32309</v>
      </c>
      <c r="F6990" s="3" t="s">
        <v>2496</v>
      </c>
      <c r="G6990" s="3" t="s">
        <v>228</v>
      </c>
      <c r="H6990" s="2" t="s">
        <v>148</v>
      </c>
      <c r="I6990" s="2" t="s">
        <v>17913</v>
      </c>
      <c r="J6990" s="3" t="str">
        <f>HYPERLINK("https://www.boe.es/gazeta/dias/1811/07/16/pdfs/GEI-1811-93.pdf#page=5","Abrir facsímil")</f>
        <v>Abrir facsímil</v>
      </c>
      <c r="K6990" s="3" t="s">
        <v>150</v>
      </c>
    </row>
    <row r="6991" spans="1:11" ht="42" customHeight="1">
      <c r="A6991" s="2" t="s">
        <v>17914</v>
      </c>
      <c r="B6991" s="2" t="s">
        <v>17915</v>
      </c>
      <c r="C6991" s="2" t="s">
        <v>17</v>
      </c>
      <c r="D6991" s="2" t="s">
        <v>156</v>
      </c>
      <c r="E6991" s="4">
        <v>-32407</v>
      </c>
      <c r="F6991" s="3" t="s">
        <v>38</v>
      </c>
      <c r="G6991" s="3" t="s">
        <v>480</v>
      </c>
      <c r="H6991" s="2" t="s">
        <v>148</v>
      </c>
      <c r="I6991" s="2" t="s">
        <v>17916</v>
      </c>
      <c r="J6991" s="3" t="str">
        <f>HYPERLINK("https://www.boe.es/gazeta/dias/1811/04/09/pdfs/GEI-1811-48.pdf#page=4","Abrir facsímil")</f>
        <v>Abrir facsímil</v>
      </c>
      <c r="K6991" s="3" t="s">
        <v>150</v>
      </c>
    </row>
    <row r="6992" spans="1:11" ht="42" customHeight="1">
      <c r="A6992" s="2" t="s">
        <v>17917</v>
      </c>
      <c r="B6992" s="2" t="s">
        <v>17918</v>
      </c>
      <c r="C6992" s="2" t="s">
        <v>37</v>
      </c>
      <c r="D6992" s="2" t="s">
        <v>18</v>
      </c>
      <c r="E6992" s="4">
        <v>-32438</v>
      </c>
      <c r="F6992" s="3" t="s">
        <v>114</v>
      </c>
      <c r="G6992" s="3" t="s">
        <v>115</v>
      </c>
      <c r="H6992" s="2" t="s">
        <v>148</v>
      </c>
      <c r="I6992" s="2" t="s">
        <v>17919</v>
      </c>
      <c r="J6992" s="3" t="str">
        <f>HYPERLINK("https://www.boe.es/gazeta/dias/1811/03/09/pdfs/GEI-1811-33.pdf#page=3","Abrir facsímil")</f>
        <v>Abrir facsímil</v>
      </c>
      <c r="K6992" s="3" t="s">
        <v>150</v>
      </c>
    </row>
    <row r="6993" spans="1:11" ht="42" customHeight="1">
      <c r="A6993" s="2" t="s">
        <v>17920</v>
      </c>
      <c r="B6993" s="2" t="s">
        <v>17921</v>
      </c>
      <c r="C6993" s="2" t="s">
        <v>26</v>
      </c>
      <c r="D6993" s="2" t="s">
        <v>18</v>
      </c>
      <c r="E6993" s="4">
        <v>-32286</v>
      </c>
      <c r="F6993" s="3" t="s">
        <v>754</v>
      </c>
      <c r="G6993" s="3" t="s">
        <v>1728</v>
      </c>
      <c r="H6993" s="2" t="s">
        <v>148</v>
      </c>
      <c r="I6993" s="2" t="s">
        <v>17922</v>
      </c>
      <c r="J6993" s="3" t="str">
        <f>HYPERLINK("https://www.boe.es/gazeta/dias/1811/08/08/pdfs/GEI-1811-103.pdf#page=8","Abrir facsímil")</f>
        <v>Abrir facsímil</v>
      </c>
      <c r="K6993" s="3" t="s">
        <v>150</v>
      </c>
    </row>
    <row r="6994" spans="1:11" ht="42" customHeight="1">
      <c r="A6994" s="2" t="s">
        <v>17923</v>
      </c>
      <c r="B6994" s="2" t="s">
        <v>17924</v>
      </c>
      <c r="C6994" s="2" t="s">
        <v>104</v>
      </c>
      <c r="D6994" s="2" t="s">
        <v>18</v>
      </c>
      <c r="E6994" s="4">
        <v>-32344</v>
      </c>
      <c r="F6994" s="3" t="s">
        <v>761</v>
      </c>
      <c r="G6994" s="3" t="s">
        <v>44</v>
      </c>
      <c r="H6994" s="2" t="s">
        <v>148</v>
      </c>
      <c r="I6994" s="2" t="s">
        <v>17925</v>
      </c>
      <c r="J6994" s="3" t="str">
        <f>HYPERLINK("https://www.boe.es/gazeta/dias/1811/06/11/pdfs/GEI-1811-78.pdf#page=7","Abrir facsímil")</f>
        <v>Abrir facsímil</v>
      </c>
      <c r="K6994" s="3" t="s">
        <v>150</v>
      </c>
    </row>
    <row r="6995" spans="1:11" ht="42" customHeight="1">
      <c r="A6995" s="2" t="s">
        <v>17926</v>
      </c>
      <c r="B6995" s="2" t="s">
        <v>17927</v>
      </c>
      <c r="C6995" s="2" t="s">
        <v>26</v>
      </c>
      <c r="D6995" s="2" t="s">
        <v>18</v>
      </c>
      <c r="E6995" s="4">
        <v>-32188</v>
      </c>
      <c r="F6995" s="3" t="s">
        <v>356</v>
      </c>
      <c r="G6995" s="3" t="s">
        <v>248</v>
      </c>
      <c r="H6995" s="2" t="s">
        <v>148</v>
      </c>
      <c r="I6995" s="2" t="s">
        <v>17928</v>
      </c>
      <c r="J6995" s="3" t="str">
        <f>HYPERLINK("https://www.boe.es/gazeta/dias/1811/11/14/pdfs/GMD-1811-318.pdf#page=5","Abrir facsímil")</f>
        <v>Abrir facsímil</v>
      </c>
      <c r="K6995" s="3" t="s">
        <v>150</v>
      </c>
    </row>
    <row r="6996" spans="1:11" ht="42" customHeight="1">
      <c r="A6996" s="2" t="s">
        <v>17929</v>
      </c>
      <c r="B6996" s="2" t="s">
        <v>17930</v>
      </c>
      <c r="C6996" s="2" t="s">
        <v>17</v>
      </c>
      <c r="D6996" s="2" t="s">
        <v>156</v>
      </c>
      <c r="E6996" s="4">
        <v>-32205</v>
      </c>
      <c r="F6996" s="3" t="s">
        <v>7179</v>
      </c>
      <c r="G6996" s="3" t="s">
        <v>4049</v>
      </c>
      <c r="H6996" s="2" t="s">
        <v>148</v>
      </c>
      <c r="I6996" s="2" t="s">
        <v>17931</v>
      </c>
      <c r="J6996" s="3" t="str">
        <f>HYPERLINK("https://www.boe.es/gazeta/dias/1811/10/28/pdfs/GMD-1811-301.pdf#page=1","Abrir facsímil")</f>
        <v>Abrir facsímil</v>
      </c>
      <c r="K6996" s="3" t="s">
        <v>150</v>
      </c>
    </row>
    <row r="6997" spans="1:11" ht="42" customHeight="1">
      <c r="A6997" s="2" t="s">
        <v>17932</v>
      </c>
      <c r="B6997" s="2" t="s">
        <v>17932</v>
      </c>
      <c r="C6997" s="2" t="s">
        <v>17</v>
      </c>
      <c r="D6997" s="2" t="s">
        <v>156</v>
      </c>
      <c r="E6997" s="4">
        <v>-32223</v>
      </c>
      <c r="F6997" s="3" t="s">
        <v>1788</v>
      </c>
      <c r="G6997" s="3" t="s">
        <v>1984</v>
      </c>
      <c r="H6997" s="2" t="s">
        <v>148</v>
      </c>
      <c r="I6997" s="2" t="s">
        <v>17933</v>
      </c>
      <c r="J6997" s="3" t="str">
        <f>HYPERLINK("https://www.boe.es/gazeta/dias/1811/10/10/pdfs/GEI-1811-130.pdf#page=2","Abrir facsímil")</f>
        <v>Abrir facsímil</v>
      </c>
      <c r="K6997" s="3" t="s">
        <v>150</v>
      </c>
    </row>
    <row r="6998" spans="1:11" ht="42" customHeight="1">
      <c r="A6998" s="2" t="s">
        <v>17934</v>
      </c>
      <c r="B6998" s="2" t="s">
        <v>17935</v>
      </c>
      <c r="C6998" s="2" t="s">
        <v>26</v>
      </c>
      <c r="D6998" s="2" t="s">
        <v>141</v>
      </c>
      <c r="E6998" s="4">
        <v>-32249</v>
      </c>
      <c r="F6998" s="3" t="s">
        <v>743</v>
      </c>
      <c r="G6998" s="3" t="s">
        <v>1021</v>
      </c>
      <c r="H6998" s="2" t="s">
        <v>148</v>
      </c>
      <c r="I6998" s="2" t="s">
        <v>17936</v>
      </c>
      <c r="J6998" s="3" t="str">
        <f>HYPERLINK("https://www.boe.es/gazeta/dias/1811/09/14/pdfs/GMD-C-1811-257.pdf#page=2","Abrir facsímil")</f>
        <v>Abrir facsímil</v>
      </c>
      <c r="K6998" s="3" t="s">
        <v>150</v>
      </c>
    </row>
    <row r="6999" spans="1:11" ht="42" customHeight="1">
      <c r="A6999" s="2" t="s">
        <v>17937</v>
      </c>
      <c r="B6999" s="2" t="s">
        <v>17938</v>
      </c>
      <c r="C6999" s="2" t="s">
        <v>26</v>
      </c>
      <c r="D6999" s="2" t="s">
        <v>18</v>
      </c>
      <c r="E6999" s="4">
        <v>-32163</v>
      </c>
      <c r="F6999" s="3" t="s">
        <v>497</v>
      </c>
      <c r="G6999" s="3" t="s">
        <v>6458</v>
      </c>
      <c r="H6999" s="2" t="s">
        <v>148</v>
      </c>
      <c r="I6999" s="2" t="s">
        <v>17939</v>
      </c>
      <c r="J6999" s="3" t="str">
        <f>HYPERLINK("https://www.boe.es/gazeta/dias/1811/12/09/pdfs/GMD-1811-343.pdf#page=2","Abrir facsímil")</f>
        <v>Abrir facsímil</v>
      </c>
      <c r="K6999" s="3" t="s">
        <v>150</v>
      </c>
    </row>
    <row r="7000" spans="1:11" ht="42" customHeight="1">
      <c r="A7000" s="2" t="s">
        <v>17940</v>
      </c>
      <c r="B7000" s="2" t="s">
        <v>17940</v>
      </c>
      <c r="C7000" s="2" t="s">
        <v>17</v>
      </c>
      <c r="D7000" s="2" t="s">
        <v>204</v>
      </c>
      <c r="E7000" s="4">
        <v>-32300</v>
      </c>
      <c r="F7000" s="3" t="s">
        <v>492</v>
      </c>
      <c r="G7000" s="3" t="s">
        <v>983</v>
      </c>
      <c r="H7000" s="2" t="s">
        <v>148</v>
      </c>
      <c r="I7000" s="2" t="s">
        <v>17941</v>
      </c>
      <c r="J7000" s="3" t="str">
        <f>HYPERLINK("https://www.boe.es/gazeta/dias/1811/07/25/pdfs/GMD-1811-206.pdf#page=2","Abrir facsímil")</f>
        <v>Abrir facsímil</v>
      </c>
      <c r="K7000" s="3" t="s">
        <v>150</v>
      </c>
    </row>
    <row r="7001" spans="1:11" ht="42" customHeight="1">
      <c r="A7001" s="2" t="s">
        <v>17942</v>
      </c>
      <c r="B7001" s="2" t="s">
        <v>17943</v>
      </c>
      <c r="C7001" s="2" t="s">
        <v>26</v>
      </c>
      <c r="D7001" s="2" t="s">
        <v>204</v>
      </c>
      <c r="E7001" s="4">
        <v>-32191</v>
      </c>
      <c r="F7001" s="3" t="s">
        <v>2483</v>
      </c>
      <c r="G7001" s="3" t="s">
        <v>173</v>
      </c>
      <c r="H7001" s="2" t="s">
        <v>148</v>
      </c>
      <c r="I7001" s="2" t="s">
        <v>17944</v>
      </c>
      <c r="J7001" s="3" t="str">
        <f>HYPERLINK("https://www.boe.es/gazeta/dias/1811/11/11/pdfs/GMD-1811-315.pdf#page=1","Abrir facsímil")</f>
        <v>Abrir facsímil</v>
      </c>
      <c r="K7001" s="3" t="s">
        <v>150</v>
      </c>
    </row>
    <row r="7002" spans="1:11" ht="42" customHeight="1">
      <c r="A7002" s="2" t="s">
        <v>17945</v>
      </c>
      <c r="B7002" s="2" t="s">
        <v>17946</v>
      </c>
      <c r="C7002" s="2" t="s">
        <v>17</v>
      </c>
      <c r="D7002" s="2" t="s">
        <v>18</v>
      </c>
      <c r="E7002" s="4">
        <v>-32459</v>
      </c>
      <c r="F7002" s="3" t="s">
        <v>1034</v>
      </c>
      <c r="G7002" s="3" t="s">
        <v>2668</v>
      </c>
      <c r="H7002" s="2" t="s">
        <v>148</v>
      </c>
      <c r="I7002" s="2" t="s">
        <v>17947</v>
      </c>
      <c r="J7002" s="3" t="str">
        <f>HYPERLINK("https://www.boe.es/gazeta/dias/1811/02/16/pdfs/GEI-1811-21.pdf#page=5","Abrir facsímil")</f>
        <v>Abrir facsímil</v>
      </c>
      <c r="K7002" s="3" t="s">
        <v>150</v>
      </c>
    </row>
    <row r="7003" spans="1:11" ht="42" customHeight="1">
      <c r="A7003" s="2" t="s">
        <v>17948</v>
      </c>
      <c r="B7003" s="2" t="s">
        <v>17949</v>
      </c>
      <c r="C7003" s="2" t="s">
        <v>17</v>
      </c>
      <c r="D7003" s="2" t="s">
        <v>18</v>
      </c>
      <c r="E7003" s="4">
        <v>-32309</v>
      </c>
      <c r="F7003" s="3" t="s">
        <v>2496</v>
      </c>
      <c r="G7003" s="3" t="s">
        <v>91</v>
      </c>
      <c r="H7003" s="2" t="s">
        <v>148</v>
      </c>
      <c r="I7003" s="2" t="s">
        <v>17950</v>
      </c>
      <c r="J7003" s="3" t="str">
        <f>HYPERLINK("https://www.boe.es/gazeta/dias/1811/07/16/pdfs/GEI-1811-93.pdf#page=7","Abrir facsímil")</f>
        <v>Abrir facsímil</v>
      </c>
      <c r="K7003" s="3" t="s">
        <v>150</v>
      </c>
    </row>
    <row r="7004" spans="1:11" ht="42" customHeight="1">
      <c r="A7004" s="2" t="s">
        <v>17951</v>
      </c>
      <c r="B7004" s="2" t="s">
        <v>17952</v>
      </c>
      <c r="C7004" s="2" t="s">
        <v>26</v>
      </c>
      <c r="D7004" s="2" t="s">
        <v>18</v>
      </c>
      <c r="E7004" s="4">
        <v>-32295</v>
      </c>
      <c r="F7004" s="3" t="s">
        <v>279</v>
      </c>
      <c r="G7004" s="3" t="s">
        <v>44</v>
      </c>
      <c r="H7004" s="2" t="s">
        <v>148</v>
      </c>
      <c r="I7004" s="2" t="s">
        <v>17953</v>
      </c>
      <c r="J7004" s="3" t="str">
        <f>HYPERLINK("https://www.boe.es/gazeta/dias/1811/07/30/pdfs/GEI-1811-99.pdf#page=8","Abrir facsímil")</f>
        <v>Abrir facsímil</v>
      </c>
      <c r="K7004" s="3" t="s">
        <v>150</v>
      </c>
    </row>
    <row r="7005" spans="1:11" ht="42" customHeight="1">
      <c r="A7005" s="2" t="s">
        <v>17954</v>
      </c>
      <c r="B7005" s="2" t="s">
        <v>17955</v>
      </c>
      <c r="C7005" s="2" t="s">
        <v>26</v>
      </c>
      <c r="D7005" s="2" t="s">
        <v>18</v>
      </c>
      <c r="E7005" s="4">
        <v>-32172</v>
      </c>
      <c r="F7005" s="3" t="s">
        <v>300</v>
      </c>
      <c r="G7005" s="3" t="s">
        <v>301</v>
      </c>
      <c r="H7005" s="2" t="s">
        <v>148</v>
      </c>
      <c r="I7005" s="2" t="s">
        <v>17956</v>
      </c>
      <c r="J7005" s="3" t="str">
        <f>HYPERLINK("https://www.boe.es/gazeta/dias/1811/11/30/pdfs/GMD-1811-334.pdf#page=4","Abrir facsímil")</f>
        <v>Abrir facsímil</v>
      </c>
      <c r="K7005" s="3" t="s">
        <v>150</v>
      </c>
    </row>
    <row r="7006" spans="1:11" ht="42" customHeight="1">
      <c r="A7006" s="2" t="s">
        <v>17957</v>
      </c>
      <c r="B7006" s="2" t="s">
        <v>17958</v>
      </c>
      <c r="C7006" s="2" t="s">
        <v>104</v>
      </c>
      <c r="D7006" s="2" t="s">
        <v>18</v>
      </c>
      <c r="E7006" s="4">
        <v>-32181</v>
      </c>
      <c r="F7006" s="3" t="s">
        <v>1169</v>
      </c>
      <c r="G7006" s="3" t="s">
        <v>1170</v>
      </c>
      <c r="H7006" s="2" t="s">
        <v>148</v>
      </c>
      <c r="I7006" s="2" t="s">
        <v>17959</v>
      </c>
      <c r="J7006" s="3" t="str">
        <f>HYPERLINK("https://www.boe.es/gazeta/dias/1811/11/21/pdfs/GMD-1811-325.pdf#page=4","Abrir facsímil")</f>
        <v>Abrir facsímil</v>
      </c>
      <c r="K7006" s="3" t="s">
        <v>150</v>
      </c>
    </row>
    <row r="7007" spans="1:11" ht="42" customHeight="1">
      <c r="A7007" s="2" t="s">
        <v>17960</v>
      </c>
      <c r="B7007" s="2" t="s">
        <v>17961</v>
      </c>
      <c r="C7007" s="2" t="s">
        <v>17</v>
      </c>
      <c r="D7007" s="2" t="s">
        <v>18</v>
      </c>
      <c r="E7007" s="4">
        <v>-32192</v>
      </c>
      <c r="F7007" s="3" t="s">
        <v>673</v>
      </c>
      <c r="G7007" s="3" t="s">
        <v>305</v>
      </c>
      <c r="H7007" s="2" t="s">
        <v>148</v>
      </c>
      <c r="I7007" s="2" t="s">
        <v>17962</v>
      </c>
      <c r="J7007" s="3" t="str">
        <f>HYPERLINK("https://www.boe.es/gazeta/dias/1811/11/10/pdfs/GMD-1811-314.pdf#page=4","Abrir facsímil")</f>
        <v>Abrir facsímil</v>
      </c>
      <c r="K7007" s="3" t="s">
        <v>150</v>
      </c>
    </row>
    <row r="7008" spans="1:11" ht="42" customHeight="1">
      <c r="A7008" s="2" t="s">
        <v>17963</v>
      </c>
      <c r="B7008" s="2" t="s">
        <v>17964</v>
      </c>
      <c r="C7008" s="2" t="s">
        <v>367</v>
      </c>
      <c r="D7008" s="2" t="s">
        <v>18</v>
      </c>
      <c r="E7008" s="4">
        <v>-32297</v>
      </c>
      <c r="F7008" s="3" t="s">
        <v>2174</v>
      </c>
      <c r="G7008" s="3" t="s">
        <v>183</v>
      </c>
      <c r="H7008" s="2" t="s">
        <v>148</v>
      </c>
      <c r="I7008" s="2" t="s">
        <v>17965</v>
      </c>
      <c r="J7008" s="3" t="str">
        <f>HYPERLINK("https://www.boe.es/gazeta/dias/1811/07/28/pdfs/GMD-1811-209.pdf#page=4","Abrir facsímil")</f>
        <v>Abrir facsímil</v>
      </c>
      <c r="K7008" s="3" t="s">
        <v>150</v>
      </c>
    </row>
    <row r="7009" spans="1:11" ht="42" customHeight="1">
      <c r="A7009" s="2" t="s">
        <v>17966</v>
      </c>
      <c r="B7009" s="2" t="s">
        <v>17966</v>
      </c>
      <c r="C7009" s="2" t="s">
        <v>26</v>
      </c>
      <c r="D7009" s="2" t="s">
        <v>204</v>
      </c>
      <c r="E7009" s="4">
        <v>-32196</v>
      </c>
      <c r="F7009" s="3" t="s">
        <v>8418</v>
      </c>
      <c r="G7009" s="3" t="s">
        <v>115</v>
      </c>
      <c r="H7009" s="2" t="s">
        <v>148</v>
      </c>
      <c r="I7009" s="2" t="s">
        <v>17967</v>
      </c>
      <c r="J7009" s="3" t="str">
        <f>HYPERLINK("https://www.boe.es/gazeta/dias/1811/11/06/pdfs/GMD-1811-310.pdf#page=3","Abrir facsímil")</f>
        <v>Abrir facsímil</v>
      </c>
      <c r="K7009" s="3" t="s">
        <v>150</v>
      </c>
    </row>
    <row r="7010" spans="1:11" ht="42" customHeight="1">
      <c r="A7010" s="2" t="s">
        <v>17968</v>
      </c>
      <c r="B7010" s="2" t="s">
        <v>17969</v>
      </c>
      <c r="C7010" s="2" t="s">
        <v>26</v>
      </c>
      <c r="D7010" s="2" t="s">
        <v>18</v>
      </c>
      <c r="E7010" s="4">
        <v>-32503</v>
      </c>
      <c r="F7010" s="3" t="s">
        <v>487</v>
      </c>
      <c r="G7010" s="3" t="s">
        <v>488</v>
      </c>
      <c r="H7010" s="2" t="s">
        <v>148</v>
      </c>
      <c r="I7010" s="2" t="s">
        <v>17970</v>
      </c>
      <c r="J7010" s="3" t="str">
        <f>HYPERLINK("https://www.boe.es/gazeta/dias/1811/01/03/pdfs/GEI-1811-2.pdf#page=2","Abrir facsímil")</f>
        <v>Abrir facsímil</v>
      </c>
      <c r="K7010" s="3" t="s">
        <v>150</v>
      </c>
    </row>
    <row r="7011" spans="1:11" ht="42" customHeight="1">
      <c r="A7011" s="2" t="s">
        <v>17971</v>
      </c>
      <c r="B7011" s="2" t="s">
        <v>17972</v>
      </c>
      <c r="C7011" s="2" t="s">
        <v>26</v>
      </c>
      <c r="D7011" s="2" t="s">
        <v>18</v>
      </c>
      <c r="E7011" s="4">
        <v>-32326</v>
      </c>
      <c r="F7011" s="3" t="s">
        <v>43</v>
      </c>
      <c r="G7011" s="3" t="s">
        <v>44</v>
      </c>
      <c r="H7011" s="2" t="s">
        <v>148</v>
      </c>
      <c r="I7011" s="2" t="s">
        <v>17973</v>
      </c>
      <c r="J7011" s="3" t="str">
        <f>HYPERLINK("https://www.boe.es/gazeta/dias/1811/06/29/pdfs/GEI-1811-86.pdf#page=6","Abrir facsímil")</f>
        <v>Abrir facsímil</v>
      </c>
      <c r="K7011" s="3" t="s">
        <v>150</v>
      </c>
    </row>
    <row r="7012" spans="1:11" ht="42" customHeight="1">
      <c r="A7012" s="2" t="s">
        <v>17974</v>
      </c>
      <c r="B7012" s="2" t="s">
        <v>17974</v>
      </c>
      <c r="C7012" s="2" t="s">
        <v>84</v>
      </c>
      <c r="D7012" s="2" t="s">
        <v>204</v>
      </c>
      <c r="E7012" s="4">
        <v>-32318</v>
      </c>
      <c r="F7012" s="3" t="s">
        <v>1193</v>
      </c>
      <c r="G7012" s="3" t="s">
        <v>2612</v>
      </c>
      <c r="H7012" s="2" t="s">
        <v>148</v>
      </c>
      <c r="I7012" s="2" t="s">
        <v>17975</v>
      </c>
      <c r="J7012" s="3" t="str">
        <f>HYPERLINK("https://www.boe.es/gazeta/dias/1811/07/07/pdfs/GMD-1811-188.pdf#page=1","Abrir facsímil")</f>
        <v>Abrir facsímil</v>
      </c>
      <c r="K7012" s="3" t="s">
        <v>150</v>
      </c>
    </row>
    <row r="7013" spans="1:11" ht="42" customHeight="1">
      <c r="A7013" s="2" t="s">
        <v>17976</v>
      </c>
      <c r="B7013" s="2" t="s">
        <v>17977</v>
      </c>
      <c r="C7013" s="2" t="s">
        <v>84</v>
      </c>
      <c r="D7013" s="2" t="s">
        <v>18</v>
      </c>
      <c r="E7013" s="4">
        <v>-32441</v>
      </c>
      <c r="F7013" s="3" t="s">
        <v>17978</v>
      </c>
      <c r="G7013" s="3" t="s">
        <v>515</v>
      </c>
      <c r="H7013" s="2" t="s">
        <v>148</v>
      </c>
      <c r="I7013" s="2" t="s">
        <v>17979</v>
      </c>
      <c r="J7013" s="3" t="str">
        <f>HYPERLINK("https://www.boe.es/gazeta/dias/1811/03/06/pdfs/GMD-1811-65.pdf#page=4","Abrir facsímil")</f>
        <v>Abrir facsímil</v>
      </c>
      <c r="K7013" s="3" t="s">
        <v>150</v>
      </c>
    </row>
    <row r="7014" spans="1:11" ht="42" customHeight="1">
      <c r="A7014" s="2" t="s">
        <v>17976</v>
      </c>
      <c r="B7014" s="2" t="s">
        <v>17977</v>
      </c>
      <c r="C7014" s="2" t="s">
        <v>37</v>
      </c>
      <c r="D7014" s="2" t="s">
        <v>18</v>
      </c>
      <c r="E7014" s="4">
        <v>-32418</v>
      </c>
      <c r="F7014" s="3" t="s">
        <v>9181</v>
      </c>
      <c r="G7014" s="3" t="s">
        <v>468</v>
      </c>
      <c r="H7014" s="2" t="s">
        <v>148</v>
      </c>
      <c r="I7014" s="2" t="s">
        <v>17980</v>
      </c>
      <c r="J7014" s="3" t="str">
        <f>HYPERLINK("https://www.boe.es/gazeta/dias/1811/03/29/pdfs/GMD-1811-88.pdf#page=4","Abrir facsímil")</f>
        <v>Abrir facsímil</v>
      </c>
      <c r="K7014" s="3" t="s">
        <v>150</v>
      </c>
    </row>
    <row r="7015" spans="1:11" ht="42" customHeight="1">
      <c r="A7015" s="2" t="s">
        <v>17981</v>
      </c>
      <c r="B7015" s="2" t="s">
        <v>17981</v>
      </c>
      <c r="C7015" s="2" t="s">
        <v>17</v>
      </c>
      <c r="D7015" s="2" t="s">
        <v>18</v>
      </c>
      <c r="E7015" s="4">
        <v>-32152</v>
      </c>
      <c r="F7015" s="3" t="s">
        <v>1673</v>
      </c>
      <c r="G7015" s="3" t="s">
        <v>57</v>
      </c>
      <c r="H7015" s="2" t="s">
        <v>148</v>
      </c>
      <c r="I7015" s="2" t="s">
        <v>17982</v>
      </c>
      <c r="J7015" s="3" t="str">
        <f>HYPERLINK("https://www.boe.es/gazeta/dias/1811/12/20/pdfs/GMD-1811-354.pdf#page=2","Abrir facsímil")</f>
        <v>Abrir facsímil</v>
      </c>
      <c r="K7015" s="3" t="s">
        <v>150</v>
      </c>
    </row>
    <row r="7016" spans="1:11" ht="42" customHeight="1">
      <c r="A7016" s="2" t="s">
        <v>17983</v>
      </c>
      <c r="B7016" s="2" t="s">
        <v>17983</v>
      </c>
      <c r="C7016" s="2" t="s">
        <v>26</v>
      </c>
      <c r="D7016" s="2" t="s">
        <v>18</v>
      </c>
      <c r="E7016" s="4">
        <v>-32153</v>
      </c>
      <c r="F7016" s="3" t="s">
        <v>123</v>
      </c>
      <c r="G7016" s="3" t="s">
        <v>288</v>
      </c>
      <c r="H7016" s="2" t="s">
        <v>148</v>
      </c>
      <c r="I7016" s="2" t="s">
        <v>17984</v>
      </c>
      <c r="J7016" s="3" t="str">
        <f>HYPERLINK("https://www.boe.es/gazeta/dias/1811/12/19/pdfs/GMD-1811-353.pdf#page=4","Abrir facsímil")</f>
        <v>Abrir facsímil</v>
      </c>
      <c r="K7016" s="3" t="s">
        <v>150</v>
      </c>
    </row>
    <row r="7017" spans="1:11" ht="42" customHeight="1">
      <c r="A7017" s="2" t="s">
        <v>17985</v>
      </c>
      <c r="B7017" s="2" t="s">
        <v>17986</v>
      </c>
      <c r="C7017" s="2" t="s">
        <v>26</v>
      </c>
      <c r="D7017" s="2" t="s">
        <v>18</v>
      </c>
      <c r="E7017" s="4">
        <v>-32235</v>
      </c>
      <c r="F7017" s="3" t="s">
        <v>190</v>
      </c>
      <c r="G7017" s="3" t="s">
        <v>188</v>
      </c>
      <c r="H7017" s="2" t="s">
        <v>148</v>
      </c>
      <c r="I7017" s="2" t="s">
        <v>17987</v>
      </c>
      <c r="J7017" s="3" t="str">
        <f>HYPERLINK("https://www.boe.es/gazeta/dias/1811/09/28/pdfs/GEI-1811-125.pdf#page=8","Abrir facsímil")</f>
        <v>Abrir facsímil</v>
      </c>
      <c r="K7017" s="3" t="s">
        <v>150</v>
      </c>
    </row>
    <row r="7018" spans="1:11" ht="42" customHeight="1">
      <c r="A7018" s="2" t="s">
        <v>17988</v>
      </c>
      <c r="B7018" s="2" t="s">
        <v>17989</v>
      </c>
      <c r="C7018" s="2" t="s">
        <v>104</v>
      </c>
      <c r="D7018" s="2" t="s">
        <v>18</v>
      </c>
      <c r="E7018" s="4">
        <v>-32213</v>
      </c>
      <c r="F7018" s="3" t="s">
        <v>4653</v>
      </c>
      <c r="G7018" s="3" t="s">
        <v>1930</v>
      </c>
      <c r="H7018" s="2" t="s">
        <v>148</v>
      </c>
      <c r="I7018" s="2" t="s">
        <v>17990</v>
      </c>
      <c r="J7018" s="3" t="str">
        <f>HYPERLINK("https://www.boe.es/gazeta/dias/1811/10/20/pdfs/GMD-1811-293.pdf#page=4","Abrir facsímil")</f>
        <v>Abrir facsímil</v>
      </c>
      <c r="K7018" s="3" t="s">
        <v>150</v>
      </c>
    </row>
    <row r="7019" spans="1:11" ht="42" customHeight="1">
      <c r="A7019" s="2" t="s">
        <v>17991</v>
      </c>
      <c r="B7019" s="2" t="s">
        <v>17992</v>
      </c>
      <c r="C7019" s="2" t="s">
        <v>26</v>
      </c>
      <c r="D7019" s="2" t="s">
        <v>18</v>
      </c>
      <c r="E7019" s="4">
        <v>-32155</v>
      </c>
      <c r="F7019" s="3" t="s">
        <v>263</v>
      </c>
      <c r="G7019" s="3" t="s">
        <v>264</v>
      </c>
      <c r="H7019" s="2" t="s">
        <v>148</v>
      </c>
      <c r="I7019" s="2" t="s">
        <v>17993</v>
      </c>
      <c r="J7019" s="3" t="str">
        <f>HYPERLINK("https://www.boe.es/gazeta/dias/1811/12/17/pdfs/GEI-1811-163.pdf#page=8","Abrir facsímil")</f>
        <v>Abrir facsímil</v>
      </c>
      <c r="K7019" s="3" t="s">
        <v>150</v>
      </c>
    </row>
    <row r="7020" spans="1:11" ht="42" customHeight="1">
      <c r="A7020" s="2" t="s">
        <v>17994</v>
      </c>
      <c r="B7020" s="2" t="s">
        <v>17995</v>
      </c>
      <c r="C7020" s="2" t="s">
        <v>26</v>
      </c>
      <c r="D7020" s="2" t="s">
        <v>105</v>
      </c>
      <c r="E7020" s="4">
        <v>-32379</v>
      </c>
      <c r="F7020" s="3" t="s">
        <v>462</v>
      </c>
      <c r="G7020" s="3" t="s">
        <v>463</v>
      </c>
      <c r="H7020" s="2" t="s">
        <v>148</v>
      </c>
      <c r="I7020" s="2" t="s">
        <v>17996</v>
      </c>
      <c r="J7020" s="3" t="str">
        <f>HYPERLINK("https://www.boe.es/gazeta/dias/1811/05/07/pdfs/GEI-1811-60.pdf#page=8","Abrir facsímil")</f>
        <v>Abrir facsímil</v>
      </c>
      <c r="K7020" s="3" t="s">
        <v>150</v>
      </c>
    </row>
    <row r="7021" spans="1:11" ht="42" customHeight="1">
      <c r="A7021" s="2" t="s">
        <v>17997</v>
      </c>
      <c r="B7021" s="2" t="s">
        <v>17998</v>
      </c>
      <c r="C7021" s="2" t="s">
        <v>26</v>
      </c>
      <c r="D7021" s="2" t="s">
        <v>18</v>
      </c>
      <c r="E7021" s="4">
        <v>-32235</v>
      </c>
      <c r="F7021" s="3" t="s">
        <v>190</v>
      </c>
      <c r="G7021" s="3" t="s">
        <v>188</v>
      </c>
      <c r="H7021" s="2" t="s">
        <v>148</v>
      </c>
      <c r="I7021" s="2" t="s">
        <v>17999</v>
      </c>
      <c r="J7021" s="3" t="str">
        <f>HYPERLINK("https://www.boe.es/gazeta/dias/1811/09/28/pdfs/GEI-1811-125.pdf#page=8","Abrir facsímil")</f>
        <v>Abrir facsímil</v>
      </c>
      <c r="K7021" s="3" t="s">
        <v>150</v>
      </c>
    </row>
    <row r="7022" spans="1:11" ht="42" customHeight="1">
      <c r="A7022" s="2" t="s">
        <v>18000</v>
      </c>
      <c r="B7022" s="2" t="s">
        <v>18001</v>
      </c>
      <c r="C7022" s="2" t="s">
        <v>26</v>
      </c>
      <c r="D7022" s="2" t="s">
        <v>141</v>
      </c>
      <c r="E7022" s="4">
        <v>-32272</v>
      </c>
      <c r="F7022" s="3" t="s">
        <v>1150</v>
      </c>
      <c r="G7022" s="3" t="s">
        <v>468</v>
      </c>
      <c r="H7022" s="2" t="s">
        <v>148</v>
      </c>
      <c r="I7022" s="2" t="s">
        <v>18002</v>
      </c>
      <c r="J7022" s="3" t="str">
        <f>HYPERLINK("https://www.boe.es/gazeta/dias/1811/08/22/pdfs/GMD-C-1811-234.pdf#page=2","Abrir facsímil")</f>
        <v>Abrir facsímil</v>
      </c>
      <c r="K7022" s="3" t="s">
        <v>150</v>
      </c>
    </row>
    <row r="7023" spans="1:11" ht="42" customHeight="1">
      <c r="A7023" s="2" t="s">
        <v>18003</v>
      </c>
      <c r="B7023" s="2" t="s">
        <v>18004</v>
      </c>
      <c r="C7023" s="2" t="s">
        <v>26</v>
      </c>
      <c r="D7023" s="2" t="s">
        <v>18</v>
      </c>
      <c r="E7023" s="4">
        <v>-32384</v>
      </c>
      <c r="F7023" s="3" t="s">
        <v>338</v>
      </c>
      <c r="G7023" s="3" t="s">
        <v>339</v>
      </c>
      <c r="H7023" s="2" t="s">
        <v>148</v>
      </c>
      <c r="I7023" s="2" t="s">
        <v>18005</v>
      </c>
      <c r="J7023" s="3" t="str">
        <f>HYPERLINK("https://www.boe.es/gazeta/dias/1811/05/02/pdfs/GEI-1811-58.pdf#page=8","Abrir facsímil")</f>
        <v>Abrir facsímil</v>
      </c>
      <c r="K7023" s="3" t="s">
        <v>150</v>
      </c>
    </row>
    <row r="7024" spans="1:11" ht="42" customHeight="1">
      <c r="A7024" s="2" t="s">
        <v>18006</v>
      </c>
      <c r="B7024" s="2" t="s">
        <v>18007</v>
      </c>
      <c r="C7024" s="2" t="s">
        <v>26</v>
      </c>
      <c r="D7024" s="2" t="s">
        <v>141</v>
      </c>
      <c r="E7024" s="4">
        <v>-32238</v>
      </c>
      <c r="F7024" s="3" t="s">
        <v>166</v>
      </c>
      <c r="G7024" s="3" t="s">
        <v>657</v>
      </c>
      <c r="H7024" s="2" t="s">
        <v>148</v>
      </c>
      <c r="I7024" s="2" t="s">
        <v>18008</v>
      </c>
      <c r="J7024" s="3" t="str">
        <f>HYPERLINK("https://www.boe.es/gazeta/dias/1811/09/25/pdfs/GMD-C-1811-268.pdf#page=3","Abrir facsímil")</f>
        <v>Abrir facsímil</v>
      </c>
      <c r="K7024" s="3" t="s">
        <v>150</v>
      </c>
    </row>
    <row r="7025" spans="1:11" ht="42" customHeight="1">
      <c r="A7025" s="2" t="s">
        <v>18009</v>
      </c>
      <c r="B7025" s="2" t="s">
        <v>18010</v>
      </c>
      <c r="C7025" s="2" t="s">
        <v>26</v>
      </c>
      <c r="D7025" s="2" t="s">
        <v>105</v>
      </c>
      <c r="E7025" s="4">
        <v>-32155</v>
      </c>
      <c r="F7025" s="3" t="s">
        <v>99</v>
      </c>
      <c r="G7025" s="3" t="s">
        <v>100</v>
      </c>
      <c r="H7025" s="2" t="s">
        <v>21</v>
      </c>
      <c r="I7025" s="2" t="s">
        <v>18011</v>
      </c>
      <c r="J7025" s="3" t="str">
        <f>HYPERLINK("https://www.boe.es/gazeta/dias/1811/12/17/pdfs/GMD-1811-351.pdf#page=4","Abrir facsímil")</f>
        <v>Abrir facsímil</v>
      </c>
      <c r="K7025" s="3" t="s">
        <v>23</v>
      </c>
    </row>
    <row r="7026" spans="1:11" ht="42" customHeight="1">
      <c r="A7026" s="2" t="s">
        <v>18012</v>
      </c>
      <c r="B7026" s="2" t="s">
        <v>18013</v>
      </c>
      <c r="C7026" s="2" t="s">
        <v>17</v>
      </c>
      <c r="D7026" s="2" t="s">
        <v>18</v>
      </c>
      <c r="E7026" s="4">
        <v>-32472</v>
      </c>
      <c r="F7026" s="3" t="s">
        <v>398</v>
      </c>
      <c r="G7026" s="3" t="s">
        <v>382</v>
      </c>
      <c r="H7026" s="2" t="s">
        <v>148</v>
      </c>
      <c r="I7026" s="2" t="s">
        <v>18014</v>
      </c>
      <c r="J7026" s="3" t="str">
        <f>HYPERLINK("https://www.boe.es/gazeta/dias/1811/02/03/pdfs/GMD-1811-34.pdf#page=2","Abrir facsímil")</f>
        <v>Abrir facsímil</v>
      </c>
      <c r="K7026" s="3" t="s">
        <v>150</v>
      </c>
    </row>
    <row r="7027" spans="1:11" ht="42" customHeight="1">
      <c r="A7027" s="2" t="s">
        <v>18012</v>
      </c>
      <c r="B7027" s="2" t="s">
        <v>18013</v>
      </c>
      <c r="C7027" s="2" t="s">
        <v>26</v>
      </c>
      <c r="D7027" s="2" t="s">
        <v>18</v>
      </c>
      <c r="E7027" s="4">
        <v>-32204</v>
      </c>
      <c r="F7027" s="3" t="s">
        <v>177</v>
      </c>
      <c r="G7027" s="3" t="s">
        <v>178</v>
      </c>
      <c r="H7027" s="2" t="s">
        <v>148</v>
      </c>
      <c r="I7027" s="2" t="s">
        <v>18015</v>
      </c>
      <c r="J7027" s="3" t="str">
        <f>HYPERLINK("https://www.boe.es/gazeta/dias/1811/10/29/pdfs/GMD-1811-302.pdf#page=4","Abrir facsímil")</f>
        <v>Abrir facsímil</v>
      </c>
      <c r="K7027" s="3" t="s">
        <v>150</v>
      </c>
    </row>
    <row r="7028" spans="1:11" ht="42" customHeight="1">
      <c r="A7028" s="2" t="s">
        <v>18016</v>
      </c>
      <c r="B7028" s="2" t="s">
        <v>18016</v>
      </c>
      <c r="C7028" s="2" t="s">
        <v>17</v>
      </c>
      <c r="D7028" s="2" t="s">
        <v>156</v>
      </c>
      <c r="E7028" s="4">
        <v>-32400</v>
      </c>
      <c r="F7028" s="3" t="s">
        <v>13774</v>
      </c>
      <c r="G7028" s="3" t="s">
        <v>134</v>
      </c>
      <c r="H7028" s="2" t="s">
        <v>148</v>
      </c>
      <c r="I7028" s="2" t="s">
        <v>18017</v>
      </c>
      <c r="J7028" s="3" t="str">
        <f>HYPERLINK("https://www.boe.es/gazeta/dias/1811/04/16/pdfs/GEI-1811-51.pdf#page=7","Abrir facsímil")</f>
        <v>Abrir facsímil</v>
      </c>
      <c r="K7028" s="3" t="s">
        <v>150</v>
      </c>
    </row>
    <row r="7029" spans="1:11" ht="42" customHeight="1">
      <c r="A7029" s="2" t="s">
        <v>18018</v>
      </c>
      <c r="B7029" s="2" t="s">
        <v>18019</v>
      </c>
      <c r="C7029" s="2" t="s">
        <v>104</v>
      </c>
      <c r="D7029" s="2" t="s">
        <v>18</v>
      </c>
      <c r="E7029" s="4">
        <v>-32235</v>
      </c>
      <c r="F7029" s="3" t="s">
        <v>190</v>
      </c>
      <c r="G7029" s="3" t="s">
        <v>188</v>
      </c>
      <c r="H7029" s="2" t="s">
        <v>148</v>
      </c>
      <c r="I7029" s="2" t="s">
        <v>18020</v>
      </c>
      <c r="J7029" s="3" t="str">
        <f>HYPERLINK("https://www.boe.es/gazeta/dias/1811/09/28/pdfs/GEI-1811-125.pdf#page=8","Abrir facsímil")</f>
        <v>Abrir facsímil</v>
      </c>
      <c r="K7029" s="3" t="s">
        <v>150</v>
      </c>
    </row>
    <row r="7030" spans="1:11" ht="42" customHeight="1">
      <c r="A7030" s="2" t="s">
        <v>18021</v>
      </c>
      <c r="B7030" s="2" t="s">
        <v>18022</v>
      </c>
      <c r="C7030" s="2" t="s">
        <v>26</v>
      </c>
      <c r="D7030" s="2" t="s">
        <v>105</v>
      </c>
      <c r="E7030" s="4">
        <v>-32195</v>
      </c>
      <c r="F7030" s="3" t="s">
        <v>439</v>
      </c>
      <c r="G7030" s="3" t="s">
        <v>2092</v>
      </c>
      <c r="H7030" s="2" t="s">
        <v>148</v>
      </c>
      <c r="I7030" s="2" t="s">
        <v>18023</v>
      </c>
      <c r="J7030" s="3" t="str">
        <f>HYPERLINK("https://www.boe.es/gazeta/dias/1811/11/07/pdfs/GEI-1811-144.pdf#page=7","Abrir facsímil")</f>
        <v>Abrir facsímil</v>
      </c>
      <c r="K7030" s="3" t="s">
        <v>150</v>
      </c>
    </row>
    <row r="7031" spans="1:11" ht="42" customHeight="1">
      <c r="A7031" s="2" t="s">
        <v>18024</v>
      </c>
      <c r="B7031" s="2" t="s">
        <v>18024</v>
      </c>
      <c r="C7031" s="2" t="s">
        <v>17</v>
      </c>
      <c r="D7031" s="2" t="s">
        <v>18</v>
      </c>
      <c r="E7031" s="4">
        <v>-32393</v>
      </c>
      <c r="F7031" s="3" t="s">
        <v>32</v>
      </c>
      <c r="G7031" s="3" t="s">
        <v>5014</v>
      </c>
      <c r="H7031" s="2" t="s">
        <v>148</v>
      </c>
      <c r="I7031" s="2" t="s">
        <v>18025</v>
      </c>
      <c r="J7031" s="3" t="str">
        <f>HYPERLINK("https://www.boe.es/gazeta/dias/1811/04/23/pdfs/GEI-1811-54.pdf#page=2","Abrir facsímil")</f>
        <v>Abrir facsímil</v>
      </c>
      <c r="K7031" s="3" t="s">
        <v>150</v>
      </c>
    </row>
    <row r="7032" spans="1:11" ht="42" customHeight="1">
      <c r="A7032" s="2" t="s">
        <v>18026</v>
      </c>
      <c r="B7032" s="2" t="s">
        <v>18027</v>
      </c>
      <c r="C7032" s="2" t="s">
        <v>17</v>
      </c>
      <c r="D7032" s="2" t="s">
        <v>18</v>
      </c>
      <c r="E7032" s="4">
        <v>-32482</v>
      </c>
      <c r="F7032" s="3" t="s">
        <v>924</v>
      </c>
      <c r="G7032" s="3" t="s">
        <v>846</v>
      </c>
      <c r="H7032" s="2" t="s">
        <v>148</v>
      </c>
      <c r="I7032" s="2" t="s">
        <v>18028</v>
      </c>
      <c r="J7032" s="3" t="str">
        <f>HYPERLINK("https://www.boe.es/gazeta/dias/1811/01/24/pdfs/GEI-1811-11.pdf#page=8","Abrir facsímil")</f>
        <v>Abrir facsímil</v>
      </c>
      <c r="K7032" s="3" t="s">
        <v>150</v>
      </c>
    </row>
    <row r="7033" spans="1:11" ht="42" customHeight="1">
      <c r="A7033" s="2" t="s">
        <v>18029</v>
      </c>
      <c r="B7033" s="2" t="s">
        <v>18030</v>
      </c>
      <c r="C7033" s="2" t="s">
        <v>26</v>
      </c>
      <c r="D7033" s="2" t="s">
        <v>18</v>
      </c>
      <c r="E7033" s="4">
        <v>-32379</v>
      </c>
      <c r="F7033" s="3" t="s">
        <v>462</v>
      </c>
      <c r="G7033" s="3" t="s">
        <v>463</v>
      </c>
      <c r="H7033" s="2" t="s">
        <v>148</v>
      </c>
      <c r="I7033" s="2" t="s">
        <v>18031</v>
      </c>
      <c r="J7033" s="3" t="str">
        <f>HYPERLINK("https://www.boe.es/gazeta/dias/1811/05/07/pdfs/GEI-1811-60.pdf#page=8","Abrir facsímil")</f>
        <v>Abrir facsímil</v>
      </c>
      <c r="K7033" s="3" t="s">
        <v>150</v>
      </c>
    </row>
    <row r="7034" spans="1:11" ht="42" customHeight="1">
      <c r="A7034" s="2" t="s">
        <v>18032</v>
      </c>
      <c r="B7034" s="2" t="s">
        <v>18033</v>
      </c>
      <c r="C7034" s="2" t="s">
        <v>26</v>
      </c>
      <c r="D7034" s="2" t="s">
        <v>18</v>
      </c>
      <c r="E7034" s="4">
        <v>-32286</v>
      </c>
      <c r="F7034" s="3" t="s">
        <v>754</v>
      </c>
      <c r="G7034" s="3" t="s">
        <v>1728</v>
      </c>
      <c r="H7034" s="2" t="s">
        <v>148</v>
      </c>
      <c r="I7034" s="2" t="s">
        <v>18034</v>
      </c>
      <c r="J7034" s="3" t="str">
        <f>HYPERLINK("https://www.boe.es/gazeta/dias/1811/08/08/pdfs/GEI-1811-103.pdf#page=8","Abrir facsímil")</f>
        <v>Abrir facsímil</v>
      </c>
      <c r="K7034" s="3" t="s">
        <v>150</v>
      </c>
    </row>
    <row r="7035" spans="1:11" ht="42" customHeight="1">
      <c r="A7035" s="2" t="s">
        <v>18035</v>
      </c>
      <c r="B7035" s="2" t="s">
        <v>18036</v>
      </c>
      <c r="C7035" s="2" t="s">
        <v>26</v>
      </c>
      <c r="D7035" s="2" t="s">
        <v>141</v>
      </c>
      <c r="E7035" s="4">
        <v>-32365</v>
      </c>
      <c r="F7035" s="3" t="s">
        <v>1304</v>
      </c>
      <c r="G7035" s="3" t="s">
        <v>120</v>
      </c>
      <c r="H7035" s="2" t="s">
        <v>148</v>
      </c>
      <c r="I7035" s="2" t="s">
        <v>18037</v>
      </c>
      <c r="J7035" s="3" t="str">
        <f>HYPERLINK("https://www.boe.es/gazeta/dias/1811/05/21/pdfs/GEI-D-1811-67.pdf#page=4","Abrir facsímil")</f>
        <v>Abrir facsímil</v>
      </c>
      <c r="K7035" s="3" t="s">
        <v>150</v>
      </c>
    </row>
    <row r="7036" spans="1:11" ht="42" customHeight="1">
      <c r="A7036" s="2" t="s">
        <v>18038</v>
      </c>
      <c r="B7036" s="2" t="s">
        <v>18038</v>
      </c>
      <c r="C7036" s="2" t="s">
        <v>17</v>
      </c>
      <c r="D7036" s="2" t="s">
        <v>18</v>
      </c>
      <c r="E7036" s="4">
        <v>-32321</v>
      </c>
      <c r="F7036" s="3" t="s">
        <v>1829</v>
      </c>
      <c r="G7036" s="3" t="s">
        <v>8265</v>
      </c>
      <c r="H7036" s="2" t="s">
        <v>148</v>
      </c>
      <c r="I7036" s="2" t="s">
        <v>18039</v>
      </c>
      <c r="J7036" s="3" t="str">
        <f>HYPERLINK("https://www.boe.es/gazeta/dias/1811/07/04/pdfs/GEI-1811-88.pdf#page=5","Abrir facsímil")</f>
        <v>Abrir facsímil</v>
      </c>
      <c r="K7036" s="3" t="s">
        <v>150</v>
      </c>
    </row>
    <row r="7037" spans="1:11" ht="42" customHeight="1">
      <c r="A7037" s="2" t="s">
        <v>18040</v>
      </c>
      <c r="B7037" s="2" t="s">
        <v>18041</v>
      </c>
      <c r="C7037" s="2" t="s">
        <v>17</v>
      </c>
      <c r="D7037" s="2" t="s">
        <v>156</v>
      </c>
      <c r="E7037" s="4">
        <v>-32242</v>
      </c>
      <c r="F7037" s="3" t="s">
        <v>1295</v>
      </c>
      <c r="G7037" s="3" t="s">
        <v>10551</v>
      </c>
      <c r="H7037" s="2" t="s">
        <v>148</v>
      </c>
      <c r="I7037" s="2" t="s">
        <v>18042</v>
      </c>
      <c r="J7037" s="3" t="str">
        <f>HYPERLINK("https://www.boe.es/gazeta/dias/1811/09/21/pdfs/GEI-1811-122.pdf#page=7","Abrir facsímil")</f>
        <v>Abrir facsímil</v>
      </c>
      <c r="K7037" s="3" t="s">
        <v>150</v>
      </c>
    </row>
    <row r="7038" spans="1:11" ht="42" customHeight="1">
      <c r="A7038" s="2" t="s">
        <v>18043</v>
      </c>
      <c r="B7038" s="2" t="s">
        <v>18043</v>
      </c>
      <c r="C7038" s="2" t="s">
        <v>104</v>
      </c>
      <c r="D7038" s="2" t="s">
        <v>18</v>
      </c>
      <c r="E7038" s="4">
        <v>-32443</v>
      </c>
      <c r="F7038" s="3" t="s">
        <v>1522</v>
      </c>
      <c r="G7038" s="3" t="s">
        <v>91</v>
      </c>
      <c r="H7038" s="2" t="s">
        <v>148</v>
      </c>
      <c r="I7038" s="2" t="s">
        <v>18044</v>
      </c>
      <c r="J7038" s="3" t="str">
        <f>HYPERLINK("https://www.boe.es/gazeta/dias/1811/03/04/pdfs/GMD-1811-63.pdf#page=2","Abrir facsímil")</f>
        <v>Abrir facsímil</v>
      </c>
      <c r="K7038" s="3" t="s">
        <v>150</v>
      </c>
    </row>
    <row r="7039" spans="1:11" ht="42" customHeight="1">
      <c r="A7039" s="2" t="s">
        <v>18045</v>
      </c>
      <c r="B7039" s="2" t="s">
        <v>18046</v>
      </c>
      <c r="C7039" s="2" t="s">
        <v>26</v>
      </c>
      <c r="D7039" s="2" t="s">
        <v>18</v>
      </c>
      <c r="E7039" s="4">
        <v>-32288</v>
      </c>
      <c r="F7039" s="3" t="s">
        <v>95</v>
      </c>
      <c r="G7039" s="3" t="s">
        <v>47</v>
      </c>
      <c r="H7039" s="2" t="s">
        <v>148</v>
      </c>
      <c r="I7039" s="2" t="s">
        <v>18047</v>
      </c>
      <c r="J7039" s="3" t="str">
        <f>HYPERLINK("https://www.boe.es/gazeta/dias/1811/08/06/pdfs/GEI-1811-102.pdf#page=8","Abrir facsímil")</f>
        <v>Abrir facsímil</v>
      </c>
      <c r="K7039" s="3" t="s">
        <v>150</v>
      </c>
    </row>
    <row r="7040" spans="1:11" ht="42" customHeight="1">
      <c r="A7040" s="2" t="s">
        <v>18048</v>
      </c>
      <c r="B7040" s="2" t="s">
        <v>18049</v>
      </c>
      <c r="C7040" s="2" t="s">
        <v>104</v>
      </c>
      <c r="D7040" s="2" t="s">
        <v>18</v>
      </c>
      <c r="E7040" s="4">
        <v>-32277</v>
      </c>
      <c r="F7040" s="3" t="s">
        <v>1765</v>
      </c>
      <c r="G7040" s="3" t="s">
        <v>1766</v>
      </c>
      <c r="H7040" s="2" t="s">
        <v>148</v>
      </c>
      <c r="I7040" s="2" t="s">
        <v>18050</v>
      </c>
      <c r="J7040" s="3" t="str">
        <f>HYPERLINK("https://www.boe.es/gazeta/dias/1811/08/17/pdfs/GEI-1811-107.pdf#page=7","Abrir facsímil")</f>
        <v>Abrir facsímil</v>
      </c>
      <c r="K7040" s="3" t="s">
        <v>150</v>
      </c>
    </row>
    <row r="7041" spans="1:11" ht="42" customHeight="1">
      <c r="A7041" s="2" t="s">
        <v>18051</v>
      </c>
      <c r="B7041" s="2" t="s">
        <v>18051</v>
      </c>
      <c r="C7041" s="2" t="s">
        <v>17</v>
      </c>
      <c r="D7041" s="2" t="s">
        <v>18</v>
      </c>
      <c r="E7041" s="4">
        <v>-32449</v>
      </c>
      <c r="F7041" s="3" t="s">
        <v>381</v>
      </c>
      <c r="G7041" s="3" t="s">
        <v>91</v>
      </c>
      <c r="H7041" s="2" t="s">
        <v>148</v>
      </c>
      <c r="I7041" s="2" t="s">
        <v>18052</v>
      </c>
      <c r="J7041" s="3" t="str">
        <f>HYPERLINK("https://www.boe.es/gazeta/dias/1811/02/26/pdfs/GEI-1811-25.pdf#page=1","Abrir facsímil")</f>
        <v>Abrir facsímil</v>
      </c>
      <c r="K7041" s="3" t="s">
        <v>150</v>
      </c>
    </row>
    <row r="7042" spans="1:11" ht="42" customHeight="1">
      <c r="A7042" s="2" t="s">
        <v>18053</v>
      </c>
      <c r="B7042" s="2" t="s">
        <v>18053</v>
      </c>
      <c r="C7042" s="2" t="s">
        <v>17</v>
      </c>
      <c r="D7042" s="2" t="s">
        <v>156</v>
      </c>
      <c r="E7042" s="4">
        <v>-32356</v>
      </c>
      <c r="F7042" s="3" t="s">
        <v>1992</v>
      </c>
      <c r="G7042" s="3" t="s">
        <v>3613</v>
      </c>
      <c r="H7042" s="2" t="s">
        <v>148</v>
      </c>
      <c r="I7042" s="2" t="s">
        <v>18054</v>
      </c>
      <c r="J7042" s="3" t="str">
        <f>HYPERLINK("https://www.boe.es/gazeta/dias/1811/05/30/pdfs/GEI-1811-73.pdf#page=5","Abrir facsímil")</f>
        <v>Abrir facsímil</v>
      </c>
      <c r="K7042" s="3" t="s">
        <v>150</v>
      </c>
    </row>
    <row r="7043" spans="1:11" ht="42" customHeight="1">
      <c r="A7043" s="2" t="s">
        <v>18055</v>
      </c>
      <c r="B7043" s="2" t="s">
        <v>18056</v>
      </c>
      <c r="C7043" s="2" t="s">
        <v>37</v>
      </c>
      <c r="D7043" s="2" t="s">
        <v>105</v>
      </c>
      <c r="E7043" s="4">
        <v>-32141</v>
      </c>
      <c r="F7043" s="3" t="s">
        <v>308</v>
      </c>
      <c r="G7043" s="3" t="s">
        <v>1198</v>
      </c>
      <c r="H7043" s="2" t="s">
        <v>148</v>
      </c>
      <c r="I7043" s="2" t="s">
        <v>18057</v>
      </c>
      <c r="J7043" s="3" t="str">
        <f>HYPERLINK("https://www.boe.es/gazeta/dias/1811/12/31/pdfs/GEI-1811-169.pdf#page=8","Abrir facsímil")</f>
        <v>Abrir facsímil</v>
      </c>
      <c r="K7043" s="3" t="s">
        <v>150</v>
      </c>
    </row>
    <row r="7044" spans="1:11" ht="42" customHeight="1">
      <c r="A7044" s="2" t="s">
        <v>18058</v>
      </c>
      <c r="B7044" s="2" t="s">
        <v>18059</v>
      </c>
      <c r="C7044" s="2" t="s">
        <v>26</v>
      </c>
      <c r="D7044" s="2" t="s">
        <v>18</v>
      </c>
      <c r="E7044" s="4">
        <v>-32213</v>
      </c>
      <c r="F7044" s="3" t="s">
        <v>4653</v>
      </c>
      <c r="G7044" s="3" t="s">
        <v>1930</v>
      </c>
      <c r="H7044" s="2" t="s">
        <v>148</v>
      </c>
      <c r="I7044" s="2" t="s">
        <v>18060</v>
      </c>
      <c r="J7044" s="3" t="str">
        <f>HYPERLINK("https://www.boe.es/gazeta/dias/1811/10/20/pdfs/GMD-1811-293.pdf#page=4","Abrir facsímil")</f>
        <v>Abrir facsímil</v>
      </c>
      <c r="K7044" s="3" t="s">
        <v>150</v>
      </c>
    </row>
    <row r="7045" spans="1:11" ht="42" customHeight="1">
      <c r="A7045" s="2" t="s">
        <v>18061</v>
      </c>
      <c r="B7045" s="2" t="s">
        <v>18061</v>
      </c>
      <c r="C7045" s="2" t="s">
        <v>17</v>
      </c>
      <c r="D7045" s="2" t="s">
        <v>156</v>
      </c>
      <c r="E7045" s="4">
        <v>-32160</v>
      </c>
      <c r="F7045" s="3" t="s">
        <v>1013</v>
      </c>
      <c r="G7045" s="3" t="s">
        <v>3089</v>
      </c>
      <c r="H7045" s="2" t="s">
        <v>148</v>
      </c>
      <c r="I7045" s="2" t="s">
        <v>18062</v>
      </c>
      <c r="J7045" s="3" t="str">
        <f>HYPERLINK("https://www.boe.es/gazeta/dias/1811/12/12/pdfs/GEI-1811-161.pdf#page=3","Abrir facsímil")</f>
        <v>Abrir facsímil</v>
      </c>
      <c r="K7045" s="3" t="s">
        <v>150</v>
      </c>
    </row>
    <row r="7046" spans="1:11" ht="42" customHeight="1">
      <c r="A7046" s="2" t="s">
        <v>18063</v>
      </c>
      <c r="B7046" s="2" t="s">
        <v>18063</v>
      </c>
      <c r="C7046" s="2" t="s">
        <v>17</v>
      </c>
      <c r="D7046" s="2" t="s">
        <v>156</v>
      </c>
      <c r="E7046" s="4">
        <v>-32207</v>
      </c>
      <c r="F7046" s="3" t="s">
        <v>2761</v>
      </c>
      <c r="G7046" s="3" t="s">
        <v>9021</v>
      </c>
      <c r="H7046" s="2" t="s">
        <v>148</v>
      </c>
      <c r="I7046" s="2" t="s">
        <v>18064</v>
      </c>
      <c r="J7046" s="3" t="str">
        <f>HYPERLINK("https://www.boe.es/gazeta/dias/1811/10/26/pdfs/GMD-1811-299.pdf#page=3","Abrir facsímil")</f>
        <v>Abrir facsímil</v>
      </c>
      <c r="K7046" s="3" t="s">
        <v>150</v>
      </c>
    </row>
    <row r="7047" spans="1:11" ht="42" customHeight="1">
      <c r="A7047" s="2" t="s">
        <v>18063</v>
      </c>
      <c r="B7047" s="2" t="s">
        <v>18063</v>
      </c>
      <c r="C7047" s="2" t="s">
        <v>17</v>
      </c>
      <c r="D7047" s="2" t="s">
        <v>105</v>
      </c>
      <c r="E7047" s="4">
        <v>-32201</v>
      </c>
      <c r="F7047" s="3" t="s">
        <v>2643</v>
      </c>
      <c r="G7047" s="3" t="s">
        <v>1087</v>
      </c>
      <c r="H7047" s="2" t="s">
        <v>148</v>
      </c>
      <c r="I7047" s="2" t="s">
        <v>18065</v>
      </c>
      <c r="J7047" s="3" t="str">
        <f>HYPERLINK("https://www.boe.es/gazeta/dias/1811/11/01/pdfs/GMD-1811-305.pdf#page=4","Abrir facsímil")</f>
        <v>Abrir facsímil</v>
      </c>
      <c r="K7047" s="3" t="s">
        <v>150</v>
      </c>
    </row>
    <row r="7048" spans="1:11" ht="42" customHeight="1">
      <c r="A7048" s="2" t="s">
        <v>18066</v>
      </c>
      <c r="B7048" s="2" t="s">
        <v>18067</v>
      </c>
      <c r="C7048" s="2" t="s">
        <v>26</v>
      </c>
      <c r="D7048" s="2" t="s">
        <v>18</v>
      </c>
      <c r="E7048" s="4">
        <v>-32241</v>
      </c>
      <c r="F7048" s="3" t="s">
        <v>514</v>
      </c>
      <c r="G7048" s="3" t="s">
        <v>515</v>
      </c>
      <c r="H7048" s="2" t="s">
        <v>148</v>
      </c>
      <c r="I7048" s="2" t="s">
        <v>18068</v>
      </c>
      <c r="J7048" s="3" t="str">
        <f>HYPERLINK("https://www.boe.es/gazeta/dias/1811/09/22/pdfs/GMD-1811-265.pdf#page=4","Abrir facsímil")</f>
        <v>Abrir facsímil</v>
      </c>
      <c r="K7048" s="3" t="s">
        <v>150</v>
      </c>
    </row>
    <row r="7049" spans="1:11" ht="42" customHeight="1">
      <c r="A7049" s="2" t="s">
        <v>18069</v>
      </c>
      <c r="B7049" s="2" t="s">
        <v>18070</v>
      </c>
      <c r="C7049" s="2" t="s">
        <v>26</v>
      </c>
      <c r="D7049" s="2" t="s">
        <v>18</v>
      </c>
      <c r="E7049" s="4">
        <v>-32188</v>
      </c>
      <c r="F7049" s="3" t="s">
        <v>356</v>
      </c>
      <c r="G7049" s="3" t="s">
        <v>468</v>
      </c>
      <c r="H7049" s="2" t="s">
        <v>148</v>
      </c>
      <c r="I7049" s="2" t="s">
        <v>18071</v>
      </c>
      <c r="J7049" s="3" t="str">
        <f>HYPERLINK("https://www.boe.es/gazeta/dias/1811/11/14/pdfs/GMD-1811-318.pdf#page=6","Abrir facsímil")</f>
        <v>Abrir facsímil</v>
      </c>
      <c r="K7049" s="3" t="s">
        <v>150</v>
      </c>
    </row>
    <row r="7050" spans="1:11" ht="42" customHeight="1">
      <c r="A7050" s="2" t="s">
        <v>18072</v>
      </c>
      <c r="B7050" s="2" t="s">
        <v>18073</v>
      </c>
      <c r="C7050" s="2" t="s">
        <v>26</v>
      </c>
      <c r="D7050" s="2" t="s">
        <v>18</v>
      </c>
      <c r="E7050" s="4">
        <v>-32396</v>
      </c>
      <c r="F7050" s="3" t="s">
        <v>1267</v>
      </c>
      <c r="G7050" s="3" t="s">
        <v>1143</v>
      </c>
      <c r="H7050" s="2" t="s">
        <v>148</v>
      </c>
      <c r="I7050" s="2" t="s">
        <v>18074</v>
      </c>
      <c r="J7050" s="3" t="str">
        <f>HYPERLINK("https://www.boe.es/gazeta/dias/1811/04/20/pdfs/GMD-1811-110.pdf#page=3","Abrir facsímil")</f>
        <v>Abrir facsímil</v>
      </c>
      <c r="K7050" s="3" t="s">
        <v>150</v>
      </c>
    </row>
    <row r="7051" spans="1:11" ht="42" customHeight="1">
      <c r="A7051" s="2" t="s">
        <v>18075</v>
      </c>
      <c r="B7051" s="2" t="s">
        <v>18075</v>
      </c>
      <c r="C7051" s="2" t="s">
        <v>17</v>
      </c>
      <c r="D7051" s="2" t="s">
        <v>18</v>
      </c>
      <c r="E7051" s="4">
        <v>-32207</v>
      </c>
      <c r="F7051" s="3" t="s">
        <v>2761</v>
      </c>
      <c r="G7051" s="3" t="s">
        <v>18076</v>
      </c>
      <c r="H7051" s="2" t="s">
        <v>148</v>
      </c>
      <c r="I7051" s="2" t="s">
        <v>18077</v>
      </c>
      <c r="J7051" s="3" t="str">
        <f>HYPERLINK("https://www.boe.es/gazeta/dias/1811/10/26/pdfs/GMD-1811-299.pdf#page=2","Abrir facsímil")</f>
        <v>Abrir facsímil</v>
      </c>
      <c r="K7051" s="3" t="s">
        <v>150</v>
      </c>
    </row>
    <row r="7052" spans="1:11" ht="42" customHeight="1">
      <c r="A7052" s="2" t="s">
        <v>18078</v>
      </c>
      <c r="B7052" s="2" t="s">
        <v>18079</v>
      </c>
      <c r="C7052" s="2" t="s">
        <v>26</v>
      </c>
      <c r="D7052" s="2" t="s">
        <v>141</v>
      </c>
      <c r="E7052" s="4">
        <v>-32280</v>
      </c>
      <c r="F7052" s="3" t="s">
        <v>142</v>
      </c>
      <c r="G7052" s="3" t="s">
        <v>47</v>
      </c>
      <c r="H7052" s="2" t="s">
        <v>148</v>
      </c>
      <c r="I7052" s="2" t="s">
        <v>18080</v>
      </c>
      <c r="J7052" s="3" t="str">
        <f>HYPERLINK("https://www.boe.es/gazeta/dias/1811/08/14/pdfs/GMD-C-1811-226.pdf#page=1","Abrir facsímil")</f>
        <v>Abrir facsímil</v>
      </c>
      <c r="K7052" s="3" t="s">
        <v>150</v>
      </c>
    </row>
    <row r="7053" spans="1:11" ht="42" customHeight="1">
      <c r="A7053" s="2" t="s">
        <v>18081</v>
      </c>
      <c r="B7053" s="2" t="s">
        <v>18082</v>
      </c>
      <c r="C7053" s="2" t="s">
        <v>26</v>
      </c>
      <c r="D7053" s="2" t="s">
        <v>18</v>
      </c>
      <c r="E7053" s="4">
        <v>-32370</v>
      </c>
      <c r="F7053" s="3" t="s">
        <v>146</v>
      </c>
      <c r="G7053" s="3" t="s">
        <v>162</v>
      </c>
      <c r="H7053" s="2" t="s">
        <v>148</v>
      </c>
      <c r="I7053" s="2" t="s">
        <v>18083</v>
      </c>
      <c r="J7053" s="3" t="str">
        <f>HYPERLINK("https://www.boe.es/gazeta/dias/1811/05/16/pdfs/GEI-1811-64.pdf#page=1","Abrir facsímil")</f>
        <v>Abrir facsímil</v>
      </c>
      <c r="K7053" s="3" t="s">
        <v>150</v>
      </c>
    </row>
    <row r="7054" spans="1:11" ht="42" customHeight="1">
      <c r="A7054" s="2" t="s">
        <v>18084</v>
      </c>
      <c r="B7054" s="2" t="s">
        <v>18084</v>
      </c>
      <c r="C7054" s="2" t="s">
        <v>26</v>
      </c>
      <c r="D7054" s="2" t="s">
        <v>18</v>
      </c>
      <c r="E7054" s="4">
        <v>-32294</v>
      </c>
      <c r="F7054" s="3" t="s">
        <v>3123</v>
      </c>
      <c r="G7054" s="3" t="s">
        <v>44</v>
      </c>
      <c r="H7054" s="2" t="s">
        <v>148</v>
      </c>
      <c r="I7054" s="2" t="s">
        <v>18085</v>
      </c>
      <c r="J7054" s="3" t="str">
        <f>HYPERLINK("https://www.boe.es/gazeta/dias/1811/07/31/pdfs/GMD-1811-212.pdf#page=4","Abrir facsímil")</f>
        <v>Abrir facsímil</v>
      </c>
      <c r="K7054" s="3" t="s">
        <v>150</v>
      </c>
    </row>
    <row r="7055" spans="1:11" ht="42" customHeight="1">
      <c r="A7055" s="2" t="s">
        <v>18086</v>
      </c>
      <c r="B7055" s="2" t="s">
        <v>18087</v>
      </c>
      <c r="C7055" s="2" t="s">
        <v>26</v>
      </c>
      <c r="D7055" s="2" t="s">
        <v>18</v>
      </c>
      <c r="E7055" s="4">
        <v>-32155</v>
      </c>
      <c r="F7055" s="3" t="s">
        <v>263</v>
      </c>
      <c r="G7055" s="3" t="s">
        <v>264</v>
      </c>
      <c r="H7055" s="2" t="s">
        <v>148</v>
      </c>
      <c r="I7055" s="2" t="s">
        <v>18088</v>
      </c>
      <c r="J7055" s="3" t="str">
        <f>HYPERLINK("https://www.boe.es/gazeta/dias/1811/12/17/pdfs/GEI-1811-163.pdf#page=8","Abrir facsímil")</f>
        <v>Abrir facsímil</v>
      </c>
      <c r="K7055" s="3" t="s">
        <v>150</v>
      </c>
    </row>
    <row r="7056" spans="1:11" ht="42" customHeight="1">
      <c r="A7056" s="2" t="s">
        <v>18089</v>
      </c>
      <c r="B7056" s="2" t="s">
        <v>18089</v>
      </c>
      <c r="C7056" s="2" t="s">
        <v>17</v>
      </c>
      <c r="D7056" s="2" t="s">
        <v>156</v>
      </c>
      <c r="E7056" s="4">
        <v>-32494</v>
      </c>
      <c r="F7056" s="3" t="s">
        <v>3050</v>
      </c>
      <c r="G7056" s="3" t="s">
        <v>6016</v>
      </c>
      <c r="H7056" s="2" t="s">
        <v>148</v>
      </c>
      <c r="I7056" s="2" t="s">
        <v>18090</v>
      </c>
      <c r="J7056" s="3" t="str">
        <f>HYPERLINK("https://www.boe.es/gazeta/dias/1811/01/12/pdfs/GEI-1811-6.pdf#page=2","Abrir facsímil")</f>
        <v>Abrir facsímil</v>
      </c>
      <c r="K7056" s="3" t="s">
        <v>150</v>
      </c>
    </row>
    <row r="7057" spans="1:11" ht="42" customHeight="1">
      <c r="A7057" s="2" t="s">
        <v>18091</v>
      </c>
      <c r="B7057" s="2" t="s">
        <v>18092</v>
      </c>
      <c r="C7057" s="2" t="s">
        <v>104</v>
      </c>
      <c r="D7057" s="2" t="s">
        <v>105</v>
      </c>
      <c r="E7057" s="4">
        <v>-32152</v>
      </c>
      <c r="F7057" s="3" t="s">
        <v>1673</v>
      </c>
      <c r="G7057" s="3" t="s">
        <v>183</v>
      </c>
      <c r="H7057" s="2" t="s">
        <v>148</v>
      </c>
      <c r="I7057" s="2" t="s">
        <v>18093</v>
      </c>
      <c r="J7057" s="3" t="str">
        <f>HYPERLINK("https://www.boe.es/gazeta/dias/1811/12/20/pdfs/GMD-1811-354.pdf#page=4","Abrir facsímil")</f>
        <v>Abrir facsímil</v>
      </c>
      <c r="K7057" s="3" t="s">
        <v>150</v>
      </c>
    </row>
    <row r="7058" spans="1:11" ht="42" customHeight="1">
      <c r="A7058" s="2" t="s">
        <v>18094</v>
      </c>
      <c r="B7058" s="2" t="s">
        <v>18095</v>
      </c>
      <c r="C7058" s="2" t="s">
        <v>26</v>
      </c>
      <c r="D7058" s="2" t="s">
        <v>18</v>
      </c>
      <c r="E7058" s="4">
        <v>-32188</v>
      </c>
      <c r="F7058" s="3" t="s">
        <v>356</v>
      </c>
      <c r="G7058" s="3" t="s">
        <v>468</v>
      </c>
      <c r="H7058" s="2" t="s">
        <v>148</v>
      </c>
      <c r="I7058" s="2" t="s">
        <v>18096</v>
      </c>
      <c r="J7058" s="3" t="str">
        <f>HYPERLINK("https://www.boe.es/gazeta/dias/1811/11/14/pdfs/GMD-1811-318.pdf#page=6","Abrir facsímil")</f>
        <v>Abrir facsímil</v>
      </c>
      <c r="K7058" s="3" t="s">
        <v>150</v>
      </c>
    </row>
    <row r="7059" spans="1:11" ht="42" customHeight="1">
      <c r="A7059" s="2" t="s">
        <v>18097</v>
      </c>
      <c r="B7059" s="2" t="s">
        <v>18097</v>
      </c>
      <c r="C7059" s="2" t="s">
        <v>104</v>
      </c>
      <c r="D7059" s="2" t="s">
        <v>18</v>
      </c>
      <c r="E7059" s="4">
        <v>-32190</v>
      </c>
      <c r="F7059" s="3" t="s">
        <v>1282</v>
      </c>
      <c r="G7059" s="3" t="s">
        <v>47</v>
      </c>
      <c r="H7059" s="2" t="s">
        <v>148</v>
      </c>
      <c r="I7059" s="2" t="s">
        <v>18098</v>
      </c>
      <c r="J7059" s="3" t="str">
        <f>HYPERLINK("https://www.boe.es/gazeta/dias/1811/11/12/pdfs/GMD-1811-316.pdf#page=3","Abrir facsímil")</f>
        <v>Abrir facsímil</v>
      </c>
      <c r="K7059" s="3" t="s">
        <v>150</v>
      </c>
    </row>
    <row r="7060" spans="1:11" ht="42" customHeight="1">
      <c r="A7060" s="2" t="s">
        <v>18099</v>
      </c>
      <c r="B7060" s="2" t="s">
        <v>18100</v>
      </c>
      <c r="C7060" s="2" t="s">
        <v>84</v>
      </c>
      <c r="D7060" s="2" t="s">
        <v>18</v>
      </c>
      <c r="E7060" s="4">
        <v>-32181</v>
      </c>
      <c r="F7060" s="3" t="s">
        <v>1169</v>
      </c>
      <c r="G7060" s="3" t="s">
        <v>1170</v>
      </c>
      <c r="H7060" s="2" t="s">
        <v>148</v>
      </c>
      <c r="I7060" s="2" t="s">
        <v>18101</v>
      </c>
      <c r="J7060" s="3" t="str">
        <f>HYPERLINK("https://www.boe.es/gazeta/dias/1811/11/21/pdfs/GMD-1811-325.pdf#page=4","Abrir facsímil")</f>
        <v>Abrir facsímil</v>
      </c>
      <c r="K7060" s="3" t="s">
        <v>150</v>
      </c>
    </row>
    <row r="7061" spans="1:11" ht="42" customHeight="1">
      <c r="A7061" s="2" t="s">
        <v>18102</v>
      </c>
      <c r="B7061" s="2" t="s">
        <v>18103</v>
      </c>
      <c r="C7061" s="2" t="s">
        <v>26</v>
      </c>
      <c r="D7061" s="2" t="s">
        <v>18</v>
      </c>
      <c r="E7061" s="4">
        <v>-32155</v>
      </c>
      <c r="F7061" s="3" t="s">
        <v>263</v>
      </c>
      <c r="G7061" s="3" t="s">
        <v>264</v>
      </c>
      <c r="H7061" s="2" t="s">
        <v>148</v>
      </c>
      <c r="I7061" s="2" t="s">
        <v>18104</v>
      </c>
      <c r="J7061" s="3" t="str">
        <f>HYPERLINK("https://www.boe.es/gazeta/dias/1811/12/17/pdfs/GEI-1811-163.pdf#page=8","Abrir facsímil")</f>
        <v>Abrir facsímil</v>
      </c>
      <c r="K7061" s="3" t="s">
        <v>150</v>
      </c>
    </row>
    <row r="7062" spans="1:11" ht="42" customHeight="1">
      <c r="A7062" s="2" t="s">
        <v>18105</v>
      </c>
      <c r="B7062" s="2" t="s">
        <v>18106</v>
      </c>
      <c r="C7062" s="2" t="s">
        <v>104</v>
      </c>
      <c r="D7062" s="2" t="s">
        <v>141</v>
      </c>
      <c r="E7062" s="4">
        <v>-32238</v>
      </c>
      <c r="F7062" s="3" t="s">
        <v>166</v>
      </c>
      <c r="G7062" s="3" t="s">
        <v>129</v>
      </c>
      <c r="H7062" s="2" t="s">
        <v>148</v>
      </c>
      <c r="I7062" s="2" t="s">
        <v>18107</v>
      </c>
      <c r="J7062" s="3" t="str">
        <f>HYPERLINK("https://www.boe.es/gazeta/dias/1811/09/25/pdfs/GMD-C-1811-268.pdf#page=1","Abrir facsímil")</f>
        <v>Abrir facsímil</v>
      </c>
      <c r="K7062" s="3" t="s">
        <v>150</v>
      </c>
    </row>
    <row r="7063" spans="1:11" ht="42" customHeight="1">
      <c r="A7063" s="2" t="s">
        <v>18108</v>
      </c>
      <c r="B7063" s="2" t="s">
        <v>18108</v>
      </c>
      <c r="C7063" s="2" t="s">
        <v>84</v>
      </c>
      <c r="D7063" s="2" t="s">
        <v>18</v>
      </c>
      <c r="E7063" s="4">
        <v>-32258</v>
      </c>
      <c r="F7063" s="3" t="s">
        <v>7467</v>
      </c>
      <c r="G7063" s="3" t="s">
        <v>20</v>
      </c>
      <c r="H7063" s="2" t="s">
        <v>148</v>
      </c>
      <c r="I7063" s="2" t="s">
        <v>18109</v>
      </c>
      <c r="J7063" s="3" t="str">
        <f>HYPERLINK("https://www.boe.es/gazeta/dias/1811/09/05/pdfs/GMD-1811-248.pdf#page=4","Abrir facsímil")</f>
        <v>Abrir facsímil</v>
      </c>
      <c r="K7063" s="3" t="s">
        <v>150</v>
      </c>
    </row>
    <row r="7064" spans="1:11" ht="42" customHeight="1">
      <c r="A7064" s="2" t="s">
        <v>18110</v>
      </c>
      <c r="B7064" s="2" t="s">
        <v>18111</v>
      </c>
      <c r="C7064" s="2" t="s">
        <v>17</v>
      </c>
      <c r="D7064" s="2" t="s">
        <v>18</v>
      </c>
      <c r="E7064" s="4">
        <v>-32326</v>
      </c>
      <c r="F7064" s="3" t="s">
        <v>43</v>
      </c>
      <c r="G7064" s="3" t="s">
        <v>44</v>
      </c>
      <c r="H7064" s="2" t="s">
        <v>21</v>
      </c>
      <c r="I7064" s="2" t="s">
        <v>18112</v>
      </c>
      <c r="J7064" s="3" t="str">
        <f>HYPERLINK("https://www.boe.es/gazeta/dias/1811/06/29/pdfs/GEI-1811-86.pdf#page=6","Abrir facsímil")</f>
        <v>Abrir facsímil</v>
      </c>
      <c r="K7064" s="3" t="s">
        <v>23</v>
      </c>
    </row>
    <row r="7065" spans="1:11" ht="42" customHeight="1">
      <c r="A7065" s="2" t="s">
        <v>18113</v>
      </c>
      <c r="B7065" s="2" t="s">
        <v>18114</v>
      </c>
      <c r="C7065" s="2" t="s">
        <v>26</v>
      </c>
      <c r="D7065" s="2" t="s">
        <v>18</v>
      </c>
      <c r="E7065" s="4">
        <v>-32309</v>
      </c>
      <c r="F7065" s="3" t="s">
        <v>2496</v>
      </c>
      <c r="G7065" s="3" t="s">
        <v>47</v>
      </c>
      <c r="H7065" s="2" t="s">
        <v>148</v>
      </c>
      <c r="I7065" s="2" t="s">
        <v>18115</v>
      </c>
      <c r="J7065" s="3" t="str">
        <f>HYPERLINK("https://www.boe.es/gazeta/dias/1811/07/16/pdfs/GEI-1811-93.pdf#page=8","Abrir facsímil")</f>
        <v>Abrir facsímil</v>
      </c>
      <c r="K7065" s="3" t="s">
        <v>150</v>
      </c>
    </row>
    <row r="7066" spans="1:11" ht="42" customHeight="1">
      <c r="A7066" s="2" t="s">
        <v>18116</v>
      </c>
      <c r="B7066" s="2" t="s">
        <v>18117</v>
      </c>
      <c r="C7066" s="2" t="s">
        <v>37</v>
      </c>
      <c r="D7066" s="2" t="s">
        <v>18</v>
      </c>
      <c r="E7066" s="4">
        <v>-32158</v>
      </c>
      <c r="F7066" s="3" t="s">
        <v>46</v>
      </c>
      <c r="G7066" s="3" t="s">
        <v>47</v>
      </c>
      <c r="H7066" s="2" t="s">
        <v>148</v>
      </c>
      <c r="I7066" s="2" t="s">
        <v>18118</v>
      </c>
      <c r="J7066" s="3" t="str">
        <f>HYPERLINK("https://www.boe.es/gazeta/dias/1811/12/14/pdfs/GEI-1811-162.pdf#page=7","Abrir facsímil")</f>
        <v>Abrir facsímil</v>
      </c>
      <c r="K7066" s="3" t="s">
        <v>150</v>
      </c>
    </row>
    <row r="7067" spans="1:11" ht="42" customHeight="1">
      <c r="A7067" s="2" t="s">
        <v>18119</v>
      </c>
      <c r="B7067" s="2" t="s">
        <v>18119</v>
      </c>
      <c r="C7067" s="2" t="s">
        <v>17</v>
      </c>
      <c r="D7067" s="2" t="s">
        <v>156</v>
      </c>
      <c r="E7067" s="4">
        <v>-32391</v>
      </c>
      <c r="F7067" s="3" t="s">
        <v>2998</v>
      </c>
      <c r="G7067" s="3" t="s">
        <v>178</v>
      </c>
      <c r="H7067" s="2" t="s">
        <v>148</v>
      </c>
      <c r="I7067" s="2" t="s">
        <v>18120</v>
      </c>
      <c r="J7067" s="3" t="str">
        <f>HYPERLINK("https://www.boe.es/gazeta/dias/1811/04/25/pdfs/GMD-1811-115.pdf#page=3","Abrir facsímil")</f>
        <v>Abrir facsímil</v>
      </c>
      <c r="K7067" s="3" t="s">
        <v>150</v>
      </c>
    </row>
    <row r="7068" spans="1:11" ht="42" customHeight="1">
      <c r="A7068" s="2" t="s">
        <v>18121</v>
      </c>
      <c r="B7068" s="2" t="s">
        <v>18122</v>
      </c>
      <c r="C7068" s="2" t="s">
        <v>26</v>
      </c>
      <c r="D7068" s="2" t="s">
        <v>141</v>
      </c>
      <c r="E7068" s="4">
        <v>-32188</v>
      </c>
      <c r="F7068" s="3" t="s">
        <v>505</v>
      </c>
      <c r="G7068" s="3" t="s">
        <v>47</v>
      </c>
      <c r="H7068" s="2" t="s">
        <v>148</v>
      </c>
      <c r="I7068" s="2" t="s">
        <v>18123</v>
      </c>
      <c r="J7068" s="3" t="str">
        <f>HYPERLINK("https://www.boe.es/gazeta/dias/1811/11/14/pdfs/GEI-D-1811-149.pdf#page=3","Abrir facsímil")</f>
        <v>Abrir facsímil</v>
      </c>
      <c r="K7068" s="3" t="s">
        <v>150</v>
      </c>
    </row>
    <row r="7069" spans="1:11" ht="42" customHeight="1">
      <c r="A7069" s="2" t="s">
        <v>18124</v>
      </c>
      <c r="B7069" s="2" t="s">
        <v>18125</v>
      </c>
      <c r="C7069" s="2" t="s">
        <v>26</v>
      </c>
      <c r="D7069" s="2" t="s">
        <v>18</v>
      </c>
      <c r="E7069" s="4">
        <v>-32248</v>
      </c>
      <c r="F7069" s="3" t="s">
        <v>622</v>
      </c>
      <c r="G7069" s="3" t="s">
        <v>115</v>
      </c>
      <c r="H7069" s="2" t="s">
        <v>148</v>
      </c>
      <c r="I7069" s="2" t="s">
        <v>18126</v>
      </c>
      <c r="J7069" s="3" t="str">
        <f>HYPERLINK("https://www.boe.es/gazeta/dias/1811/09/15/pdfs/GMD-1811-258.pdf#page=3","Abrir facsímil")</f>
        <v>Abrir facsímil</v>
      </c>
      <c r="K7069" s="3" t="s">
        <v>150</v>
      </c>
    </row>
    <row r="7070" spans="1:11" ht="42" customHeight="1">
      <c r="A7070" s="2" t="s">
        <v>18127</v>
      </c>
      <c r="B7070" s="2" t="s">
        <v>18128</v>
      </c>
      <c r="C7070" s="2" t="s">
        <v>26</v>
      </c>
      <c r="D7070" s="2" t="s">
        <v>18</v>
      </c>
      <c r="E7070" s="4">
        <v>-32373</v>
      </c>
      <c r="F7070" s="3" t="s">
        <v>271</v>
      </c>
      <c r="G7070" s="3" t="s">
        <v>162</v>
      </c>
      <c r="H7070" s="2" t="s">
        <v>148</v>
      </c>
      <c r="I7070" s="2" t="s">
        <v>18129</v>
      </c>
      <c r="J7070" s="3" t="str">
        <f>HYPERLINK("https://www.boe.es/gazeta/dias/1811/05/13/pdfs/GMD-1811-133.pdf#page=4","Abrir facsímil")</f>
        <v>Abrir facsímil</v>
      </c>
      <c r="K7070" s="3" t="s">
        <v>150</v>
      </c>
    </row>
    <row r="7071" spans="1:11" ht="42" customHeight="1">
      <c r="A7071" s="2" t="s">
        <v>18130</v>
      </c>
      <c r="B7071" s="2" t="s">
        <v>18130</v>
      </c>
      <c r="C7071" s="2" t="s">
        <v>84</v>
      </c>
      <c r="D7071" s="2" t="s">
        <v>18</v>
      </c>
      <c r="E7071" s="4">
        <v>-32353</v>
      </c>
      <c r="F7071" s="3" t="s">
        <v>18131</v>
      </c>
      <c r="G7071" s="3" t="s">
        <v>18132</v>
      </c>
      <c r="H7071" s="2" t="s">
        <v>148</v>
      </c>
      <c r="I7071" s="2" t="s">
        <v>18133</v>
      </c>
      <c r="J7071" s="3" t="str">
        <f>HYPERLINK("https://www.boe.es/gazeta/dias/1811/06/02/pdfs/GMD-1811-153.pdf#page=3","Abrir facsímil")</f>
        <v>Abrir facsímil</v>
      </c>
      <c r="K7071" s="3" t="s">
        <v>150</v>
      </c>
    </row>
    <row r="7072" spans="1:11" ht="42" customHeight="1">
      <c r="A7072" s="2" t="s">
        <v>18130</v>
      </c>
      <c r="B7072" s="2" t="s">
        <v>18130</v>
      </c>
      <c r="C7072" s="2" t="s">
        <v>37</v>
      </c>
      <c r="D7072" s="2" t="s">
        <v>156</v>
      </c>
      <c r="E7072" s="4">
        <v>-32256</v>
      </c>
      <c r="F7072" s="3" t="s">
        <v>5690</v>
      </c>
      <c r="G7072" s="3" t="s">
        <v>18134</v>
      </c>
      <c r="H7072" s="2" t="s">
        <v>148</v>
      </c>
      <c r="I7072" s="2" t="s">
        <v>18135</v>
      </c>
      <c r="J7072" s="3" t="str">
        <f>HYPERLINK("https://www.boe.es/gazeta/dias/1811/09/07/pdfs/GMD-1811-250.pdf#page=4","Abrir facsímil")</f>
        <v>Abrir facsímil</v>
      </c>
      <c r="K7072" s="3" t="s">
        <v>150</v>
      </c>
    </row>
    <row r="7073" spans="1:11" ht="42" customHeight="1">
      <c r="A7073" s="2" t="s">
        <v>18136</v>
      </c>
      <c r="B7073" s="2" t="s">
        <v>18137</v>
      </c>
      <c r="C7073" s="2" t="s">
        <v>17</v>
      </c>
      <c r="D7073" s="2" t="s">
        <v>18</v>
      </c>
      <c r="E7073" s="4">
        <v>-32232</v>
      </c>
      <c r="F7073" s="3" t="s">
        <v>1816</v>
      </c>
      <c r="G7073" s="3" t="s">
        <v>1817</v>
      </c>
      <c r="H7073" s="2" t="s">
        <v>21</v>
      </c>
      <c r="I7073" s="2" t="s">
        <v>18138</v>
      </c>
      <c r="J7073" s="3" t="str">
        <f>HYPERLINK("https://www.boe.es/gazeta/dias/1811/10/01/pdfs/GEI-1811-126.pdf#page=8","Abrir facsímil")</f>
        <v>Abrir facsímil</v>
      </c>
      <c r="K7073" s="3" t="s">
        <v>23</v>
      </c>
    </row>
    <row r="7074" spans="1:11" ht="42" customHeight="1">
      <c r="A7074" s="2" t="s">
        <v>18139</v>
      </c>
      <c r="B7074" s="2" t="s">
        <v>18139</v>
      </c>
      <c r="C7074" s="2" t="s">
        <v>17</v>
      </c>
      <c r="D7074" s="2" t="s">
        <v>18</v>
      </c>
      <c r="E7074" s="4">
        <v>-32231</v>
      </c>
      <c r="F7074" s="3" t="s">
        <v>2755</v>
      </c>
      <c r="G7074" s="3" t="s">
        <v>2799</v>
      </c>
      <c r="H7074" s="2" t="s">
        <v>148</v>
      </c>
      <c r="I7074" s="2" t="s">
        <v>18140</v>
      </c>
      <c r="J7074" s="3" t="str">
        <f>HYPERLINK("https://www.boe.es/gazeta/dias/1811/10/02/pdfs/GMD-1811-275.pdf#page=2","Abrir facsímil")</f>
        <v>Abrir facsímil</v>
      </c>
      <c r="K7074" s="3" t="s">
        <v>150</v>
      </c>
    </row>
    <row r="7075" spans="1:11" ht="42" customHeight="1">
      <c r="A7075" s="2" t="s">
        <v>18141</v>
      </c>
      <c r="B7075" s="2" t="s">
        <v>18141</v>
      </c>
      <c r="C7075" s="2" t="s">
        <v>17</v>
      </c>
      <c r="D7075" s="2" t="s">
        <v>18</v>
      </c>
      <c r="E7075" s="4">
        <v>-32307</v>
      </c>
      <c r="F7075" s="3" t="s">
        <v>1112</v>
      </c>
      <c r="G7075" s="3" t="s">
        <v>115</v>
      </c>
      <c r="H7075" s="2" t="s">
        <v>148</v>
      </c>
      <c r="I7075" s="2" t="s">
        <v>18142</v>
      </c>
      <c r="J7075" s="3" t="str">
        <f>HYPERLINK("https://www.boe.es/gazeta/dias/1811/07/18/pdfs/GEI-1811-94.pdf#page=3","Abrir facsímil")</f>
        <v>Abrir facsímil</v>
      </c>
      <c r="K7075" s="3" t="s">
        <v>150</v>
      </c>
    </row>
    <row r="7076" spans="1:11" ht="42" customHeight="1">
      <c r="A7076" s="2" t="s">
        <v>18143</v>
      </c>
      <c r="B7076" s="2" t="s">
        <v>18143</v>
      </c>
      <c r="C7076" s="2" t="s">
        <v>26</v>
      </c>
      <c r="D7076" s="2" t="s">
        <v>18</v>
      </c>
      <c r="E7076" s="4">
        <v>-32245</v>
      </c>
      <c r="F7076" s="3" t="s">
        <v>6296</v>
      </c>
      <c r="G7076" s="3" t="s">
        <v>20</v>
      </c>
      <c r="H7076" s="2" t="s">
        <v>148</v>
      </c>
      <c r="I7076" s="2" t="s">
        <v>18144</v>
      </c>
      <c r="J7076" s="3" t="str">
        <f>HYPERLINK("https://www.boe.es/gazeta/dias/1811/09/18/pdfs/GMD-1811-261.pdf#page=3","Abrir facsímil")</f>
        <v>Abrir facsímil</v>
      </c>
      <c r="K7076" s="3" t="s">
        <v>150</v>
      </c>
    </row>
    <row r="7077" spans="1:11" ht="42" customHeight="1">
      <c r="A7077" s="2" t="s">
        <v>18145</v>
      </c>
      <c r="B7077" s="2" t="s">
        <v>18146</v>
      </c>
      <c r="C7077" s="2" t="s">
        <v>17</v>
      </c>
      <c r="D7077" s="2" t="s">
        <v>156</v>
      </c>
      <c r="E7077" s="4">
        <v>-32363</v>
      </c>
      <c r="F7077" s="3" t="s">
        <v>1645</v>
      </c>
      <c r="G7077" s="3" t="s">
        <v>1646</v>
      </c>
      <c r="H7077" s="2" t="s">
        <v>21</v>
      </c>
      <c r="I7077" s="2" t="s">
        <v>18147</v>
      </c>
      <c r="J7077" s="3" t="str">
        <f>HYPERLINK("https://www.boe.es/gazeta/dias/1811/05/23/pdfs/GEI-1811-68.pdf#page=8","Abrir facsímil")</f>
        <v>Abrir facsímil</v>
      </c>
      <c r="K7077" s="3" t="s">
        <v>23</v>
      </c>
    </row>
    <row r="7078" spans="1:11" ht="42" customHeight="1">
      <c r="A7078" s="2" t="s">
        <v>18148</v>
      </c>
      <c r="B7078" s="2" t="s">
        <v>18149</v>
      </c>
      <c r="C7078" s="2" t="s">
        <v>17</v>
      </c>
      <c r="D7078" s="2" t="s">
        <v>18</v>
      </c>
      <c r="E7078" s="4">
        <v>-32279</v>
      </c>
      <c r="F7078" s="3" t="s">
        <v>540</v>
      </c>
      <c r="G7078" s="3" t="s">
        <v>20</v>
      </c>
      <c r="H7078" s="2" t="s">
        <v>21</v>
      </c>
      <c r="I7078" s="2" t="s">
        <v>18150</v>
      </c>
      <c r="J7078" s="3" t="str">
        <f>HYPERLINK("https://www.boe.es/gazeta/dias/1811/08/15/pdfs/GMD-1811-227.pdf#page=4","Abrir facsímil")</f>
        <v>Abrir facsímil</v>
      </c>
      <c r="K7078" s="3" t="s">
        <v>23</v>
      </c>
    </row>
    <row r="7079" spans="1:11" ht="42" customHeight="1">
      <c r="A7079" s="2" t="s">
        <v>18151</v>
      </c>
      <c r="B7079" s="2" t="s">
        <v>18152</v>
      </c>
      <c r="C7079" s="2" t="s">
        <v>37</v>
      </c>
      <c r="D7079" s="2" t="s">
        <v>18</v>
      </c>
      <c r="E7079" s="4">
        <v>-32407</v>
      </c>
      <c r="F7079" s="3" t="s">
        <v>38</v>
      </c>
      <c r="G7079" s="3" t="s">
        <v>480</v>
      </c>
      <c r="H7079" s="2" t="s">
        <v>21</v>
      </c>
      <c r="I7079" s="2" t="s">
        <v>18153</v>
      </c>
      <c r="J7079" s="3" t="str">
        <f>HYPERLINK("https://www.boe.es/gazeta/dias/1811/04/09/pdfs/GEI-1811-48.pdf#page=4","Abrir facsímil")</f>
        <v>Abrir facsímil</v>
      </c>
      <c r="K7079" s="3" t="s">
        <v>23</v>
      </c>
    </row>
    <row r="7080" spans="1:11" ht="42" customHeight="1">
      <c r="A7080" s="2" t="s">
        <v>18154</v>
      </c>
      <c r="B7080" s="2" t="s">
        <v>18155</v>
      </c>
      <c r="C7080" s="2" t="s">
        <v>104</v>
      </c>
      <c r="D7080" s="2" t="s">
        <v>18</v>
      </c>
      <c r="E7080" s="4">
        <v>-32289</v>
      </c>
      <c r="F7080" s="3" t="s">
        <v>10165</v>
      </c>
      <c r="G7080" s="3" t="s">
        <v>52</v>
      </c>
      <c r="H7080" s="2" t="s">
        <v>21</v>
      </c>
      <c r="I7080" s="2" t="s">
        <v>18156</v>
      </c>
      <c r="J7080" s="3" t="str">
        <f>HYPERLINK("https://www.boe.es/gazeta/dias/1811/08/05/pdfs/GMD-1811-217.pdf#page=3","Abrir facsímil")</f>
        <v>Abrir facsímil</v>
      </c>
      <c r="K7080" s="3" t="s">
        <v>23</v>
      </c>
    </row>
    <row r="7081" spans="1:11" ht="42" customHeight="1">
      <c r="A7081" s="2" t="s">
        <v>18157</v>
      </c>
      <c r="B7081" s="2" t="s">
        <v>18158</v>
      </c>
      <c r="C7081" s="2" t="s">
        <v>17</v>
      </c>
      <c r="D7081" s="2" t="s">
        <v>156</v>
      </c>
      <c r="E7081" s="4">
        <v>-32291</v>
      </c>
      <c r="F7081" s="3" t="s">
        <v>712</v>
      </c>
      <c r="G7081" s="3" t="s">
        <v>1722</v>
      </c>
      <c r="H7081" s="2" t="s">
        <v>21</v>
      </c>
      <c r="I7081" s="2" t="s">
        <v>18159</v>
      </c>
      <c r="J7081" s="3" t="str">
        <f>HYPERLINK("https://www.boe.es/gazeta/dias/1811/08/03/pdfs/GEI-1811-101.pdf#page=8","Abrir facsímil")</f>
        <v>Abrir facsímil</v>
      </c>
      <c r="K7081" s="3" t="s">
        <v>23</v>
      </c>
    </row>
    <row r="7082" spans="1:11" ht="42" customHeight="1">
      <c r="A7082" s="2" t="s">
        <v>18160</v>
      </c>
      <c r="B7082" s="2" t="s">
        <v>18161</v>
      </c>
      <c r="C7082" s="2" t="s">
        <v>26</v>
      </c>
      <c r="D7082" s="2" t="s">
        <v>18</v>
      </c>
      <c r="E7082" s="4">
        <v>-32259</v>
      </c>
      <c r="F7082" s="3" t="s">
        <v>3276</v>
      </c>
      <c r="G7082" s="3" t="s">
        <v>47</v>
      </c>
      <c r="H7082" s="2" t="s">
        <v>21</v>
      </c>
      <c r="I7082" s="2" t="s">
        <v>18162</v>
      </c>
      <c r="J7082" s="3" t="str">
        <f>HYPERLINK("https://www.boe.es/gazeta/dias/1811/09/04/pdfs/GMD-1811-247.pdf#page=4","Abrir facsímil")</f>
        <v>Abrir facsímil</v>
      </c>
      <c r="K7082" s="3" t="s">
        <v>23</v>
      </c>
    </row>
    <row r="7083" spans="1:11" ht="42" customHeight="1">
      <c r="A7083" s="2" t="s">
        <v>18163</v>
      </c>
      <c r="B7083" s="2" t="s">
        <v>18164</v>
      </c>
      <c r="C7083" s="2" t="s">
        <v>26</v>
      </c>
      <c r="D7083" s="2" t="s">
        <v>18</v>
      </c>
      <c r="E7083" s="4">
        <v>-32158</v>
      </c>
      <c r="F7083" s="3" t="s">
        <v>46</v>
      </c>
      <c r="G7083" s="3" t="s">
        <v>47</v>
      </c>
      <c r="H7083" s="2" t="s">
        <v>21</v>
      </c>
      <c r="I7083" s="2" t="s">
        <v>18165</v>
      </c>
      <c r="J7083" s="3" t="str">
        <f>HYPERLINK("https://www.boe.es/gazeta/dias/1811/12/14/pdfs/GEI-1811-162.pdf#page=7","Abrir facsímil")</f>
        <v>Abrir facsímil</v>
      </c>
      <c r="K7083" s="3" t="s">
        <v>23</v>
      </c>
    </row>
    <row r="7084" spans="1:11" ht="42" customHeight="1">
      <c r="A7084" s="2" t="s">
        <v>18166</v>
      </c>
      <c r="B7084" s="2" t="s">
        <v>18166</v>
      </c>
      <c r="C7084" s="2" t="s">
        <v>17</v>
      </c>
      <c r="D7084" s="2" t="s">
        <v>18</v>
      </c>
      <c r="E7084" s="4">
        <v>-32405</v>
      </c>
      <c r="F7084" s="3" t="s">
        <v>1413</v>
      </c>
      <c r="G7084" s="3" t="s">
        <v>8834</v>
      </c>
      <c r="H7084" s="2" t="s">
        <v>148</v>
      </c>
      <c r="I7084" s="2" t="s">
        <v>18167</v>
      </c>
      <c r="J7084" s="3" t="str">
        <f>HYPERLINK("https://www.boe.es/gazeta/dias/1811/04/11/pdfs/GEI-1811-49.pdf#page=4","Abrir facsímil")</f>
        <v>Abrir facsímil</v>
      </c>
      <c r="K7084" s="3" t="s">
        <v>150</v>
      </c>
    </row>
    <row r="7085" spans="1:11" ht="42" customHeight="1">
      <c r="A7085" s="2" t="s">
        <v>18168</v>
      </c>
      <c r="B7085" s="2" t="s">
        <v>18169</v>
      </c>
      <c r="C7085" s="2" t="s">
        <v>104</v>
      </c>
      <c r="D7085" s="2" t="s">
        <v>141</v>
      </c>
      <c r="E7085" s="4">
        <v>-32319</v>
      </c>
      <c r="F7085" s="3" t="s">
        <v>907</v>
      </c>
      <c r="G7085" s="3" t="s">
        <v>134</v>
      </c>
      <c r="H7085" s="2" t="s">
        <v>148</v>
      </c>
      <c r="I7085" s="2" t="s">
        <v>18170</v>
      </c>
      <c r="J7085" s="3" t="str">
        <f>HYPERLINK("https://www.boe.es/gazeta/dias/1811/07/06/pdfs/GEI-D-1811-89.pdf#page=4","Abrir facsímil")</f>
        <v>Abrir facsímil</v>
      </c>
      <c r="K7085" s="3" t="s">
        <v>150</v>
      </c>
    </row>
    <row r="7086" spans="1:11" ht="42" customHeight="1">
      <c r="A7086" s="2" t="s">
        <v>18171</v>
      </c>
      <c r="B7086" s="2" t="s">
        <v>18172</v>
      </c>
      <c r="C7086" s="2" t="s">
        <v>17</v>
      </c>
      <c r="D7086" s="2" t="s">
        <v>156</v>
      </c>
      <c r="E7086" s="4">
        <v>-32438</v>
      </c>
      <c r="F7086" s="3" t="s">
        <v>114</v>
      </c>
      <c r="G7086" s="3" t="s">
        <v>183</v>
      </c>
      <c r="H7086" s="2" t="s">
        <v>21</v>
      </c>
      <c r="I7086" s="2" t="s">
        <v>18173</v>
      </c>
      <c r="J7086" s="3" t="str">
        <f>HYPERLINK("https://www.boe.es/gazeta/dias/1811/03/09/pdfs/GEI-1811-33.pdf#page=4","Abrir facsímil")</f>
        <v>Abrir facsímil</v>
      </c>
      <c r="K7086" s="3" t="s">
        <v>23</v>
      </c>
    </row>
    <row r="7087" spans="1:11" ht="42" customHeight="1">
      <c r="A7087" s="2" t="s">
        <v>18174</v>
      </c>
      <c r="B7087" s="2" t="s">
        <v>18175</v>
      </c>
      <c r="C7087" s="2" t="s">
        <v>84</v>
      </c>
      <c r="D7087" s="2" t="s">
        <v>141</v>
      </c>
      <c r="E7087" s="4">
        <v>-32314</v>
      </c>
      <c r="F7087" s="3" t="s">
        <v>2051</v>
      </c>
      <c r="G7087" s="3" t="s">
        <v>44</v>
      </c>
      <c r="H7087" s="2" t="s">
        <v>148</v>
      </c>
      <c r="I7087" s="2" t="s">
        <v>18176</v>
      </c>
      <c r="J7087" s="3" t="str">
        <f>HYPERLINK("https://www.boe.es/gazeta/dias/1811/07/11/pdfs/GMD-C-1811-192.pdf#page=2","Abrir facsímil")</f>
        <v>Abrir facsímil</v>
      </c>
      <c r="K7087" s="3" t="s">
        <v>150</v>
      </c>
    </row>
    <row r="7088" spans="1:11" ht="42" customHeight="1">
      <c r="A7088" s="2" t="s">
        <v>18177</v>
      </c>
      <c r="B7088" s="2" t="s">
        <v>18178</v>
      </c>
      <c r="C7088" s="2" t="s">
        <v>26</v>
      </c>
      <c r="D7088" s="2" t="s">
        <v>141</v>
      </c>
      <c r="E7088" s="4">
        <v>-32209</v>
      </c>
      <c r="F7088" s="3" t="s">
        <v>1779</v>
      </c>
      <c r="G7088" s="3" t="s">
        <v>1780</v>
      </c>
      <c r="H7088" s="2" t="s">
        <v>148</v>
      </c>
      <c r="I7088" s="2" t="s">
        <v>18179</v>
      </c>
      <c r="J7088" s="3" t="str">
        <f>HYPERLINK("https://www.boe.es/gazeta/dias/1811/10/24/pdfs/GEI-D-1811-137.pdf#page=2","Abrir facsímil")</f>
        <v>Abrir facsímil</v>
      </c>
      <c r="K7088" s="3" t="s">
        <v>150</v>
      </c>
    </row>
    <row r="7089" spans="1:11" ht="42" customHeight="1">
      <c r="A7089" s="2" t="s">
        <v>18180</v>
      </c>
      <c r="B7089" s="2" t="s">
        <v>18181</v>
      </c>
      <c r="C7089" s="2" t="s">
        <v>104</v>
      </c>
      <c r="D7089" s="2" t="s">
        <v>18</v>
      </c>
      <c r="E7089" s="4">
        <v>-32153</v>
      </c>
      <c r="F7089" s="3" t="s">
        <v>235</v>
      </c>
      <c r="G7089" s="3" t="s">
        <v>1315</v>
      </c>
      <c r="H7089" s="2" t="s">
        <v>148</v>
      </c>
      <c r="I7089" s="2" t="s">
        <v>18182</v>
      </c>
      <c r="J7089" s="3" t="str">
        <f>HYPERLINK("https://www.boe.es/gazeta/dias/1811/12/19/pdfs/GEI-1811-164.pdf#page=2","Abrir facsímil")</f>
        <v>Abrir facsímil</v>
      </c>
      <c r="K7089" s="3" t="s">
        <v>150</v>
      </c>
    </row>
    <row r="7090" spans="1:11" ht="42" customHeight="1">
      <c r="A7090" s="2" t="s">
        <v>18183</v>
      </c>
      <c r="B7090" s="2" t="s">
        <v>18184</v>
      </c>
      <c r="C7090" s="2" t="s">
        <v>17</v>
      </c>
      <c r="D7090" s="2" t="s">
        <v>156</v>
      </c>
      <c r="E7090" s="4">
        <v>-32146</v>
      </c>
      <c r="F7090" s="3" t="s">
        <v>777</v>
      </c>
      <c r="G7090" s="3" t="s">
        <v>846</v>
      </c>
      <c r="H7090" s="2" t="s">
        <v>148</v>
      </c>
      <c r="I7090" s="2" t="s">
        <v>18185</v>
      </c>
      <c r="J7090" s="3" t="str">
        <f>HYPERLINK("https://www.boe.es/gazeta/dias/1811/12/26/pdfs/GEI-1811-167.pdf#page=8","Abrir facsímil")</f>
        <v>Abrir facsímil</v>
      </c>
      <c r="K7090" s="3" t="s">
        <v>150</v>
      </c>
    </row>
    <row r="7091" spans="1:11" ht="42" customHeight="1">
      <c r="A7091" s="2" t="s">
        <v>18186</v>
      </c>
      <c r="B7091" s="2" t="s">
        <v>18187</v>
      </c>
      <c r="C7091" s="2" t="s">
        <v>26</v>
      </c>
      <c r="D7091" s="2" t="s">
        <v>18</v>
      </c>
      <c r="E7091" s="4">
        <v>-32246</v>
      </c>
      <c r="F7091" s="3" t="s">
        <v>1901</v>
      </c>
      <c r="G7091" s="3" t="s">
        <v>248</v>
      </c>
      <c r="H7091" s="2" t="s">
        <v>148</v>
      </c>
      <c r="I7091" s="2" t="s">
        <v>18188</v>
      </c>
      <c r="J7091" s="3" t="str">
        <f>HYPERLINK("https://www.boe.es/gazeta/dias/1811/09/17/pdfs/GMD-1811-260.pdf#page=3","Abrir facsímil")</f>
        <v>Abrir facsímil</v>
      </c>
      <c r="K7091" s="3" t="s">
        <v>150</v>
      </c>
    </row>
    <row r="7092" spans="1:11" ht="42" customHeight="1">
      <c r="A7092" s="2" t="s">
        <v>18189</v>
      </c>
      <c r="B7092" s="2" t="s">
        <v>18190</v>
      </c>
      <c r="C7092" s="2" t="s">
        <v>26</v>
      </c>
      <c r="D7092" s="2" t="s">
        <v>18</v>
      </c>
      <c r="E7092" s="4">
        <v>-32286</v>
      </c>
      <c r="F7092" s="3" t="s">
        <v>754</v>
      </c>
      <c r="G7092" s="3" t="s">
        <v>1728</v>
      </c>
      <c r="H7092" s="2" t="s">
        <v>148</v>
      </c>
      <c r="I7092" s="2" t="s">
        <v>18191</v>
      </c>
      <c r="J7092" s="3" t="str">
        <f>HYPERLINK("https://www.boe.es/gazeta/dias/1811/08/08/pdfs/GEI-1811-103.pdf#page=8","Abrir facsímil")</f>
        <v>Abrir facsímil</v>
      </c>
      <c r="K7092" s="3" t="s">
        <v>150</v>
      </c>
    </row>
    <row r="7093" spans="1:11" ht="42" customHeight="1">
      <c r="A7093" s="2" t="s">
        <v>18192</v>
      </c>
      <c r="B7093" s="2" t="s">
        <v>18192</v>
      </c>
      <c r="C7093" s="2" t="s">
        <v>17</v>
      </c>
      <c r="D7093" s="2" t="s">
        <v>18</v>
      </c>
      <c r="E7093" s="4">
        <v>-32421</v>
      </c>
      <c r="F7093" s="3" t="s">
        <v>79</v>
      </c>
      <c r="G7093" s="3" t="s">
        <v>80</v>
      </c>
      <c r="H7093" s="2" t="s">
        <v>148</v>
      </c>
      <c r="I7093" s="2" t="s">
        <v>18193</v>
      </c>
      <c r="J7093" s="3" t="str">
        <f>HYPERLINK("https://www.boe.es/gazeta/dias/1811/03/26/pdfs/GEI-1811-42.pdf#page=7","Abrir facsímil")</f>
        <v>Abrir facsímil</v>
      </c>
      <c r="K7093" s="3" t="s">
        <v>150</v>
      </c>
    </row>
    <row r="7094" spans="1:11" ht="42" customHeight="1">
      <c r="A7094" s="2" t="s">
        <v>18194</v>
      </c>
      <c r="B7094" s="2" t="s">
        <v>18194</v>
      </c>
      <c r="C7094" s="2" t="s">
        <v>17</v>
      </c>
      <c r="D7094" s="2" t="s">
        <v>156</v>
      </c>
      <c r="E7094" s="4">
        <v>-32428</v>
      </c>
      <c r="F7094" s="3" t="s">
        <v>351</v>
      </c>
      <c r="G7094" s="3" t="s">
        <v>57</v>
      </c>
      <c r="H7094" s="2" t="s">
        <v>148</v>
      </c>
      <c r="I7094" s="2" t="s">
        <v>18195</v>
      </c>
      <c r="J7094" s="3" t="str">
        <f>HYPERLINK("https://www.boe.es/gazeta/dias/1811/03/19/pdfs/GMD-1811-78.pdf#page=2","Abrir facsímil")</f>
        <v>Abrir facsímil</v>
      </c>
      <c r="K7094" s="3" t="s">
        <v>150</v>
      </c>
    </row>
    <row r="7095" spans="1:11" ht="42" customHeight="1">
      <c r="A7095" s="2" t="s">
        <v>18194</v>
      </c>
      <c r="B7095" s="2" t="s">
        <v>18194</v>
      </c>
      <c r="C7095" s="2" t="s">
        <v>17</v>
      </c>
      <c r="D7095" s="2" t="s">
        <v>156</v>
      </c>
      <c r="E7095" s="4">
        <v>-32428</v>
      </c>
      <c r="F7095" s="3" t="s">
        <v>351</v>
      </c>
      <c r="G7095" s="3" t="s">
        <v>115</v>
      </c>
      <c r="H7095" s="2" t="s">
        <v>148</v>
      </c>
      <c r="I7095" s="2" t="s">
        <v>18196</v>
      </c>
      <c r="J7095" s="3" t="str">
        <f>HYPERLINK("https://www.boe.es/gazeta/dias/1811/03/19/pdfs/GMD-1811-78.pdf#page=3","Abrir facsímil")</f>
        <v>Abrir facsímil</v>
      </c>
      <c r="K7095" s="3" t="s">
        <v>150</v>
      </c>
    </row>
    <row r="7096" spans="1:11" ht="42" customHeight="1">
      <c r="A7096" s="2" t="s">
        <v>18194</v>
      </c>
      <c r="B7096" s="2" t="s">
        <v>18194</v>
      </c>
      <c r="C7096" s="2" t="s">
        <v>367</v>
      </c>
      <c r="D7096" s="2" t="s">
        <v>18</v>
      </c>
      <c r="E7096" s="4">
        <v>-32314</v>
      </c>
      <c r="F7096" s="3" t="s">
        <v>6914</v>
      </c>
      <c r="G7096" s="3" t="s">
        <v>248</v>
      </c>
      <c r="H7096" s="2" t="s">
        <v>148</v>
      </c>
      <c r="I7096" s="2" t="s">
        <v>18197</v>
      </c>
      <c r="J7096" s="3" t="str">
        <f>HYPERLINK("https://www.boe.es/gazeta/dias/1811/07/11/pdfs/GMD-1811-192.pdf#page=4","Abrir facsímil")</f>
        <v>Abrir facsímil</v>
      </c>
      <c r="K7096" s="3" t="s">
        <v>150</v>
      </c>
    </row>
    <row r="7097" spans="1:11" ht="42" customHeight="1">
      <c r="A7097" s="2" t="s">
        <v>18194</v>
      </c>
      <c r="B7097" s="2" t="s">
        <v>18194</v>
      </c>
      <c r="C7097" s="2" t="s">
        <v>17</v>
      </c>
      <c r="D7097" s="2" t="s">
        <v>18</v>
      </c>
      <c r="E7097" s="4">
        <v>-32300</v>
      </c>
      <c r="F7097" s="3" t="s">
        <v>61</v>
      </c>
      <c r="G7097" s="3" t="s">
        <v>129</v>
      </c>
      <c r="H7097" s="2" t="s">
        <v>148</v>
      </c>
      <c r="I7097" s="2" t="s">
        <v>18198</v>
      </c>
      <c r="J7097" s="3" t="str">
        <f>HYPERLINK("https://www.boe.es/gazeta/dias/1811/07/25/pdfs/GEI-1811-97.pdf#page=2","Abrir facsímil")</f>
        <v>Abrir facsímil</v>
      </c>
      <c r="K7097" s="3" t="s">
        <v>150</v>
      </c>
    </row>
    <row r="7098" spans="1:11" ht="42" customHeight="1">
      <c r="A7098" s="2" t="s">
        <v>18194</v>
      </c>
      <c r="B7098" s="2" t="s">
        <v>18194</v>
      </c>
      <c r="C7098" s="2" t="s">
        <v>17</v>
      </c>
      <c r="D7098" s="2" t="s">
        <v>156</v>
      </c>
      <c r="E7098" s="4">
        <v>-32235</v>
      </c>
      <c r="F7098" s="3" t="s">
        <v>190</v>
      </c>
      <c r="G7098" s="3" t="s">
        <v>188</v>
      </c>
      <c r="H7098" s="2" t="s">
        <v>148</v>
      </c>
      <c r="I7098" s="2" t="s">
        <v>18199</v>
      </c>
      <c r="J7098" s="3" t="str">
        <f>HYPERLINK("https://www.boe.es/gazeta/dias/1811/09/28/pdfs/GEI-1811-125.pdf#page=8","Abrir facsímil")</f>
        <v>Abrir facsímil</v>
      </c>
      <c r="K7098" s="3" t="s">
        <v>150</v>
      </c>
    </row>
    <row r="7099" spans="1:11" ht="42" customHeight="1">
      <c r="A7099" s="2" t="s">
        <v>18194</v>
      </c>
      <c r="B7099" s="2" t="s">
        <v>18194</v>
      </c>
      <c r="C7099" s="2" t="s">
        <v>17</v>
      </c>
      <c r="D7099" s="2" t="s">
        <v>156</v>
      </c>
      <c r="E7099" s="4">
        <v>-32171</v>
      </c>
      <c r="F7099" s="3" t="s">
        <v>157</v>
      </c>
      <c r="G7099" s="3" t="s">
        <v>44</v>
      </c>
      <c r="H7099" s="2" t="s">
        <v>148</v>
      </c>
      <c r="I7099" s="2" t="s">
        <v>18200</v>
      </c>
      <c r="J7099" s="3" t="str">
        <f>HYPERLINK("https://www.boe.es/gazeta/dias/1811/12/01/pdfs/GMD-1811-335.pdf#page=4","Abrir facsímil")</f>
        <v>Abrir facsímil</v>
      </c>
      <c r="K7099" s="3" t="s">
        <v>150</v>
      </c>
    </row>
    <row r="7100" spans="1:11" ht="42" customHeight="1">
      <c r="A7100" s="2" t="s">
        <v>18201</v>
      </c>
      <c r="B7100" s="2" t="s">
        <v>18202</v>
      </c>
      <c r="C7100" s="2" t="s">
        <v>26</v>
      </c>
      <c r="D7100" s="2" t="s">
        <v>141</v>
      </c>
      <c r="E7100" s="4">
        <v>-32188</v>
      </c>
      <c r="F7100" s="3" t="s">
        <v>505</v>
      </c>
      <c r="G7100" s="3" t="s">
        <v>47</v>
      </c>
      <c r="H7100" s="2" t="s">
        <v>148</v>
      </c>
      <c r="I7100" s="2" t="s">
        <v>18203</v>
      </c>
      <c r="J7100" s="3" t="str">
        <f>HYPERLINK("https://www.boe.es/gazeta/dias/1811/11/14/pdfs/GEI-D-1811-149.pdf#page=3","Abrir facsímil")</f>
        <v>Abrir facsímil</v>
      </c>
      <c r="K7100" s="3" t="s">
        <v>150</v>
      </c>
    </row>
    <row r="7101" spans="1:11" ht="42" customHeight="1">
      <c r="A7101" s="2" t="s">
        <v>18204</v>
      </c>
      <c r="B7101" s="2" t="s">
        <v>18205</v>
      </c>
      <c r="C7101" s="2" t="s">
        <v>17</v>
      </c>
      <c r="D7101" s="2" t="s">
        <v>156</v>
      </c>
      <c r="E7101" s="4">
        <v>-32282</v>
      </c>
      <c r="F7101" s="3" t="s">
        <v>10800</v>
      </c>
      <c r="G7101" s="3" t="s">
        <v>20</v>
      </c>
      <c r="H7101" s="2" t="s">
        <v>148</v>
      </c>
      <c r="I7101" s="2" t="s">
        <v>18206</v>
      </c>
      <c r="J7101" s="3" t="str">
        <f>HYPERLINK("https://www.boe.es/gazeta/dias/1811/08/12/pdfs/GMD-1811-224.pdf#page=4","Abrir facsímil")</f>
        <v>Abrir facsímil</v>
      </c>
      <c r="K7101" s="3" t="s">
        <v>150</v>
      </c>
    </row>
    <row r="7102" spans="1:11" ht="42" customHeight="1">
      <c r="A7102" s="2" t="s">
        <v>18207</v>
      </c>
      <c r="B7102" s="2" t="s">
        <v>18207</v>
      </c>
      <c r="C7102" s="2" t="s">
        <v>17</v>
      </c>
      <c r="D7102" s="2" t="s">
        <v>18</v>
      </c>
      <c r="E7102" s="4">
        <v>-32152</v>
      </c>
      <c r="F7102" s="3" t="s">
        <v>1673</v>
      </c>
      <c r="G7102" s="3" t="s">
        <v>57</v>
      </c>
      <c r="H7102" s="2" t="s">
        <v>148</v>
      </c>
      <c r="I7102" s="2" t="s">
        <v>18208</v>
      </c>
      <c r="J7102" s="3" t="str">
        <f>HYPERLINK("https://www.boe.es/gazeta/dias/1811/12/20/pdfs/GMD-1811-354.pdf#page=2","Abrir facsímil")</f>
        <v>Abrir facsímil</v>
      </c>
      <c r="K7102" s="3" t="s">
        <v>150</v>
      </c>
    </row>
    <row r="7103" spans="1:11" ht="42" customHeight="1">
      <c r="A7103" s="2" t="s">
        <v>18209</v>
      </c>
      <c r="B7103" s="2" t="s">
        <v>18209</v>
      </c>
      <c r="C7103" s="2" t="s">
        <v>17</v>
      </c>
      <c r="D7103" s="2" t="s">
        <v>156</v>
      </c>
      <c r="E7103" s="4">
        <v>-32434</v>
      </c>
      <c r="F7103" s="3" t="s">
        <v>1932</v>
      </c>
      <c r="G7103" s="3" t="s">
        <v>468</v>
      </c>
      <c r="H7103" s="2" t="s">
        <v>148</v>
      </c>
      <c r="I7103" s="2" t="s">
        <v>18210</v>
      </c>
      <c r="J7103" s="3" t="str">
        <f>HYPERLINK("https://www.boe.es/gazeta/dias/1811/03/13/pdfs/GMD-1811-72.pdf#page=4","Abrir facsímil")</f>
        <v>Abrir facsímil</v>
      </c>
      <c r="K7103" s="3" t="s">
        <v>150</v>
      </c>
    </row>
    <row r="7104" spans="1:11" ht="42" customHeight="1">
      <c r="A7104" s="2" t="s">
        <v>18211</v>
      </c>
      <c r="B7104" s="2" t="s">
        <v>18211</v>
      </c>
      <c r="C7104" s="2" t="s">
        <v>37</v>
      </c>
      <c r="D7104" s="2" t="s">
        <v>204</v>
      </c>
      <c r="E7104" s="4">
        <v>-32359</v>
      </c>
      <c r="F7104" s="3" t="s">
        <v>7795</v>
      </c>
      <c r="G7104" s="3" t="s">
        <v>515</v>
      </c>
      <c r="H7104" s="2" t="s">
        <v>148</v>
      </c>
      <c r="I7104" s="2" t="s">
        <v>18212</v>
      </c>
      <c r="J7104" s="3" t="str">
        <f>HYPERLINK("https://www.boe.es/gazeta/dias/1811/05/27/pdfs/GMD-1811-147.pdf#page=2","Abrir facsímil")</f>
        <v>Abrir facsímil</v>
      </c>
      <c r="K7104" s="3" t="s">
        <v>150</v>
      </c>
    </row>
    <row r="7105" spans="1:11" ht="42" customHeight="1">
      <c r="A7105" s="2" t="s">
        <v>18213</v>
      </c>
      <c r="B7105" s="2" t="s">
        <v>18213</v>
      </c>
      <c r="C7105" s="2" t="s">
        <v>37</v>
      </c>
      <c r="D7105" s="2" t="s">
        <v>18</v>
      </c>
      <c r="E7105" s="4">
        <v>-32339</v>
      </c>
      <c r="F7105" s="3" t="s">
        <v>1853</v>
      </c>
      <c r="G7105" s="3" t="s">
        <v>468</v>
      </c>
      <c r="H7105" s="2" t="s">
        <v>148</v>
      </c>
      <c r="I7105" s="2" t="s">
        <v>18214</v>
      </c>
      <c r="J7105" s="3" t="str">
        <f>HYPERLINK("https://www.boe.es/gazeta/dias/1811/06/16/pdfs/GMD-1811-167.pdf#page=1","Abrir facsímil")</f>
        <v>Abrir facsímil</v>
      </c>
      <c r="K7105" s="3" t="s">
        <v>150</v>
      </c>
    </row>
    <row r="7106" spans="1:11" ht="42" customHeight="1">
      <c r="A7106" s="2" t="s">
        <v>18215</v>
      </c>
      <c r="B7106" s="2" t="s">
        <v>18216</v>
      </c>
      <c r="C7106" s="2" t="s">
        <v>26</v>
      </c>
      <c r="D7106" s="2" t="s">
        <v>18</v>
      </c>
      <c r="E7106" s="4">
        <v>-32242</v>
      </c>
      <c r="F7106" s="3" t="s">
        <v>1295</v>
      </c>
      <c r="G7106" s="3" t="s">
        <v>4640</v>
      </c>
      <c r="H7106" s="2" t="s">
        <v>148</v>
      </c>
      <c r="I7106" s="2" t="s">
        <v>18217</v>
      </c>
      <c r="J7106" s="3" t="str">
        <f>HYPERLINK("https://www.boe.es/gazeta/dias/1811/09/21/pdfs/GEI-1811-122.pdf#page=3","Abrir facsímil")</f>
        <v>Abrir facsímil</v>
      </c>
      <c r="K7106" s="3" t="s">
        <v>150</v>
      </c>
    </row>
    <row r="7107" spans="1:11" ht="42" customHeight="1">
      <c r="A7107" s="2" t="s">
        <v>18218</v>
      </c>
      <c r="B7107" s="2" t="s">
        <v>18218</v>
      </c>
      <c r="C7107" s="2" t="s">
        <v>17</v>
      </c>
      <c r="D7107" s="2" t="s">
        <v>156</v>
      </c>
      <c r="E7107" s="4">
        <v>-32466</v>
      </c>
      <c r="F7107" s="3" t="s">
        <v>1514</v>
      </c>
      <c r="G7107" s="3" t="s">
        <v>846</v>
      </c>
      <c r="H7107" s="2" t="s">
        <v>148</v>
      </c>
      <c r="I7107" s="2" t="s">
        <v>18219</v>
      </c>
      <c r="J7107" s="3" t="str">
        <f>HYPERLINK("https://www.boe.es/gazeta/dias/1811/02/09/pdfs/GEI-1811-18.pdf#page=4","Abrir facsímil")</f>
        <v>Abrir facsímil</v>
      </c>
      <c r="K7107" s="3" t="s">
        <v>150</v>
      </c>
    </row>
    <row r="7108" spans="1:11" ht="42" customHeight="1">
      <c r="A7108" s="2" t="s">
        <v>18218</v>
      </c>
      <c r="B7108" s="2" t="s">
        <v>18218</v>
      </c>
      <c r="C7108" s="2" t="s">
        <v>17</v>
      </c>
      <c r="D7108" s="2" t="s">
        <v>156</v>
      </c>
      <c r="E7108" s="4">
        <v>-32358</v>
      </c>
      <c r="F7108" s="3" t="s">
        <v>2971</v>
      </c>
      <c r="G7108" s="3" t="s">
        <v>515</v>
      </c>
      <c r="H7108" s="2" t="s">
        <v>148</v>
      </c>
      <c r="I7108" s="2" t="s">
        <v>18220</v>
      </c>
      <c r="J7108" s="3" t="str">
        <f>HYPERLINK("https://www.boe.es/gazeta/dias/1811/05/28/pdfs/GEI-1811-72.pdf#page=1","Abrir facsímil")</f>
        <v>Abrir facsímil</v>
      </c>
      <c r="K7108" s="3" t="s">
        <v>150</v>
      </c>
    </row>
    <row r="7109" spans="1:11" ht="42" customHeight="1">
      <c r="A7109" s="2" t="s">
        <v>18218</v>
      </c>
      <c r="B7109" s="2" t="s">
        <v>18218</v>
      </c>
      <c r="C7109" s="2" t="s">
        <v>26</v>
      </c>
      <c r="D7109" s="2" t="s">
        <v>18</v>
      </c>
      <c r="E7109" s="4">
        <v>-32197</v>
      </c>
      <c r="F7109" s="3" t="s">
        <v>687</v>
      </c>
      <c r="G7109" s="3" t="s">
        <v>1240</v>
      </c>
      <c r="H7109" s="2" t="s">
        <v>148</v>
      </c>
      <c r="I7109" s="2" t="s">
        <v>18221</v>
      </c>
      <c r="J7109" s="3" t="str">
        <f>HYPERLINK("https://www.boe.es/gazeta/dias/1811/11/05/pdfs/GEI-1811-143.pdf#page=8","Abrir facsímil")</f>
        <v>Abrir facsímil</v>
      </c>
      <c r="K7109" s="3" t="s">
        <v>150</v>
      </c>
    </row>
    <row r="7110" spans="1:11" ht="42" customHeight="1">
      <c r="A7110" s="2" t="s">
        <v>18222</v>
      </c>
      <c r="B7110" s="2" t="s">
        <v>18223</v>
      </c>
      <c r="C7110" s="2" t="s">
        <v>26</v>
      </c>
      <c r="D7110" s="2" t="s">
        <v>18</v>
      </c>
      <c r="E7110" s="4">
        <v>-32370</v>
      </c>
      <c r="F7110" s="3" t="s">
        <v>146</v>
      </c>
      <c r="G7110" s="3" t="s">
        <v>18224</v>
      </c>
      <c r="H7110" s="2" t="s">
        <v>148</v>
      </c>
      <c r="I7110" s="2" t="s">
        <v>18225</v>
      </c>
      <c r="J7110" s="3" t="str">
        <f>HYPERLINK("https://www.boe.es/gazeta/dias/1811/05/16/pdfs/GEI-1811-64.pdf#page=3","Abrir facsímil")</f>
        <v>Abrir facsímil</v>
      </c>
      <c r="K7110" s="3" t="s">
        <v>150</v>
      </c>
    </row>
    <row r="7111" spans="1:11" ht="42" customHeight="1">
      <c r="A7111" s="2" t="s">
        <v>18222</v>
      </c>
      <c r="B7111" s="2" t="s">
        <v>18223</v>
      </c>
      <c r="C7111" s="2" t="s">
        <v>26</v>
      </c>
      <c r="D7111" s="2" t="s">
        <v>18</v>
      </c>
      <c r="E7111" s="4">
        <v>-32344</v>
      </c>
      <c r="F7111" s="3" t="s">
        <v>761</v>
      </c>
      <c r="G7111" s="3" t="s">
        <v>2371</v>
      </c>
      <c r="H7111" s="2" t="s">
        <v>148</v>
      </c>
      <c r="I7111" s="2" t="s">
        <v>18226</v>
      </c>
      <c r="J7111" s="3" t="str">
        <f>HYPERLINK("https://www.boe.es/gazeta/dias/1811/06/11/pdfs/GEI-1811-78.pdf#page=2","Abrir facsímil")</f>
        <v>Abrir facsímil</v>
      </c>
      <c r="K7111" s="3" t="s">
        <v>150</v>
      </c>
    </row>
    <row r="7112" spans="1:11" ht="42" customHeight="1">
      <c r="A7112" s="2" t="s">
        <v>18227</v>
      </c>
      <c r="B7112" s="2" t="s">
        <v>18227</v>
      </c>
      <c r="C7112" s="2" t="s">
        <v>104</v>
      </c>
      <c r="D7112" s="2" t="s">
        <v>18</v>
      </c>
      <c r="E7112" s="4">
        <v>-32386</v>
      </c>
      <c r="F7112" s="3" t="s">
        <v>6053</v>
      </c>
      <c r="G7112" s="3" t="s">
        <v>6054</v>
      </c>
      <c r="H7112" s="2" t="s">
        <v>148</v>
      </c>
      <c r="I7112" s="2" t="s">
        <v>18228</v>
      </c>
      <c r="J7112" s="3" t="str">
        <f>HYPERLINK("https://www.boe.es/gazeta/dias/1811/04/30/pdfs/GMD-1811-120.pdf#page=2","Abrir facsímil")</f>
        <v>Abrir facsímil</v>
      </c>
      <c r="K7112" s="3" t="s">
        <v>150</v>
      </c>
    </row>
    <row r="7113" spans="1:11" ht="42" customHeight="1">
      <c r="A7113" s="2" t="s">
        <v>18229</v>
      </c>
      <c r="B7113" s="2" t="s">
        <v>18229</v>
      </c>
      <c r="C7113" s="2" t="s">
        <v>26</v>
      </c>
      <c r="D7113" s="2" t="s">
        <v>18</v>
      </c>
      <c r="E7113" s="4">
        <v>-32243</v>
      </c>
      <c r="F7113" s="3" t="s">
        <v>51</v>
      </c>
      <c r="G7113" s="3" t="s">
        <v>12777</v>
      </c>
      <c r="H7113" s="2" t="s">
        <v>148</v>
      </c>
      <c r="I7113" s="2" t="s">
        <v>18230</v>
      </c>
      <c r="J7113" s="3" t="str">
        <f>HYPERLINK("https://www.boe.es/gazeta/dias/1811/09/20/pdfs/GMD-1811-263.pdf#page=1","Abrir facsímil")</f>
        <v>Abrir facsímil</v>
      </c>
      <c r="K7113" s="3" t="s">
        <v>150</v>
      </c>
    </row>
    <row r="7114" spans="1:11" ht="42" customHeight="1">
      <c r="A7114" s="2" t="s">
        <v>18231</v>
      </c>
      <c r="B7114" s="2" t="s">
        <v>18232</v>
      </c>
      <c r="C7114" s="2" t="s">
        <v>26</v>
      </c>
      <c r="D7114" s="2" t="s">
        <v>18</v>
      </c>
      <c r="E7114" s="4">
        <v>-32284</v>
      </c>
      <c r="F7114" s="3" t="s">
        <v>170</v>
      </c>
      <c r="G7114" s="3" t="s">
        <v>1388</v>
      </c>
      <c r="H7114" s="2" t="s">
        <v>148</v>
      </c>
      <c r="I7114" s="2" t="s">
        <v>18233</v>
      </c>
      <c r="J7114" s="3" t="str">
        <f>HYPERLINK("https://www.boe.es/gazeta/dias/1811/08/10/pdfs/GEI-1811-104.pdf#page=8","Abrir facsímil")</f>
        <v>Abrir facsímil</v>
      </c>
      <c r="K7114" s="3" t="s">
        <v>150</v>
      </c>
    </row>
    <row r="7115" spans="1:11" ht="42" customHeight="1">
      <c r="A7115" s="2" t="s">
        <v>18234</v>
      </c>
      <c r="B7115" s="2" t="s">
        <v>18235</v>
      </c>
      <c r="C7115" s="2" t="s">
        <v>17</v>
      </c>
      <c r="D7115" s="2" t="s">
        <v>18</v>
      </c>
      <c r="E7115" s="4">
        <v>-32417</v>
      </c>
      <c r="F7115" s="3" t="s">
        <v>604</v>
      </c>
      <c r="G7115" s="3" t="s">
        <v>178</v>
      </c>
      <c r="H7115" s="2" t="s">
        <v>148</v>
      </c>
      <c r="I7115" s="2" t="s">
        <v>18236</v>
      </c>
      <c r="J7115" s="3" t="str">
        <f>HYPERLINK("https://www.boe.es/gazeta/dias/1811/03/30/pdfs/GMD-1811-89.pdf#page=3","Abrir facsímil")</f>
        <v>Abrir facsímil</v>
      </c>
      <c r="K7115" s="3" t="s">
        <v>150</v>
      </c>
    </row>
    <row r="7116" spans="1:11" ht="42" customHeight="1">
      <c r="A7116" s="2" t="s">
        <v>18237</v>
      </c>
      <c r="B7116" s="2" t="s">
        <v>18238</v>
      </c>
      <c r="C7116" s="2" t="s">
        <v>26</v>
      </c>
      <c r="D7116" s="2" t="s">
        <v>18</v>
      </c>
      <c r="E7116" s="4">
        <v>-32505</v>
      </c>
      <c r="F7116" s="3" t="s">
        <v>475</v>
      </c>
      <c r="G7116" s="3" t="s">
        <v>755</v>
      </c>
      <c r="H7116" s="2" t="s">
        <v>148</v>
      </c>
      <c r="I7116" s="2" t="s">
        <v>18239</v>
      </c>
      <c r="J7116" s="3" t="str">
        <f>HYPERLINK("https://www.boe.es/gazeta/dias/1811/01/01/pdfs/GEI-1811-1.pdf#page=8","Abrir facsímil")</f>
        <v>Abrir facsímil</v>
      </c>
      <c r="K7116" s="3" t="s">
        <v>150</v>
      </c>
    </row>
    <row r="7117" spans="1:11" ht="42" customHeight="1">
      <c r="A7117" s="2" t="s">
        <v>18240</v>
      </c>
      <c r="B7117" s="2" t="s">
        <v>18241</v>
      </c>
      <c r="C7117" s="2" t="s">
        <v>122</v>
      </c>
      <c r="D7117" s="2" t="s">
        <v>18</v>
      </c>
      <c r="E7117" s="4">
        <v>-32250</v>
      </c>
      <c r="F7117" s="3" t="s">
        <v>2823</v>
      </c>
      <c r="G7117" s="3" t="s">
        <v>3947</v>
      </c>
      <c r="H7117" s="2" t="s">
        <v>148</v>
      </c>
      <c r="I7117" s="2" t="s">
        <v>18242</v>
      </c>
      <c r="J7117" s="3" t="str">
        <f>HYPERLINK("https://www.boe.es/gazeta/dias/1811/09/13/pdfs/GMD-1811-256.pdf#page=4","Abrir facsímil")</f>
        <v>Abrir facsímil</v>
      </c>
      <c r="K7117" s="3" t="s">
        <v>150</v>
      </c>
    </row>
    <row r="7118" spans="1:11" ht="42" customHeight="1">
      <c r="A7118" s="2" t="s">
        <v>18243</v>
      </c>
      <c r="B7118" s="2" t="s">
        <v>18244</v>
      </c>
      <c r="C7118" s="2" t="s">
        <v>17</v>
      </c>
      <c r="D7118" s="2" t="s">
        <v>18</v>
      </c>
      <c r="E7118" s="4">
        <v>-32396</v>
      </c>
      <c r="F7118" s="3" t="s">
        <v>1267</v>
      </c>
      <c r="G7118" s="3" t="s">
        <v>382</v>
      </c>
      <c r="H7118" s="2" t="s">
        <v>148</v>
      </c>
      <c r="I7118" s="2" t="s">
        <v>18245</v>
      </c>
      <c r="J7118" s="3" t="str">
        <f>HYPERLINK("https://www.boe.es/gazeta/dias/1811/04/20/pdfs/GMD-1811-110.pdf#page=2","Abrir facsímil")</f>
        <v>Abrir facsímil</v>
      </c>
      <c r="K7118" s="3" t="s">
        <v>150</v>
      </c>
    </row>
    <row r="7119" spans="1:11" ht="42" customHeight="1">
      <c r="A7119" s="2" t="s">
        <v>18246</v>
      </c>
      <c r="B7119" s="2" t="s">
        <v>18247</v>
      </c>
      <c r="C7119" s="2" t="s">
        <v>17</v>
      </c>
      <c r="D7119" s="2" t="s">
        <v>18</v>
      </c>
      <c r="E7119" s="4">
        <v>-32211</v>
      </c>
      <c r="F7119" s="3" t="s">
        <v>1074</v>
      </c>
      <c r="G7119" s="3" t="s">
        <v>2442</v>
      </c>
      <c r="H7119" s="2" t="s">
        <v>148</v>
      </c>
      <c r="I7119" s="2" t="s">
        <v>18248</v>
      </c>
      <c r="J7119" s="3" t="str">
        <f>HYPERLINK("https://www.boe.es/gazeta/dias/1811/10/22/pdfs/GEI-1811-136.pdf#page=7","Abrir facsímil")</f>
        <v>Abrir facsímil</v>
      </c>
      <c r="K7119" s="3" t="s">
        <v>150</v>
      </c>
    </row>
    <row r="7120" spans="1:11" ht="42" customHeight="1">
      <c r="A7120" s="2" t="s">
        <v>18246</v>
      </c>
      <c r="B7120" s="2" t="s">
        <v>18247</v>
      </c>
      <c r="C7120" s="2" t="s">
        <v>17</v>
      </c>
      <c r="D7120" s="2" t="s">
        <v>18</v>
      </c>
      <c r="E7120" s="4">
        <v>-32211</v>
      </c>
      <c r="F7120" s="3" t="s">
        <v>1074</v>
      </c>
      <c r="G7120" s="3" t="s">
        <v>248</v>
      </c>
      <c r="H7120" s="2" t="s">
        <v>148</v>
      </c>
      <c r="I7120" s="2" t="s">
        <v>18249</v>
      </c>
      <c r="J7120" s="3" t="str">
        <f>HYPERLINK("https://www.boe.es/gazeta/dias/1811/10/22/pdfs/GEI-1811-136.pdf#page=8","Abrir facsímil")</f>
        <v>Abrir facsímil</v>
      </c>
      <c r="K7120" s="3" t="s">
        <v>150</v>
      </c>
    </row>
    <row r="7121" spans="1:11" ht="42" customHeight="1">
      <c r="A7121" s="2" t="s">
        <v>18250</v>
      </c>
      <c r="B7121" s="2" t="s">
        <v>18251</v>
      </c>
      <c r="C7121" s="2" t="s">
        <v>26</v>
      </c>
      <c r="D7121" s="2" t="s">
        <v>105</v>
      </c>
      <c r="E7121" s="4">
        <v>-32379</v>
      </c>
      <c r="F7121" s="3" t="s">
        <v>462</v>
      </c>
      <c r="G7121" s="3" t="s">
        <v>463</v>
      </c>
      <c r="H7121" s="2" t="s">
        <v>148</v>
      </c>
      <c r="I7121" s="2" t="s">
        <v>18252</v>
      </c>
      <c r="J7121" s="3" t="str">
        <f>HYPERLINK("https://www.boe.es/gazeta/dias/1811/05/07/pdfs/GEI-1811-60.pdf#page=8","Abrir facsímil")</f>
        <v>Abrir facsímil</v>
      </c>
      <c r="K7121" s="3" t="s">
        <v>150</v>
      </c>
    </row>
    <row r="7122" spans="1:11" ht="42" customHeight="1">
      <c r="A7122" s="2" t="s">
        <v>18253</v>
      </c>
      <c r="B7122" s="2" t="s">
        <v>18254</v>
      </c>
      <c r="C7122" s="2" t="s">
        <v>26</v>
      </c>
      <c r="D7122" s="2" t="s">
        <v>18</v>
      </c>
      <c r="E7122" s="4">
        <v>-32172</v>
      </c>
      <c r="F7122" s="3" t="s">
        <v>300</v>
      </c>
      <c r="G7122" s="3" t="s">
        <v>301</v>
      </c>
      <c r="H7122" s="2" t="s">
        <v>148</v>
      </c>
      <c r="I7122" s="2" t="s">
        <v>18255</v>
      </c>
      <c r="J7122" s="3" t="str">
        <f>HYPERLINK("https://www.boe.es/gazeta/dias/1811/11/30/pdfs/GMD-1811-334.pdf#page=4","Abrir facsímil")</f>
        <v>Abrir facsímil</v>
      </c>
      <c r="K7122" s="3" t="s">
        <v>150</v>
      </c>
    </row>
    <row r="7123" spans="1:11" ht="42" customHeight="1">
      <c r="A7123" s="2" t="s">
        <v>18256</v>
      </c>
      <c r="B7123" s="2" t="s">
        <v>18256</v>
      </c>
      <c r="C7123" s="2" t="s">
        <v>26</v>
      </c>
      <c r="D7123" s="2" t="s">
        <v>18</v>
      </c>
      <c r="E7123" s="4">
        <v>-32505</v>
      </c>
      <c r="F7123" s="3" t="s">
        <v>475</v>
      </c>
      <c r="G7123" s="3" t="s">
        <v>755</v>
      </c>
      <c r="H7123" s="2" t="s">
        <v>148</v>
      </c>
      <c r="I7123" s="2" t="s">
        <v>18257</v>
      </c>
      <c r="J7123" s="3" t="str">
        <f>HYPERLINK("https://www.boe.es/gazeta/dias/1811/01/01/pdfs/GEI-1811-1.pdf#page=8","Abrir facsímil")</f>
        <v>Abrir facsímil</v>
      </c>
      <c r="K7123" s="3" t="s">
        <v>150</v>
      </c>
    </row>
    <row r="7124" spans="1:11" ht="42" customHeight="1">
      <c r="A7124" s="2" t="s">
        <v>18256</v>
      </c>
      <c r="B7124" s="2" t="s">
        <v>18256</v>
      </c>
      <c r="C7124" s="2" t="s">
        <v>26</v>
      </c>
      <c r="D7124" s="2" t="s">
        <v>18</v>
      </c>
      <c r="E7124" s="4">
        <v>-32470</v>
      </c>
      <c r="F7124" s="3" t="s">
        <v>1432</v>
      </c>
      <c r="G7124" s="3" t="s">
        <v>1784</v>
      </c>
      <c r="H7124" s="2" t="s">
        <v>148</v>
      </c>
      <c r="I7124" s="2" t="s">
        <v>18258</v>
      </c>
      <c r="J7124" s="3" t="str">
        <f>HYPERLINK("https://www.boe.es/gazeta/dias/1811/02/05/pdfs/GEI-1811-16.pdf#page=7","Abrir facsímil")</f>
        <v>Abrir facsímil</v>
      </c>
      <c r="K7124" s="3" t="s">
        <v>150</v>
      </c>
    </row>
    <row r="7125" spans="1:11" ht="42" customHeight="1">
      <c r="A7125" s="2" t="s">
        <v>18256</v>
      </c>
      <c r="B7125" s="2" t="s">
        <v>18256</v>
      </c>
      <c r="C7125" s="2" t="s">
        <v>26</v>
      </c>
      <c r="D7125" s="2" t="s">
        <v>18</v>
      </c>
      <c r="E7125" s="4">
        <v>-32428</v>
      </c>
      <c r="F7125" s="3" t="s">
        <v>351</v>
      </c>
      <c r="G7125" s="3" t="s">
        <v>352</v>
      </c>
      <c r="H7125" s="2" t="s">
        <v>148</v>
      </c>
      <c r="I7125" s="2" t="s">
        <v>18259</v>
      </c>
      <c r="J7125" s="3" t="str">
        <f>HYPERLINK("https://www.boe.es/gazeta/dias/1811/03/19/pdfs/GMD-1811-78.pdf#page=4","Abrir facsímil")</f>
        <v>Abrir facsímil</v>
      </c>
      <c r="K7125" s="3" t="s">
        <v>150</v>
      </c>
    </row>
    <row r="7126" spans="1:11" ht="42" customHeight="1">
      <c r="A7126" s="2" t="s">
        <v>18256</v>
      </c>
      <c r="B7126" s="2" t="s">
        <v>18256</v>
      </c>
      <c r="C7126" s="2" t="s">
        <v>17</v>
      </c>
      <c r="D7126" s="2" t="s">
        <v>156</v>
      </c>
      <c r="E7126" s="4">
        <v>-32370</v>
      </c>
      <c r="F7126" s="3" t="s">
        <v>146</v>
      </c>
      <c r="G7126" s="3" t="s">
        <v>147</v>
      </c>
      <c r="H7126" s="2" t="s">
        <v>148</v>
      </c>
      <c r="I7126" s="2" t="s">
        <v>18260</v>
      </c>
      <c r="J7126" s="3" t="str">
        <f>HYPERLINK("https://www.boe.es/gazeta/dias/1811/05/16/pdfs/GEI-1811-64.pdf#page=2","Abrir facsímil")</f>
        <v>Abrir facsímil</v>
      </c>
      <c r="K7126" s="3" t="s">
        <v>150</v>
      </c>
    </row>
    <row r="7127" spans="1:11" ht="42" customHeight="1">
      <c r="A7127" s="2" t="s">
        <v>18256</v>
      </c>
      <c r="B7127" s="2" t="s">
        <v>18256</v>
      </c>
      <c r="C7127" s="2" t="s">
        <v>122</v>
      </c>
      <c r="D7127" s="2" t="s">
        <v>105</v>
      </c>
      <c r="E7127" s="4">
        <v>-32292</v>
      </c>
      <c r="F7127" s="3" t="s">
        <v>408</v>
      </c>
      <c r="G7127" s="3" t="s">
        <v>409</v>
      </c>
      <c r="H7127" s="2" t="s">
        <v>148</v>
      </c>
      <c r="I7127" s="2" t="s">
        <v>18261</v>
      </c>
      <c r="J7127" s="3" t="str">
        <f>HYPERLINK("https://www.boe.es/gazeta/dias/1811/08/02/pdfs/GMD-1811-214.pdf#page=4","Abrir facsímil")</f>
        <v>Abrir facsímil</v>
      </c>
      <c r="K7127" s="3" t="s">
        <v>150</v>
      </c>
    </row>
    <row r="7128" spans="1:11" ht="42" customHeight="1">
      <c r="A7128" s="2" t="s">
        <v>18256</v>
      </c>
      <c r="B7128" s="2" t="s">
        <v>18256</v>
      </c>
      <c r="C7128" s="2" t="s">
        <v>26</v>
      </c>
      <c r="D7128" s="2" t="s">
        <v>18</v>
      </c>
      <c r="E7128" s="4">
        <v>-32286</v>
      </c>
      <c r="F7128" s="3" t="s">
        <v>754</v>
      </c>
      <c r="G7128" s="3" t="s">
        <v>1728</v>
      </c>
      <c r="H7128" s="2" t="s">
        <v>148</v>
      </c>
      <c r="I7128" s="2" t="s">
        <v>18262</v>
      </c>
      <c r="J7128" s="3" t="str">
        <f>HYPERLINK("https://www.boe.es/gazeta/dias/1811/08/08/pdfs/GEI-1811-103.pdf#page=8","Abrir facsímil")</f>
        <v>Abrir facsímil</v>
      </c>
      <c r="K7128" s="3" t="s">
        <v>150</v>
      </c>
    </row>
    <row r="7129" spans="1:11" ht="42" customHeight="1">
      <c r="A7129" s="2" t="s">
        <v>18256</v>
      </c>
      <c r="B7129" s="2" t="s">
        <v>18256</v>
      </c>
      <c r="C7129" s="2" t="s">
        <v>84</v>
      </c>
      <c r="D7129" s="2" t="s">
        <v>18</v>
      </c>
      <c r="E7129" s="4">
        <v>-32283</v>
      </c>
      <c r="F7129" s="3" t="s">
        <v>90</v>
      </c>
      <c r="G7129" s="3" t="s">
        <v>91</v>
      </c>
      <c r="H7129" s="2" t="s">
        <v>148</v>
      </c>
      <c r="I7129" s="2" t="s">
        <v>18263</v>
      </c>
      <c r="J7129" s="3" t="str">
        <f>HYPERLINK("https://www.boe.es/gazeta/dias/1811/08/11/pdfs/GMD-1811-223.pdf#page=4","Abrir facsímil")</f>
        <v>Abrir facsímil</v>
      </c>
      <c r="K7129" s="3" t="s">
        <v>150</v>
      </c>
    </row>
    <row r="7130" spans="1:11" ht="42" customHeight="1">
      <c r="A7130" s="2" t="s">
        <v>18256</v>
      </c>
      <c r="B7130" s="2" t="s">
        <v>18256</v>
      </c>
      <c r="C7130" s="2" t="s">
        <v>26</v>
      </c>
      <c r="D7130" s="2" t="s">
        <v>18</v>
      </c>
      <c r="E7130" s="4">
        <v>-32279</v>
      </c>
      <c r="F7130" s="3" t="s">
        <v>540</v>
      </c>
      <c r="G7130" s="3" t="s">
        <v>91</v>
      </c>
      <c r="H7130" s="2" t="s">
        <v>148</v>
      </c>
      <c r="I7130" s="2" t="s">
        <v>18264</v>
      </c>
      <c r="J7130" s="3" t="str">
        <f>HYPERLINK("https://www.boe.es/gazeta/dias/1811/08/15/pdfs/GMD-1811-227.pdf#page=3","Abrir facsímil")</f>
        <v>Abrir facsímil</v>
      </c>
      <c r="K7130" s="3" t="s">
        <v>150</v>
      </c>
    </row>
    <row r="7131" spans="1:11" ht="42" customHeight="1">
      <c r="A7131" s="2" t="s">
        <v>18256</v>
      </c>
      <c r="B7131" s="2" t="s">
        <v>18256</v>
      </c>
      <c r="C7131" s="2" t="s">
        <v>26</v>
      </c>
      <c r="D7131" s="2" t="s">
        <v>18</v>
      </c>
      <c r="E7131" s="4">
        <v>-32259</v>
      </c>
      <c r="F7131" s="3" t="s">
        <v>3276</v>
      </c>
      <c r="G7131" s="3" t="s">
        <v>47</v>
      </c>
      <c r="H7131" s="2" t="s">
        <v>148</v>
      </c>
      <c r="I7131" s="2" t="s">
        <v>18265</v>
      </c>
      <c r="J7131" s="3" t="str">
        <f>HYPERLINK("https://www.boe.es/gazeta/dias/1811/09/04/pdfs/GMD-1811-247.pdf#page=4","Abrir facsímil")</f>
        <v>Abrir facsímil</v>
      </c>
      <c r="K7131" s="3" t="s">
        <v>150</v>
      </c>
    </row>
    <row r="7132" spans="1:11" ht="42" customHeight="1">
      <c r="A7132" s="2" t="s">
        <v>18256</v>
      </c>
      <c r="B7132" s="2" t="s">
        <v>18256</v>
      </c>
      <c r="C7132" s="2" t="s">
        <v>37</v>
      </c>
      <c r="D7132" s="2" t="s">
        <v>156</v>
      </c>
      <c r="E7132" s="4">
        <v>-32237</v>
      </c>
      <c r="F7132" s="3" t="s">
        <v>717</v>
      </c>
      <c r="G7132" s="3" t="s">
        <v>1128</v>
      </c>
      <c r="H7132" s="2" t="s">
        <v>148</v>
      </c>
      <c r="I7132" s="2" t="s">
        <v>18266</v>
      </c>
      <c r="J7132" s="3" t="str">
        <f>HYPERLINK("https://www.boe.es/gazeta/dias/1811/09/26/pdfs/GEI-1811-124.pdf#page=8","Abrir facsímil")</f>
        <v>Abrir facsímil</v>
      </c>
      <c r="K7132" s="3" t="s">
        <v>150</v>
      </c>
    </row>
    <row r="7133" spans="1:11" ht="42" customHeight="1">
      <c r="A7133" s="2" t="s">
        <v>18256</v>
      </c>
      <c r="B7133" s="2" t="s">
        <v>18256</v>
      </c>
      <c r="C7133" s="2" t="s">
        <v>17</v>
      </c>
      <c r="D7133" s="2" t="s">
        <v>156</v>
      </c>
      <c r="E7133" s="4">
        <v>-32171</v>
      </c>
      <c r="F7133" s="3" t="s">
        <v>157</v>
      </c>
      <c r="G7133" s="3" t="s">
        <v>44</v>
      </c>
      <c r="H7133" s="2" t="s">
        <v>148</v>
      </c>
      <c r="I7133" s="2" t="s">
        <v>18267</v>
      </c>
      <c r="J7133" s="3" t="str">
        <f>HYPERLINK("https://www.boe.es/gazeta/dias/1811/12/01/pdfs/GMD-1811-335.pdf#page=4","Abrir facsímil")</f>
        <v>Abrir facsímil</v>
      </c>
      <c r="K7133" s="3" t="s">
        <v>150</v>
      </c>
    </row>
    <row r="7134" spans="1:11" ht="42" customHeight="1">
      <c r="A7134" s="2" t="s">
        <v>18268</v>
      </c>
      <c r="B7134" s="2" t="s">
        <v>18269</v>
      </c>
      <c r="C7134" s="2" t="s">
        <v>26</v>
      </c>
      <c r="D7134" s="2" t="s">
        <v>141</v>
      </c>
      <c r="E7134" s="4">
        <v>-32209</v>
      </c>
      <c r="F7134" s="3" t="s">
        <v>1779</v>
      </c>
      <c r="G7134" s="3" t="s">
        <v>18270</v>
      </c>
      <c r="H7134" s="2" t="s">
        <v>148</v>
      </c>
      <c r="I7134" s="2" t="s">
        <v>18271</v>
      </c>
      <c r="J7134" s="3" t="str">
        <f>HYPERLINK("https://www.boe.es/gazeta/dias/1811/10/24/pdfs/GEI-D-1811-137.pdf#page=4","Abrir facsímil")</f>
        <v>Abrir facsímil</v>
      </c>
      <c r="K7134" s="3" t="s">
        <v>150</v>
      </c>
    </row>
    <row r="7135" spans="1:11" ht="42" customHeight="1">
      <c r="A7135" s="2" t="s">
        <v>18272</v>
      </c>
      <c r="B7135" s="2" t="s">
        <v>18273</v>
      </c>
      <c r="C7135" s="2" t="s">
        <v>17</v>
      </c>
      <c r="D7135" s="2" t="s">
        <v>18</v>
      </c>
      <c r="E7135" s="4">
        <v>-32447</v>
      </c>
      <c r="F7135" s="3" t="s">
        <v>3655</v>
      </c>
      <c r="G7135" s="3" t="s">
        <v>248</v>
      </c>
      <c r="H7135" s="2" t="s">
        <v>21</v>
      </c>
      <c r="I7135" s="2" t="s">
        <v>18274</v>
      </c>
      <c r="J7135" s="3" t="str">
        <f>HYPERLINK("https://www.boe.es/gazeta/dias/1811/02/28/pdfs/GEI-1811-26.pdf#page=5","Abrir facsímil")</f>
        <v>Abrir facsímil</v>
      </c>
      <c r="K7135" s="3" t="s">
        <v>23</v>
      </c>
    </row>
    <row r="7136" spans="1:11" ht="42" customHeight="1">
      <c r="A7136" s="2" t="s">
        <v>18275</v>
      </c>
      <c r="B7136" s="2" t="s">
        <v>18276</v>
      </c>
      <c r="C7136" s="2" t="s">
        <v>37</v>
      </c>
      <c r="D7136" s="2" t="s">
        <v>204</v>
      </c>
      <c r="E7136" s="4">
        <v>-32175</v>
      </c>
      <c r="F7136" s="3" t="s">
        <v>1671</v>
      </c>
      <c r="G7136" s="3" t="s">
        <v>1184</v>
      </c>
      <c r="H7136" s="2" t="s">
        <v>148</v>
      </c>
      <c r="I7136" s="2" t="s">
        <v>18277</v>
      </c>
      <c r="J7136" s="3" t="str">
        <f>HYPERLINK("https://www.boe.es/gazeta/dias/1811/11/27/pdfs/GMD-1811-331.pdf#page=4","Abrir facsímil")</f>
        <v>Abrir facsímil</v>
      </c>
      <c r="K7136" s="3" t="s">
        <v>150</v>
      </c>
    </row>
    <row r="7137" spans="1:11" ht="42" customHeight="1">
      <c r="A7137" s="2" t="s">
        <v>18278</v>
      </c>
      <c r="B7137" s="2" t="s">
        <v>18278</v>
      </c>
      <c r="C7137" s="2" t="s">
        <v>26</v>
      </c>
      <c r="D7137" s="2" t="s">
        <v>18</v>
      </c>
      <c r="E7137" s="4">
        <v>-32237</v>
      </c>
      <c r="F7137" s="3" t="s">
        <v>717</v>
      </c>
      <c r="G7137" s="3" t="s">
        <v>178</v>
      </c>
      <c r="H7137" s="2" t="s">
        <v>148</v>
      </c>
      <c r="I7137" s="2" t="s">
        <v>18279</v>
      </c>
      <c r="J7137" s="3" t="str">
        <f>HYPERLINK("https://www.boe.es/gazeta/dias/1811/09/26/pdfs/GEI-1811-124.pdf#page=3","Abrir facsímil")</f>
        <v>Abrir facsímil</v>
      </c>
      <c r="K7137" s="3" t="s">
        <v>150</v>
      </c>
    </row>
    <row r="7138" spans="1:11" ht="42" customHeight="1">
      <c r="A7138" s="2" t="s">
        <v>18280</v>
      </c>
      <c r="B7138" s="2" t="s">
        <v>18281</v>
      </c>
      <c r="C7138" s="2" t="s">
        <v>17</v>
      </c>
      <c r="D7138" s="2" t="s">
        <v>18</v>
      </c>
      <c r="E7138" s="4">
        <v>-32503</v>
      </c>
      <c r="F7138" s="3" t="s">
        <v>487</v>
      </c>
      <c r="G7138" s="3" t="s">
        <v>1930</v>
      </c>
      <c r="H7138" s="2" t="s">
        <v>148</v>
      </c>
      <c r="I7138" s="2" t="s">
        <v>18282</v>
      </c>
      <c r="J7138" s="3" t="str">
        <f>HYPERLINK("https://www.boe.es/gazeta/dias/1811/01/03/pdfs/GEI-1811-2.pdf#page=8","Abrir facsímil")</f>
        <v>Abrir facsímil</v>
      </c>
      <c r="K7138" s="3" t="s">
        <v>150</v>
      </c>
    </row>
    <row r="7139" spans="1:11" ht="42" customHeight="1">
      <c r="A7139" s="2" t="s">
        <v>18283</v>
      </c>
      <c r="B7139" s="2" t="s">
        <v>18284</v>
      </c>
      <c r="C7139" s="2" t="s">
        <v>26</v>
      </c>
      <c r="D7139" s="2" t="s">
        <v>18</v>
      </c>
      <c r="E7139" s="4">
        <v>-32188</v>
      </c>
      <c r="F7139" s="3" t="s">
        <v>356</v>
      </c>
      <c r="G7139" s="3" t="s">
        <v>248</v>
      </c>
      <c r="H7139" s="2" t="s">
        <v>148</v>
      </c>
      <c r="I7139" s="2" t="s">
        <v>18285</v>
      </c>
      <c r="J7139" s="3" t="str">
        <f>HYPERLINK("https://www.boe.es/gazeta/dias/1811/11/14/pdfs/GMD-1811-318.pdf#page=5","Abrir facsímil")</f>
        <v>Abrir facsímil</v>
      </c>
      <c r="K7139" s="3" t="s">
        <v>150</v>
      </c>
    </row>
    <row r="7140" spans="1:11" ht="42" customHeight="1">
      <c r="A7140" s="2" t="s">
        <v>18286</v>
      </c>
      <c r="B7140" s="2" t="s">
        <v>18287</v>
      </c>
      <c r="C7140" s="2" t="s">
        <v>367</v>
      </c>
      <c r="D7140" s="2" t="s">
        <v>18</v>
      </c>
      <c r="E7140" s="4">
        <v>-32228</v>
      </c>
      <c r="F7140" s="3" t="s">
        <v>372</v>
      </c>
      <c r="G7140" s="3" t="s">
        <v>20</v>
      </c>
      <c r="H7140" s="2" t="s">
        <v>148</v>
      </c>
      <c r="I7140" s="2" t="s">
        <v>18288</v>
      </c>
      <c r="J7140" s="3" t="str">
        <f>HYPERLINK("https://www.boe.es/gazeta/dias/1811/10/05/pdfs/GEI-1811-128.pdf#page=8","Abrir facsímil")</f>
        <v>Abrir facsímil</v>
      </c>
      <c r="K7140" s="3" t="s">
        <v>150</v>
      </c>
    </row>
    <row r="7141" spans="1:11" ht="42" customHeight="1">
      <c r="A7141" s="2" t="s">
        <v>18289</v>
      </c>
      <c r="B7141" s="2" t="s">
        <v>18290</v>
      </c>
      <c r="C7141" s="2" t="s">
        <v>17</v>
      </c>
      <c r="D7141" s="2" t="s">
        <v>18</v>
      </c>
      <c r="E7141" s="4">
        <v>-32476</v>
      </c>
      <c r="F7141" s="3" t="s">
        <v>1896</v>
      </c>
      <c r="G7141" s="3" t="s">
        <v>183</v>
      </c>
      <c r="H7141" s="2" t="s">
        <v>148</v>
      </c>
      <c r="I7141" s="2" t="s">
        <v>18291</v>
      </c>
      <c r="J7141" s="3" t="str">
        <f>HYPERLINK("https://www.boe.es/gazeta/dias/1811/01/30/pdfs/GMD-1811-30.pdf#page=4","Abrir facsímil")</f>
        <v>Abrir facsímil</v>
      </c>
      <c r="K7141" s="3" t="s">
        <v>150</v>
      </c>
    </row>
    <row r="7142" spans="1:11" ht="42" customHeight="1">
      <c r="A7142" s="2" t="s">
        <v>18292</v>
      </c>
      <c r="B7142" s="2" t="s">
        <v>18293</v>
      </c>
      <c r="C7142" s="2" t="s">
        <v>26</v>
      </c>
      <c r="D7142" s="2" t="s">
        <v>141</v>
      </c>
      <c r="E7142" s="4">
        <v>-32280</v>
      </c>
      <c r="F7142" s="3" t="s">
        <v>142</v>
      </c>
      <c r="G7142" s="3" t="s">
        <v>47</v>
      </c>
      <c r="H7142" s="2" t="s">
        <v>148</v>
      </c>
      <c r="I7142" s="2" t="s">
        <v>18294</v>
      </c>
      <c r="J7142" s="3" t="str">
        <f>HYPERLINK("https://www.boe.es/gazeta/dias/1811/08/14/pdfs/GMD-C-1811-226.pdf#page=1","Abrir facsímil")</f>
        <v>Abrir facsímil</v>
      </c>
      <c r="K7142" s="3" t="s">
        <v>150</v>
      </c>
    </row>
    <row r="7143" spans="1:11" ht="42" customHeight="1">
      <c r="A7143" s="2" t="s">
        <v>18295</v>
      </c>
      <c r="B7143" s="2" t="s">
        <v>18296</v>
      </c>
      <c r="C7143" s="2" t="s">
        <v>26</v>
      </c>
      <c r="D7143" s="2" t="s">
        <v>105</v>
      </c>
      <c r="E7143" s="4">
        <v>-32238</v>
      </c>
      <c r="F7143" s="3" t="s">
        <v>166</v>
      </c>
      <c r="G7143" s="3" t="s">
        <v>657</v>
      </c>
      <c r="H7143" s="2" t="s">
        <v>148</v>
      </c>
      <c r="I7143" s="2" t="s">
        <v>18297</v>
      </c>
      <c r="J7143" s="3" t="str">
        <f>HYPERLINK("https://www.boe.es/gazeta/dias/1811/09/25/pdfs/GMD-C-1811-268.pdf#page=3","Abrir facsímil")</f>
        <v>Abrir facsímil</v>
      </c>
      <c r="K7143" s="3" t="s">
        <v>150</v>
      </c>
    </row>
    <row r="7144" spans="1:11" ht="42" customHeight="1">
      <c r="A7144" s="2" t="s">
        <v>18298</v>
      </c>
      <c r="B7144" s="2" t="s">
        <v>18299</v>
      </c>
      <c r="C7144" s="2" t="s">
        <v>26</v>
      </c>
      <c r="D7144" s="2" t="s">
        <v>18</v>
      </c>
      <c r="E7144" s="4">
        <v>-32463</v>
      </c>
      <c r="F7144" s="3" t="s">
        <v>734</v>
      </c>
      <c r="G7144" s="3" t="s">
        <v>735</v>
      </c>
      <c r="H7144" s="2" t="s">
        <v>148</v>
      </c>
      <c r="I7144" s="2" t="s">
        <v>18300</v>
      </c>
      <c r="J7144" s="3" t="str">
        <f>HYPERLINK("https://www.boe.es/gazeta/dias/1811/02/12/pdfs/GEI-1811-19.pdf#page=8","Abrir facsímil")</f>
        <v>Abrir facsímil</v>
      </c>
      <c r="K7144" s="3" t="s">
        <v>150</v>
      </c>
    </row>
    <row r="7145" spans="1:11" ht="42" customHeight="1">
      <c r="A7145" s="2" t="s">
        <v>18301</v>
      </c>
      <c r="B7145" s="2" t="s">
        <v>18302</v>
      </c>
      <c r="C7145" s="2" t="s">
        <v>26</v>
      </c>
      <c r="D7145" s="2" t="s">
        <v>141</v>
      </c>
      <c r="E7145" s="4">
        <v>-32238</v>
      </c>
      <c r="F7145" s="3" t="s">
        <v>166</v>
      </c>
      <c r="G7145" s="3" t="s">
        <v>657</v>
      </c>
      <c r="H7145" s="2" t="s">
        <v>148</v>
      </c>
      <c r="I7145" s="2" t="s">
        <v>18303</v>
      </c>
      <c r="J7145" s="3" t="str">
        <f>HYPERLINK("https://www.boe.es/gazeta/dias/1811/09/25/pdfs/GMD-C-1811-268.pdf#page=3","Abrir facsímil")</f>
        <v>Abrir facsímil</v>
      </c>
      <c r="K7145" s="3" t="s">
        <v>150</v>
      </c>
    </row>
    <row r="7146" spans="1:11" ht="42" customHeight="1">
      <c r="A7146" s="2" t="s">
        <v>18304</v>
      </c>
      <c r="B7146" s="2" t="s">
        <v>18305</v>
      </c>
      <c r="C7146" s="2" t="s">
        <v>26</v>
      </c>
      <c r="D7146" s="2" t="s">
        <v>141</v>
      </c>
      <c r="E7146" s="4">
        <v>-32280</v>
      </c>
      <c r="F7146" s="3" t="s">
        <v>142</v>
      </c>
      <c r="G7146" s="3" t="s">
        <v>47</v>
      </c>
      <c r="H7146" s="2" t="s">
        <v>148</v>
      </c>
      <c r="I7146" s="2" t="s">
        <v>18306</v>
      </c>
      <c r="J7146" s="3" t="str">
        <f>HYPERLINK("https://www.boe.es/gazeta/dias/1811/08/14/pdfs/GMD-C-1811-226.pdf#page=1","Abrir facsímil")</f>
        <v>Abrir facsímil</v>
      </c>
      <c r="K7146" s="3" t="s">
        <v>150</v>
      </c>
    </row>
    <row r="7147" spans="1:11" ht="42" customHeight="1">
      <c r="A7147" s="2" t="s">
        <v>18307</v>
      </c>
      <c r="B7147" s="2" t="s">
        <v>18308</v>
      </c>
      <c r="C7147" s="2" t="s">
        <v>26</v>
      </c>
      <c r="D7147" s="2" t="s">
        <v>18</v>
      </c>
      <c r="E7147" s="4">
        <v>-32407</v>
      </c>
      <c r="F7147" s="3" t="s">
        <v>38</v>
      </c>
      <c r="G7147" s="3" t="s">
        <v>2379</v>
      </c>
      <c r="H7147" s="2" t="s">
        <v>148</v>
      </c>
      <c r="I7147" s="2" t="s">
        <v>18309</v>
      </c>
      <c r="J7147" s="3" t="str">
        <f>HYPERLINK("https://www.boe.es/gazeta/dias/1811/04/09/pdfs/GEI-1811-48.pdf#page=10","Abrir facsímil")</f>
        <v>Abrir facsímil</v>
      </c>
      <c r="K7147" s="3" t="s">
        <v>150</v>
      </c>
    </row>
    <row r="7148" spans="1:11" ht="42" customHeight="1">
      <c r="A7148" s="2" t="s">
        <v>18310</v>
      </c>
      <c r="B7148" s="2" t="s">
        <v>18310</v>
      </c>
      <c r="C7148" s="2" t="s">
        <v>17</v>
      </c>
      <c r="D7148" s="2" t="s">
        <v>156</v>
      </c>
      <c r="E7148" s="4">
        <v>-32396</v>
      </c>
      <c r="F7148" s="3" t="s">
        <v>2393</v>
      </c>
      <c r="G7148" s="3" t="s">
        <v>3853</v>
      </c>
      <c r="H7148" s="2" t="s">
        <v>148</v>
      </c>
      <c r="I7148" s="2" t="s">
        <v>18311</v>
      </c>
      <c r="J7148" s="3" t="str">
        <f>HYPERLINK("https://www.boe.es/gazeta/dias/1811/04/20/pdfs/GEI-1811-53.pdf#page=4","Abrir facsímil")</f>
        <v>Abrir facsímil</v>
      </c>
      <c r="K7148" s="3" t="s">
        <v>150</v>
      </c>
    </row>
    <row r="7149" spans="1:11" ht="42" customHeight="1">
      <c r="A7149" s="2" t="s">
        <v>18312</v>
      </c>
      <c r="B7149" s="2" t="s">
        <v>18313</v>
      </c>
      <c r="C7149" s="2" t="s">
        <v>26</v>
      </c>
      <c r="D7149" s="2" t="s">
        <v>141</v>
      </c>
      <c r="E7149" s="4">
        <v>-32188</v>
      </c>
      <c r="F7149" s="3" t="s">
        <v>505</v>
      </c>
      <c r="G7149" s="3" t="s">
        <v>47</v>
      </c>
      <c r="H7149" s="2" t="s">
        <v>148</v>
      </c>
      <c r="I7149" s="2" t="s">
        <v>18314</v>
      </c>
      <c r="J7149" s="3" t="str">
        <f>HYPERLINK("https://www.boe.es/gazeta/dias/1811/11/14/pdfs/GEI-D-1811-149.pdf#page=3","Abrir facsímil")</f>
        <v>Abrir facsímil</v>
      </c>
      <c r="K7149" s="3" t="s">
        <v>150</v>
      </c>
    </row>
    <row r="7150" spans="1:11" ht="42" customHeight="1">
      <c r="A7150" s="2" t="s">
        <v>18315</v>
      </c>
      <c r="B7150" s="2" t="s">
        <v>18316</v>
      </c>
      <c r="C7150" s="2" t="s">
        <v>26</v>
      </c>
      <c r="D7150" s="2" t="s">
        <v>18</v>
      </c>
      <c r="E7150" s="4">
        <v>-32295</v>
      </c>
      <c r="F7150" s="3" t="s">
        <v>279</v>
      </c>
      <c r="G7150" s="3" t="s">
        <v>44</v>
      </c>
      <c r="H7150" s="2" t="s">
        <v>148</v>
      </c>
      <c r="I7150" s="2" t="s">
        <v>18317</v>
      </c>
      <c r="J7150" s="3" t="str">
        <f>HYPERLINK("https://www.boe.es/gazeta/dias/1811/07/30/pdfs/GEI-1811-99.pdf#page=8","Abrir facsímil")</f>
        <v>Abrir facsímil</v>
      </c>
      <c r="K7150" s="3" t="s">
        <v>150</v>
      </c>
    </row>
    <row r="7151" spans="1:11" ht="42" customHeight="1">
      <c r="A7151" s="2" t="s">
        <v>18318</v>
      </c>
      <c r="B7151" s="2" t="s">
        <v>18319</v>
      </c>
      <c r="C7151" s="2" t="s">
        <v>17</v>
      </c>
      <c r="D7151" s="2" t="s">
        <v>156</v>
      </c>
      <c r="E7151" s="4">
        <v>-32235</v>
      </c>
      <c r="F7151" s="3" t="s">
        <v>190</v>
      </c>
      <c r="G7151" s="3" t="s">
        <v>188</v>
      </c>
      <c r="H7151" s="2" t="s">
        <v>148</v>
      </c>
      <c r="I7151" s="2" t="s">
        <v>18320</v>
      </c>
      <c r="J7151" s="3" t="str">
        <f>HYPERLINK("https://www.boe.es/gazeta/dias/1811/09/28/pdfs/GEI-1811-125.pdf#page=8","Abrir facsímil")</f>
        <v>Abrir facsímil</v>
      </c>
      <c r="K7151" s="3" t="s">
        <v>150</v>
      </c>
    </row>
    <row r="7152" spans="1:11" ht="42" customHeight="1">
      <c r="A7152" s="2" t="s">
        <v>18321</v>
      </c>
      <c r="B7152" s="2" t="s">
        <v>18321</v>
      </c>
      <c r="C7152" s="2" t="s">
        <v>17</v>
      </c>
      <c r="D7152" s="2" t="s">
        <v>18</v>
      </c>
      <c r="E7152" s="4">
        <v>-32152</v>
      </c>
      <c r="F7152" s="3" t="s">
        <v>1673</v>
      </c>
      <c r="G7152" s="3" t="s">
        <v>57</v>
      </c>
      <c r="H7152" s="2" t="s">
        <v>148</v>
      </c>
      <c r="I7152" s="2" t="s">
        <v>18322</v>
      </c>
      <c r="J7152" s="3" t="str">
        <f>HYPERLINK("https://www.boe.es/gazeta/dias/1811/12/20/pdfs/GMD-1811-354.pdf#page=2","Abrir facsímil")</f>
        <v>Abrir facsímil</v>
      </c>
      <c r="K7152" s="3" t="s">
        <v>150</v>
      </c>
    </row>
    <row r="7153" spans="1:11" ht="42" customHeight="1">
      <c r="A7153" s="2" t="s">
        <v>18323</v>
      </c>
      <c r="B7153" s="2" t="s">
        <v>18323</v>
      </c>
      <c r="C7153" s="2" t="s">
        <v>17</v>
      </c>
      <c r="D7153" s="2" t="s">
        <v>156</v>
      </c>
      <c r="E7153" s="4">
        <v>-32276</v>
      </c>
      <c r="F7153" s="3" t="s">
        <v>1361</v>
      </c>
      <c r="G7153" s="3" t="s">
        <v>1184</v>
      </c>
      <c r="H7153" s="2" t="s">
        <v>148</v>
      </c>
      <c r="I7153" s="2" t="s">
        <v>18324</v>
      </c>
      <c r="J7153" s="3" t="str">
        <f>HYPERLINK("https://www.boe.es/gazeta/dias/1811/08/18/pdfs/GMD-1811-230.pdf#page=1","Abrir facsímil")</f>
        <v>Abrir facsímil</v>
      </c>
      <c r="K7153" s="3" t="s">
        <v>150</v>
      </c>
    </row>
    <row r="7154" spans="1:11" ht="42" customHeight="1">
      <c r="A7154" s="2" t="s">
        <v>18325</v>
      </c>
      <c r="B7154" s="2" t="s">
        <v>18325</v>
      </c>
      <c r="C7154" s="2" t="s">
        <v>17</v>
      </c>
      <c r="D7154" s="2" t="s">
        <v>18</v>
      </c>
      <c r="E7154" s="4">
        <v>-32141</v>
      </c>
      <c r="F7154" s="3" t="s">
        <v>308</v>
      </c>
      <c r="G7154" s="3" t="s">
        <v>309</v>
      </c>
      <c r="H7154" s="2" t="s">
        <v>148</v>
      </c>
      <c r="I7154" s="2" t="s">
        <v>18326</v>
      </c>
      <c r="J7154" s="3" t="str">
        <f>HYPERLINK("https://www.boe.es/gazeta/dias/1811/12/31/pdfs/GEI-1811-169.pdf#page=3","Abrir facsímil")</f>
        <v>Abrir facsímil</v>
      </c>
      <c r="K7154" s="3" t="s">
        <v>150</v>
      </c>
    </row>
    <row r="7155" spans="1:11" ht="42" customHeight="1">
      <c r="A7155" s="2" t="s">
        <v>18327</v>
      </c>
      <c r="B7155" s="2" t="s">
        <v>18328</v>
      </c>
      <c r="C7155" s="2" t="s">
        <v>26</v>
      </c>
      <c r="D7155" s="2" t="s">
        <v>18</v>
      </c>
      <c r="E7155" s="4">
        <v>-32172</v>
      </c>
      <c r="F7155" s="3" t="s">
        <v>300</v>
      </c>
      <c r="G7155" s="3" t="s">
        <v>301</v>
      </c>
      <c r="H7155" s="2" t="s">
        <v>148</v>
      </c>
      <c r="I7155" s="2" t="s">
        <v>18329</v>
      </c>
      <c r="J7155" s="3" t="str">
        <f>HYPERLINK("https://www.boe.es/gazeta/dias/1811/11/30/pdfs/GMD-1811-334.pdf#page=4","Abrir facsímil")</f>
        <v>Abrir facsímil</v>
      </c>
      <c r="K7155" s="3" t="s">
        <v>150</v>
      </c>
    </row>
    <row r="7156" spans="1:11" ht="42" customHeight="1">
      <c r="A7156" s="2" t="s">
        <v>18330</v>
      </c>
      <c r="B7156" s="2" t="s">
        <v>18331</v>
      </c>
      <c r="C7156" s="2" t="s">
        <v>17</v>
      </c>
      <c r="D7156" s="2" t="s">
        <v>18</v>
      </c>
      <c r="E7156" s="4">
        <v>-32297</v>
      </c>
      <c r="F7156" s="3" t="s">
        <v>2174</v>
      </c>
      <c r="G7156" s="3" t="s">
        <v>183</v>
      </c>
      <c r="H7156" s="2" t="s">
        <v>148</v>
      </c>
      <c r="I7156" s="2" t="s">
        <v>18332</v>
      </c>
      <c r="J7156" s="3" t="str">
        <f>HYPERLINK("https://www.boe.es/gazeta/dias/1811/07/28/pdfs/GMD-1811-209.pdf#page=4","Abrir facsímil")</f>
        <v>Abrir facsímil</v>
      </c>
      <c r="K7156" s="3" t="s">
        <v>150</v>
      </c>
    </row>
    <row r="7157" spans="1:11" ht="42" customHeight="1">
      <c r="A7157" s="2" t="s">
        <v>18333</v>
      </c>
      <c r="B7157" s="2" t="s">
        <v>18334</v>
      </c>
      <c r="C7157" s="2" t="s">
        <v>26</v>
      </c>
      <c r="D7157" s="2" t="s">
        <v>18</v>
      </c>
      <c r="E7157" s="4">
        <v>-32242</v>
      </c>
      <c r="F7157" s="3" t="s">
        <v>1295</v>
      </c>
      <c r="G7157" s="3" t="s">
        <v>1296</v>
      </c>
      <c r="H7157" s="2" t="s">
        <v>148</v>
      </c>
      <c r="I7157" s="2" t="s">
        <v>18335</v>
      </c>
      <c r="J7157" s="3" t="str">
        <f>HYPERLINK("https://www.boe.es/gazeta/dias/1811/09/21/pdfs/GEI-1811-122.pdf#page=8","Abrir facsímil")</f>
        <v>Abrir facsímil</v>
      </c>
      <c r="K7157" s="3" t="s">
        <v>150</v>
      </c>
    </row>
    <row r="7158" spans="1:11" ht="42" customHeight="1">
      <c r="A7158" s="2" t="s">
        <v>18336</v>
      </c>
      <c r="B7158" s="2" t="s">
        <v>18336</v>
      </c>
      <c r="C7158" s="2" t="s">
        <v>104</v>
      </c>
      <c r="D7158" s="2" t="s">
        <v>18</v>
      </c>
      <c r="E7158" s="4">
        <v>-32481</v>
      </c>
      <c r="F7158" s="3" t="s">
        <v>1687</v>
      </c>
      <c r="G7158" s="3" t="s">
        <v>1688</v>
      </c>
      <c r="H7158" s="2" t="s">
        <v>148</v>
      </c>
      <c r="I7158" s="2" t="s">
        <v>18337</v>
      </c>
      <c r="J7158" s="3" t="str">
        <f>HYPERLINK("https://www.boe.es/gazeta/dias/1811/01/25/pdfs/GMD-1811-25.pdf#page=1","Abrir facsímil")</f>
        <v>Abrir facsímil</v>
      </c>
      <c r="K7158" s="3" t="s">
        <v>150</v>
      </c>
    </row>
    <row r="7159" spans="1:11" ht="42" customHeight="1">
      <c r="A7159" s="2" t="s">
        <v>18338</v>
      </c>
      <c r="B7159" s="2" t="s">
        <v>18338</v>
      </c>
      <c r="C7159" s="2" t="s">
        <v>26</v>
      </c>
      <c r="D7159" s="2" t="s">
        <v>18</v>
      </c>
      <c r="E7159" s="4">
        <v>-32416</v>
      </c>
      <c r="F7159" s="3" t="s">
        <v>954</v>
      </c>
      <c r="G7159" s="3" t="s">
        <v>47</v>
      </c>
      <c r="H7159" s="2" t="s">
        <v>148</v>
      </c>
      <c r="I7159" s="2" t="s">
        <v>18339</v>
      </c>
      <c r="J7159" s="3" t="str">
        <f>HYPERLINK("https://www.boe.es/gazeta/dias/1811/03/31/pdfs/GMD-1811-90.pdf#page=3","Abrir facsímil")</f>
        <v>Abrir facsímil</v>
      </c>
      <c r="K7159" s="3" t="s">
        <v>150</v>
      </c>
    </row>
    <row r="7160" spans="1:11" ht="42" customHeight="1">
      <c r="A7160" s="2" t="s">
        <v>18340</v>
      </c>
      <c r="B7160" s="2" t="s">
        <v>18340</v>
      </c>
      <c r="C7160" s="2" t="s">
        <v>17</v>
      </c>
      <c r="D7160" s="2" t="s">
        <v>156</v>
      </c>
      <c r="E7160" s="4">
        <v>-32428</v>
      </c>
      <c r="F7160" s="3" t="s">
        <v>351</v>
      </c>
      <c r="G7160" s="3" t="s">
        <v>57</v>
      </c>
      <c r="H7160" s="2" t="s">
        <v>148</v>
      </c>
      <c r="I7160" s="2" t="s">
        <v>18341</v>
      </c>
      <c r="J7160" s="3" t="str">
        <f>HYPERLINK("https://www.boe.es/gazeta/dias/1811/03/19/pdfs/GMD-1811-78.pdf#page=2","Abrir facsímil")</f>
        <v>Abrir facsímil</v>
      </c>
      <c r="K7160" s="3" t="s">
        <v>150</v>
      </c>
    </row>
    <row r="7161" spans="1:11" ht="42" customHeight="1">
      <c r="A7161" s="2" t="s">
        <v>18342</v>
      </c>
      <c r="B7161" s="2" t="s">
        <v>18343</v>
      </c>
      <c r="C7161" s="2" t="s">
        <v>84</v>
      </c>
      <c r="D7161" s="2" t="s">
        <v>105</v>
      </c>
      <c r="E7161" s="4">
        <v>-32162</v>
      </c>
      <c r="F7161" s="3" t="s">
        <v>317</v>
      </c>
      <c r="G7161" s="3" t="s">
        <v>318</v>
      </c>
      <c r="H7161" s="2" t="s">
        <v>148</v>
      </c>
      <c r="I7161" s="2" t="s">
        <v>18344</v>
      </c>
      <c r="J7161" s="3" t="str">
        <f>HYPERLINK("https://www.boe.es/gazeta/dias/1811/12/10/pdfs/GEI-1811-160.pdf#page=8","Abrir facsímil")</f>
        <v>Abrir facsímil</v>
      </c>
      <c r="K7161" s="3" t="s">
        <v>150</v>
      </c>
    </row>
    <row r="7162" spans="1:11" ht="42" customHeight="1">
      <c r="A7162" s="2" t="s">
        <v>18345</v>
      </c>
      <c r="B7162" s="2" t="s">
        <v>18346</v>
      </c>
      <c r="C7162" s="2" t="s">
        <v>26</v>
      </c>
      <c r="D7162" s="2" t="s">
        <v>141</v>
      </c>
      <c r="E7162" s="4">
        <v>-32280</v>
      </c>
      <c r="F7162" s="3" t="s">
        <v>142</v>
      </c>
      <c r="G7162" s="3" t="s">
        <v>597</v>
      </c>
      <c r="H7162" s="2" t="s">
        <v>148</v>
      </c>
      <c r="I7162" s="2" t="s">
        <v>18347</v>
      </c>
      <c r="J7162" s="3" t="str">
        <f>HYPERLINK("https://www.boe.es/gazeta/dias/1811/08/14/pdfs/GMD-C-1811-226.pdf#page=2","Abrir facsímil")</f>
        <v>Abrir facsímil</v>
      </c>
      <c r="K7162" s="3" t="s">
        <v>150</v>
      </c>
    </row>
    <row r="7163" spans="1:11" ht="42" customHeight="1">
      <c r="A7163" s="2" t="s">
        <v>18348</v>
      </c>
      <c r="B7163" s="2" t="s">
        <v>18349</v>
      </c>
      <c r="C7163" s="2" t="s">
        <v>17</v>
      </c>
      <c r="D7163" s="2" t="s">
        <v>18</v>
      </c>
      <c r="E7163" s="4">
        <v>-32421</v>
      </c>
      <c r="F7163" s="3" t="s">
        <v>79</v>
      </c>
      <c r="G7163" s="3" t="s">
        <v>488</v>
      </c>
      <c r="H7163" s="2" t="s">
        <v>148</v>
      </c>
      <c r="I7163" s="2" t="s">
        <v>18350</v>
      </c>
      <c r="J7163" s="3" t="str">
        <f>HYPERLINK("https://www.boe.es/gazeta/dias/1811/03/26/pdfs/GEI-1811-42.pdf#page=8","Abrir facsímil")</f>
        <v>Abrir facsímil</v>
      </c>
      <c r="K7163" s="3" t="s">
        <v>150</v>
      </c>
    </row>
    <row r="7164" spans="1:11" ht="42" customHeight="1">
      <c r="A7164" s="2" t="s">
        <v>18351</v>
      </c>
      <c r="B7164" s="2" t="s">
        <v>18352</v>
      </c>
      <c r="C7164" s="2" t="s">
        <v>26</v>
      </c>
      <c r="D7164" s="2" t="s">
        <v>18</v>
      </c>
      <c r="E7164" s="4">
        <v>-32288</v>
      </c>
      <c r="F7164" s="3" t="s">
        <v>95</v>
      </c>
      <c r="G7164" s="3" t="s">
        <v>47</v>
      </c>
      <c r="H7164" s="2" t="s">
        <v>148</v>
      </c>
      <c r="I7164" s="2" t="s">
        <v>18353</v>
      </c>
      <c r="J7164" s="3" t="str">
        <f>HYPERLINK("https://www.boe.es/gazeta/dias/1811/08/06/pdfs/GEI-1811-102.pdf#page=8","Abrir facsímil")</f>
        <v>Abrir facsímil</v>
      </c>
      <c r="K7164" s="3" t="s">
        <v>150</v>
      </c>
    </row>
    <row r="7165" spans="1:11" ht="42" customHeight="1">
      <c r="A7165" s="2" t="s">
        <v>18354</v>
      </c>
      <c r="B7165" s="2" t="s">
        <v>18355</v>
      </c>
      <c r="C7165" s="2" t="s">
        <v>84</v>
      </c>
      <c r="D7165" s="2" t="s">
        <v>18</v>
      </c>
      <c r="E7165" s="4">
        <v>-32274</v>
      </c>
      <c r="F7165" s="3" t="s">
        <v>988</v>
      </c>
      <c r="G7165" s="3" t="s">
        <v>976</v>
      </c>
      <c r="H7165" s="2" t="s">
        <v>148</v>
      </c>
      <c r="I7165" s="2" t="s">
        <v>18356</v>
      </c>
      <c r="J7165" s="3" t="str">
        <f>HYPERLINK("https://www.boe.es/gazeta/dias/1811/08/20/pdfs/GMD-1811-232.pdf#page=4","Abrir facsímil")</f>
        <v>Abrir facsímil</v>
      </c>
      <c r="K7165" s="3" t="s">
        <v>150</v>
      </c>
    </row>
    <row r="7166" spans="1:11" ht="42" customHeight="1">
      <c r="A7166" s="2" t="s">
        <v>18357</v>
      </c>
      <c r="B7166" s="2" t="s">
        <v>18357</v>
      </c>
      <c r="C7166" s="2" t="s">
        <v>17</v>
      </c>
      <c r="D7166" s="2" t="s">
        <v>18</v>
      </c>
      <c r="E7166" s="4">
        <v>-32158</v>
      </c>
      <c r="F7166" s="3" t="s">
        <v>46</v>
      </c>
      <c r="G7166" s="3" t="s">
        <v>2989</v>
      </c>
      <c r="H7166" s="2" t="s">
        <v>148</v>
      </c>
      <c r="I7166" s="2" t="s">
        <v>18358</v>
      </c>
      <c r="J7166" s="3" t="str">
        <f>HYPERLINK("https://www.boe.es/gazeta/dias/1811/12/14/pdfs/GEI-1811-162.pdf#page=3","Abrir facsímil")</f>
        <v>Abrir facsímil</v>
      </c>
      <c r="K7166" s="3" t="s">
        <v>150</v>
      </c>
    </row>
    <row r="7167" spans="1:11" ht="42" customHeight="1">
      <c r="A7167" s="2" t="s">
        <v>18359</v>
      </c>
      <c r="B7167" s="2" t="s">
        <v>18360</v>
      </c>
      <c r="C7167" s="2" t="s">
        <v>26</v>
      </c>
      <c r="D7167" s="2" t="s">
        <v>105</v>
      </c>
      <c r="E7167" s="4">
        <v>-32153</v>
      </c>
      <c r="F7167" s="3" t="s">
        <v>123</v>
      </c>
      <c r="G7167" s="3" t="s">
        <v>288</v>
      </c>
      <c r="H7167" s="2" t="s">
        <v>148</v>
      </c>
      <c r="I7167" s="2" t="s">
        <v>18361</v>
      </c>
      <c r="J7167" s="3" t="str">
        <f>HYPERLINK("https://www.boe.es/gazeta/dias/1811/12/19/pdfs/GMD-1811-353.pdf#page=4","Abrir facsímil")</f>
        <v>Abrir facsímil</v>
      </c>
      <c r="K7167" s="3" t="s">
        <v>150</v>
      </c>
    </row>
    <row r="7168" spans="1:11" ht="42" customHeight="1">
      <c r="A7168" s="2" t="s">
        <v>18362</v>
      </c>
      <c r="B7168" s="2" t="s">
        <v>18363</v>
      </c>
      <c r="C7168" s="2" t="s">
        <v>26</v>
      </c>
      <c r="D7168" s="2" t="s">
        <v>18</v>
      </c>
      <c r="E7168" s="4">
        <v>-32230</v>
      </c>
      <c r="F7168" s="3" t="s">
        <v>625</v>
      </c>
      <c r="G7168" s="3" t="s">
        <v>162</v>
      </c>
      <c r="H7168" s="2" t="s">
        <v>148</v>
      </c>
      <c r="I7168" s="2" t="s">
        <v>18364</v>
      </c>
      <c r="J7168" s="3" t="str">
        <f>HYPERLINK("https://www.boe.es/gazeta/dias/1811/10/03/pdfs/GEI-1811-127.pdf#page=7","Abrir facsímil")</f>
        <v>Abrir facsímil</v>
      </c>
      <c r="K7168" s="3" t="s">
        <v>150</v>
      </c>
    </row>
    <row r="7169" spans="1:11" ht="42" customHeight="1">
      <c r="A7169" s="2" t="s">
        <v>18365</v>
      </c>
      <c r="B7169" s="2" t="s">
        <v>18366</v>
      </c>
      <c r="C7169" s="2" t="s">
        <v>26</v>
      </c>
      <c r="D7169" s="2" t="s">
        <v>18</v>
      </c>
      <c r="E7169" s="4">
        <v>-32421</v>
      </c>
      <c r="F7169" s="3" t="s">
        <v>79</v>
      </c>
      <c r="G7169" s="3" t="s">
        <v>80</v>
      </c>
      <c r="H7169" s="2" t="s">
        <v>148</v>
      </c>
      <c r="I7169" s="2" t="s">
        <v>18367</v>
      </c>
      <c r="J7169" s="3" t="str">
        <f>HYPERLINK("https://www.boe.es/gazeta/dias/1811/03/26/pdfs/GEI-1811-42.pdf#page=7","Abrir facsímil")</f>
        <v>Abrir facsímil</v>
      </c>
      <c r="K7169" s="3" t="s">
        <v>150</v>
      </c>
    </row>
    <row r="7170" spans="1:11" ht="42" customHeight="1">
      <c r="A7170" s="2" t="s">
        <v>18368</v>
      </c>
      <c r="B7170" s="2" t="s">
        <v>18369</v>
      </c>
      <c r="C7170" s="2" t="s">
        <v>17</v>
      </c>
      <c r="D7170" s="2" t="s">
        <v>204</v>
      </c>
      <c r="E7170" s="4">
        <v>-32302</v>
      </c>
      <c r="F7170" s="3" t="s">
        <v>864</v>
      </c>
      <c r="G7170" s="3" t="s">
        <v>2612</v>
      </c>
      <c r="H7170" s="2" t="s">
        <v>148</v>
      </c>
      <c r="I7170" s="2" t="s">
        <v>18370</v>
      </c>
      <c r="J7170" s="3" t="str">
        <f>HYPERLINK("https://www.boe.es/gazeta/dias/1811/07/23/pdfs/GEI-1811-96.pdf#page=1","Abrir facsímil")</f>
        <v>Abrir facsímil</v>
      </c>
      <c r="K7170" s="3" t="s">
        <v>150</v>
      </c>
    </row>
    <row r="7171" spans="1:11" ht="42" customHeight="1">
      <c r="A7171" s="2" t="s">
        <v>18371</v>
      </c>
      <c r="B7171" s="2" t="s">
        <v>18371</v>
      </c>
      <c r="C7171" s="2" t="s">
        <v>26</v>
      </c>
      <c r="D7171" s="2" t="s">
        <v>18</v>
      </c>
      <c r="E7171" s="4">
        <v>-32455</v>
      </c>
      <c r="F7171" s="3" t="s">
        <v>8959</v>
      </c>
      <c r="G7171" s="3" t="s">
        <v>18372</v>
      </c>
      <c r="H7171" s="2" t="s">
        <v>148</v>
      </c>
      <c r="I7171" s="2" t="s">
        <v>18373</v>
      </c>
      <c r="J7171" s="3" t="str">
        <f>HYPERLINK("https://www.boe.es/gazeta/dias/1811/02/20/pdfs/GMD-1811-51.pdf#page=1","Abrir facsímil")</f>
        <v>Abrir facsímil</v>
      </c>
      <c r="K7171" s="3" t="s">
        <v>150</v>
      </c>
    </row>
    <row r="7172" spans="1:11" ht="42" customHeight="1">
      <c r="A7172" s="2" t="s">
        <v>18374</v>
      </c>
      <c r="B7172" s="2" t="s">
        <v>18375</v>
      </c>
      <c r="C7172" s="2" t="s">
        <v>26</v>
      </c>
      <c r="D7172" s="2" t="s">
        <v>18</v>
      </c>
      <c r="E7172" s="4">
        <v>-32447</v>
      </c>
      <c r="F7172" s="3" t="s">
        <v>665</v>
      </c>
      <c r="G7172" s="3" t="s">
        <v>57</v>
      </c>
      <c r="H7172" s="2" t="s">
        <v>148</v>
      </c>
      <c r="I7172" s="2" t="s">
        <v>18376</v>
      </c>
      <c r="J7172" s="3" t="str">
        <f>HYPERLINK("https://www.boe.es/gazeta/dias/1811/02/28/pdfs/GMD-1811-59.pdf#page=2","Abrir facsímil")</f>
        <v>Abrir facsímil</v>
      </c>
      <c r="K7172" s="3" t="s">
        <v>150</v>
      </c>
    </row>
    <row r="7173" spans="1:11" ht="42" customHeight="1">
      <c r="A7173" s="2" t="s">
        <v>18377</v>
      </c>
      <c r="B7173" s="2" t="s">
        <v>18378</v>
      </c>
      <c r="C7173" s="2" t="s">
        <v>26</v>
      </c>
      <c r="D7173" s="2" t="s">
        <v>18</v>
      </c>
      <c r="E7173" s="4">
        <v>-32155</v>
      </c>
      <c r="F7173" s="3" t="s">
        <v>263</v>
      </c>
      <c r="G7173" s="3" t="s">
        <v>1800</v>
      </c>
      <c r="H7173" s="2" t="s">
        <v>148</v>
      </c>
      <c r="I7173" s="2" t="s">
        <v>18379</v>
      </c>
      <c r="J7173" s="3" t="str">
        <f>HYPERLINK("https://www.boe.es/gazeta/dias/1811/12/17/pdfs/GEI-1811-163.pdf#page=7","Abrir facsímil")</f>
        <v>Abrir facsímil</v>
      </c>
      <c r="K7173" s="3" t="s">
        <v>150</v>
      </c>
    </row>
    <row r="7174" spans="1:11" ht="42" customHeight="1">
      <c r="A7174" s="2" t="s">
        <v>18380</v>
      </c>
      <c r="B7174" s="2" t="s">
        <v>18381</v>
      </c>
      <c r="C7174" s="2" t="s">
        <v>17</v>
      </c>
      <c r="D7174" s="2" t="s">
        <v>18</v>
      </c>
      <c r="E7174" s="4">
        <v>-32300</v>
      </c>
      <c r="F7174" s="3" t="s">
        <v>492</v>
      </c>
      <c r="G7174" s="3" t="s">
        <v>493</v>
      </c>
      <c r="H7174" s="2" t="s">
        <v>148</v>
      </c>
      <c r="I7174" s="2" t="s">
        <v>18382</v>
      </c>
      <c r="J7174" s="3" t="str">
        <f>HYPERLINK("https://www.boe.es/gazeta/dias/1811/07/25/pdfs/GMD-1811-206.pdf#page=4","Abrir facsímil")</f>
        <v>Abrir facsímil</v>
      </c>
      <c r="K7174" s="3" t="s">
        <v>150</v>
      </c>
    </row>
    <row r="7175" spans="1:11" ht="42" customHeight="1">
      <c r="A7175" s="2" t="s">
        <v>18383</v>
      </c>
      <c r="B7175" s="2" t="s">
        <v>18384</v>
      </c>
      <c r="C7175" s="2" t="s">
        <v>26</v>
      </c>
      <c r="D7175" s="2" t="s">
        <v>18</v>
      </c>
      <c r="E7175" s="4">
        <v>-32379</v>
      </c>
      <c r="F7175" s="3" t="s">
        <v>462</v>
      </c>
      <c r="G7175" s="3" t="s">
        <v>1179</v>
      </c>
      <c r="H7175" s="2" t="s">
        <v>148</v>
      </c>
      <c r="I7175" s="2" t="s">
        <v>18385</v>
      </c>
      <c r="J7175" s="3" t="str">
        <f>HYPERLINK("https://www.boe.es/gazeta/dias/1811/05/07/pdfs/GEI-1811-60.pdf#page=1","Abrir facsímil")</f>
        <v>Abrir facsímil</v>
      </c>
      <c r="K7175" s="3" t="s">
        <v>150</v>
      </c>
    </row>
    <row r="7176" spans="1:11" ht="42" customHeight="1">
      <c r="A7176" s="2" t="s">
        <v>18386</v>
      </c>
      <c r="B7176" s="2" t="s">
        <v>18387</v>
      </c>
      <c r="C7176" s="2" t="s">
        <v>26</v>
      </c>
      <c r="D7176" s="2" t="s">
        <v>18</v>
      </c>
      <c r="E7176" s="4">
        <v>-32188</v>
      </c>
      <c r="F7176" s="3" t="s">
        <v>356</v>
      </c>
      <c r="G7176" s="3" t="s">
        <v>248</v>
      </c>
      <c r="H7176" s="2" t="s">
        <v>148</v>
      </c>
      <c r="I7176" s="2" t="s">
        <v>18388</v>
      </c>
      <c r="J7176" s="3" t="str">
        <f>HYPERLINK("https://www.boe.es/gazeta/dias/1811/11/14/pdfs/GMD-1811-318.pdf#page=5","Abrir facsímil")</f>
        <v>Abrir facsímil</v>
      </c>
      <c r="K7176" s="3" t="s">
        <v>150</v>
      </c>
    </row>
    <row r="7177" spans="1:11" ht="42" customHeight="1">
      <c r="A7177" s="2" t="s">
        <v>18389</v>
      </c>
      <c r="B7177" s="2" t="s">
        <v>18389</v>
      </c>
      <c r="C7177" s="2" t="s">
        <v>17</v>
      </c>
      <c r="D7177" s="2" t="s">
        <v>156</v>
      </c>
      <c r="E7177" s="4">
        <v>-32436</v>
      </c>
      <c r="F7177" s="3" t="s">
        <v>1972</v>
      </c>
      <c r="G7177" s="3" t="s">
        <v>178</v>
      </c>
      <c r="H7177" s="2" t="s">
        <v>148</v>
      </c>
      <c r="I7177" s="2" t="s">
        <v>18390</v>
      </c>
      <c r="J7177" s="3" t="str">
        <f>HYPERLINK("https://www.boe.es/gazeta/dias/1811/03/11/pdfs/GMD-1811-70.pdf#page=3","Abrir facsímil")</f>
        <v>Abrir facsímil</v>
      </c>
      <c r="K7177" s="3" t="s">
        <v>150</v>
      </c>
    </row>
    <row r="7178" spans="1:11" ht="42" customHeight="1">
      <c r="A7178" s="2" t="s">
        <v>18391</v>
      </c>
      <c r="B7178" s="2" t="s">
        <v>18392</v>
      </c>
      <c r="C7178" s="2" t="s">
        <v>17</v>
      </c>
      <c r="D7178" s="2" t="s">
        <v>156</v>
      </c>
      <c r="E7178" s="4">
        <v>-32333</v>
      </c>
      <c r="F7178" s="3" t="s">
        <v>292</v>
      </c>
      <c r="G7178" s="3" t="s">
        <v>293</v>
      </c>
      <c r="H7178" s="2" t="s">
        <v>148</v>
      </c>
      <c r="I7178" s="2" t="s">
        <v>18393</v>
      </c>
      <c r="J7178" s="3" t="str">
        <f>HYPERLINK("https://www.boe.es/gazeta/dias/1811/06/22/pdfs/GEI-1811-83.pdf#page=8","Abrir facsímil")</f>
        <v>Abrir facsímil</v>
      </c>
      <c r="K7178" s="3" t="s">
        <v>150</v>
      </c>
    </row>
    <row r="7179" spans="1:11" ht="42" customHeight="1">
      <c r="A7179" s="2" t="s">
        <v>18394</v>
      </c>
      <c r="B7179" s="2" t="s">
        <v>18395</v>
      </c>
      <c r="C7179" s="2" t="s">
        <v>26</v>
      </c>
      <c r="D7179" s="2" t="s">
        <v>18</v>
      </c>
      <c r="E7179" s="4">
        <v>-32398</v>
      </c>
      <c r="F7179" s="3" t="s">
        <v>14898</v>
      </c>
      <c r="G7179" s="3" t="s">
        <v>6010</v>
      </c>
      <c r="H7179" s="2" t="s">
        <v>148</v>
      </c>
      <c r="I7179" s="2" t="s">
        <v>18396</v>
      </c>
      <c r="J7179" s="3" t="str">
        <f>HYPERLINK("https://www.boe.es/gazeta/dias/1811/04/18/pdfs/GMD-1811-108.pdf#page=3","Abrir facsímil")</f>
        <v>Abrir facsímil</v>
      </c>
      <c r="K7179" s="3" t="s">
        <v>150</v>
      </c>
    </row>
    <row r="7180" spans="1:11" ht="42" customHeight="1">
      <c r="A7180" s="2" t="s">
        <v>18397</v>
      </c>
      <c r="B7180" s="2" t="s">
        <v>18398</v>
      </c>
      <c r="C7180" s="2" t="s">
        <v>26</v>
      </c>
      <c r="D7180" s="2" t="s">
        <v>18</v>
      </c>
      <c r="E7180" s="4">
        <v>-32297</v>
      </c>
      <c r="F7180" s="3" t="s">
        <v>2174</v>
      </c>
      <c r="G7180" s="3" t="s">
        <v>183</v>
      </c>
      <c r="H7180" s="2" t="s">
        <v>148</v>
      </c>
      <c r="I7180" s="2" t="s">
        <v>18399</v>
      </c>
      <c r="J7180" s="3" t="str">
        <f>HYPERLINK("https://www.boe.es/gazeta/dias/1811/07/28/pdfs/GMD-1811-209.pdf#page=4","Abrir facsímil")</f>
        <v>Abrir facsímil</v>
      </c>
      <c r="K7180" s="3" t="s">
        <v>150</v>
      </c>
    </row>
    <row r="7181" spans="1:11" ht="42" customHeight="1">
      <c r="A7181" s="2" t="s">
        <v>18400</v>
      </c>
      <c r="B7181" s="2" t="s">
        <v>18400</v>
      </c>
      <c r="C7181" s="2" t="s">
        <v>26</v>
      </c>
      <c r="D7181" s="2" t="s">
        <v>18</v>
      </c>
      <c r="E7181" s="4">
        <v>-32207</v>
      </c>
      <c r="F7181" s="3" t="s">
        <v>2761</v>
      </c>
      <c r="G7181" s="3" t="s">
        <v>18076</v>
      </c>
      <c r="H7181" s="2" t="s">
        <v>148</v>
      </c>
      <c r="I7181" s="2" t="s">
        <v>18401</v>
      </c>
      <c r="J7181" s="3" t="str">
        <f>HYPERLINK("https://www.boe.es/gazeta/dias/1811/10/26/pdfs/GMD-1811-299.pdf#page=2","Abrir facsímil")</f>
        <v>Abrir facsímil</v>
      </c>
      <c r="K7181" s="3" t="s">
        <v>150</v>
      </c>
    </row>
    <row r="7182" spans="1:11" ht="42" customHeight="1">
      <c r="A7182" s="2" t="s">
        <v>18402</v>
      </c>
      <c r="B7182" s="2" t="s">
        <v>18402</v>
      </c>
      <c r="C7182" s="2" t="s">
        <v>17</v>
      </c>
      <c r="D7182" s="2" t="s">
        <v>156</v>
      </c>
      <c r="E7182" s="4">
        <v>-32342</v>
      </c>
      <c r="F7182" s="3" t="s">
        <v>1474</v>
      </c>
      <c r="G7182" s="3" t="s">
        <v>2608</v>
      </c>
      <c r="H7182" s="2" t="s">
        <v>148</v>
      </c>
      <c r="I7182" s="2" t="s">
        <v>18403</v>
      </c>
      <c r="J7182" s="3" t="str">
        <f>HYPERLINK("https://www.boe.es/gazeta/dias/1811/06/13/pdfs/GEI-1811-79.pdf#page=4","Abrir facsímil")</f>
        <v>Abrir facsímil</v>
      </c>
      <c r="K7182" s="3" t="s">
        <v>150</v>
      </c>
    </row>
    <row r="7183" spans="1:11" ht="42" customHeight="1">
      <c r="A7183" s="2" t="s">
        <v>18404</v>
      </c>
      <c r="B7183" s="2" t="s">
        <v>18405</v>
      </c>
      <c r="C7183" s="2" t="s">
        <v>26</v>
      </c>
      <c r="D7183" s="2" t="s">
        <v>18</v>
      </c>
      <c r="E7183" s="4">
        <v>-32172</v>
      </c>
      <c r="F7183" s="3" t="s">
        <v>300</v>
      </c>
      <c r="G7183" s="3" t="s">
        <v>305</v>
      </c>
      <c r="H7183" s="2" t="s">
        <v>148</v>
      </c>
      <c r="I7183" s="2" t="s">
        <v>18406</v>
      </c>
      <c r="J7183" s="3" t="str">
        <f>HYPERLINK("https://www.boe.es/gazeta/dias/1811/11/30/pdfs/GMD-1811-334.pdf#page=3","Abrir facsímil")</f>
        <v>Abrir facsímil</v>
      </c>
      <c r="K7183" s="3" t="s">
        <v>150</v>
      </c>
    </row>
    <row r="7184" spans="1:11" ht="42" customHeight="1">
      <c r="A7184" s="2" t="s">
        <v>18407</v>
      </c>
      <c r="B7184" s="2" t="s">
        <v>18407</v>
      </c>
      <c r="C7184" s="2" t="s">
        <v>26</v>
      </c>
      <c r="D7184" s="2" t="s">
        <v>204</v>
      </c>
      <c r="E7184" s="4">
        <v>-32150</v>
      </c>
      <c r="F7184" s="3" t="s">
        <v>1174</v>
      </c>
      <c r="G7184" s="3" t="s">
        <v>4086</v>
      </c>
      <c r="H7184" s="2" t="s">
        <v>148</v>
      </c>
      <c r="I7184" s="2" t="s">
        <v>18408</v>
      </c>
      <c r="J7184" s="3" t="str">
        <f>HYPERLINK("https://www.boe.es/gazeta/dias/1811/12/22/pdfs/GMD-1811-356.pdf#page=1","Abrir facsímil")</f>
        <v>Abrir facsímil</v>
      </c>
      <c r="K7184" s="3" t="s">
        <v>150</v>
      </c>
    </row>
    <row r="7185" spans="1:11" ht="42" customHeight="1">
      <c r="A7185" s="2" t="s">
        <v>18409</v>
      </c>
      <c r="B7185" s="2" t="s">
        <v>18409</v>
      </c>
      <c r="C7185" s="2" t="s">
        <v>26</v>
      </c>
      <c r="D7185" s="2" t="s">
        <v>204</v>
      </c>
      <c r="E7185" s="4">
        <v>-32150</v>
      </c>
      <c r="F7185" s="3" t="s">
        <v>1174</v>
      </c>
      <c r="G7185" s="3" t="s">
        <v>20</v>
      </c>
      <c r="H7185" s="2" t="s">
        <v>148</v>
      </c>
      <c r="I7185" s="2" t="s">
        <v>18410</v>
      </c>
      <c r="J7185" s="3" t="str">
        <f>HYPERLINK("https://www.boe.es/gazeta/dias/1811/12/22/pdfs/GMD-1811-356.pdf#page=2","Abrir facsímil")</f>
        <v>Abrir facsímil</v>
      </c>
      <c r="K7185" s="3" t="s">
        <v>150</v>
      </c>
    </row>
    <row r="7186" spans="1:11" ht="42" customHeight="1">
      <c r="A7186" s="2" t="s">
        <v>18411</v>
      </c>
      <c r="B7186" s="2" t="s">
        <v>18411</v>
      </c>
      <c r="C7186" s="2" t="s">
        <v>122</v>
      </c>
      <c r="D7186" s="2" t="s">
        <v>105</v>
      </c>
      <c r="E7186" s="4">
        <v>-32190</v>
      </c>
      <c r="F7186" s="3" t="s">
        <v>85</v>
      </c>
      <c r="G7186" s="3" t="s">
        <v>86</v>
      </c>
      <c r="H7186" s="2" t="s">
        <v>148</v>
      </c>
      <c r="I7186" s="2" t="s">
        <v>18412</v>
      </c>
      <c r="J7186" s="3" t="str">
        <f>HYPERLINK("https://www.boe.es/gazeta/dias/1811/11/12/pdfs/GEI-1811-148.pdf#page=8","Abrir facsímil")</f>
        <v>Abrir facsímil</v>
      </c>
      <c r="K7186" s="3" t="s">
        <v>150</v>
      </c>
    </row>
    <row r="7187" spans="1:11" ht="42" customHeight="1">
      <c r="A7187" s="2" t="s">
        <v>18413</v>
      </c>
      <c r="B7187" s="2" t="s">
        <v>18413</v>
      </c>
      <c r="C7187" s="2" t="s">
        <v>26</v>
      </c>
      <c r="D7187" s="2" t="s">
        <v>18</v>
      </c>
      <c r="E7187" s="4">
        <v>-32148</v>
      </c>
      <c r="F7187" s="3" t="s">
        <v>3028</v>
      </c>
      <c r="G7187" s="3" t="s">
        <v>846</v>
      </c>
      <c r="H7187" s="2" t="s">
        <v>148</v>
      </c>
      <c r="I7187" s="2" t="s">
        <v>18414</v>
      </c>
      <c r="J7187" s="3" t="str">
        <f>HYPERLINK("https://www.boe.es/gazeta/dias/1811/12/24/pdfs/GMD-1811-358.pdf#page=2","Abrir facsímil")</f>
        <v>Abrir facsímil</v>
      </c>
      <c r="K7187" s="3" t="s">
        <v>150</v>
      </c>
    </row>
    <row r="7188" spans="1:11" ht="42" customHeight="1">
      <c r="A7188" s="2" t="s">
        <v>18415</v>
      </c>
      <c r="B7188" s="2" t="s">
        <v>18415</v>
      </c>
      <c r="C7188" s="2" t="s">
        <v>26</v>
      </c>
      <c r="D7188" s="2" t="s">
        <v>18</v>
      </c>
      <c r="E7188" s="4">
        <v>-32323</v>
      </c>
      <c r="F7188" s="3" t="s">
        <v>2289</v>
      </c>
      <c r="G7188" s="3" t="s">
        <v>846</v>
      </c>
      <c r="H7188" s="2" t="s">
        <v>148</v>
      </c>
      <c r="I7188" s="2" t="s">
        <v>18416</v>
      </c>
      <c r="J7188" s="3" t="str">
        <f>HYPERLINK("https://www.boe.es/gazeta/dias/1811/07/02/pdfs/GMD-1811-183.pdf#page=1","Abrir facsímil")</f>
        <v>Abrir facsímil</v>
      </c>
      <c r="K7188" s="3" t="s">
        <v>150</v>
      </c>
    </row>
    <row r="7189" spans="1:11" ht="42" customHeight="1">
      <c r="A7189" s="2" t="s">
        <v>18415</v>
      </c>
      <c r="B7189" s="2" t="s">
        <v>18415</v>
      </c>
      <c r="C7189" s="2" t="s">
        <v>26</v>
      </c>
      <c r="D7189" s="2" t="s">
        <v>18</v>
      </c>
      <c r="E7189" s="4">
        <v>-32318</v>
      </c>
      <c r="F7189" s="3" t="s">
        <v>1193</v>
      </c>
      <c r="G7189" s="3" t="s">
        <v>2612</v>
      </c>
      <c r="H7189" s="2" t="s">
        <v>148</v>
      </c>
      <c r="I7189" s="2" t="s">
        <v>18417</v>
      </c>
      <c r="J7189" s="3" t="str">
        <f>HYPERLINK("https://www.boe.es/gazeta/dias/1811/07/07/pdfs/GMD-1811-188.pdf#page=1","Abrir facsímil")</f>
        <v>Abrir facsímil</v>
      </c>
      <c r="K7189" s="3" t="s">
        <v>150</v>
      </c>
    </row>
    <row r="7190" spans="1:11" ht="42" customHeight="1">
      <c r="A7190" s="2" t="s">
        <v>18415</v>
      </c>
      <c r="B7190" s="2" t="s">
        <v>18415</v>
      </c>
      <c r="C7190" s="2" t="s">
        <v>26</v>
      </c>
      <c r="D7190" s="2" t="s">
        <v>18</v>
      </c>
      <c r="E7190" s="4">
        <v>-32315</v>
      </c>
      <c r="F7190" s="3" t="s">
        <v>3189</v>
      </c>
      <c r="G7190" s="3" t="s">
        <v>57</v>
      </c>
      <c r="H7190" s="2" t="s">
        <v>148</v>
      </c>
      <c r="I7190" s="2" t="s">
        <v>18418</v>
      </c>
      <c r="J7190" s="3" t="str">
        <f>HYPERLINK("https://www.boe.es/gazeta/dias/1811/07/10/pdfs/GMD-1811-191.pdf#page=2","Abrir facsímil")</f>
        <v>Abrir facsímil</v>
      </c>
      <c r="K7190" s="3" t="s">
        <v>150</v>
      </c>
    </row>
    <row r="7191" spans="1:11" ht="42" customHeight="1">
      <c r="A7191" s="2" t="s">
        <v>18415</v>
      </c>
      <c r="B7191" s="2" t="s">
        <v>18415</v>
      </c>
      <c r="C7191" s="2" t="s">
        <v>66</v>
      </c>
      <c r="D7191" s="2" t="s">
        <v>18</v>
      </c>
      <c r="E7191" s="4">
        <v>-32307</v>
      </c>
      <c r="F7191" s="3" t="s">
        <v>2614</v>
      </c>
      <c r="G7191" s="3" t="s">
        <v>2615</v>
      </c>
      <c r="H7191" s="2" t="s">
        <v>148</v>
      </c>
      <c r="I7191" s="2" t="s">
        <v>18419</v>
      </c>
      <c r="J7191" s="3" t="str">
        <f>HYPERLINK("https://www.boe.es/gazeta/dias/1811/07/18/pdfs/GMD-1811-199.pdf#page=3","Abrir facsímil")</f>
        <v>Abrir facsímil</v>
      </c>
      <c r="K7191" s="3" t="s">
        <v>150</v>
      </c>
    </row>
    <row r="7192" spans="1:11" ht="42" customHeight="1">
      <c r="A7192" s="2" t="s">
        <v>18415</v>
      </c>
      <c r="B7192" s="2" t="s">
        <v>18415</v>
      </c>
      <c r="C7192" s="2" t="s">
        <v>17</v>
      </c>
      <c r="D7192" s="2" t="s">
        <v>156</v>
      </c>
      <c r="E7192" s="4">
        <v>-32293</v>
      </c>
      <c r="F7192" s="3" t="s">
        <v>2815</v>
      </c>
      <c r="G7192" s="3" t="s">
        <v>134</v>
      </c>
      <c r="H7192" s="2" t="s">
        <v>148</v>
      </c>
      <c r="I7192" s="2" t="s">
        <v>18420</v>
      </c>
      <c r="J7192" s="3" t="str">
        <f>HYPERLINK("https://www.boe.es/gazeta/dias/1811/08/01/pdfs/GMD-1811-213.pdf#page=2","Abrir facsímil")</f>
        <v>Abrir facsímil</v>
      </c>
      <c r="K7192" s="3" t="s">
        <v>150</v>
      </c>
    </row>
    <row r="7193" spans="1:11" ht="42" customHeight="1">
      <c r="A7193" s="2" t="s">
        <v>18415</v>
      </c>
      <c r="B7193" s="2" t="s">
        <v>18415</v>
      </c>
      <c r="C7193" s="2" t="s">
        <v>17</v>
      </c>
      <c r="D7193" s="2" t="s">
        <v>18</v>
      </c>
      <c r="E7193" s="4">
        <v>-32176</v>
      </c>
      <c r="F7193" s="3" t="s">
        <v>333</v>
      </c>
      <c r="G7193" s="3" t="s">
        <v>334</v>
      </c>
      <c r="H7193" s="2" t="s">
        <v>148</v>
      </c>
      <c r="I7193" s="2" t="s">
        <v>18421</v>
      </c>
      <c r="J7193" s="3" t="str">
        <f>HYPERLINK("https://www.boe.es/gazeta/dias/1811/11/26/pdfs/GMD-1811-330.pdf#page=3","Abrir facsímil")</f>
        <v>Abrir facsímil</v>
      </c>
      <c r="K7193" s="3" t="s">
        <v>150</v>
      </c>
    </row>
    <row r="7194" spans="1:11" ht="42" customHeight="1">
      <c r="A7194" s="2" t="s">
        <v>18415</v>
      </c>
      <c r="B7194" s="2" t="s">
        <v>18415</v>
      </c>
      <c r="C7194" s="2" t="s">
        <v>26</v>
      </c>
      <c r="D7194" s="2" t="s">
        <v>18</v>
      </c>
      <c r="E7194" s="4">
        <v>-32151</v>
      </c>
      <c r="F7194" s="3" t="s">
        <v>2160</v>
      </c>
      <c r="G7194" s="3" t="s">
        <v>18422</v>
      </c>
      <c r="H7194" s="2" t="s">
        <v>148</v>
      </c>
      <c r="I7194" s="2" t="s">
        <v>18423</v>
      </c>
      <c r="J7194" s="3" t="str">
        <f>HYPERLINK("https://www.boe.es/gazeta/dias/1811/12/21/pdfs/GMD-1811-355.pdf#page=2","Abrir facsímil")</f>
        <v>Abrir facsímil</v>
      </c>
      <c r="K7194" s="3" t="s">
        <v>150</v>
      </c>
    </row>
    <row r="7195" spans="1:11" ht="42" customHeight="1">
      <c r="A7195" s="2" t="s">
        <v>18415</v>
      </c>
      <c r="B7195" s="2" t="s">
        <v>18415</v>
      </c>
      <c r="C7195" s="2" t="s">
        <v>122</v>
      </c>
      <c r="D7195" s="2" t="s">
        <v>18</v>
      </c>
      <c r="E7195" s="4">
        <v>-32150</v>
      </c>
      <c r="F7195" s="3" t="s">
        <v>1174</v>
      </c>
      <c r="G7195" s="3" t="s">
        <v>18424</v>
      </c>
      <c r="H7195" s="2" t="s">
        <v>148</v>
      </c>
      <c r="I7195" s="2" t="s">
        <v>18425</v>
      </c>
      <c r="J7195" s="3" t="str">
        <f>HYPERLINK("https://www.boe.es/gazeta/dias/1811/12/22/pdfs/GMD-1811-356.pdf#page=3","Abrir facsímil")</f>
        <v>Abrir facsímil</v>
      </c>
      <c r="K7195" s="3" t="s">
        <v>150</v>
      </c>
    </row>
    <row r="7196" spans="1:11" ht="42" customHeight="1">
      <c r="A7196" s="2" t="s">
        <v>18415</v>
      </c>
      <c r="B7196" s="2" t="s">
        <v>18415</v>
      </c>
      <c r="C7196" s="2" t="s">
        <v>37</v>
      </c>
      <c r="D7196" s="2" t="s">
        <v>18</v>
      </c>
      <c r="E7196" s="4">
        <v>-32142</v>
      </c>
      <c r="F7196" s="3" t="s">
        <v>3022</v>
      </c>
      <c r="G7196" s="3" t="s">
        <v>18426</v>
      </c>
      <c r="H7196" s="2" t="s">
        <v>148</v>
      </c>
      <c r="I7196" s="2" t="s">
        <v>18427</v>
      </c>
      <c r="J7196" s="3" t="str">
        <f>HYPERLINK("https://www.boe.es/gazeta/dias/1811/12/30/pdfs/GMD-1811-364.pdf#page=3","Abrir facsímil")</f>
        <v>Abrir facsímil</v>
      </c>
      <c r="K7196" s="3" t="s">
        <v>150</v>
      </c>
    </row>
    <row r="7197" spans="1:11" ht="42" customHeight="1">
      <c r="A7197" s="2" t="s">
        <v>18415</v>
      </c>
      <c r="B7197" s="2" t="s">
        <v>18415</v>
      </c>
      <c r="C7197" s="2" t="s">
        <v>17</v>
      </c>
      <c r="D7197" s="2" t="s">
        <v>18</v>
      </c>
      <c r="E7197" s="4">
        <v>-32141</v>
      </c>
      <c r="F7197" s="3" t="s">
        <v>327</v>
      </c>
      <c r="G7197" s="3" t="s">
        <v>6930</v>
      </c>
      <c r="H7197" s="2" t="s">
        <v>148</v>
      </c>
      <c r="I7197" s="2" t="s">
        <v>18428</v>
      </c>
      <c r="J7197" s="3" t="str">
        <f>HYPERLINK("https://www.boe.es/gazeta/dias/1811/12/31/pdfs/GMD-1811-365.pdf#page=2","Abrir facsímil")</f>
        <v>Abrir facsímil</v>
      </c>
      <c r="K7197" s="3" t="s">
        <v>150</v>
      </c>
    </row>
    <row r="7198" spans="1:11" ht="42" customHeight="1">
      <c r="A7198" s="2" t="s">
        <v>18429</v>
      </c>
      <c r="B7198" s="2" t="s">
        <v>18430</v>
      </c>
      <c r="C7198" s="2" t="s">
        <v>17</v>
      </c>
      <c r="D7198" s="2" t="s">
        <v>156</v>
      </c>
      <c r="E7198" s="4">
        <v>-32283</v>
      </c>
      <c r="F7198" s="3" t="s">
        <v>90</v>
      </c>
      <c r="G7198" s="3" t="s">
        <v>468</v>
      </c>
      <c r="H7198" s="2" t="s">
        <v>148</v>
      </c>
      <c r="I7198" s="2" t="s">
        <v>18431</v>
      </c>
      <c r="J7198" s="3" t="str">
        <f>HYPERLINK("https://www.boe.es/gazeta/dias/1811/08/11/pdfs/GMD-1811-223.pdf#page=2","Abrir facsímil")</f>
        <v>Abrir facsímil</v>
      </c>
      <c r="K7198" s="3" t="s">
        <v>150</v>
      </c>
    </row>
    <row r="7199" spans="1:11" ht="42" customHeight="1">
      <c r="A7199" s="2" t="s">
        <v>18432</v>
      </c>
      <c r="B7199" s="2" t="s">
        <v>18432</v>
      </c>
      <c r="C7199" s="2" t="s">
        <v>17</v>
      </c>
      <c r="D7199" s="2" t="s">
        <v>18</v>
      </c>
      <c r="E7199" s="4">
        <v>-32355</v>
      </c>
      <c r="F7199" s="3" t="s">
        <v>2342</v>
      </c>
      <c r="G7199" s="3" t="s">
        <v>178</v>
      </c>
      <c r="H7199" s="2" t="s">
        <v>148</v>
      </c>
      <c r="I7199" s="2" t="s">
        <v>18433</v>
      </c>
      <c r="J7199" s="3" t="str">
        <f>HYPERLINK("https://www.boe.es/gazeta/dias/1811/05/31/pdfs/GMD-1811-151.pdf#page=3","Abrir facsímil")</f>
        <v>Abrir facsímil</v>
      </c>
      <c r="K7199" s="3" t="s">
        <v>150</v>
      </c>
    </row>
    <row r="7200" spans="1:11" ht="42" customHeight="1">
      <c r="A7200" s="2" t="s">
        <v>18432</v>
      </c>
      <c r="B7200" s="2" t="s">
        <v>18432</v>
      </c>
      <c r="C7200" s="2" t="s">
        <v>17</v>
      </c>
      <c r="D7200" s="2" t="s">
        <v>156</v>
      </c>
      <c r="E7200" s="4">
        <v>-32321</v>
      </c>
      <c r="F7200" s="3" t="s">
        <v>1829</v>
      </c>
      <c r="G7200" s="3" t="s">
        <v>1830</v>
      </c>
      <c r="H7200" s="2" t="s">
        <v>148</v>
      </c>
      <c r="I7200" s="2" t="s">
        <v>18434</v>
      </c>
      <c r="J7200" s="3" t="str">
        <f>HYPERLINK("https://www.boe.es/gazeta/dias/1811/07/04/pdfs/GEI-1811-88.pdf#page=3","Abrir facsímil")</f>
        <v>Abrir facsímil</v>
      </c>
      <c r="K7200" s="3" t="s">
        <v>150</v>
      </c>
    </row>
    <row r="7201" spans="1:11" ht="42" customHeight="1">
      <c r="A7201" s="2" t="s">
        <v>18432</v>
      </c>
      <c r="B7201" s="2" t="s">
        <v>18432</v>
      </c>
      <c r="C7201" s="2" t="s">
        <v>17</v>
      </c>
      <c r="D7201" s="2" t="s">
        <v>156</v>
      </c>
      <c r="E7201" s="4">
        <v>-32292</v>
      </c>
      <c r="F7201" s="3" t="s">
        <v>408</v>
      </c>
      <c r="G7201" s="3" t="s">
        <v>57</v>
      </c>
      <c r="H7201" s="2" t="s">
        <v>148</v>
      </c>
      <c r="I7201" s="2" t="s">
        <v>18435</v>
      </c>
      <c r="J7201" s="3" t="str">
        <f>HYPERLINK("https://www.boe.es/gazeta/dias/1811/08/02/pdfs/GMD-1811-214.pdf#page=2","Abrir facsímil")</f>
        <v>Abrir facsímil</v>
      </c>
      <c r="K7201" s="3" t="s">
        <v>150</v>
      </c>
    </row>
    <row r="7202" spans="1:11" ht="42" customHeight="1">
      <c r="A7202" s="2" t="s">
        <v>18432</v>
      </c>
      <c r="B7202" s="2" t="s">
        <v>18432</v>
      </c>
      <c r="C7202" s="2" t="s">
        <v>17</v>
      </c>
      <c r="D7202" s="2" t="s">
        <v>156</v>
      </c>
      <c r="E7202" s="4">
        <v>-32283</v>
      </c>
      <c r="F7202" s="3" t="s">
        <v>90</v>
      </c>
      <c r="G7202" s="3" t="s">
        <v>468</v>
      </c>
      <c r="H7202" s="2" t="s">
        <v>148</v>
      </c>
      <c r="I7202" s="2" t="s">
        <v>18436</v>
      </c>
      <c r="J7202" s="3" t="str">
        <f>HYPERLINK("https://www.boe.es/gazeta/dias/1811/08/11/pdfs/GMD-1811-223.pdf#page=2","Abrir facsímil")</f>
        <v>Abrir facsímil</v>
      </c>
      <c r="K7202" s="3" t="s">
        <v>150</v>
      </c>
    </row>
    <row r="7203" spans="1:11" ht="42" customHeight="1">
      <c r="A7203" s="2" t="s">
        <v>18437</v>
      </c>
      <c r="B7203" s="2" t="s">
        <v>18437</v>
      </c>
      <c r="C7203" s="2" t="s">
        <v>17</v>
      </c>
      <c r="D7203" s="2" t="s">
        <v>156</v>
      </c>
      <c r="E7203" s="4">
        <v>-32410</v>
      </c>
      <c r="F7203" s="3" t="s">
        <v>2678</v>
      </c>
      <c r="G7203" s="3" t="s">
        <v>468</v>
      </c>
      <c r="H7203" s="2" t="s">
        <v>148</v>
      </c>
      <c r="I7203" s="2" t="s">
        <v>18438</v>
      </c>
      <c r="J7203" s="3" t="str">
        <f>HYPERLINK("https://www.boe.es/gazeta/dias/1811/04/06/pdfs/GEI-1811-47.pdf#page=6","Abrir facsímil")</f>
        <v>Abrir facsímil</v>
      </c>
      <c r="K7203" s="3" t="s">
        <v>150</v>
      </c>
    </row>
    <row r="7204" spans="1:11" ht="42" customHeight="1">
      <c r="A7204" s="2" t="s">
        <v>18439</v>
      </c>
      <c r="B7204" s="2" t="s">
        <v>18439</v>
      </c>
      <c r="C7204" s="2" t="s">
        <v>104</v>
      </c>
      <c r="D7204" s="2" t="s">
        <v>18</v>
      </c>
      <c r="E7204" s="4">
        <v>-32286</v>
      </c>
      <c r="F7204" s="3" t="s">
        <v>1420</v>
      </c>
      <c r="G7204" s="3" t="s">
        <v>44</v>
      </c>
      <c r="H7204" s="2" t="s">
        <v>148</v>
      </c>
      <c r="I7204" s="2" t="s">
        <v>18440</v>
      </c>
      <c r="J7204" s="3" t="str">
        <f>HYPERLINK("https://www.boe.es/gazeta/dias/1811/08/08/pdfs/GMD-1811-220.pdf#page=2","Abrir facsímil")</f>
        <v>Abrir facsímil</v>
      </c>
      <c r="K7204" s="3" t="s">
        <v>150</v>
      </c>
    </row>
    <row r="7205" spans="1:11" ht="42" customHeight="1">
      <c r="A7205" s="2" t="s">
        <v>18441</v>
      </c>
      <c r="B7205" s="2" t="s">
        <v>18441</v>
      </c>
      <c r="C7205" s="2" t="s">
        <v>17</v>
      </c>
      <c r="D7205" s="2" t="s">
        <v>18</v>
      </c>
      <c r="E7205" s="4">
        <v>-32355</v>
      </c>
      <c r="F7205" s="3" t="s">
        <v>2342</v>
      </c>
      <c r="G7205" s="3" t="s">
        <v>178</v>
      </c>
      <c r="H7205" s="2" t="s">
        <v>148</v>
      </c>
      <c r="I7205" s="2" t="s">
        <v>18442</v>
      </c>
      <c r="J7205" s="3" t="str">
        <f>HYPERLINK("https://www.boe.es/gazeta/dias/1811/05/31/pdfs/GMD-1811-151.pdf#page=3","Abrir facsímil")</f>
        <v>Abrir facsímil</v>
      </c>
      <c r="K7205" s="3" t="s">
        <v>150</v>
      </c>
    </row>
    <row r="7206" spans="1:11" ht="42" customHeight="1">
      <c r="A7206" s="2" t="s">
        <v>18443</v>
      </c>
      <c r="B7206" s="2" t="s">
        <v>18443</v>
      </c>
      <c r="C7206" s="2" t="s">
        <v>17</v>
      </c>
      <c r="D7206" s="2" t="s">
        <v>18</v>
      </c>
      <c r="E7206" s="4">
        <v>-32355</v>
      </c>
      <c r="F7206" s="3" t="s">
        <v>2342</v>
      </c>
      <c r="G7206" s="3" t="s">
        <v>178</v>
      </c>
      <c r="H7206" s="2" t="s">
        <v>148</v>
      </c>
      <c r="I7206" s="2" t="s">
        <v>18444</v>
      </c>
      <c r="J7206" s="3" t="str">
        <f>HYPERLINK("https://www.boe.es/gazeta/dias/1811/05/31/pdfs/GMD-1811-151.pdf#page=3","Abrir facsímil")</f>
        <v>Abrir facsímil</v>
      </c>
      <c r="K7206" s="3" t="s">
        <v>150</v>
      </c>
    </row>
    <row r="7207" spans="1:11" ht="42" customHeight="1">
      <c r="A7207" s="2" t="s">
        <v>18445</v>
      </c>
      <c r="B7207" s="2" t="s">
        <v>18445</v>
      </c>
      <c r="C7207" s="2" t="s">
        <v>26</v>
      </c>
      <c r="D7207" s="2" t="s">
        <v>204</v>
      </c>
      <c r="E7207" s="4">
        <v>-32365</v>
      </c>
      <c r="F7207" s="3" t="s">
        <v>5322</v>
      </c>
      <c r="G7207" s="3" t="s">
        <v>91</v>
      </c>
      <c r="H7207" s="2" t="s">
        <v>148</v>
      </c>
      <c r="I7207" s="2" t="s">
        <v>18446</v>
      </c>
      <c r="J7207" s="3" t="str">
        <f>HYPERLINK("https://www.boe.es/gazeta/dias/1811/05/21/pdfs/GMD-1811-141.pdf#page=1","Abrir facsímil")</f>
        <v>Abrir facsímil</v>
      </c>
      <c r="K7207" s="3" t="s">
        <v>150</v>
      </c>
    </row>
    <row r="7208" spans="1:11" ht="42" customHeight="1">
      <c r="A7208" s="2" t="s">
        <v>18447</v>
      </c>
      <c r="B7208" s="2" t="s">
        <v>18447</v>
      </c>
      <c r="C7208" s="2" t="s">
        <v>26</v>
      </c>
      <c r="D7208" s="2" t="s">
        <v>18</v>
      </c>
      <c r="E7208" s="4">
        <v>-32421</v>
      </c>
      <c r="F7208" s="3" t="s">
        <v>6279</v>
      </c>
      <c r="G7208" s="3" t="s">
        <v>18448</v>
      </c>
      <c r="H7208" s="2" t="s">
        <v>148</v>
      </c>
      <c r="I7208" s="2" t="s">
        <v>18449</v>
      </c>
      <c r="J7208" s="3" t="str">
        <f>HYPERLINK("https://www.boe.es/gazeta/dias/1811/03/26/pdfs/GMD-1811-85.pdf#page=4","Abrir facsímil")</f>
        <v>Abrir facsímil</v>
      </c>
      <c r="K7208" s="3" t="s">
        <v>150</v>
      </c>
    </row>
    <row r="7209" spans="1:11" ht="42" customHeight="1">
      <c r="A7209" s="2" t="s">
        <v>18450</v>
      </c>
      <c r="B7209" s="2" t="s">
        <v>18450</v>
      </c>
      <c r="C7209" s="2" t="s">
        <v>26</v>
      </c>
      <c r="D7209" s="2" t="s">
        <v>18</v>
      </c>
      <c r="E7209" s="4">
        <v>-32361</v>
      </c>
      <c r="F7209" s="3" t="s">
        <v>5102</v>
      </c>
      <c r="G7209" s="3" t="s">
        <v>5103</v>
      </c>
      <c r="H7209" s="2" t="s">
        <v>148</v>
      </c>
      <c r="I7209" s="2" t="s">
        <v>18451</v>
      </c>
      <c r="J7209" s="3" t="str">
        <f>HYPERLINK("https://www.boe.es/gazeta/dias/1811/05/25/pdfs/GMD-1811-145.pdf#page=1","Abrir facsímil")</f>
        <v>Abrir facsímil</v>
      </c>
      <c r="K7209" s="3" t="s">
        <v>150</v>
      </c>
    </row>
    <row r="7210" spans="1:11" ht="42" customHeight="1">
      <c r="A7210" s="2" t="s">
        <v>18452</v>
      </c>
      <c r="B7210" s="2" t="s">
        <v>18452</v>
      </c>
      <c r="C7210" s="2" t="s">
        <v>17</v>
      </c>
      <c r="D7210" s="2" t="s">
        <v>18</v>
      </c>
      <c r="E7210" s="4">
        <v>-32293</v>
      </c>
      <c r="F7210" s="3" t="s">
        <v>2815</v>
      </c>
      <c r="G7210" s="3" t="s">
        <v>3665</v>
      </c>
      <c r="H7210" s="2" t="s">
        <v>148</v>
      </c>
      <c r="I7210" s="2" t="s">
        <v>18453</v>
      </c>
      <c r="J7210" s="3" t="str">
        <f>HYPERLINK("https://www.boe.es/gazeta/dias/1811/08/01/pdfs/GMD-1811-213.pdf#page=3","Abrir facsímil")</f>
        <v>Abrir facsímil</v>
      </c>
      <c r="K7210" s="3" t="s">
        <v>150</v>
      </c>
    </row>
    <row r="7211" spans="1:11" ht="42" customHeight="1">
      <c r="A7211" s="2" t="s">
        <v>18454</v>
      </c>
      <c r="B7211" s="2" t="s">
        <v>18454</v>
      </c>
      <c r="C7211" s="2" t="s">
        <v>17</v>
      </c>
      <c r="D7211" s="2" t="s">
        <v>18</v>
      </c>
      <c r="E7211" s="4">
        <v>-32470</v>
      </c>
      <c r="F7211" s="3" t="s">
        <v>1432</v>
      </c>
      <c r="G7211" s="3" t="s">
        <v>9767</v>
      </c>
      <c r="H7211" s="2" t="s">
        <v>148</v>
      </c>
      <c r="I7211" s="2" t="s">
        <v>18455</v>
      </c>
      <c r="J7211" s="3" t="str">
        <f>HYPERLINK("https://www.boe.es/gazeta/dias/1811/02/05/pdfs/GEI-1811-16.pdf#page=6","Abrir facsímil")</f>
        <v>Abrir facsímil</v>
      </c>
      <c r="K7211" s="3" t="s">
        <v>150</v>
      </c>
    </row>
    <row r="7212" spans="1:11" ht="42" customHeight="1">
      <c r="A7212" s="2" t="s">
        <v>18456</v>
      </c>
      <c r="B7212" s="2" t="s">
        <v>18456</v>
      </c>
      <c r="C7212" s="2" t="s">
        <v>84</v>
      </c>
      <c r="D7212" s="2" t="s">
        <v>18</v>
      </c>
      <c r="E7212" s="4">
        <v>-32369</v>
      </c>
      <c r="F7212" s="3" t="s">
        <v>896</v>
      </c>
      <c r="G7212" s="3" t="s">
        <v>57</v>
      </c>
      <c r="H7212" s="2" t="s">
        <v>148</v>
      </c>
      <c r="I7212" s="2" t="s">
        <v>18457</v>
      </c>
      <c r="J7212" s="3" t="str">
        <f>HYPERLINK("https://www.boe.es/gazeta/dias/1811/05/17/pdfs/GMD-1811-137.pdf#page=2","Abrir facsímil")</f>
        <v>Abrir facsímil</v>
      </c>
      <c r="K7212" s="3" t="s">
        <v>150</v>
      </c>
    </row>
    <row r="7213" spans="1:11" ht="42" customHeight="1">
      <c r="A7213" s="2" t="s">
        <v>18458</v>
      </c>
      <c r="B7213" s="2" t="s">
        <v>18459</v>
      </c>
      <c r="C7213" s="2" t="s">
        <v>26</v>
      </c>
      <c r="D7213" s="2" t="s">
        <v>18</v>
      </c>
      <c r="E7213" s="4">
        <v>-32188</v>
      </c>
      <c r="F7213" s="3" t="s">
        <v>356</v>
      </c>
      <c r="G7213" s="3" t="s">
        <v>248</v>
      </c>
      <c r="H7213" s="2" t="s">
        <v>148</v>
      </c>
      <c r="I7213" s="2" t="s">
        <v>18460</v>
      </c>
      <c r="J7213" s="3" t="str">
        <f>HYPERLINK("https://www.boe.es/gazeta/dias/1811/11/14/pdfs/GMD-1811-318.pdf#page=5","Abrir facsímil")</f>
        <v>Abrir facsímil</v>
      </c>
      <c r="K7213" s="3" t="s">
        <v>150</v>
      </c>
    </row>
    <row r="7214" spans="1:11" ht="42" customHeight="1">
      <c r="A7214" s="2" t="s">
        <v>18461</v>
      </c>
      <c r="B7214" s="2" t="s">
        <v>18461</v>
      </c>
      <c r="C7214" s="2" t="s">
        <v>17</v>
      </c>
      <c r="D7214" s="2" t="s">
        <v>18</v>
      </c>
      <c r="E7214" s="4">
        <v>-32368</v>
      </c>
      <c r="F7214" s="3" t="s">
        <v>1561</v>
      </c>
      <c r="G7214" s="3" t="s">
        <v>20</v>
      </c>
      <c r="H7214" s="2" t="s">
        <v>148</v>
      </c>
      <c r="I7214" s="2" t="s">
        <v>18462</v>
      </c>
      <c r="J7214" s="3" t="str">
        <f>HYPERLINK("https://www.boe.es/gazeta/dias/1811/05/18/pdfs/GMD-1811-138.pdf#page=3","Abrir facsímil")</f>
        <v>Abrir facsímil</v>
      </c>
      <c r="K7214" s="3" t="s">
        <v>150</v>
      </c>
    </row>
    <row r="7215" spans="1:11" ht="42" customHeight="1">
      <c r="A7215" s="2" t="s">
        <v>18463</v>
      </c>
      <c r="B7215" s="2" t="s">
        <v>18463</v>
      </c>
      <c r="C7215" s="2" t="s">
        <v>17</v>
      </c>
      <c r="D7215" s="2" t="s">
        <v>156</v>
      </c>
      <c r="E7215" s="4">
        <v>-32293</v>
      </c>
      <c r="F7215" s="3" t="s">
        <v>2815</v>
      </c>
      <c r="G7215" s="3" t="s">
        <v>134</v>
      </c>
      <c r="H7215" s="2" t="s">
        <v>148</v>
      </c>
      <c r="I7215" s="2" t="s">
        <v>18464</v>
      </c>
      <c r="J7215" s="3" t="str">
        <f>HYPERLINK("https://www.boe.es/gazeta/dias/1811/08/01/pdfs/GMD-1811-213.pdf#page=2","Abrir facsímil")</f>
        <v>Abrir facsímil</v>
      </c>
      <c r="K7215" s="3" t="s">
        <v>150</v>
      </c>
    </row>
    <row r="7216" spans="1:11" ht="42" customHeight="1">
      <c r="A7216" s="2" t="s">
        <v>18465</v>
      </c>
      <c r="B7216" s="2" t="s">
        <v>18465</v>
      </c>
      <c r="C7216" s="2" t="s">
        <v>26</v>
      </c>
      <c r="D7216" s="2" t="s">
        <v>18</v>
      </c>
      <c r="E7216" s="4">
        <v>-32487</v>
      </c>
      <c r="F7216" s="3" t="s">
        <v>3104</v>
      </c>
      <c r="G7216" s="3" t="s">
        <v>409</v>
      </c>
      <c r="H7216" s="2" t="s">
        <v>148</v>
      </c>
      <c r="I7216" s="2" t="s">
        <v>18466</v>
      </c>
      <c r="J7216" s="3" t="str">
        <f>HYPERLINK("https://www.boe.es/gazeta/dias/1811/01/19/pdfs/GMD-1811-19.pdf#page=2","Abrir facsímil")</f>
        <v>Abrir facsímil</v>
      </c>
      <c r="K7216" s="3" t="s">
        <v>150</v>
      </c>
    </row>
    <row r="7217" spans="1:11" ht="42" customHeight="1">
      <c r="A7217" s="2" t="s">
        <v>18467</v>
      </c>
      <c r="B7217" s="2" t="s">
        <v>18467</v>
      </c>
      <c r="C7217" s="2" t="s">
        <v>17</v>
      </c>
      <c r="D7217" s="2" t="s">
        <v>18</v>
      </c>
      <c r="E7217" s="4">
        <v>-32272</v>
      </c>
      <c r="F7217" s="3" t="s">
        <v>1121</v>
      </c>
      <c r="G7217" s="3" t="s">
        <v>18468</v>
      </c>
      <c r="H7217" s="2" t="s">
        <v>148</v>
      </c>
      <c r="I7217" s="2" t="s">
        <v>18469</v>
      </c>
      <c r="J7217" s="3" t="str">
        <f>HYPERLINK("https://www.boe.es/gazeta/dias/1811/08/22/pdfs/GEI-1811-109.pdf#page=3","Abrir facsímil")</f>
        <v>Abrir facsímil</v>
      </c>
      <c r="K7217" s="3" t="s">
        <v>150</v>
      </c>
    </row>
    <row r="7218" spans="1:11" ht="42" customHeight="1">
      <c r="A7218" s="2" t="s">
        <v>18470</v>
      </c>
      <c r="B7218" s="2" t="s">
        <v>18471</v>
      </c>
      <c r="C7218" s="2" t="s">
        <v>26</v>
      </c>
      <c r="D7218" s="2" t="s">
        <v>204</v>
      </c>
      <c r="E7218" s="4">
        <v>-32143</v>
      </c>
      <c r="F7218" s="3" t="s">
        <v>1455</v>
      </c>
      <c r="G7218" s="3" t="s">
        <v>284</v>
      </c>
      <c r="H7218" s="2" t="s">
        <v>148</v>
      </c>
      <c r="I7218" s="2" t="s">
        <v>18472</v>
      </c>
      <c r="J7218" s="3" t="str">
        <f>HYPERLINK("https://www.boe.es/gazeta/dias/1811/12/29/pdfs/GMD-1811-363.pdf#page=3","Abrir facsímil")</f>
        <v>Abrir facsímil</v>
      </c>
      <c r="K7218" s="3" t="s">
        <v>150</v>
      </c>
    </row>
    <row r="7219" spans="1:11" ht="42" customHeight="1">
      <c r="A7219" s="2" t="s">
        <v>18473</v>
      </c>
      <c r="B7219" s="2" t="s">
        <v>18474</v>
      </c>
      <c r="C7219" s="2" t="s">
        <v>17</v>
      </c>
      <c r="D7219" s="2" t="s">
        <v>156</v>
      </c>
      <c r="E7219" s="4">
        <v>-32218</v>
      </c>
      <c r="F7219" s="3" t="s">
        <v>938</v>
      </c>
      <c r="G7219" s="3" t="s">
        <v>939</v>
      </c>
      <c r="H7219" s="2" t="s">
        <v>148</v>
      </c>
      <c r="I7219" s="2" t="s">
        <v>18475</v>
      </c>
      <c r="J7219" s="3" t="str">
        <f>HYPERLINK("https://www.boe.es/gazeta/dias/1811/10/15/pdfs/GEI-1811-133.pdf#page=8","Abrir facsímil")</f>
        <v>Abrir facsímil</v>
      </c>
      <c r="K7219" s="3" t="s">
        <v>150</v>
      </c>
    </row>
    <row r="7220" spans="1:11" ht="42" customHeight="1">
      <c r="A7220" s="2" t="s">
        <v>18476</v>
      </c>
      <c r="B7220" s="2" t="s">
        <v>18477</v>
      </c>
      <c r="C7220" s="2" t="s">
        <v>26</v>
      </c>
      <c r="D7220" s="2" t="s">
        <v>141</v>
      </c>
      <c r="E7220" s="4">
        <v>-32238</v>
      </c>
      <c r="F7220" s="3" t="s">
        <v>166</v>
      </c>
      <c r="G7220" s="3" t="s">
        <v>39</v>
      </c>
      <c r="H7220" s="2" t="s">
        <v>148</v>
      </c>
      <c r="I7220" s="2" t="s">
        <v>18478</v>
      </c>
      <c r="J7220" s="3" t="str">
        <f>HYPERLINK("https://www.boe.es/gazeta/dias/1811/09/25/pdfs/GMD-C-1811-268.pdf#page=2","Abrir facsímil")</f>
        <v>Abrir facsímil</v>
      </c>
      <c r="K7220" s="3" t="s">
        <v>150</v>
      </c>
    </row>
    <row r="7221" spans="1:11" ht="42" customHeight="1">
      <c r="A7221" s="2" t="s">
        <v>18479</v>
      </c>
      <c r="B7221" s="2" t="s">
        <v>18480</v>
      </c>
      <c r="C7221" s="2" t="s">
        <v>26</v>
      </c>
      <c r="D7221" s="2" t="s">
        <v>18</v>
      </c>
      <c r="E7221" s="4">
        <v>-32153</v>
      </c>
      <c r="F7221" s="3" t="s">
        <v>123</v>
      </c>
      <c r="G7221" s="3" t="s">
        <v>124</v>
      </c>
      <c r="H7221" s="2" t="s">
        <v>148</v>
      </c>
      <c r="I7221" s="2" t="s">
        <v>18481</v>
      </c>
      <c r="J7221" s="3" t="str">
        <f>HYPERLINK("https://www.boe.es/gazeta/dias/1811/12/19/pdfs/GMD-1811-353.pdf#page=6","Abrir facsímil")</f>
        <v>Abrir facsímil</v>
      </c>
      <c r="K7221" s="3" t="s">
        <v>150</v>
      </c>
    </row>
    <row r="7222" spans="1:11" ht="42" customHeight="1">
      <c r="A7222" s="2" t="s">
        <v>18482</v>
      </c>
      <c r="B7222" s="2" t="s">
        <v>18483</v>
      </c>
      <c r="C7222" s="2" t="s">
        <v>26</v>
      </c>
      <c r="D7222" s="2" t="s">
        <v>18</v>
      </c>
      <c r="E7222" s="4">
        <v>-32237</v>
      </c>
      <c r="F7222" s="3" t="s">
        <v>717</v>
      </c>
      <c r="G7222" s="3" t="s">
        <v>718</v>
      </c>
      <c r="H7222" s="2" t="s">
        <v>148</v>
      </c>
      <c r="I7222" s="2" t="s">
        <v>18484</v>
      </c>
      <c r="J7222" s="3" t="str">
        <f>HYPERLINK("https://www.boe.es/gazeta/dias/1811/09/26/pdfs/GEI-1811-124.pdf#page=5","Abrir facsímil")</f>
        <v>Abrir facsímil</v>
      </c>
      <c r="K7222" s="3" t="s">
        <v>150</v>
      </c>
    </row>
    <row r="7223" spans="1:11" ht="42" customHeight="1">
      <c r="A7223" s="2" t="s">
        <v>18485</v>
      </c>
      <c r="B7223" s="2" t="s">
        <v>18486</v>
      </c>
      <c r="C7223" s="2" t="s">
        <v>26</v>
      </c>
      <c r="D7223" s="2" t="s">
        <v>141</v>
      </c>
      <c r="E7223" s="4">
        <v>-32188</v>
      </c>
      <c r="F7223" s="3" t="s">
        <v>505</v>
      </c>
      <c r="G7223" s="3" t="s">
        <v>162</v>
      </c>
      <c r="H7223" s="2" t="s">
        <v>148</v>
      </c>
      <c r="I7223" s="2" t="s">
        <v>18487</v>
      </c>
      <c r="J7223" s="3" t="str">
        <f>HYPERLINK("https://www.boe.es/gazeta/dias/1811/11/14/pdfs/GEI-D-1811-149.pdf#page=4","Abrir facsímil")</f>
        <v>Abrir facsímil</v>
      </c>
      <c r="K7223" s="3" t="s">
        <v>150</v>
      </c>
    </row>
    <row r="7224" spans="1:11" ht="42" customHeight="1">
      <c r="A7224" s="2" t="s">
        <v>18488</v>
      </c>
      <c r="B7224" s="2" t="s">
        <v>18489</v>
      </c>
      <c r="C7224" s="2" t="s">
        <v>17</v>
      </c>
      <c r="D7224" s="2" t="s">
        <v>18</v>
      </c>
      <c r="E7224" s="4">
        <v>-32450</v>
      </c>
      <c r="F7224" s="3" t="s">
        <v>794</v>
      </c>
      <c r="G7224" s="3" t="s">
        <v>795</v>
      </c>
      <c r="H7224" s="2" t="s">
        <v>148</v>
      </c>
      <c r="I7224" s="2" t="s">
        <v>18490</v>
      </c>
      <c r="J7224" s="3" t="str">
        <f>HYPERLINK("https://www.boe.es/gazeta/dias/1811/02/25/pdfs/GMD-1811-56.pdf#page=3","Abrir facsímil")</f>
        <v>Abrir facsímil</v>
      </c>
      <c r="K7224" s="3" t="s">
        <v>150</v>
      </c>
    </row>
    <row r="7225" spans="1:11" ht="42" customHeight="1">
      <c r="A7225" s="2" t="s">
        <v>18491</v>
      </c>
      <c r="B7225" s="2" t="s">
        <v>18492</v>
      </c>
      <c r="C7225" s="2" t="s">
        <v>37</v>
      </c>
      <c r="D7225" s="2" t="s">
        <v>18</v>
      </c>
      <c r="E7225" s="4">
        <v>-32463</v>
      </c>
      <c r="F7225" s="3" t="s">
        <v>734</v>
      </c>
      <c r="G7225" s="3" t="s">
        <v>735</v>
      </c>
      <c r="H7225" s="2" t="s">
        <v>148</v>
      </c>
      <c r="I7225" s="2" t="s">
        <v>18493</v>
      </c>
      <c r="J7225" s="3" t="str">
        <f>HYPERLINK("https://www.boe.es/gazeta/dias/1811/02/12/pdfs/GEI-1811-19.pdf#page=8","Abrir facsímil")</f>
        <v>Abrir facsímil</v>
      </c>
      <c r="K7225" s="3" t="s">
        <v>150</v>
      </c>
    </row>
    <row r="7226" spans="1:11" ht="42" customHeight="1">
      <c r="A7226" s="2" t="s">
        <v>18494</v>
      </c>
      <c r="B7226" s="2" t="s">
        <v>18494</v>
      </c>
      <c r="C7226" s="2" t="s">
        <v>17</v>
      </c>
      <c r="D7226" s="2" t="s">
        <v>18</v>
      </c>
      <c r="E7226" s="4">
        <v>-32438</v>
      </c>
      <c r="F7226" s="3" t="s">
        <v>114</v>
      </c>
      <c r="G7226" s="3" t="s">
        <v>20</v>
      </c>
      <c r="H7226" s="2" t="s">
        <v>148</v>
      </c>
      <c r="I7226" s="2" t="s">
        <v>18495</v>
      </c>
      <c r="J7226" s="3" t="str">
        <f>HYPERLINK("https://www.boe.es/gazeta/dias/1811/03/09/pdfs/GEI-1811-33.pdf#page=8","Abrir facsímil")</f>
        <v>Abrir facsímil</v>
      </c>
      <c r="K7226" s="3" t="s">
        <v>150</v>
      </c>
    </row>
    <row r="7227" spans="1:11" ht="42" customHeight="1">
      <c r="A7227" s="2" t="s">
        <v>18494</v>
      </c>
      <c r="B7227" s="2" t="s">
        <v>18494</v>
      </c>
      <c r="C7227" s="2" t="s">
        <v>26</v>
      </c>
      <c r="D7227" s="2" t="s">
        <v>18</v>
      </c>
      <c r="E7227" s="4">
        <v>-32232</v>
      </c>
      <c r="F7227" s="3" t="s">
        <v>1879</v>
      </c>
      <c r="G7227" s="3" t="s">
        <v>9888</v>
      </c>
      <c r="H7227" s="2" t="s">
        <v>148</v>
      </c>
      <c r="I7227" s="2" t="s">
        <v>18496</v>
      </c>
      <c r="J7227" s="3" t="str">
        <f>HYPERLINK("https://www.boe.es/gazeta/dias/1811/10/01/pdfs/GMD-1811-274.pdf#page=3","Abrir facsímil")</f>
        <v>Abrir facsímil</v>
      </c>
      <c r="K7227" s="3" t="s">
        <v>150</v>
      </c>
    </row>
    <row r="7228" spans="1:11" ht="42" customHeight="1">
      <c r="A7228" s="2" t="s">
        <v>18497</v>
      </c>
      <c r="B7228" s="2" t="s">
        <v>18498</v>
      </c>
      <c r="C7228" s="2" t="s">
        <v>26</v>
      </c>
      <c r="D7228" s="2" t="s">
        <v>204</v>
      </c>
      <c r="E7228" s="4">
        <v>-32472</v>
      </c>
      <c r="F7228" s="3" t="s">
        <v>398</v>
      </c>
      <c r="G7228" s="3" t="s">
        <v>382</v>
      </c>
      <c r="H7228" s="2" t="s">
        <v>148</v>
      </c>
      <c r="I7228" s="2" t="s">
        <v>18499</v>
      </c>
      <c r="J7228" s="3" t="str">
        <f>HYPERLINK("https://www.boe.es/gazeta/dias/1811/02/03/pdfs/GMD-1811-34.pdf#page=2","Abrir facsímil")</f>
        <v>Abrir facsímil</v>
      </c>
      <c r="K7228" s="3" t="s">
        <v>150</v>
      </c>
    </row>
    <row r="7229" spans="1:11" ht="42" customHeight="1">
      <c r="A7229" s="2" t="s">
        <v>18500</v>
      </c>
      <c r="B7229" s="2" t="s">
        <v>18501</v>
      </c>
      <c r="C7229" s="2" t="s">
        <v>17</v>
      </c>
      <c r="D7229" s="2" t="s">
        <v>18</v>
      </c>
      <c r="E7229" s="4">
        <v>-32244</v>
      </c>
      <c r="F7229" s="3" t="s">
        <v>4301</v>
      </c>
      <c r="G7229" s="3" t="s">
        <v>4302</v>
      </c>
      <c r="H7229" s="2" t="s">
        <v>148</v>
      </c>
      <c r="I7229" s="2" t="s">
        <v>18502</v>
      </c>
      <c r="J7229" s="3" t="str">
        <f>HYPERLINK("https://www.boe.es/gazeta/dias/1811/09/19/pdfs/GEI-1811-121.pdf#page=7","Abrir facsímil")</f>
        <v>Abrir facsímil</v>
      </c>
      <c r="K7229" s="3" t="s">
        <v>150</v>
      </c>
    </row>
    <row r="7230" spans="1:11" ht="42" customHeight="1">
      <c r="A7230" s="2" t="s">
        <v>18503</v>
      </c>
      <c r="B7230" s="2" t="s">
        <v>18504</v>
      </c>
      <c r="C7230" s="2" t="s">
        <v>26</v>
      </c>
      <c r="D7230" s="2" t="s">
        <v>18</v>
      </c>
      <c r="E7230" s="4">
        <v>-32421</v>
      </c>
      <c r="F7230" s="3" t="s">
        <v>79</v>
      </c>
      <c r="G7230" s="3" t="s">
        <v>488</v>
      </c>
      <c r="H7230" s="2" t="s">
        <v>148</v>
      </c>
      <c r="I7230" s="2" t="s">
        <v>18505</v>
      </c>
      <c r="J7230" s="3" t="str">
        <f>HYPERLINK("https://www.boe.es/gazeta/dias/1811/03/26/pdfs/GEI-1811-42.pdf#page=8","Abrir facsímil")</f>
        <v>Abrir facsímil</v>
      </c>
      <c r="K7230" s="3" t="s">
        <v>150</v>
      </c>
    </row>
    <row r="7231" spans="1:11" ht="42" customHeight="1">
      <c r="A7231" s="2" t="s">
        <v>18506</v>
      </c>
      <c r="B7231" s="2" t="s">
        <v>18507</v>
      </c>
      <c r="C7231" s="2" t="s">
        <v>84</v>
      </c>
      <c r="D7231" s="2" t="s">
        <v>141</v>
      </c>
      <c r="E7231" s="4">
        <v>-32188</v>
      </c>
      <c r="F7231" s="3" t="s">
        <v>505</v>
      </c>
      <c r="G7231" s="3" t="s">
        <v>162</v>
      </c>
      <c r="H7231" s="2" t="s">
        <v>148</v>
      </c>
      <c r="I7231" s="2" t="s">
        <v>18508</v>
      </c>
      <c r="J7231" s="3" t="str">
        <f>HYPERLINK("https://www.boe.es/gazeta/dias/1811/11/14/pdfs/GEI-D-1811-149.pdf#page=4","Abrir facsímil")</f>
        <v>Abrir facsímil</v>
      </c>
      <c r="K7231" s="3" t="s">
        <v>150</v>
      </c>
    </row>
    <row r="7232" spans="1:11" ht="42" customHeight="1">
      <c r="A7232" s="2" t="s">
        <v>18509</v>
      </c>
      <c r="B7232" s="2" t="s">
        <v>18510</v>
      </c>
      <c r="C7232" s="2" t="s">
        <v>26</v>
      </c>
      <c r="D7232" s="2" t="s">
        <v>18</v>
      </c>
      <c r="E7232" s="4">
        <v>-32505</v>
      </c>
      <c r="F7232" s="3" t="s">
        <v>475</v>
      </c>
      <c r="G7232" s="3" t="s">
        <v>755</v>
      </c>
      <c r="H7232" s="2" t="s">
        <v>148</v>
      </c>
      <c r="I7232" s="2" t="s">
        <v>18511</v>
      </c>
      <c r="J7232" s="3" t="str">
        <f>HYPERLINK("https://www.boe.es/gazeta/dias/1811/01/01/pdfs/GEI-1811-1.pdf#page=8","Abrir facsímil")</f>
        <v>Abrir facsímil</v>
      </c>
      <c r="K7232" s="3" t="s">
        <v>150</v>
      </c>
    </row>
    <row r="7233" spans="1:11" ht="42" customHeight="1">
      <c r="A7233" s="2" t="s">
        <v>18512</v>
      </c>
      <c r="B7233" s="2" t="s">
        <v>18513</v>
      </c>
      <c r="C7233" s="2" t="s">
        <v>26</v>
      </c>
      <c r="D7233" s="2" t="s">
        <v>18</v>
      </c>
      <c r="E7233" s="4">
        <v>-32505</v>
      </c>
      <c r="F7233" s="3" t="s">
        <v>475</v>
      </c>
      <c r="G7233" s="3" t="s">
        <v>755</v>
      </c>
      <c r="H7233" s="2" t="s">
        <v>148</v>
      </c>
      <c r="I7233" s="2" t="s">
        <v>18514</v>
      </c>
      <c r="J7233" s="3" t="str">
        <f>HYPERLINK("https://www.boe.es/gazeta/dias/1811/01/01/pdfs/GEI-1811-1.pdf#page=8","Abrir facsímil")</f>
        <v>Abrir facsímil</v>
      </c>
      <c r="K7233" s="3" t="s">
        <v>150</v>
      </c>
    </row>
    <row r="7234" spans="1:11" ht="42" customHeight="1">
      <c r="A7234" s="2" t="s">
        <v>18515</v>
      </c>
      <c r="B7234" s="2" t="s">
        <v>18516</v>
      </c>
      <c r="C7234" s="2" t="s">
        <v>17</v>
      </c>
      <c r="D7234" s="2" t="s">
        <v>156</v>
      </c>
      <c r="E7234" s="4">
        <v>-32416</v>
      </c>
      <c r="F7234" s="3" t="s">
        <v>954</v>
      </c>
      <c r="G7234" s="3" t="s">
        <v>47</v>
      </c>
      <c r="H7234" s="2" t="s">
        <v>148</v>
      </c>
      <c r="I7234" s="2" t="s">
        <v>18517</v>
      </c>
      <c r="J7234" s="3" t="str">
        <f>HYPERLINK("https://www.boe.es/gazeta/dias/1811/03/31/pdfs/GMD-1811-90.pdf#page=3","Abrir facsímil")</f>
        <v>Abrir facsímil</v>
      </c>
      <c r="K7234" s="3" t="s">
        <v>150</v>
      </c>
    </row>
    <row r="7235" spans="1:11" ht="42" customHeight="1">
      <c r="A7235" s="2" t="s">
        <v>18518</v>
      </c>
      <c r="B7235" s="2" t="s">
        <v>18519</v>
      </c>
      <c r="C7235" s="2" t="s">
        <v>26</v>
      </c>
      <c r="D7235" s="2" t="s">
        <v>141</v>
      </c>
      <c r="E7235" s="4">
        <v>-32249</v>
      </c>
      <c r="F7235" s="3" t="s">
        <v>743</v>
      </c>
      <c r="G7235" s="3" t="s">
        <v>1021</v>
      </c>
      <c r="H7235" s="2" t="s">
        <v>148</v>
      </c>
      <c r="I7235" s="2" t="s">
        <v>18520</v>
      </c>
      <c r="J7235" s="3" t="str">
        <f>HYPERLINK("https://www.boe.es/gazeta/dias/1811/09/14/pdfs/GMD-C-1811-257.pdf#page=2","Abrir facsímil")</f>
        <v>Abrir facsímil</v>
      </c>
      <c r="K7235" s="3" t="s">
        <v>150</v>
      </c>
    </row>
    <row r="7236" spans="1:11" ht="42" customHeight="1">
      <c r="A7236" s="2" t="s">
        <v>18521</v>
      </c>
      <c r="B7236" s="2" t="s">
        <v>18522</v>
      </c>
      <c r="C7236" s="2" t="s">
        <v>26</v>
      </c>
      <c r="D7236" s="2" t="s">
        <v>18</v>
      </c>
      <c r="E7236" s="4">
        <v>-32172</v>
      </c>
      <c r="F7236" s="3" t="s">
        <v>300</v>
      </c>
      <c r="G7236" s="3" t="s">
        <v>305</v>
      </c>
      <c r="H7236" s="2" t="s">
        <v>148</v>
      </c>
      <c r="I7236" s="2" t="s">
        <v>18523</v>
      </c>
      <c r="J7236" s="3" t="str">
        <f>HYPERLINK("https://www.boe.es/gazeta/dias/1811/11/30/pdfs/GMD-1811-334.pdf#page=3","Abrir facsímil")</f>
        <v>Abrir facsímil</v>
      </c>
      <c r="K7236" s="3" t="s">
        <v>150</v>
      </c>
    </row>
    <row r="7237" spans="1:11" ht="42" customHeight="1">
      <c r="A7237" s="2" t="s">
        <v>18524</v>
      </c>
      <c r="B7237" s="2" t="s">
        <v>18525</v>
      </c>
      <c r="C7237" s="2" t="s">
        <v>26</v>
      </c>
      <c r="D7237" s="2" t="s">
        <v>18</v>
      </c>
      <c r="E7237" s="4">
        <v>-32172</v>
      </c>
      <c r="F7237" s="3" t="s">
        <v>300</v>
      </c>
      <c r="G7237" s="3" t="s">
        <v>305</v>
      </c>
      <c r="H7237" s="2" t="s">
        <v>148</v>
      </c>
      <c r="I7237" s="2" t="s">
        <v>18526</v>
      </c>
      <c r="J7237" s="3" t="str">
        <f>HYPERLINK("https://www.boe.es/gazeta/dias/1811/11/30/pdfs/GMD-1811-334.pdf#page=3","Abrir facsímil")</f>
        <v>Abrir facsímil</v>
      </c>
      <c r="K7237" s="3" t="s">
        <v>150</v>
      </c>
    </row>
    <row r="7238" spans="1:11" ht="42" customHeight="1">
      <c r="A7238" s="2" t="s">
        <v>18527</v>
      </c>
      <c r="B7238" s="2" t="s">
        <v>18528</v>
      </c>
      <c r="C7238" s="2" t="s">
        <v>84</v>
      </c>
      <c r="D7238" s="2" t="s">
        <v>18</v>
      </c>
      <c r="E7238" s="4">
        <v>-32394</v>
      </c>
      <c r="F7238" s="3" t="s">
        <v>1709</v>
      </c>
      <c r="G7238" s="3" t="s">
        <v>115</v>
      </c>
      <c r="H7238" s="2" t="s">
        <v>148</v>
      </c>
      <c r="I7238" s="2" t="s">
        <v>18529</v>
      </c>
      <c r="J7238" s="3" t="str">
        <f>HYPERLINK("https://www.boe.es/gazeta/dias/1811/04/22/pdfs/GMD-1811-112.pdf#page=3","Abrir facsímil")</f>
        <v>Abrir facsímil</v>
      </c>
      <c r="K7238" s="3" t="s">
        <v>150</v>
      </c>
    </row>
    <row r="7239" spans="1:11" ht="42" customHeight="1">
      <c r="A7239" s="2" t="s">
        <v>18530</v>
      </c>
      <c r="B7239" s="2" t="s">
        <v>18530</v>
      </c>
      <c r="C7239" s="2" t="s">
        <v>17</v>
      </c>
      <c r="D7239" s="2" t="s">
        <v>18</v>
      </c>
      <c r="E7239" s="4">
        <v>-32494</v>
      </c>
      <c r="F7239" s="3" t="s">
        <v>585</v>
      </c>
      <c r="G7239" s="3" t="s">
        <v>6444</v>
      </c>
      <c r="H7239" s="2" t="s">
        <v>148</v>
      </c>
      <c r="I7239" s="2" t="s">
        <v>18531</v>
      </c>
      <c r="J7239" s="3" t="str">
        <f>HYPERLINK("https://www.boe.es/gazeta/dias/1811/01/12/pdfs/GMD-1811-12.pdf#page=1","Abrir facsímil")</f>
        <v>Abrir facsímil</v>
      </c>
      <c r="K7239" s="3" t="s">
        <v>150</v>
      </c>
    </row>
    <row r="7240" spans="1:11" ht="42" customHeight="1">
      <c r="A7240" s="2" t="s">
        <v>18532</v>
      </c>
      <c r="B7240" s="2" t="s">
        <v>18532</v>
      </c>
      <c r="C7240" s="2" t="s">
        <v>17</v>
      </c>
      <c r="D7240" s="2" t="s">
        <v>18</v>
      </c>
      <c r="E7240" s="4">
        <v>-32470</v>
      </c>
      <c r="F7240" s="3" t="s">
        <v>1432</v>
      </c>
      <c r="G7240" s="3" t="s">
        <v>9767</v>
      </c>
      <c r="H7240" s="2" t="s">
        <v>148</v>
      </c>
      <c r="I7240" s="2" t="s">
        <v>18533</v>
      </c>
      <c r="J7240" s="3" t="str">
        <f>HYPERLINK("https://www.boe.es/gazeta/dias/1811/02/05/pdfs/GEI-1811-16.pdf#page=6","Abrir facsímil")</f>
        <v>Abrir facsímil</v>
      </c>
      <c r="K7240" s="3" t="s">
        <v>150</v>
      </c>
    </row>
    <row r="7241" spans="1:11" ht="42" customHeight="1">
      <c r="A7241" s="2" t="s">
        <v>18534</v>
      </c>
      <c r="B7241" s="2" t="s">
        <v>18534</v>
      </c>
      <c r="C7241" s="2" t="s">
        <v>84</v>
      </c>
      <c r="D7241" s="2" t="s">
        <v>18</v>
      </c>
      <c r="E7241" s="4">
        <v>-32290</v>
      </c>
      <c r="F7241" s="3" t="s">
        <v>6678</v>
      </c>
      <c r="G7241" s="3" t="s">
        <v>468</v>
      </c>
      <c r="H7241" s="2" t="s">
        <v>148</v>
      </c>
      <c r="I7241" s="2" t="s">
        <v>18535</v>
      </c>
      <c r="J7241" s="3" t="str">
        <f>HYPERLINK("https://www.boe.es/gazeta/dias/1811/08/04/pdfs/GMD-1811-216.pdf#page=4","Abrir facsímil")</f>
        <v>Abrir facsímil</v>
      </c>
      <c r="K7241" s="3" t="s">
        <v>150</v>
      </c>
    </row>
    <row r="7242" spans="1:11" ht="42" customHeight="1">
      <c r="A7242" s="2" t="s">
        <v>18536</v>
      </c>
      <c r="B7242" s="2" t="s">
        <v>18536</v>
      </c>
      <c r="C7242" s="2" t="s">
        <v>17</v>
      </c>
      <c r="D7242" s="2" t="s">
        <v>156</v>
      </c>
      <c r="E7242" s="4">
        <v>-32223</v>
      </c>
      <c r="F7242" s="3" t="s">
        <v>5139</v>
      </c>
      <c r="G7242" s="3" t="s">
        <v>178</v>
      </c>
      <c r="H7242" s="2" t="s">
        <v>148</v>
      </c>
      <c r="I7242" s="2" t="s">
        <v>18537</v>
      </c>
      <c r="J7242" s="3" t="str">
        <f>HYPERLINK("https://www.boe.es/gazeta/dias/1811/10/10/pdfs/GMD-1811-283.pdf#page=4","Abrir facsímil")</f>
        <v>Abrir facsímil</v>
      </c>
      <c r="K7242" s="3" t="s">
        <v>150</v>
      </c>
    </row>
    <row r="7243" spans="1:11" ht="42" customHeight="1">
      <c r="A7243" s="2" t="s">
        <v>18538</v>
      </c>
      <c r="B7243" s="2" t="s">
        <v>18538</v>
      </c>
      <c r="C7243" s="2" t="s">
        <v>17</v>
      </c>
      <c r="D7243" s="2" t="s">
        <v>204</v>
      </c>
      <c r="E7243" s="4">
        <v>-32354</v>
      </c>
      <c r="F7243" s="3" t="s">
        <v>2914</v>
      </c>
      <c r="G7243" s="3" t="s">
        <v>468</v>
      </c>
      <c r="H7243" s="2" t="s">
        <v>148</v>
      </c>
      <c r="I7243" s="2" t="s">
        <v>18539</v>
      </c>
      <c r="J7243" s="3" t="str">
        <f>HYPERLINK("https://www.boe.es/gazeta/dias/1811/06/01/pdfs/GEI-1811-74.pdf#page=8","Abrir facsímil")</f>
        <v>Abrir facsímil</v>
      </c>
      <c r="K7243" s="3" t="s">
        <v>150</v>
      </c>
    </row>
    <row r="7244" spans="1:11" ht="42" customHeight="1">
      <c r="A7244" s="2" t="s">
        <v>18540</v>
      </c>
      <c r="B7244" s="2" t="s">
        <v>18541</v>
      </c>
      <c r="C7244" s="2" t="s">
        <v>26</v>
      </c>
      <c r="D7244" s="2" t="s">
        <v>18</v>
      </c>
      <c r="E7244" s="4">
        <v>-32384</v>
      </c>
      <c r="F7244" s="3" t="s">
        <v>338</v>
      </c>
      <c r="G7244" s="3" t="s">
        <v>339</v>
      </c>
      <c r="H7244" s="2" t="s">
        <v>21</v>
      </c>
      <c r="I7244" s="2" t="s">
        <v>18542</v>
      </c>
      <c r="J7244" s="3" t="str">
        <f>HYPERLINK("https://www.boe.es/gazeta/dias/1811/05/02/pdfs/GEI-1811-58.pdf#page=8","Abrir facsímil")</f>
        <v>Abrir facsímil</v>
      </c>
      <c r="K7244" s="3" t="s">
        <v>23</v>
      </c>
    </row>
    <row r="7245" spans="1:11" ht="42" customHeight="1">
      <c r="A7245" s="2" t="s">
        <v>18543</v>
      </c>
      <c r="B7245" s="2" t="s">
        <v>18544</v>
      </c>
      <c r="C7245" s="2" t="s">
        <v>26</v>
      </c>
      <c r="D7245" s="2" t="s">
        <v>141</v>
      </c>
      <c r="E7245" s="4">
        <v>-32249</v>
      </c>
      <c r="F7245" s="3" t="s">
        <v>743</v>
      </c>
      <c r="G7245" s="3" t="s">
        <v>1021</v>
      </c>
      <c r="H7245" s="2" t="s">
        <v>148</v>
      </c>
      <c r="I7245" s="2" t="s">
        <v>18545</v>
      </c>
      <c r="J7245" s="3" t="str">
        <f>HYPERLINK("https://www.boe.es/gazeta/dias/1811/09/14/pdfs/GMD-C-1811-257.pdf#page=2","Abrir facsímil")</f>
        <v>Abrir facsímil</v>
      </c>
      <c r="K7245" s="3" t="s">
        <v>150</v>
      </c>
    </row>
    <row r="7246" spans="1:11" ht="42" customHeight="1">
      <c r="A7246" s="2" t="s">
        <v>18546</v>
      </c>
      <c r="B7246" s="2" t="s">
        <v>18547</v>
      </c>
      <c r="C7246" s="2" t="s">
        <v>26</v>
      </c>
      <c r="D7246" s="2" t="s">
        <v>18</v>
      </c>
      <c r="E7246" s="4">
        <v>-32257</v>
      </c>
      <c r="F7246" s="3" t="s">
        <v>1093</v>
      </c>
      <c r="G7246" s="3" t="s">
        <v>183</v>
      </c>
      <c r="H7246" s="2" t="s">
        <v>148</v>
      </c>
      <c r="I7246" s="2" t="s">
        <v>18548</v>
      </c>
      <c r="J7246" s="3" t="str">
        <f>HYPERLINK("https://www.boe.es/gazeta/dias/1811/09/06/pdfs/GMD-1811-249.pdf#page=4","Abrir facsímil")</f>
        <v>Abrir facsímil</v>
      </c>
      <c r="K7246" s="3" t="s">
        <v>150</v>
      </c>
    </row>
    <row r="7247" spans="1:11" ht="42" customHeight="1">
      <c r="A7247" s="2" t="s">
        <v>18549</v>
      </c>
      <c r="B7247" s="2" t="s">
        <v>18549</v>
      </c>
      <c r="C7247" s="2" t="s">
        <v>17</v>
      </c>
      <c r="D7247" s="2" t="s">
        <v>156</v>
      </c>
      <c r="E7247" s="4">
        <v>-32379</v>
      </c>
      <c r="F7247" s="3" t="s">
        <v>462</v>
      </c>
      <c r="G7247" s="3" t="s">
        <v>2737</v>
      </c>
      <c r="H7247" s="2" t="s">
        <v>148</v>
      </c>
      <c r="I7247" s="2" t="s">
        <v>18550</v>
      </c>
      <c r="J7247" s="3" t="str">
        <f>HYPERLINK("https://www.boe.es/gazeta/dias/1811/05/07/pdfs/GEI-1811-60.pdf#page=7","Abrir facsímil")</f>
        <v>Abrir facsímil</v>
      </c>
      <c r="K7247" s="3" t="s">
        <v>150</v>
      </c>
    </row>
    <row r="7248" spans="1:11" ht="42" customHeight="1">
      <c r="A7248" s="2" t="s">
        <v>18549</v>
      </c>
      <c r="B7248" s="2" t="s">
        <v>18549</v>
      </c>
      <c r="C7248" s="2" t="s">
        <v>17</v>
      </c>
      <c r="D7248" s="2" t="s">
        <v>156</v>
      </c>
      <c r="E7248" s="4">
        <v>-32162</v>
      </c>
      <c r="F7248" s="3" t="s">
        <v>317</v>
      </c>
      <c r="G7248" s="3" t="s">
        <v>2069</v>
      </c>
      <c r="H7248" s="2" t="s">
        <v>148</v>
      </c>
      <c r="I7248" s="2" t="s">
        <v>18551</v>
      </c>
      <c r="J7248" s="3" t="str">
        <f>HYPERLINK("https://www.boe.es/gazeta/dias/1811/12/10/pdfs/GEI-1811-160.pdf#page=5","Abrir facsímil")</f>
        <v>Abrir facsímil</v>
      </c>
      <c r="K7248" s="3" t="s">
        <v>150</v>
      </c>
    </row>
    <row r="7249" spans="1:11" ht="42" customHeight="1">
      <c r="A7249" s="2" t="s">
        <v>18552</v>
      </c>
      <c r="B7249" s="2" t="s">
        <v>18553</v>
      </c>
      <c r="C7249" s="2" t="s">
        <v>17</v>
      </c>
      <c r="D7249" s="2" t="s">
        <v>18</v>
      </c>
      <c r="E7249" s="4">
        <v>-32340</v>
      </c>
      <c r="F7249" s="3" t="s">
        <v>565</v>
      </c>
      <c r="G7249" s="3" t="s">
        <v>1489</v>
      </c>
      <c r="H7249" s="2" t="s">
        <v>148</v>
      </c>
      <c r="I7249" s="2" t="s">
        <v>18554</v>
      </c>
      <c r="J7249" s="3" t="str">
        <f>HYPERLINK("https://www.boe.es/gazeta/dias/1811/06/15/pdfs/GEI-1811-80.pdf#page=4","Abrir facsímil")</f>
        <v>Abrir facsímil</v>
      </c>
      <c r="K7249" s="3" t="s">
        <v>150</v>
      </c>
    </row>
    <row r="7250" spans="1:11" ht="42" customHeight="1">
      <c r="A7250" s="2" t="s">
        <v>18555</v>
      </c>
      <c r="B7250" s="2" t="s">
        <v>18556</v>
      </c>
      <c r="C7250" s="2" t="s">
        <v>17</v>
      </c>
      <c r="D7250" s="2" t="s">
        <v>156</v>
      </c>
      <c r="E7250" s="4">
        <v>-32291</v>
      </c>
      <c r="F7250" s="3" t="s">
        <v>712</v>
      </c>
      <c r="G7250" s="3" t="s">
        <v>1722</v>
      </c>
      <c r="H7250" s="2" t="s">
        <v>148</v>
      </c>
      <c r="I7250" s="2" t="s">
        <v>18557</v>
      </c>
      <c r="J7250" s="3" t="str">
        <f>HYPERLINK("https://www.boe.es/gazeta/dias/1811/08/03/pdfs/GEI-1811-101.pdf#page=8","Abrir facsímil")</f>
        <v>Abrir facsímil</v>
      </c>
      <c r="K7250" s="3" t="s">
        <v>150</v>
      </c>
    </row>
    <row r="7251" spans="1:11" ht="42" customHeight="1">
      <c r="A7251" s="2" t="s">
        <v>18558</v>
      </c>
      <c r="B7251" s="2" t="s">
        <v>18559</v>
      </c>
      <c r="C7251" s="2" t="s">
        <v>841</v>
      </c>
      <c r="D7251" s="2" t="s">
        <v>18</v>
      </c>
      <c r="E7251" s="4">
        <v>-32162</v>
      </c>
      <c r="F7251" s="3" t="s">
        <v>317</v>
      </c>
      <c r="G7251" s="3" t="s">
        <v>318</v>
      </c>
      <c r="H7251" s="2" t="s">
        <v>148</v>
      </c>
      <c r="I7251" s="2" t="s">
        <v>18560</v>
      </c>
      <c r="J7251" s="3" t="str">
        <f>HYPERLINK("https://www.boe.es/gazeta/dias/1811/12/10/pdfs/GEI-1811-160.pdf#page=8","Abrir facsímil")</f>
        <v>Abrir facsímil</v>
      </c>
      <c r="K7251" s="3" t="s">
        <v>150</v>
      </c>
    </row>
    <row r="7252" spans="1:11" ht="42" customHeight="1">
      <c r="A7252" s="2" t="s">
        <v>18561</v>
      </c>
      <c r="B7252" s="2" t="s">
        <v>18562</v>
      </c>
      <c r="C7252" s="2" t="s">
        <v>26</v>
      </c>
      <c r="D7252" s="2" t="s">
        <v>18</v>
      </c>
      <c r="E7252" s="4">
        <v>-32393</v>
      </c>
      <c r="F7252" s="3" t="s">
        <v>32</v>
      </c>
      <c r="G7252" s="3" t="s">
        <v>360</v>
      </c>
      <c r="H7252" s="2" t="s">
        <v>148</v>
      </c>
      <c r="I7252" s="2" t="s">
        <v>18563</v>
      </c>
      <c r="J7252" s="3" t="str">
        <f>HYPERLINK("https://www.boe.es/gazeta/dias/1811/04/23/pdfs/GEI-1811-54.pdf#page=7","Abrir facsímil")</f>
        <v>Abrir facsímil</v>
      </c>
      <c r="K7252" s="3" t="s">
        <v>150</v>
      </c>
    </row>
    <row r="7253" spans="1:11" ht="42" customHeight="1">
      <c r="A7253" s="2" t="s">
        <v>18564</v>
      </c>
      <c r="B7253" s="2" t="s">
        <v>18565</v>
      </c>
      <c r="C7253" s="2" t="s">
        <v>26</v>
      </c>
      <c r="D7253" s="2" t="s">
        <v>18</v>
      </c>
      <c r="E7253" s="4">
        <v>-32200</v>
      </c>
      <c r="F7253" s="3" t="s">
        <v>109</v>
      </c>
      <c r="G7253" s="3" t="s">
        <v>268</v>
      </c>
      <c r="H7253" s="2" t="s">
        <v>148</v>
      </c>
      <c r="I7253" s="2" t="s">
        <v>18566</v>
      </c>
      <c r="J7253" s="3" t="str">
        <f>HYPERLINK("https://www.boe.es/gazeta/dias/1811/11/02/pdfs/GEI-1811-141.pdf#page=7","Abrir facsímil")</f>
        <v>Abrir facsímil</v>
      </c>
      <c r="K7253" s="3" t="s">
        <v>150</v>
      </c>
    </row>
    <row r="7254" spans="1:11" ht="42" customHeight="1">
      <c r="A7254" s="2" t="s">
        <v>18567</v>
      </c>
      <c r="B7254" s="2" t="s">
        <v>18568</v>
      </c>
      <c r="C7254" s="2" t="s">
        <v>66</v>
      </c>
      <c r="D7254" s="2" t="s">
        <v>18</v>
      </c>
      <c r="E7254" s="4">
        <v>-32200</v>
      </c>
      <c r="F7254" s="3" t="s">
        <v>109</v>
      </c>
      <c r="G7254" s="3" t="s">
        <v>586</v>
      </c>
      <c r="H7254" s="2" t="s">
        <v>148</v>
      </c>
      <c r="I7254" s="2" t="s">
        <v>18569</v>
      </c>
      <c r="J7254" s="3" t="str">
        <f>HYPERLINK("https://www.boe.es/gazeta/dias/1811/11/02/pdfs/GEI-1811-141.pdf#page=8","Abrir facsímil")</f>
        <v>Abrir facsímil</v>
      </c>
      <c r="K7254" s="3" t="s">
        <v>150</v>
      </c>
    </row>
    <row r="7255" spans="1:11" ht="42" customHeight="1">
      <c r="A7255" s="2" t="s">
        <v>18570</v>
      </c>
      <c r="B7255" s="2" t="s">
        <v>18570</v>
      </c>
      <c r="C7255" s="2" t="s">
        <v>17</v>
      </c>
      <c r="D7255" s="2" t="s">
        <v>18</v>
      </c>
      <c r="E7255" s="4">
        <v>-32370</v>
      </c>
      <c r="F7255" s="3" t="s">
        <v>146</v>
      </c>
      <c r="G7255" s="3" t="s">
        <v>18224</v>
      </c>
      <c r="H7255" s="2" t="s">
        <v>148</v>
      </c>
      <c r="I7255" s="2" t="s">
        <v>18571</v>
      </c>
      <c r="J7255" s="3" t="str">
        <f>HYPERLINK("https://www.boe.es/gazeta/dias/1811/05/16/pdfs/GEI-1811-64.pdf#page=3","Abrir facsímil")</f>
        <v>Abrir facsímil</v>
      </c>
      <c r="K7255" s="3" t="s">
        <v>150</v>
      </c>
    </row>
    <row r="7256" spans="1:11" ht="42" customHeight="1">
      <c r="A7256" s="2" t="s">
        <v>18570</v>
      </c>
      <c r="B7256" s="2" t="s">
        <v>18570</v>
      </c>
      <c r="C7256" s="2" t="s">
        <v>17</v>
      </c>
      <c r="D7256" s="2" t="s">
        <v>18</v>
      </c>
      <c r="E7256" s="4">
        <v>-32246</v>
      </c>
      <c r="F7256" s="3" t="s">
        <v>19</v>
      </c>
      <c r="G7256" s="3" t="s">
        <v>2916</v>
      </c>
      <c r="H7256" s="2" t="s">
        <v>148</v>
      </c>
      <c r="I7256" s="2" t="s">
        <v>18572</v>
      </c>
      <c r="J7256" s="3" t="str">
        <f>HYPERLINK("https://www.boe.es/gazeta/dias/1811/09/17/pdfs/GEI-1811-120.pdf#page=2","Abrir facsímil")</f>
        <v>Abrir facsímil</v>
      </c>
      <c r="K7256" s="3" t="s">
        <v>150</v>
      </c>
    </row>
    <row r="7257" spans="1:11" ht="42" customHeight="1">
      <c r="A7257" s="2" t="s">
        <v>18573</v>
      </c>
      <c r="B7257" s="2" t="s">
        <v>18574</v>
      </c>
      <c r="C7257" s="2" t="s">
        <v>37</v>
      </c>
      <c r="D7257" s="2" t="s">
        <v>156</v>
      </c>
      <c r="E7257" s="4">
        <v>-32491</v>
      </c>
      <c r="F7257" s="3" t="s">
        <v>533</v>
      </c>
      <c r="G7257" s="3" t="s">
        <v>256</v>
      </c>
      <c r="H7257" s="2" t="s">
        <v>148</v>
      </c>
      <c r="I7257" s="2" t="s">
        <v>18575</v>
      </c>
      <c r="J7257" s="3" t="str">
        <f>HYPERLINK("https://www.boe.es/gazeta/dias/1811/01/15/pdfs/GEI-1811-7.pdf#page=7","Abrir facsímil")</f>
        <v>Abrir facsímil</v>
      </c>
      <c r="K7257" s="3" t="s">
        <v>150</v>
      </c>
    </row>
    <row r="7258" spans="1:11" ht="42" customHeight="1">
      <c r="A7258" s="2" t="s">
        <v>18576</v>
      </c>
      <c r="B7258" s="2" t="s">
        <v>18576</v>
      </c>
      <c r="C7258" s="2" t="s">
        <v>104</v>
      </c>
      <c r="D7258" s="2" t="s">
        <v>18</v>
      </c>
      <c r="E7258" s="4">
        <v>-32365</v>
      </c>
      <c r="F7258" s="3" t="s">
        <v>119</v>
      </c>
      <c r="G7258" s="3" t="s">
        <v>91</v>
      </c>
      <c r="H7258" s="2" t="s">
        <v>148</v>
      </c>
      <c r="I7258" s="2" t="s">
        <v>18577</v>
      </c>
      <c r="J7258" s="3" t="str">
        <f>HYPERLINK("https://www.boe.es/gazeta/dias/1811/05/21/pdfs/GEI-1811-67.pdf#page=6","Abrir facsímil")</f>
        <v>Abrir facsímil</v>
      </c>
      <c r="K7258" s="3" t="s">
        <v>150</v>
      </c>
    </row>
    <row r="7259" spans="1:11" ht="42" customHeight="1">
      <c r="A7259" s="2" t="s">
        <v>18578</v>
      </c>
      <c r="B7259" s="2" t="s">
        <v>18579</v>
      </c>
      <c r="C7259" s="2" t="s">
        <v>104</v>
      </c>
      <c r="D7259" s="2" t="s">
        <v>528</v>
      </c>
      <c r="E7259" s="4">
        <v>-32219</v>
      </c>
      <c r="F7259" s="3" t="s">
        <v>529</v>
      </c>
      <c r="G7259" s="3" t="s">
        <v>530</v>
      </c>
      <c r="H7259" s="2" t="s">
        <v>148</v>
      </c>
      <c r="I7259" s="2" t="s">
        <v>18580</v>
      </c>
      <c r="J7259" s="3" t="str">
        <f>HYPERLINK("https://www.boe.es/gazeta/dias/1811/10/14/pdfs/GEI-1811-132E.pdf#page=4","Abrir facsímil")</f>
        <v>Abrir facsímil</v>
      </c>
      <c r="K7259" s="3" t="s">
        <v>150</v>
      </c>
    </row>
    <row r="7260" spans="1:11" ht="42" customHeight="1">
      <c r="A7260" s="2" t="s">
        <v>18581</v>
      </c>
      <c r="B7260" s="2" t="s">
        <v>18581</v>
      </c>
      <c r="C7260" s="2" t="s">
        <v>17</v>
      </c>
      <c r="D7260" s="2" t="s">
        <v>18</v>
      </c>
      <c r="E7260" s="4">
        <v>-32315</v>
      </c>
      <c r="F7260" s="3" t="s">
        <v>3189</v>
      </c>
      <c r="G7260" s="3" t="s">
        <v>468</v>
      </c>
      <c r="H7260" s="2" t="s">
        <v>148</v>
      </c>
      <c r="I7260" s="2" t="s">
        <v>18582</v>
      </c>
      <c r="J7260" s="3" t="str">
        <f>HYPERLINK("https://www.boe.es/gazeta/dias/1811/07/10/pdfs/GMD-1811-191.pdf#page=3","Abrir facsímil")</f>
        <v>Abrir facsímil</v>
      </c>
      <c r="K7260" s="3" t="s">
        <v>150</v>
      </c>
    </row>
    <row r="7261" spans="1:11" ht="42" customHeight="1">
      <c r="A7261" s="2" t="s">
        <v>18583</v>
      </c>
      <c r="B7261" s="2" t="s">
        <v>18583</v>
      </c>
      <c r="C7261" s="2" t="s">
        <v>17</v>
      </c>
      <c r="D7261" s="2" t="s">
        <v>18</v>
      </c>
      <c r="E7261" s="4">
        <v>-32396</v>
      </c>
      <c r="F7261" s="3" t="s">
        <v>2393</v>
      </c>
      <c r="G7261" s="3" t="s">
        <v>2394</v>
      </c>
      <c r="H7261" s="2" t="s">
        <v>148</v>
      </c>
      <c r="I7261" s="2" t="s">
        <v>18584</v>
      </c>
      <c r="J7261" s="3" t="str">
        <f>HYPERLINK("https://www.boe.es/gazeta/dias/1811/04/20/pdfs/GEI-1811-53.pdf#page=7","Abrir facsímil")</f>
        <v>Abrir facsímil</v>
      </c>
      <c r="K7261" s="3" t="s">
        <v>150</v>
      </c>
    </row>
    <row r="7262" spans="1:11" ht="42" customHeight="1">
      <c r="A7262" s="2" t="s">
        <v>18585</v>
      </c>
      <c r="B7262" s="2" t="s">
        <v>18585</v>
      </c>
      <c r="C7262" s="2" t="s">
        <v>17</v>
      </c>
      <c r="D7262" s="2" t="s">
        <v>156</v>
      </c>
      <c r="E7262" s="4">
        <v>-32455</v>
      </c>
      <c r="F7262" s="3" t="s">
        <v>8959</v>
      </c>
      <c r="G7262" s="3" t="s">
        <v>8960</v>
      </c>
      <c r="H7262" s="2" t="s">
        <v>148</v>
      </c>
      <c r="I7262" s="2" t="s">
        <v>18586</v>
      </c>
      <c r="J7262" s="3" t="str">
        <f>HYPERLINK("https://www.boe.es/gazeta/dias/1811/02/20/pdfs/GMD-1811-51.pdf#page=2","Abrir facsímil")</f>
        <v>Abrir facsímil</v>
      </c>
      <c r="K7262" s="3" t="s">
        <v>150</v>
      </c>
    </row>
    <row r="7263" spans="1:11" ht="42" customHeight="1">
      <c r="A7263" s="2" t="s">
        <v>18587</v>
      </c>
      <c r="B7263" s="2" t="s">
        <v>18588</v>
      </c>
      <c r="C7263" s="2" t="s">
        <v>17</v>
      </c>
      <c r="D7263" s="2" t="s">
        <v>156</v>
      </c>
      <c r="E7263" s="4">
        <v>-32293</v>
      </c>
      <c r="F7263" s="3" t="s">
        <v>3064</v>
      </c>
      <c r="G7263" s="3" t="s">
        <v>3065</v>
      </c>
      <c r="H7263" s="2" t="s">
        <v>148</v>
      </c>
      <c r="I7263" s="2" t="s">
        <v>18589</v>
      </c>
      <c r="J7263" s="3" t="str">
        <f>HYPERLINK("https://www.boe.es/gazeta/dias/1811/08/01/pdfs/GEI-1811-100.pdf#page=7","Abrir facsímil")</f>
        <v>Abrir facsímil</v>
      </c>
      <c r="K7263" s="3" t="s">
        <v>150</v>
      </c>
    </row>
    <row r="7264" spans="1:11" ht="42" customHeight="1">
      <c r="A7264" s="2" t="s">
        <v>18590</v>
      </c>
      <c r="B7264" s="2" t="s">
        <v>18591</v>
      </c>
      <c r="C7264" s="2" t="s">
        <v>17</v>
      </c>
      <c r="D7264" s="2" t="s">
        <v>18</v>
      </c>
      <c r="E7264" s="4">
        <v>-32246</v>
      </c>
      <c r="F7264" s="3" t="s">
        <v>19</v>
      </c>
      <c r="G7264" s="3" t="s">
        <v>20</v>
      </c>
      <c r="H7264" s="2" t="s">
        <v>148</v>
      </c>
      <c r="I7264" s="2" t="s">
        <v>18592</v>
      </c>
      <c r="J7264" s="3" t="str">
        <f>HYPERLINK("https://www.boe.es/gazeta/dias/1811/09/17/pdfs/GEI-1811-120.pdf#page=24","Abrir facsímil")</f>
        <v>Abrir facsímil</v>
      </c>
      <c r="K7264" s="3" t="s">
        <v>150</v>
      </c>
    </row>
    <row r="7265" spans="1:11" ht="42" customHeight="1">
      <c r="A7265" s="2" t="s">
        <v>18590</v>
      </c>
      <c r="B7265" s="2" t="s">
        <v>18591</v>
      </c>
      <c r="C7265" s="2" t="s">
        <v>26</v>
      </c>
      <c r="D7265" s="2" t="s">
        <v>18</v>
      </c>
      <c r="E7265" s="4">
        <v>-32200</v>
      </c>
      <c r="F7265" s="3" t="s">
        <v>109</v>
      </c>
      <c r="G7265" s="3" t="s">
        <v>268</v>
      </c>
      <c r="H7265" s="2" t="s">
        <v>148</v>
      </c>
      <c r="I7265" s="2" t="s">
        <v>18593</v>
      </c>
      <c r="J7265" s="3" t="str">
        <f>HYPERLINK("https://www.boe.es/gazeta/dias/1811/11/02/pdfs/GEI-1811-141.pdf#page=7","Abrir facsímil")</f>
        <v>Abrir facsímil</v>
      </c>
      <c r="K7265" s="3" t="s">
        <v>150</v>
      </c>
    </row>
    <row r="7266" spans="1:11" ht="42" customHeight="1">
      <c r="A7266" s="2" t="s">
        <v>18594</v>
      </c>
      <c r="B7266" s="2" t="s">
        <v>18595</v>
      </c>
      <c r="C7266" s="2" t="s">
        <v>17</v>
      </c>
      <c r="D7266" s="2" t="s">
        <v>18</v>
      </c>
      <c r="E7266" s="4">
        <v>-32155</v>
      </c>
      <c r="F7266" s="3" t="s">
        <v>263</v>
      </c>
      <c r="G7266" s="3" t="s">
        <v>264</v>
      </c>
      <c r="H7266" s="2" t="s">
        <v>148</v>
      </c>
      <c r="I7266" s="2" t="s">
        <v>18596</v>
      </c>
      <c r="J7266" s="3" t="str">
        <f>HYPERLINK("https://www.boe.es/gazeta/dias/1811/12/17/pdfs/GEI-1811-163.pdf#page=8","Abrir facsímil")</f>
        <v>Abrir facsímil</v>
      </c>
      <c r="K7266" s="3" t="s">
        <v>150</v>
      </c>
    </row>
    <row r="7267" spans="1:11" ht="42" customHeight="1">
      <c r="A7267" s="2" t="s">
        <v>18597</v>
      </c>
      <c r="B7267" s="2" t="s">
        <v>18598</v>
      </c>
      <c r="C7267" s="2" t="s">
        <v>26</v>
      </c>
      <c r="D7267" s="2" t="s">
        <v>18</v>
      </c>
      <c r="E7267" s="4">
        <v>-32172</v>
      </c>
      <c r="F7267" s="3" t="s">
        <v>300</v>
      </c>
      <c r="G7267" s="3" t="s">
        <v>305</v>
      </c>
      <c r="H7267" s="2" t="s">
        <v>148</v>
      </c>
      <c r="I7267" s="2" t="s">
        <v>18599</v>
      </c>
      <c r="J7267" s="3" t="str">
        <f>HYPERLINK("https://www.boe.es/gazeta/dias/1811/11/30/pdfs/GMD-1811-334.pdf#page=3","Abrir facsímil")</f>
        <v>Abrir facsímil</v>
      </c>
      <c r="K7267" s="3" t="s">
        <v>150</v>
      </c>
    </row>
    <row r="7268" spans="1:11" ht="42" customHeight="1">
      <c r="A7268" s="2" t="s">
        <v>18600</v>
      </c>
      <c r="B7268" s="2" t="s">
        <v>18600</v>
      </c>
      <c r="C7268" s="2" t="s">
        <v>17</v>
      </c>
      <c r="D7268" s="2" t="s">
        <v>18</v>
      </c>
      <c r="E7268" s="4">
        <v>-32391</v>
      </c>
      <c r="F7268" s="3" t="s">
        <v>2998</v>
      </c>
      <c r="G7268" s="3" t="s">
        <v>178</v>
      </c>
      <c r="H7268" s="2" t="s">
        <v>148</v>
      </c>
      <c r="I7268" s="2" t="s">
        <v>18601</v>
      </c>
      <c r="J7268" s="3" t="str">
        <f>HYPERLINK("https://www.boe.es/gazeta/dias/1811/04/25/pdfs/GMD-1811-115.pdf#page=3","Abrir facsímil")</f>
        <v>Abrir facsímil</v>
      </c>
      <c r="K7268" s="3" t="s">
        <v>150</v>
      </c>
    </row>
    <row r="7269" spans="1:11" ht="42" customHeight="1">
      <c r="A7269" s="2" t="s">
        <v>18602</v>
      </c>
      <c r="B7269" s="2" t="s">
        <v>18603</v>
      </c>
      <c r="C7269" s="2" t="s">
        <v>26</v>
      </c>
      <c r="D7269" s="2" t="s">
        <v>18</v>
      </c>
      <c r="E7269" s="4">
        <v>-32165</v>
      </c>
      <c r="F7269" s="3" t="s">
        <v>1462</v>
      </c>
      <c r="G7269" s="3" t="s">
        <v>1463</v>
      </c>
      <c r="H7269" s="2" t="s">
        <v>148</v>
      </c>
      <c r="I7269" s="2" t="s">
        <v>18604</v>
      </c>
      <c r="J7269" s="3" t="str">
        <f>HYPERLINK("https://www.boe.es/gazeta/dias/1811/12/07/pdfs/GMD-1811-341.pdf#page=3","Abrir facsímil")</f>
        <v>Abrir facsímil</v>
      </c>
      <c r="K7269" s="3" t="s">
        <v>150</v>
      </c>
    </row>
    <row r="7270" spans="1:11" ht="42" customHeight="1">
      <c r="A7270" s="2" t="s">
        <v>18605</v>
      </c>
      <c r="B7270" s="2" t="s">
        <v>18605</v>
      </c>
      <c r="C7270" s="2" t="s">
        <v>17</v>
      </c>
      <c r="D7270" s="2" t="s">
        <v>18</v>
      </c>
      <c r="E7270" s="4">
        <v>-32264</v>
      </c>
      <c r="F7270" s="3" t="s">
        <v>3038</v>
      </c>
      <c r="G7270" s="3" t="s">
        <v>178</v>
      </c>
      <c r="H7270" s="2" t="s">
        <v>148</v>
      </c>
      <c r="I7270" s="2" t="s">
        <v>18606</v>
      </c>
      <c r="J7270" s="3" t="str">
        <f>HYPERLINK("https://www.boe.es/gazeta/dias/1811/08/30/pdfs/GMD-1811-242.pdf#page=2","Abrir facsímil")</f>
        <v>Abrir facsímil</v>
      </c>
      <c r="K7270" s="3" t="s">
        <v>150</v>
      </c>
    </row>
    <row r="7271" spans="1:11" ht="42" customHeight="1">
      <c r="A7271" s="2" t="s">
        <v>18607</v>
      </c>
      <c r="B7271" s="2" t="s">
        <v>18607</v>
      </c>
      <c r="C7271" s="2" t="s">
        <v>17</v>
      </c>
      <c r="D7271" s="2" t="s">
        <v>204</v>
      </c>
      <c r="E7271" s="4">
        <v>-32231</v>
      </c>
      <c r="F7271" s="3" t="s">
        <v>2755</v>
      </c>
      <c r="G7271" s="3" t="s">
        <v>2799</v>
      </c>
      <c r="H7271" s="2" t="s">
        <v>148</v>
      </c>
      <c r="I7271" s="2" t="s">
        <v>18608</v>
      </c>
      <c r="J7271" s="3" t="str">
        <f>HYPERLINK("https://www.boe.es/gazeta/dias/1811/10/02/pdfs/GMD-1811-275.pdf#page=2","Abrir facsímil")</f>
        <v>Abrir facsímil</v>
      </c>
      <c r="K7271" s="3" t="s">
        <v>150</v>
      </c>
    </row>
    <row r="7272" spans="1:11" ht="42" customHeight="1">
      <c r="A7272" s="2" t="s">
        <v>18609</v>
      </c>
      <c r="B7272" s="2" t="s">
        <v>18609</v>
      </c>
      <c r="C7272" s="2" t="s">
        <v>17</v>
      </c>
      <c r="D7272" s="2" t="s">
        <v>156</v>
      </c>
      <c r="E7272" s="4">
        <v>-32242</v>
      </c>
      <c r="F7272" s="3" t="s">
        <v>3015</v>
      </c>
      <c r="G7272" s="3" t="s">
        <v>178</v>
      </c>
      <c r="H7272" s="2" t="s">
        <v>148</v>
      </c>
      <c r="I7272" s="2" t="s">
        <v>18610</v>
      </c>
      <c r="J7272" s="3" t="str">
        <f>HYPERLINK("https://www.boe.es/gazeta/dias/1811/09/21/pdfs/GMD-1811-264.pdf#page=4","Abrir facsímil")</f>
        <v>Abrir facsímil</v>
      </c>
      <c r="K7272" s="3" t="s">
        <v>150</v>
      </c>
    </row>
    <row r="7273" spans="1:11" ht="42" customHeight="1">
      <c r="A7273" s="2" t="s">
        <v>18611</v>
      </c>
      <c r="B7273" s="2" t="s">
        <v>18612</v>
      </c>
      <c r="C7273" s="2" t="s">
        <v>26</v>
      </c>
      <c r="D7273" s="2" t="s">
        <v>18</v>
      </c>
      <c r="E7273" s="4">
        <v>-32235</v>
      </c>
      <c r="F7273" s="3" t="s">
        <v>190</v>
      </c>
      <c r="G7273" s="3" t="s">
        <v>188</v>
      </c>
      <c r="H7273" s="2" t="s">
        <v>148</v>
      </c>
      <c r="I7273" s="2" t="s">
        <v>18613</v>
      </c>
      <c r="J7273" s="3" t="str">
        <f>HYPERLINK("https://www.boe.es/gazeta/dias/1811/09/28/pdfs/GEI-1811-125.pdf#page=8","Abrir facsímil")</f>
        <v>Abrir facsímil</v>
      </c>
      <c r="K7273" s="3" t="s">
        <v>150</v>
      </c>
    </row>
    <row r="7274" spans="1:11" ht="42" customHeight="1">
      <c r="A7274" s="2" t="s">
        <v>18614</v>
      </c>
      <c r="B7274" s="2" t="s">
        <v>18614</v>
      </c>
      <c r="C7274" s="2" t="s">
        <v>17</v>
      </c>
      <c r="D7274" s="2" t="s">
        <v>18</v>
      </c>
      <c r="E7274" s="4">
        <v>-32167</v>
      </c>
      <c r="F7274" s="3" t="s">
        <v>1591</v>
      </c>
      <c r="G7274" s="3" t="s">
        <v>11226</v>
      </c>
      <c r="H7274" s="2" t="s">
        <v>148</v>
      </c>
      <c r="I7274" s="2" t="s">
        <v>18615</v>
      </c>
      <c r="J7274" s="3" t="str">
        <f>HYPERLINK("https://www.boe.es/gazeta/dias/1811/12/05/pdfs/GMD-1811-339.pdf#page=2","Abrir facsímil")</f>
        <v>Abrir facsímil</v>
      </c>
      <c r="K7274" s="3" t="s">
        <v>150</v>
      </c>
    </row>
    <row r="7275" spans="1:11" ht="42" customHeight="1">
      <c r="A7275" s="2" t="s">
        <v>18616</v>
      </c>
      <c r="B7275" s="2" t="s">
        <v>18616</v>
      </c>
      <c r="C7275" s="2" t="s">
        <v>26</v>
      </c>
      <c r="D7275" s="2" t="s">
        <v>18</v>
      </c>
      <c r="E7275" s="4">
        <v>-32500</v>
      </c>
      <c r="F7275" s="3" t="s">
        <v>13322</v>
      </c>
      <c r="G7275" s="3" t="s">
        <v>18617</v>
      </c>
      <c r="H7275" s="2" t="s">
        <v>148</v>
      </c>
      <c r="I7275" s="2" t="s">
        <v>18618</v>
      </c>
      <c r="J7275" s="3" t="str">
        <f>HYPERLINK("https://www.boe.es/gazeta/dias/1811/01/06/pdfs/GMD-1811-6.pdf#page=3","Abrir facsímil")</f>
        <v>Abrir facsímil</v>
      </c>
      <c r="K7275" s="3" t="s">
        <v>150</v>
      </c>
    </row>
    <row r="7276" spans="1:11" ht="42" customHeight="1">
      <c r="A7276" s="2" t="s">
        <v>18619</v>
      </c>
      <c r="B7276" s="2" t="s">
        <v>18620</v>
      </c>
      <c r="C7276" s="2" t="s">
        <v>84</v>
      </c>
      <c r="D7276" s="2" t="s">
        <v>105</v>
      </c>
      <c r="E7276" s="4">
        <v>-32298</v>
      </c>
      <c r="F7276" s="3" t="s">
        <v>133</v>
      </c>
      <c r="G7276" s="3" t="s">
        <v>12531</v>
      </c>
      <c r="H7276" s="2" t="s">
        <v>148</v>
      </c>
      <c r="I7276" s="2" t="s">
        <v>18621</v>
      </c>
      <c r="J7276" s="3" t="str">
        <f>HYPERLINK("https://www.boe.es/gazeta/dias/1811/07/27/pdfs/GEI-1811-98.pdf#page=2","Abrir facsímil")</f>
        <v>Abrir facsímil</v>
      </c>
      <c r="K7276" s="3" t="s">
        <v>150</v>
      </c>
    </row>
    <row r="7277" spans="1:11" ht="42" customHeight="1">
      <c r="A7277" s="2" t="s">
        <v>18622</v>
      </c>
      <c r="B7277" s="2" t="s">
        <v>18623</v>
      </c>
      <c r="C7277" s="2" t="s">
        <v>26</v>
      </c>
      <c r="D7277" s="2" t="s">
        <v>141</v>
      </c>
      <c r="E7277" s="4">
        <v>-32396</v>
      </c>
      <c r="F7277" s="3" t="s">
        <v>804</v>
      </c>
      <c r="G7277" s="3" t="s">
        <v>805</v>
      </c>
      <c r="H7277" s="2" t="s">
        <v>148</v>
      </c>
      <c r="I7277" s="2" t="s">
        <v>18624</v>
      </c>
      <c r="J7277" s="3" t="str">
        <f>HYPERLINK("https://www.boe.es/gazeta/dias/1811/04/20/pdfs/GEI-D-1811-53.pdf#page=4","Abrir facsímil")</f>
        <v>Abrir facsímil</v>
      </c>
      <c r="K7277" s="3" t="s">
        <v>150</v>
      </c>
    </row>
    <row r="7278" spans="1:11" ht="42" customHeight="1">
      <c r="A7278" s="2" t="s">
        <v>18625</v>
      </c>
      <c r="B7278" s="2" t="s">
        <v>18626</v>
      </c>
      <c r="C7278" s="2" t="s">
        <v>26</v>
      </c>
      <c r="D7278" s="2" t="s">
        <v>18</v>
      </c>
      <c r="E7278" s="4">
        <v>-32379</v>
      </c>
      <c r="F7278" s="3" t="s">
        <v>462</v>
      </c>
      <c r="G7278" s="3" t="s">
        <v>228</v>
      </c>
      <c r="H7278" s="2" t="s">
        <v>148</v>
      </c>
      <c r="I7278" s="2" t="s">
        <v>18627</v>
      </c>
      <c r="J7278" s="3" t="str">
        <f>HYPERLINK("https://www.boe.es/gazeta/dias/1811/05/07/pdfs/GEI-1811-60.pdf#page=3","Abrir facsímil")</f>
        <v>Abrir facsímil</v>
      </c>
      <c r="K7278" s="3" t="s">
        <v>150</v>
      </c>
    </row>
    <row r="7279" spans="1:11" ht="42" customHeight="1">
      <c r="A7279" s="2" t="s">
        <v>18628</v>
      </c>
      <c r="B7279" s="2" t="s">
        <v>18629</v>
      </c>
      <c r="C7279" s="2" t="s">
        <v>26</v>
      </c>
      <c r="D7279" s="2" t="s">
        <v>18</v>
      </c>
      <c r="E7279" s="4">
        <v>-32379</v>
      </c>
      <c r="F7279" s="3" t="s">
        <v>462</v>
      </c>
      <c r="G7279" s="3" t="s">
        <v>463</v>
      </c>
      <c r="H7279" s="2" t="s">
        <v>148</v>
      </c>
      <c r="I7279" s="2" t="s">
        <v>18630</v>
      </c>
      <c r="J7279" s="3" t="str">
        <f>HYPERLINK("https://www.boe.es/gazeta/dias/1811/05/07/pdfs/GEI-1811-60.pdf#page=8","Abrir facsímil")</f>
        <v>Abrir facsímil</v>
      </c>
      <c r="K7279" s="3" t="s">
        <v>150</v>
      </c>
    </row>
    <row r="7280" spans="1:11" ht="42" customHeight="1">
      <c r="A7280" s="2" t="s">
        <v>18631</v>
      </c>
      <c r="B7280" s="2" t="s">
        <v>18632</v>
      </c>
      <c r="C7280" s="2" t="s">
        <v>26</v>
      </c>
      <c r="D7280" s="2" t="s">
        <v>18</v>
      </c>
      <c r="E7280" s="4">
        <v>-32286</v>
      </c>
      <c r="F7280" s="3" t="s">
        <v>754</v>
      </c>
      <c r="G7280" s="3" t="s">
        <v>1728</v>
      </c>
      <c r="H7280" s="2" t="s">
        <v>148</v>
      </c>
      <c r="I7280" s="2" t="s">
        <v>18633</v>
      </c>
      <c r="J7280" s="3" t="str">
        <f>HYPERLINK("https://www.boe.es/gazeta/dias/1811/08/08/pdfs/GEI-1811-103.pdf#page=8","Abrir facsímil")</f>
        <v>Abrir facsímil</v>
      </c>
      <c r="K7280" s="3" t="s">
        <v>150</v>
      </c>
    </row>
    <row r="7281" spans="1:11" ht="42" customHeight="1">
      <c r="A7281" s="2" t="s">
        <v>18634</v>
      </c>
      <c r="B7281" s="2" t="s">
        <v>18635</v>
      </c>
      <c r="C7281" s="2" t="s">
        <v>26</v>
      </c>
      <c r="D7281" s="2" t="s">
        <v>18</v>
      </c>
      <c r="E7281" s="4">
        <v>-32291</v>
      </c>
      <c r="F7281" s="3" t="s">
        <v>712</v>
      </c>
      <c r="G7281" s="3" t="s">
        <v>713</v>
      </c>
      <c r="H7281" s="2" t="s">
        <v>148</v>
      </c>
      <c r="I7281" s="2" t="s">
        <v>18636</v>
      </c>
      <c r="J7281" s="3" t="str">
        <f>HYPERLINK("https://www.boe.es/gazeta/dias/1811/08/03/pdfs/GEI-1811-101.pdf#page=6","Abrir facsímil")</f>
        <v>Abrir facsímil</v>
      </c>
      <c r="K7281" s="3" t="s">
        <v>150</v>
      </c>
    </row>
    <row r="7282" spans="1:11" ht="42" customHeight="1">
      <c r="A7282" s="2" t="s">
        <v>18637</v>
      </c>
      <c r="B7282" s="2" t="s">
        <v>18638</v>
      </c>
      <c r="C7282" s="2" t="s">
        <v>26</v>
      </c>
      <c r="D7282" s="2" t="s">
        <v>18</v>
      </c>
      <c r="E7282" s="4">
        <v>-32188</v>
      </c>
      <c r="F7282" s="3" t="s">
        <v>356</v>
      </c>
      <c r="G7282" s="3" t="s">
        <v>248</v>
      </c>
      <c r="H7282" s="2" t="s">
        <v>148</v>
      </c>
      <c r="I7282" s="2" t="s">
        <v>18639</v>
      </c>
      <c r="J7282" s="3" t="str">
        <f>HYPERLINK("https://www.boe.es/gazeta/dias/1811/11/14/pdfs/GMD-1811-318.pdf#page=5","Abrir facsímil")</f>
        <v>Abrir facsímil</v>
      </c>
      <c r="K7282" s="3" t="s">
        <v>150</v>
      </c>
    </row>
    <row r="7283" spans="1:11" ht="42" customHeight="1">
      <c r="A7283" s="2" t="s">
        <v>18640</v>
      </c>
      <c r="B7283" s="2" t="s">
        <v>18641</v>
      </c>
      <c r="C7283" s="2" t="s">
        <v>26</v>
      </c>
      <c r="D7283" s="2" t="s">
        <v>141</v>
      </c>
      <c r="E7283" s="4">
        <v>-32249</v>
      </c>
      <c r="F7283" s="3" t="s">
        <v>743</v>
      </c>
      <c r="G7283" s="3" t="s">
        <v>468</v>
      </c>
      <c r="H7283" s="2" t="s">
        <v>148</v>
      </c>
      <c r="I7283" s="2" t="s">
        <v>18642</v>
      </c>
      <c r="J7283" s="3" t="str">
        <f>HYPERLINK("https://www.boe.es/gazeta/dias/1811/09/14/pdfs/GMD-C-1811-257.pdf#page=1","Abrir facsímil")</f>
        <v>Abrir facsímil</v>
      </c>
      <c r="K7283" s="3" t="s">
        <v>150</v>
      </c>
    </row>
    <row r="7284" spans="1:11" ht="42" customHeight="1">
      <c r="A7284" s="2" t="s">
        <v>18643</v>
      </c>
      <c r="B7284" s="2" t="s">
        <v>18644</v>
      </c>
      <c r="C7284" s="2" t="s">
        <v>26</v>
      </c>
      <c r="D7284" s="2" t="s">
        <v>18</v>
      </c>
      <c r="E7284" s="4">
        <v>-32459</v>
      </c>
      <c r="F7284" s="3" t="s">
        <v>1034</v>
      </c>
      <c r="G7284" s="3" t="s">
        <v>2668</v>
      </c>
      <c r="H7284" s="2" t="s">
        <v>148</v>
      </c>
      <c r="I7284" s="2" t="s">
        <v>18645</v>
      </c>
      <c r="J7284" s="3" t="str">
        <f>HYPERLINK("https://www.boe.es/gazeta/dias/1811/02/16/pdfs/GEI-1811-21.pdf#page=5","Abrir facsímil")</f>
        <v>Abrir facsímil</v>
      </c>
      <c r="K7284" s="3" t="s">
        <v>150</v>
      </c>
    </row>
    <row r="7285" spans="1:11" ht="42" customHeight="1">
      <c r="A7285" s="2" t="s">
        <v>18646</v>
      </c>
      <c r="B7285" s="2" t="s">
        <v>18646</v>
      </c>
      <c r="C7285" s="2" t="s">
        <v>17</v>
      </c>
      <c r="D7285" s="2" t="s">
        <v>156</v>
      </c>
      <c r="E7285" s="4">
        <v>-32253</v>
      </c>
      <c r="F7285" s="3" t="s">
        <v>581</v>
      </c>
      <c r="G7285" s="3" t="s">
        <v>248</v>
      </c>
      <c r="H7285" s="2" t="s">
        <v>148</v>
      </c>
      <c r="I7285" s="2" t="s">
        <v>18647</v>
      </c>
      <c r="J7285" s="3" t="str">
        <f>HYPERLINK("https://www.boe.es/gazeta/dias/1811/09/10/pdfs/GEI-1811-117.pdf#page=5","Abrir facsímil")</f>
        <v>Abrir facsímil</v>
      </c>
      <c r="K7285" s="3" t="s">
        <v>150</v>
      </c>
    </row>
    <row r="7286" spans="1:11" ht="42" customHeight="1">
      <c r="A7286" s="2" t="s">
        <v>18648</v>
      </c>
      <c r="B7286" s="2" t="s">
        <v>18648</v>
      </c>
      <c r="C7286" s="2" t="s">
        <v>17</v>
      </c>
      <c r="D7286" s="2" t="s">
        <v>105</v>
      </c>
      <c r="E7286" s="4">
        <v>-32149</v>
      </c>
      <c r="F7286" s="3" t="s">
        <v>2292</v>
      </c>
      <c r="G7286" s="3" t="s">
        <v>183</v>
      </c>
      <c r="H7286" s="2" t="s">
        <v>148</v>
      </c>
      <c r="I7286" s="2" t="s">
        <v>18649</v>
      </c>
      <c r="J7286" s="3" t="str">
        <f>HYPERLINK("https://www.boe.es/gazeta/dias/1811/12/23/pdfs/GMD-1811-357.pdf#page=4","Abrir facsímil")</f>
        <v>Abrir facsímil</v>
      </c>
      <c r="K7286" s="3" t="s">
        <v>150</v>
      </c>
    </row>
    <row r="7287" spans="1:11" ht="42" customHeight="1">
      <c r="A7287" s="2" t="s">
        <v>18650</v>
      </c>
      <c r="B7287" s="2" t="s">
        <v>18651</v>
      </c>
      <c r="C7287" s="2" t="s">
        <v>26</v>
      </c>
      <c r="D7287" s="2" t="s">
        <v>18</v>
      </c>
      <c r="E7287" s="4">
        <v>-32447</v>
      </c>
      <c r="F7287" s="3" t="s">
        <v>665</v>
      </c>
      <c r="G7287" s="3" t="s">
        <v>57</v>
      </c>
      <c r="H7287" s="2" t="s">
        <v>148</v>
      </c>
      <c r="I7287" s="2" t="s">
        <v>18652</v>
      </c>
      <c r="J7287" s="3" t="str">
        <f>HYPERLINK("https://www.boe.es/gazeta/dias/1811/02/28/pdfs/GMD-1811-59.pdf#page=2","Abrir facsímil")</f>
        <v>Abrir facsímil</v>
      </c>
      <c r="K7287" s="3" t="s">
        <v>150</v>
      </c>
    </row>
    <row r="7288" spans="1:11" ht="42" customHeight="1">
      <c r="A7288" s="2" t="s">
        <v>18653</v>
      </c>
      <c r="B7288" s="2" t="s">
        <v>18653</v>
      </c>
      <c r="C7288" s="2" t="s">
        <v>17</v>
      </c>
      <c r="D7288" s="2" t="s">
        <v>18</v>
      </c>
      <c r="E7288" s="4">
        <v>-32258</v>
      </c>
      <c r="F7288" s="3" t="s">
        <v>449</v>
      </c>
      <c r="G7288" s="3" t="s">
        <v>10060</v>
      </c>
      <c r="H7288" s="2" t="s">
        <v>148</v>
      </c>
      <c r="I7288" s="2" t="s">
        <v>18654</v>
      </c>
      <c r="J7288" s="3" t="str">
        <f>HYPERLINK("https://www.boe.es/gazeta/dias/1811/09/05/pdfs/GEI-1811-115.pdf#page=2","Abrir facsímil")</f>
        <v>Abrir facsímil</v>
      </c>
      <c r="K7288" s="3" t="s">
        <v>150</v>
      </c>
    </row>
    <row r="7289" spans="1:11" ht="42" customHeight="1">
      <c r="A7289" s="2" t="s">
        <v>18655</v>
      </c>
      <c r="B7289" s="2" t="s">
        <v>18656</v>
      </c>
      <c r="C7289" s="2" t="s">
        <v>367</v>
      </c>
      <c r="D7289" s="2" t="s">
        <v>18</v>
      </c>
      <c r="E7289" s="4">
        <v>-32232</v>
      </c>
      <c r="F7289" s="3" t="s">
        <v>1879</v>
      </c>
      <c r="G7289" s="3" t="s">
        <v>120</v>
      </c>
      <c r="H7289" s="2" t="s">
        <v>148</v>
      </c>
      <c r="I7289" s="2" t="s">
        <v>18657</v>
      </c>
      <c r="J7289" s="3" t="str">
        <f>HYPERLINK("https://www.boe.es/gazeta/dias/1811/10/01/pdfs/GMD-1811-274.pdf#page=1","Abrir facsímil")</f>
        <v>Abrir facsímil</v>
      </c>
      <c r="K7289" s="3" t="s">
        <v>150</v>
      </c>
    </row>
    <row r="7290" spans="1:11" ht="42" customHeight="1">
      <c r="A7290" s="2" t="s">
        <v>18658</v>
      </c>
      <c r="B7290" s="2" t="s">
        <v>18658</v>
      </c>
      <c r="C7290" s="2" t="s">
        <v>26</v>
      </c>
      <c r="D7290" s="2" t="s">
        <v>18</v>
      </c>
      <c r="E7290" s="4">
        <v>-32379</v>
      </c>
      <c r="F7290" s="3" t="s">
        <v>2357</v>
      </c>
      <c r="G7290" s="3" t="s">
        <v>468</v>
      </c>
      <c r="H7290" s="2" t="s">
        <v>148</v>
      </c>
      <c r="I7290" s="2" t="s">
        <v>18659</v>
      </c>
      <c r="J7290" s="3" t="str">
        <f>HYPERLINK("https://www.boe.es/gazeta/dias/1811/05/07/pdfs/GMD-1811-127.pdf#page=1","Abrir facsímil")</f>
        <v>Abrir facsímil</v>
      </c>
      <c r="K7290" s="3" t="s">
        <v>150</v>
      </c>
    </row>
    <row r="7291" spans="1:11" ht="42" customHeight="1">
      <c r="A7291" s="2" t="s">
        <v>18660</v>
      </c>
      <c r="B7291" s="2" t="s">
        <v>18661</v>
      </c>
      <c r="C7291" s="2" t="s">
        <v>26</v>
      </c>
      <c r="D7291" s="2" t="s">
        <v>141</v>
      </c>
      <c r="E7291" s="4">
        <v>-32355</v>
      </c>
      <c r="F7291" s="3" t="s">
        <v>537</v>
      </c>
      <c r="G7291" s="3" t="s">
        <v>2225</v>
      </c>
      <c r="H7291" s="2" t="s">
        <v>148</v>
      </c>
      <c r="I7291" s="2" t="s">
        <v>18662</v>
      </c>
      <c r="J7291" s="3" t="str">
        <f>HYPERLINK("https://www.boe.es/gazeta/dias/1811/05/31/pdfs/GMD-C-1811-151.pdf#page=5","Abrir facsímil")</f>
        <v>Abrir facsímil</v>
      </c>
      <c r="K7291" s="3" t="s">
        <v>150</v>
      </c>
    </row>
    <row r="7292" spans="1:11" ht="42" customHeight="1">
      <c r="A7292" s="2" t="s">
        <v>18663</v>
      </c>
      <c r="B7292" s="2" t="s">
        <v>18664</v>
      </c>
      <c r="C7292" s="2" t="s">
        <v>26</v>
      </c>
      <c r="D7292" s="2" t="s">
        <v>18</v>
      </c>
      <c r="E7292" s="4">
        <v>-32212</v>
      </c>
      <c r="F7292" s="3" t="s">
        <v>9831</v>
      </c>
      <c r="G7292" s="3" t="s">
        <v>178</v>
      </c>
      <c r="H7292" s="2" t="s">
        <v>148</v>
      </c>
      <c r="I7292" s="2" t="s">
        <v>18665</v>
      </c>
      <c r="J7292" s="3" t="str">
        <f>HYPERLINK("https://www.boe.es/gazeta/dias/1811/10/21/pdfs/GMD-1811-294.pdf#page=4","Abrir facsímil")</f>
        <v>Abrir facsímil</v>
      </c>
      <c r="K7292" s="3" t="s">
        <v>150</v>
      </c>
    </row>
    <row r="7293" spans="1:11" ht="42" customHeight="1">
      <c r="A7293" s="2" t="s">
        <v>18666</v>
      </c>
      <c r="B7293" s="2" t="s">
        <v>18667</v>
      </c>
      <c r="C7293" s="2" t="s">
        <v>17</v>
      </c>
      <c r="D7293" s="2" t="s">
        <v>156</v>
      </c>
      <c r="E7293" s="4">
        <v>-32412</v>
      </c>
      <c r="F7293" s="3" t="s">
        <v>998</v>
      </c>
      <c r="G7293" s="3" t="s">
        <v>4144</v>
      </c>
      <c r="H7293" s="2" t="s">
        <v>148</v>
      </c>
      <c r="I7293" s="2" t="s">
        <v>18668</v>
      </c>
      <c r="J7293" s="3" t="str">
        <f>HYPERLINK("https://www.boe.es/gazeta/dias/1811/04/04/pdfs/GEI-1811-46.pdf#page=2","Abrir facsímil")</f>
        <v>Abrir facsímil</v>
      </c>
      <c r="K7293" s="3" t="s">
        <v>150</v>
      </c>
    </row>
    <row r="7294" spans="1:11" ht="42" customHeight="1">
      <c r="A7294" s="2" t="s">
        <v>18669</v>
      </c>
      <c r="B7294" s="2" t="s">
        <v>18670</v>
      </c>
      <c r="C7294" s="2" t="s">
        <v>17</v>
      </c>
      <c r="D7294" s="2" t="s">
        <v>18</v>
      </c>
      <c r="E7294" s="4">
        <v>-32251</v>
      </c>
      <c r="F7294" s="3" t="s">
        <v>726</v>
      </c>
      <c r="G7294" s="3" t="s">
        <v>44</v>
      </c>
      <c r="H7294" s="2" t="s">
        <v>148</v>
      </c>
      <c r="I7294" s="2" t="s">
        <v>18671</v>
      </c>
      <c r="J7294" s="3" t="str">
        <f>HYPERLINK("https://www.boe.es/gazeta/dias/1811/09/12/pdfs/GEI-1811-118.pdf#page=7","Abrir facsímil")</f>
        <v>Abrir facsímil</v>
      </c>
      <c r="K7294" s="3" t="s">
        <v>150</v>
      </c>
    </row>
    <row r="7295" spans="1:11" ht="42" customHeight="1">
      <c r="A7295" s="2" t="s">
        <v>18672</v>
      </c>
      <c r="B7295" s="2" t="s">
        <v>18673</v>
      </c>
      <c r="C7295" s="2" t="s">
        <v>26</v>
      </c>
      <c r="D7295" s="2" t="s">
        <v>141</v>
      </c>
      <c r="E7295" s="4">
        <v>-32188</v>
      </c>
      <c r="F7295" s="3" t="s">
        <v>505</v>
      </c>
      <c r="G7295" s="3" t="s">
        <v>162</v>
      </c>
      <c r="H7295" s="2" t="s">
        <v>148</v>
      </c>
      <c r="I7295" s="2" t="s">
        <v>18674</v>
      </c>
      <c r="J7295" s="3" t="str">
        <f>HYPERLINK("https://www.boe.es/gazeta/dias/1811/11/14/pdfs/GEI-D-1811-149.pdf#page=4","Abrir facsímil")</f>
        <v>Abrir facsímil</v>
      </c>
      <c r="K7295" s="3" t="s">
        <v>150</v>
      </c>
    </row>
    <row r="7296" spans="1:11" ht="42" customHeight="1">
      <c r="A7296" s="2" t="s">
        <v>18675</v>
      </c>
      <c r="B7296" s="2" t="s">
        <v>18676</v>
      </c>
      <c r="C7296" s="2" t="s">
        <v>104</v>
      </c>
      <c r="D7296" s="2" t="s">
        <v>18</v>
      </c>
      <c r="E7296" s="4">
        <v>-32270</v>
      </c>
      <c r="F7296" s="3" t="s">
        <v>431</v>
      </c>
      <c r="G7296" s="3" t="s">
        <v>2080</v>
      </c>
      <c r="H7296" s="2" t="s">
        <v>148</v>
      </c>
      <c r="I7296" s="2" t="s">
        <v>18677</v>
      </c>
      <c r="J7296" s="3" t="str">
        <f>HYPERLINK("https://www.boe.es/gazeta/dias/1811/08/24/pdfs/GEI-1811-110.pdf#page=5","Abrir facsímil")</f>
        <v>Abrir facsímil</v>
      </c>
      <c r="K7296" s="3" t="s">
        <v>150</v>
      </c>
    </row>
    <row r="7297" spans="1:11" ht="42" customHeight="1">
      <c r="A7297" s="2" t="s">
        <v>18678</v>
      </c>
      <c r="B7297" s="2" t="s">
        <v>18678</v>
      </c>
      <c r="C7297" s="2" t="s">
        <v>17</v>
      </c>
      <c r="D7297" s="2" t="s">
        <v>18</v>
      </c>
      <c r="E7297" s="4">
        <v>-32202</v>
      </c>
      <c r="F7297" s="3" t="s">
        <v>2194</v>
      </c>
      <c r="G7297" s="3" t="s">
        <v>91</v>
      </c>
      <c r="H7297" s="2" t="s">
        <v>148</v>
      </c>
      <c r="I7297" s="2" t="s">
        <v>18679</v>
      </c>
      <c r="J7297" s="3" t="str">
        <f>HYPERLINK("https://www.boe.es/gazeta/dias/1811/10/31/pdfs/GEI-1811-140.pdf#page=5","Abrir facsímil")</f>
        <v>Abrir facsímil</v>
      </c>
      <c r="K7297" s="3" t="s">
        <v>150</v>
      </c>
    </row>
    <row r="7298" spans="1:11" ht="42" customHeight="1">
      <c r="A7298" s="2" t="s">
        <v>18680</v>
      </c>
      <c r="B7298" s="2" t="s">
        <v>18681</v>
      </c>
      <c r="C7298" s="2" t="s">
        <v>26</v>
      </c>
      <c r="D7298" s="2" t="s">
        <v>18</v>
      </c>
      <c r="E7298" s="4">
        <v>-32274</v>
      </c>
      <c r="F7298" s="3" t="s">
        <v>5081</v>
      </c>
      <c r="G7298" s="3" t="s">
        <v>178</v>
      </c>
      <c r="H7298" s="2" t="s">
        <v>148</v>
      </c>
      <c r="I7298" s="2" t="s">
        <v>18682</v>
      </c>
      <c r="J7298" s="3" t="str">
        <f>HYPERLINK("https://www.boe.es/gazeta/dias/1811/08/20/pdfs/GEI-1811-108.pdf#page=2","Abrir facsímil")</f>
        <v>Abrir facsímil</v>
      </c>
      <c r="K7298" s="3" t="s">
        <v>150</v>
      </c>
    </row>
    <row r="7299" spans="1:11" ht="42" customHeight="1">
      <c r="A7299" s="2" t="s">
        <v>18683</v>
      </c>
      <c r="B7299" s="2" t="s">
        <v>18684</v>
      </c>
      <c r="C7299" s="2" t="s">
        <v>84</v>
      </c>
      <c r="D7299" s="2" t="s">
        <v>105</v>
      </c>
      <c r="E7299" s="4">
        <v>-32503</v>
      </c>
      <c r="F7299" s="3" t="s">
        <v>487</v>
      </c>
      <c r="G7299" s="3" t="s">
        <v>1930</v>
      </c>
      <c r="H7299" s="2" t="s">
        <v>148</v>
      </c>
      <c r="I7299" s="2" t="s">
        <v>18685</v>
      </c>
      <c r="J7299" s="3" t="str">
        <f>HYPERLINK("https://www.boe.es/gazeta/dias/1811/01/03/pdfs/GEI-1811-2.pdf#page=8","Abrir facsímil")</f>
        <v>Abrir facsímil</v>
      </c>
      <c r="K7299" s="3" t="s">
        <v>150</v>
      </c>
    </row>
    <row r="7300" spans="1:11" ht="42" customHeight="1">
      <c r="A7300" s="2" t="s">
        <v>18683</v>
      </c>
      <c r="B7300" s="2" t="s">
        <v>18684</v>
      </c>
      <c r="C7300" s="2" t="s">
        <v>17</v>
      </c>
      <c r="D7300" s="2" t="s">
        <v>156</v>
      </c>
      <c r="E7300" s="4">
        <v>-32461</v>
      </c>
      <c r="F7300" s="3" t="s">
        <v>2429</v>
      </c>
      <c r="G7300" s="3" t="s">
        <v>2101</v>
      </c>
      <c r="H7300" s="2" t="s">
        <v>148</v>
      </c>
      <c r="I7300" s="2" t="s">
        <v>18686</v>
      </c>
      <c r="J7300" s="3" t="str">
        <f>HYPERLINK("https://www.boe.es/gazeta/dias/1811/02/14/pdfs/GEI-1811-20.pdf#page=2","Abrir facsímil")</f>
        <v>Abrir facsímil</v>
      </c>
      <c r="K7300" s="3" t="s">
        <v>150</v>
      </c>
    </row>
    <row r="7301" spans="1:11" ht="42" customHeight="1">
      <c r="A7301" s="2" t="s">
        <v>18683</v>
      </c>
      <c r="B7301" s="2" t="s">
        <v>18684</v>
      </c>
      <c r="C7301" s="2" t="s">
        <v>17</v>
      </c>
      <c r="D7301" s="2" t="s">
        <v>156</v>
      </c>
      <c r="E7301" s="4">
        <v>-32300</v>
      </c>
      <c r="F7301" s="3" t="s">
        <v>61</v>
      </c>
      <c r="G7301" s="3" t="s">
        <v>129</v>
      </c>
      <c r="H7301" s="2" t="s">
        <v>148</v>
      </c>
      <c r="I7301" s="2" t="s">
        <v>18687</v>
      </c>
      <c r="J7301" s="3" t="str">
        <f>HYPERLINK("https://www.boe.es/gazeta/dias/1811/07/25/pdfs/GEI-1811-97.pdf#page=2","Abrir facsímil")</f>
        <v>Abrir facsímil</v>
      </c>
      <c r="K7301" s="3" t="s">
        <v>150</v>
      </c>
    </row>
    <row r="7302" spans="1:11" ht="42" customHeight="1">
      <c r="A7302" s="2" t="s">
        <v>18688</v>
      </c>
      <c r="B7302" s="2" t="s">
        <v>18689</v>
      </c>
      <c r="C7302" s="2" t="s">
        <v>26</v>
      </c>
      <c r="D7302" s="2" t="s">
        <v>141</v>
      </c>
      <c r="E7302" s="4">
        <v>-32314</v>
      </c>
      <c r="F7302" s="3" t="s">
        <v>2051</v>
      </c>
      <c r="G7302" s="3" t="s">
        <v>468</v>
      </c>
      <c r="H7302" s="2" t="s">
        <v>148</v>
      </c>
      <c r="I7302" s="2" t="s">
        <v>18690</v>
      </c>
      <c r="J7302" s="3" t="str">
        <f>HYPERLINK("https://www.boe.es/gazeta/dias/1811/07/11/pdfs/GMD-C-1811-192.pdf#page=1","Abrir facsímil")</f>
        <v>Abrir facsímil</v>
      </c>
      <c r="K7302" s="3" t="s">
        <v>150</v>
      </c>
    </row>
    <row r="7303" spans="1:11" ht="42" customHeight="1">
      <c r="A7303" s="2" t="s">
        <v>18691</v>
      </c>
      <c r="B7303" s="2" t="s">
        <v>18692</v>
      </c>
      <c r="C7303" s="2" t="s">
        <v>26</v>
      </c>
      <c r="D7303" s="2" t="s">
        <v>18</v>
      </c>
      <c r="E7303" s="4">
        <v>-32481</v>
      </c>
      <c r="F7303" s="3" t="s">
        <v>1687</v>
      </c>
      <c r="G7303" s="3" t="s">
        <v>4089</v>
      </c>
      <c r="H7303" s="2" t="s">
        <v>148</v>
      </c>
      <c r="I7303" s="2" t="s">
        <v>18693</v>
      </c>
      <c r="J7303" s="3" t="str">
        <f>HYPERLINK("https://www.boe.es/gazeta/dias/1811/01/25/pdfs/GMD-1811-25.pdf#page=4","Abrir facsímil")</f>
        <v>Abrir facsímil</v>
      </c>
      <c r="K7303" s="3" t="s">
        <v>150</v>
      </c>
    </row>
    <row r="7304" spans="1:11" ht="42" customHeight="1">
      <c r="A7304" s="2" t="s">
        <v>18694</v>
      </c>
      <c r="B7304" s="2" t="s">
        <v>18695</v>
      </c>
      <c r="C7304" s="2" t="s">
        <v>26</v>
      </c>
      <c r="D7304" s="2" t="s">
        <v>105</v>
      </c>
      <c r="E7304" s="4">
        <v>-32480</v>
      </c>
      <c r="F7304" s="3" t="s">
        <v>2421</v>
      </c>
      <c r="G7304" s="3" t="s">
        <v>20</v>
      </c>
      <c r="H7304" s="2" t="s">
        <v>148</v>
      </c>
      <c r="I7304" s="2" t="s">
        <v>18696</v>
      </c>
      <c r="J7304" s="3" t="str">
        <f>HYPERLINK("https://www.boe.es/gazeta/dias/1811/01/26/pdfs/GMD-1811-26.pdf#page=4","Abrir facsímil")</f>
        <v>Abrir facsímil</v>
      </c>
      <c r="K7304" s="3" t="s">
        <v>150</v>
      </c>
    </row>
    <row r="7305" spans="1:11" ht="42" customHeight="1">
      <c r="A7305" s="2" t="s">
        <v>18697</v>
      </c>
      <c r="B7305" s="2" t="s">
        <v>18698</v>
      </c>
      <c r="C7305" s="2" t="s">
        <v>17</v>
      </c>
      <c r="D7305" s="2" t="s">
        <v>18</v>
      </c>
      <c r="E7305" s="4">
        <v>-32298</v>
      </c>
      <c r="F7305" s="3" t="s">
        <v>133</v>
      </c>
      <c r="G7305" s="3" t="s">
        <v>134</v>
      </c>
      <c r="H7305" s="2" t="s">
        <v>148</v>
      </c>
      <c r="I7305" s="2" t="s">
        <v>18699</v>
      </c>
      <c r="J7305" s="3" t="str">
        <f>HYPERLINK("https://www.boe.es/gazeta/dias/1811/07/27/pdfs/GEI-1811-98.pdf#page=7","Abrir facsímil")</f>
        <v>Abrir facsímil</v>
      </c>
      <c r="K7305" s="3" t="s">
        <v>150</v>
      </c>
    </row>
    <row r="7306" spans="1:11" ht="42" customHeight="1">
      <c r="A7306" s="2" t="s">
        <v>18700</v>
      </c>
      <c r="B7306" s="2" t="s">
        <v>18701</v>
      </c>
      <c r="C7306" s="2" t="s">
        <v>17</v>
      </c>
      <c r="D7306" s="2" t="s">
        <v>18</v>
      </c>
      <c r="E7306" s="4">
        <v>-32176</v>
      </c>
      <c r="F7306" s="3" t="s">
        <v>638</v>
      </c>
      <c r="G7306" s="3" t="s">
        <v>44</v>
      </c>
      <c r="H7306" s="2" t="s">
        <v>148</v>
      </c>
      <c r="I7306" s="2" t="s">
        <v>18702</v>
      </c>
      <c r="J7306" s="3" t="str">
        <f>HYPERLINK("https://www.boe.es/gazeta/dias/1811/11/26/pdfs/GEI-1811-154.pdf#page=8","Abrir facsímil")</f>
        <v>Abrir facsímil</v>
      </c>
      <c r="K7306" s="3" t="s">
        <v>150</v>
      </c>
    </row>
    <row r="7307" spans="1:11" ht="42" customHeight="1">
      <c r="A7307" s="2" t="s">
        <v>18703</v>
      </c>
      <c r="B7307" s="2" t="s">
        <v>18704</v>
      </c>
      <c r="C7307" s="2" t="s">
        <v>26</v>
      </c>
      <c r="D7307" s="2" t="s">
        <v>18</v>
      </c>
      <c r="E7307" s="4">
        <v>-32459</v>
      </c>
      <c r="F7307" s="3" t="s">
        <v>1034</v>
      </c>
      <c r="G7307" s="3" t="s">
        <v>510</v>
      </c>
      <c r="H7307" s="2" t="s">
        <v>148</v>
      </c>
      <c r="I7307" s="2" t="s">
        <v>18705</v>
      </c>
      <c r="J7307" s="3" t="str">
        <f>HYPERLINK("https://www.boe.es/gazeta/dias/1811/02/16/pdfs/GEI-1811-21.pdf#page=8","Abrir facsímil")</f>
        <v>Abrir facsímil</v>
      </c>
      <c r="K7307" s="3" t="s">
        <v>150</v>
      </c>
    </row>
    <row r="7308" spans="1:11" ht="42" customHeight="1">
      <c r="A7308" s="2" t="s">
        <v>18706</v>
      </c>
      <c r="B7308" s="2" t="s">
        <v>18707</v>
      </c>
      <c r="C7308" s="2" t="s">
        <v>84</v>
      </c>
      <c r="D7308" s="2" t="s">
        <v>141</v>
      </c>
      <c r="E7308" s="4">
        <v>-32188</v>
      </c>
      <c r="F7308" s="3" t="s">
        <v>505</v>
      </c>
      <c r="G7308" s="3" t="s">
        <v>162</v>
      </c>
      <c r="H7308" s="2" t="s">
        <v>148</v>
      </c>
      <c r="I7308" s="2" t="s">
        <v>18708</v>
      </c>
      <c r="J7308" s="3" t="str">
        <f>HYPERLINK("https://www.boe.es/gazeta/dias/1811/11/14/pdfs/GEI-D-1811-149.pdf#page=4","Abrir facsímil")</f>
        <v>Abrir facsímil</v>
      </c>
      <c r="K7308" s="3" t="s">
        <v>150</v>
      </c>
    </row>
    <row r="7309" spans="1:11" ht="42" customHeight="1">
      <c r="A7309" s="2" t="s">
        <v>18709</v>
      </c>
      <c r="B7309" s="2" t="s">
        <v>18709</v>
      </c>
      <c r="C7309" s="2" t="s">
        <v>26</v>
      </c>
      <c r="D7309" s="2" t="s">
        <v>18</v>
      </c>
      <c r="E7309" s="4">
        <v>-32193</v>
      </c>
      <c r="F7309" s="3" t="s">
        <v>1037</v>
      </c>
      <c r="G7309" s="3" t="s">
        <v>1038</v>
      </c>
      <c r="H7309" s="2" t="s">
        <v>148</v>
      </c>
      <c r="I7309" s="2" t="s">
        <v>18710</v>
      </c>
      <c r="J7309" s="3" t="str">
        <f>HYPERLINK("https://www.boe.es/gazeta/dias/1811/11/09/pdfs/GEI-1811-145.pdf#page=3","Abrir facsímil")</f>
        <v>Abrir facsímil</v>
      </c>
      <c r="K7309" s="3" t="s">
        <v>150</v>
      </c>
    </row>
    <row r="7310" spans="1:11" ht="42" customHeight="1">
      <c r="A7310" s="2" t="s">
        <v>18711</v>
      </c>
      <c r="B7310" s="2" t="s">
        <v>18711</v>
      </c>
      <c r="C7310" s="2" t="s">
        <v>17</v>
      </c>
      <c r="D7310" s="2" t="s">
        <v>156</v>
      </c>
      <c r="E7310" s="4">
        <v>-32349</v>
      </c>
      <c r="F7310" s="3" t="s">
        <v>239</v>
      </c>
      <c r="G7310" s="3" t="s">
        <v>240</v>
      </c>
      <c r="H7310" s="2" t="s">
        <v>148</v>
      </c>
      <c r="I7310" s="2" t="s">
        <v>18712</v>
      </c>
      <c r="J7310" s="3" t="str">
        <f>HYPERLINK("https://www.boe.es/gazeta/dias/1811/06/06/pdfs/GEI-1811-76.pdf#page=6","Abrir facsímil")</f>
        <v>Abrir facsímil</v>
      </c>
      <c r="K7310" s="3" t="s">
        <v>150</v>
      </c>
    </row>
    <row r="7311" spans="1:11" ht="42" customHeight="1">
      <c r="A7311" s="2" t="s">
        <v>18713</v>
      </c>
      <c r="B7311" s="2" t="s">
        <v>18713</v>
      </c>
      <c r="C7311" s="2" t="s">
        <v>26</v>
      </c>
      <c r="D7311" s="2" t="s">
        <v>18</v>
      </c>
      <c r="E7311" s="4">
        <v>-32291</v>
      </c>
      <c r="F7311" s="3" t="s">
        <v>712</v>
      </c>
      <c r="G7311" s="3" t="s">
        <v>713</v>
      </c>
      <c r="H7311" s="2" t="s">
        <v>148</v>
      </c>
      <c r="I7311" s="2" t="s">
        <v>18714</v>
      </c>
      <c r="J7311" s="3" t="str">
        <f>HYPERLINK("https://www.boe.es/gazeta/dias/1811/08/03/pdfs/GEI-1811-101.pdf#page=6","Abrir facsímil")</f>
        <v>Abrir facsímil</v>
      </c>
      <c r="K7311" s="3" t="s">
        <v>150</v>
      </c>
    </row>
    <row r="7312" spans="1:11" ht="42" customHeight="1">
      <c r="A7312" s="2" t="s">
        <v>18715</v>
      </c>
      <c r="B7312" s="2" t="s">
        <v>18715</v>
      </c>
      <c r="C7312" s="2" t="s">
        <v>17</v>
      </c>
      <c r="D7312" s="2" t="s">
        <v>18</v>
      </c>
      <c r="E7312" s="4">
        <v>-32267</v>
      </c>
      <c r="F7312" s="3" t="s">
        <v>1045</v>
      </c>
      <c r="G7312" s="3" t="s">
        <v>3659</v>
      </c>
      <c r="H7312" s="2" t="s">
        <v>148</v>
      </c>
      <c r="I7312" s="2" t="s">
        <v>18716</v>
      </c>
      <c r="J7312" s="3" t="str">
        <f>HYPERLINK("https://www.boe.es/gazeta/dias/1811/08/27/pdfs/GEI-1811-111.pdf#page=7","Abrir facsímil")</f>
        <v>Abrir facsímil</v>
      </c>
      <c r="K7312" s="3" t="s">
        <v>150</v>
      </c>
    </row>
    <row r="7313" spans="1:11" ht="42" customHeight="1">
      <c r="A7313" s="2" t="s">
        <v>18717</v>
      </c>
      <c r="B7313" s="2" t="s">
        <v>18717</v>
      </c>
      <c r="C7313" s="2" t="s">
        <v>17</v>
      </c>
      <c r="D7313" s="2" t="s">
        <v>18</v>
      </c>
      <c r="E7313" s="4">
        <v>-32233</v>
      </c>
      <c r="F7313" s="3" t="s">
        <v>3504</v>
      </c>
      <c r="G7313" s="3" t="s">
        <v>515</v>
      </c>
      <c r="H7313" s="2" t="s">
        <v>148</v>
      </c>
      <c r="I7313" s="2" t="s">
        <v>18718</v>
      </c>
      <c r="J7313" s="3" t="str">
        <f>HYPERLINK("https://www.boe.es/gazeta/dias/1811/09/30/pdfs/GMD-1811-273.pdf#page=3","Abrir facsímil")</f>
        <v>Abrir facsímil</v>
      </c>
      <c r="K7313" s="3" t="s">
        <v>150</v>
      </c>
    </row>
    <row r="7314" spans="1:11" ht="42" customHeight="1">
      <c r="A7314" s="2" t="s">
        <v>18719</v>
      </c>
      <c r="B7314" s="2" t="s">
        <v>18720</v>
      </c>
      <c r="C7314" s="2" t="s">
        <v>26</v>
      </c>
      <c r="D7314" s="2" t="s">
        <v>18</v>
      </c>
      <c r="E7314" s="4">
        <v>-32155</v>
      </c>
      <c r="F7314" s="3" t="s">
        <v>263</v>
      </c>
      <c r="G7314" s="3" t="s">
        <v>264</v>
      </c>
      <c r="H7314" s="2" t="s">
        <v>148</v>
      </c>
      <c r="I7314" s="2" t="s">
        <v>18721</v>
      </c>
      <c r="J7314" s="3" t="str">
        <f>HYPERLINK("https://www.boe.es/gazeta/dias/1811/12/17/pdfs/GEI-1811-163.pdf#page=8","Abrir facsímil")</f>
        <v>Abrir facsímil</v>
      </c>
      <c r="K7314" s="3" t="s">
        <v>150</v>
      </c>
    </row>
    <row r="7315" spans="1:11" ht="42" customHeight="1">
      <c r="A7315" s="2" t="s">
        <v>18722</v>
      </c>
      <c r="B7315" s="2" t="s">
        <v>18723</v>
      </c>
      <c r="C7315" s="2" t="s">
        <v>26</v>
      </c>
      <c r="D7315" s="2" t="s">
        <v>18</v>
      </c>
      <c r="E7315" s="4">
        <v>-32250</v>
      </c>
      <c r="F7315" s="3" t="s">
        <v>2823</v>
      </c>
      <c r="G7315" s="3" t="s">
        <v>3947</v>
      </c>
      <c r="H7315" s="2" t="s">
        <v>148</v>
      </c>
      <c r="I7315" s="2" t="s">
        <v>18724</v>
      </c>
      <c r="J7315" s="3" t="str">
        <f>HYPERLINK("https://www.boe.es/gazeta/dias/1811/09/13/pdfs/GMD-1811-256.pdf#page=4","Abrir facsímil")</f>
        <v>Abrir facsímil</v>
      </c>
      <c r="K7315" s="3" t="s">
        <v>150</v>
      </c>
    </row>
    <row r="7316" spans="1:11" ht="42" customHeight="1">
      <c r="A7316" s="2" t="s">
        <v>18725</v>
      </c>
      <c r="B7316" s="2" t="s">
        <v>18726</v>
      </c>
      <c r="C7316" s="2" t="s">
        <v>26</v>
      </c>
      <c r="D7316" s="2" t="s">
        <v>18</v>
      </c>
      <c r="E7316" s="4">
        <v>-32394</v>
      </c>
      <c r="F7316" s="3" t="s">
        <v>1709</v>
      </c>
      <c r="G7316" s="3" t="s">
        <v>115</v>
      </c>
      <c r="H7316" s="2" t="s">
        <v>148</v>
      </c>
      <c r="I7316" s="2" t="s">
        <v>18727</v>
      </c>
      <c r="J7316" s="3" t="str">
        <f>HYPERLINK("https://www.boe.es/gazeta/dias/1811/04/22/pdfs/GMD-1811-112.pdf#page=3","Abrir facsímil")</f>
        <v>Abrir facsímil</v>
      </c>
      <c r="K7316" s="3" t="s">
        <v>150</v>
      </c>
    </row>
    <row r="7317" spans="1:11" ht="42" customHeight="1">
      <c r="A7317" s="2" t="s">
        <v>18728</v>
      </c>
      <c r="B7317" s="2" t="s">
        <v>18729</v>
      </c>
      <c r="C7317" s="2" t="s">
        <v>26</v>
      </c>
      <c r="D7317" s="2" t="s">
        <v>18</v>
      </c>
      <c r="E7317" s="4">
        <v>-32305</v>
      </c>
      <c r="F7317" s="3" t="s">
        <v>1575</v>
      </c>
      <c r="G7317" s="3" t="s">
        <v>1054</v>
      </c>
      <c r="H7317" s="2" t="s">
        <v>148</v>
      </c>
      <c r="I7317" s="2" t="s">
        <v>18730</v>
      </c>
      <c r="J7317" s="3" t="str">
        <f>HYPERLINK("https://www.boe.es/gazeta/dias/1811/07/20/pdfs/GEI-1811-95.pdf#page=2","Abrir facsímil")</f>
        <v>Abrir facsímil</v>
      </c>
      <c r="K7317" s="3" t="s">
        <v>150</v>
      </c>
    </row>
    <row r="7318" spans="1:11" ht="42" customHeight="1">
      <c r="A7318" s="2" t="s">
        <v>18731</v>
      </c>
      <c r="B7318" s="2" t="s">
        <v>18731</v>
      </c>
      <c r="C7318" s="2" t="s">
        <v>17</v>
      </c>
      <c r="D7318" s="2" t="s">
        <v>18</v>
      </c>
      <c r="E7318" s="4">
        <v>-32294</v>
      </c>
      <c r="F7318" s="3" t="s">
        <v>3123</v>
      </c>
      <c r="G7318" s="3" t="s">
        <v>91</v>
      </c>
      <c r="H7318" s="2" t="s">
        <v>148</v>
      </c>
      <c r="I7318" s="2" t="s">
        <v>18732</v>
      </c>
      <c r="J7318" s="3" t="str">
        <f>HYPERLINK("https://www.boe.es/gazeta/dias/1811/07/31/pdfs/GMD-1811-212.pdf#page=2","Abrir facsímil")</f>
        <v>Abrir facsímil</v>
      </c>
      <c r="K7318" s="3" t="s">
        <v>150</v>
      </c>
    </row>
    <row r="7319" spans="1:11" ht="42" customHeight="1">
      <c r="A7319" s="2" t="s">
        <v>18731</v>
      </c>
      <c r="B7319" s="2" t="s">
        <v>18731</v>
      </c>
      <c r="C7319" s="2" t="s">
        <v>17</v>
      </c>
      <c r="D7319" s="2" t="s">
        <v>18</v>
      </c>
      <c r="E7319" s="4">
        <v>-32294</v>
      </c>
      <c r="F7319" s="3" t="s">
        <v>3123</v>
      </c>
      <c r="G7319" s="3" t="s">
        <v>2916</v>
      </c>
      <c r="H7319" s="2" t="s">
        <v>148</v>
      </c>
      <c r="I7319" s="2" t="s">
        <v>18733</v>
      </c>
      <c r="J7319" s="3" t="str">
        <f>HYPERLINK("https://www.boe.es/gazeta/dias/1811/07/31/pdfs/GMD-1811-212.pdf#page=3","Abrir facsímil")</f>
        <v>Abrir facsímil</v>
      </c>
      <c r="K7319" s="3" t="s">
        <v>150</v>
      </c>
    </row>
    <row r="7320" spans="1:11" ht="42" customHeight="1">
      <c r="A7320" s="2" t="s">
        <v>18734</v>
      </c>
      <c r="B7320" s="2" t="s">
        <v>18734</v>
      </c>
      <c r="C7320" s="2" t="s">
        <v>26</v>
      </c>
      <c r="D7320" s="2" t="s">
        <v>18</v>
      </c>
      <c r="E7320" s="4">
        <v>-32445</v>
      </c>
      <c r="F7320" s="3" t="s">
        <v>880</v>
      </c>
      <c r="G7320" s="3" t="s">
        <v>881</v>
      </c>
      <c r="H7320" s="2" t="s">
        <v>148</v>
      </c>
      <c r="I7320" s="2" t="s">
        <v>18735</v>
      </c>
      <c r="J7320" s="3" t="str">
        <f>HYPERLINK("https://www.boe.es/gazeta/dias/1811/03/02/pdfs/GMD-1811-61.pdf#page=3","Abrir facsímil")</f>
        <v>Abrir facsímil</v>
      </c>
      <c r="K7320" s="3" t="s">
        <v>150</v>
      </c>
    </row>
    <row r="7321" spans="1:11" ht="42" customHeight="1">
      <c r="A7321" s="2" t="s">
        <v>18736</v>
      </c>
      <c r="B7321" s="2" t="s">
        <v>18737</v>
      </c>
      <c r="C7321" s="2" t="s">
        <v>17</v>
      </c>
      <c r="D7321" s="2" t="s">
        <v>18</v>
      </c>
      <c r="E7321" s="4">
        <v>-32230</v>
      </c>
      <c r="F7321" s="3" t="s">
        <v>625</v>
      </c>
      <c r="G7321" s="3" t="s">
        <v>5020</v>
      </c>
      <c r="H7321" s="2" t="s">
        <v>148</v>
      </c>
      <c r="I7321" s="2" t="s">
        <v>18738</v>
      </c>
      <c r="J7321" s="3" t="str">
        <f>HYPERLINK("https://www.boe.es/gazeta/dias/1811/10/03/pdfs/GEI-1811-127.pdf#page=4","Abrir facsímil")</f>
        <v>Abrir facsímil</v>
      </c>
      <c r="K7321" s="3" t="s">
        <v>150</v>
      </c>
    </row>
    <row r="7322" spans="1:11" ht="42" customHeight="1">
      <c r="A7322" s="2" t="s">
        <v>18739</v>
      </c>
      <c r="B7322" s="2" t="s">
        <v>18740</v>
      </c>
      <c r="C7322" s="2" t="s">
        <v>17</v>
      </c>
      <c r="D7322" s="2" t="s">
        <v>18</v>
      </c>
      <c r="E7322" s="4">
        <v>-32328</v>
      </c>
      <c r="F7322" s="3" t="s">
        <v>1653</v>
      </c>
      <c r="G7322" s="3" t="s">
        <v>4140</v>
      </c>
      <c r="H7322" s="2" t="s">
        <v>148</v>
      </c>
      <c r="I7322" s="2" t="s">
        <v>18741</v>
      </c>
      <c r="J7322" s="3" t="str">
        <f>HYPERLINK("https://www.boe.es/gazeta/dias/1811/06/27/pdfs/GEI-1811-85.pdf#page=2","Abrir facsímil")</f>
        <v>Abrir facsímil</v>
      </c>
      <c r="K7322" s="3" t="s">
        <v>150</v>
      </c>
    </row>
    <row r="7323" spans="1:11" ht="42" customHeight="1">
      <c r="A7323" s="2" t="s">
        <v>18742</v>
      </c>
      <c r="B7323" s="2" t="s">
        <v>18743</v>
      </c>
      <c r="C7323" s="2" t="s">
        <v>26</v>
      </c>
      <c r="D7323" s="2" t="s">
        <v>18</v>
      </c>
      <c r="E7323" s="4">
        <v>-32445</v>
      </c>
      <c r="F7323" s="3" t="s">
        <v>880</v>
      </c>
      <c r="G7323" s="3" t="s">
        <v>881</v>
      </c>
      <c r="H7323" s="2" t="s">
        <v>148</v>
      </c>
      <c r="I7323" s="2" t="s">
        <v>18744</v>
      </c>
      <c r="J7323" s="3" t="str">
        <f>HYPERLINK("https://www.boe.es/gazeta/dias/1811/03/02/pdfs/GMD-1811-61.pdf#page=3","Abrir facsímil")</f>
        <v>Abrir facsímil</v>
      </c>
      <c r="K7323" s="3" t="s">
        <v>150</v>
      </c>
    </row>
    <row r="7324" spans="1:11" ht="42" customHeight="1">
      <c r="A7324" s="2" t="s">
        <v>18745</v>
      </c>
      <c r="B7324" s="2" t="s">
        <v>18746</v>
      </c>
      <c r="C7324" s="2" t="s">
        <v>26</v>
      </c>
      <c r="D7324" s="2" t="s">
        <v>18</v>
      </c>
      <c r="E7324" s="4">
        <v>-32286</v>
      </c>
      <c r="F7324" s="3" t="s">
        <v>754</v>
      </c>
      <c r="G7324" s="3" t="s">
        <v>1728</v>
      </c>
      <c r="H7324" s="2" t="s">
        <v>148</v>
      </c>
      <c r="I7324" s="2" t="s">
        <v>18747</v>
      </c>
      <c r="J7324" s="3" t="str">
        <f>HYPERLINK("https://www.boe.es/gazeta/dias/1811/08/08/pdfs/GEI-1811-103.pdf#page=8","Abrir facsímil")</f>
        <v>Abrir facsímil</v>
      </c>
      <c r="K7324" s="3" t="s">
        <v>150</v>
      </c>
    </row>
    <row r="7325" spans="1:11" ht="42" customHeight="1">
      <c r="A7325" s="2" t="s">
        <v>18745</v>
      </c>
      <c r="B7325" s="2" t="s">
        <v>18746</v>
      </c>
      <c r="C7325" s="2" t="s">
        <v>17</v>
      </c>
      <c r="D7325" s="2" t="s">
        <v>156</v>
      </c>
      <c r="E7325" s="4">
        <v>-32144</v>
      </c>
      <c r="F7325" s="3" t="s">
        <v>1097</v>
      </c>
      <c r="G7325" s="3" t="s">
        <v>476</v>
      </c>
      <c r="H7325" s="2" t="s">
        <v>148</v>
      </c>
      <c r="I7325" s="2" t="s">
        <v>18748</v>
      </c>
      <c r="J7325" s="3" t="str">
        <f>HYPERLINK("https://www.boe.es/gazeta/dias/1811/12/28/pdfs/GEI-1811-168.pdf#page=7","Abrir facsímil")</f>
        <v>Abrir facsímil</v>
      </c>
      <c r="K7325" s="3" t="s">
        <v>150</v>
      </c>
    </row>
    <row r="7326" spans="1:11" ht="42" customHeight="1">
      <c r="A7326" s="2" t="s">
        <v>18749</v>
      </c>
      <c r="B7326" s="2" t="s">
        <v>18750</v>
      </c>
      <c r="C7326" s="2" t="s">
        <v>17</v>
      </c>
      <c r="D7326" s="2" t="s">
        <v>18</v>
      </c>
      <c r="E7326" s="4">
        <v>-32480</v>
      </c>
      <c r="F7326" s="3" t="s">
        <v>3061</v>
      </c>
      <c r="G7326" s="3" t="s">
        <v>510</v>
      </c>
      <c r="H7326" s="2" t="s">
        <v>148</v>
      </c>
      <c r="I7326" s="2" t="s">
        <v>18751</v>
      </c>
      <c r="J7326" s="3" t="str">
        <f>HYPERLINK("https://www.boe.es/gazeta/dias/1811/01/26/pdfs/GEI-1811-12.pdf#page=8","Abrir facsímil")</f>
        <v>Abrir facsímil</v>
      </c>
      <c r="K7326" s="3" t="s">
        <v>150</v>
      </c>
    </row>
    <row r="7327" spans="1:11" ht="42" customHeight="1">
      <c r="A7327" s="2" t="s">
        <v>18752</v>
      </c>
      <c r="B7327" s="2" t="s">
        <v>18753</v>
      </c>
      <c r="C7327" s="2" t="s">
        <v>17</v>
      </c>
      <c r="D7327" s="2" t="s">
        <v>18</v>
      </c>
      <c r="E7327" s="4">
        <v>-32272</v>
      </c>
      <c r="F7327" s="3" t="s">
        <v>1121</v>
      </c>
      <c r="G7327" s="3" t="s">
        <v>510</v>
      </c>
      <c r="H7327" s="2" t="s">
        <v>148</v>
      </c>
      <c r="I7327" s="2" t="s">
        <v>18754</v>
      </c>
      <c r="J7327" s="3" t="str">
        <f>HYPERLINK("https://www.boe.es/gazeta/dias/1811/08/22/pdfs/GEI-1811-109.pdf#page=8","Abrir facsímil")</f>
        <v>Abrir facsímil</v>
      </c>
      <c r="K7327" s="3" t="s">
        <v>150</v>
      </c>
    </row>
    <row r="7328" spans="1:11" ht="42" customHeight="1">
      <c r="A7328" s="2" t="s">
        <v>18755</v>
      </c>
      <c r="B7328" s="2" t="s">
        <v>18756</v>
      </c>
      <c r="C7328" s="2" t="s">
        <v>17</v>
      </c>
      <c r="D7328" s="2" t="s">
        <v>18</v>
      </c>
      <c r="E7328" s="4">
        <v>-32375</v>
      </c>
      <c r="F7328" s="3" t="s">
        <v>1209</v>
      </c>
      <c r="G7328" s="3" t="s">
        <v>440</v>
      </c>
      <c r="H7328" s="2" t="s">
        <v>148</v>
      </c>
      <c r="I7328" s="2" t="s">
        <v>18757</v>
      </c>
      <c r="J7328" s="3" t="str">
        <f>HYPERLINK("https://www.boe.es/gazeta/dias/1811/05/11/pdfs/GEI-1811-62.pdf#page=6","Abrir facsímil")</f>
        <v>Abrir facsímil</v>
      </c>
      <c r="K7328" s="3" t="s">
        <v>150</v>
      </c>
    </row>
    <row r="7329" spans="1:11" ht="42" customHeight="1">
      <c r="A7329" s="2" t="s">
        <v>18758</v>
      </c>
      <c r="B7329" s="2" t="s">
        <v>18758</v>
      </c>
      <c r="C7329" s="2" t="s">
        <v>17</v>
      </c>
      <c r="D7329" s="2" t="s">
        <v>156</v>
      </c>
      <c r="E7329" s="4">
        <v>-32349</v>
      </c>
      <c r="F7329" s="3" t="s">
        <v>239</v>
      </c>
      <c r="G7329" s="3" t="s">
        <v>1451</v>
      </c>
      <c r="H7329" s="2" t="s">
        <v>148</v>
      </c>
      <c r="I7329" s="2" t="s">
        <v>18759</v>
      </c>
      <c r="J7329" s="3" t="str">
        <f>HYPERLINK("https://www.boe.es/gazeta/dias/1811/06/06/pdfs/GEI-1811-76.pdf#page=8","Abrir facsímil")</f>
        <v>Abrir facsímil</v>
      </c>
      <c r="K7329" s="3" t="s">
        <v>150</v>
      </c>
    </row>
    <row r="7330" spans="1:11" ht="42" customHeight="1">
      <c r="A7330" s="2" t="s">
        <v>18760</v>
      </c>
      <c r="B7330" s="2" t="s">
        <v>18761</v>
      </c>
      <c r="C7330" s="2" t="s">
        <v>26</v>
      </c>
      <c r="D7330" s="2" t="s">
        <v>18</v>
      </c>
      <c r="E7330" s="4">
        <v>-32400</v>
      </c>
      <c r="F7330" s="3" t="s">
        <v>13774</v>
      </c>
      <c r="G7330" s="3" t="s">
        <v>44</v>
      </c>
      <c r="H7330" s="2" t="s">
        <v>148</v>
      </c>
      <c r="I7330" s="2" t="s">
        <v>18762</v>
      </c>
      <c r="J7330" s="3" t="str">
        <f>HYPERLINK("https://www.boe.es/gazeta/dias/1811/04/16/pdfs/GEI-1811-51.pdf#page=5","Abrir facsímil")</f>
        <v>Abrir facsímil</v>
      </c>
      <c r="K7330" s="3" t="s">
        <v>150</v>
      </c>
    </row>
    <row r="7331" spans="1:11" ht="42" customHeight="1">
      <c r="A7331" s="2" t="s">
        <v>18763</v>
      </c>
      <c r="B7331" s="2" t="s">
        <v>18763</v>
      </c>
      <c r="C7331" s="2" t="s">
        <v>122</v>
      </c>
      <c r="D7331" s="2" t="s">
        <v>18</v>
      </c>
      <c r="E7331" s="4">
        <v>-32211</v>
      </c>
      <c r="F7331" s="3" t="s">
        <v>1074</v>
      </c>
      <c r="G7331" s="3" t="s">
        <v>2799</v>
      </c>
      <c r="H7331" s="2" t="s">
        <v>148</v>
      </c>
      <c r="I7331" s="2" t="s">
        <v>18764</v>
      </c>
      <c r="J7331" s="3" t="str">
        <f>HYPERLINK("https://www.boe.es/gazeta/dias/1811/10/22/pdfs/GEI-1811-136.pdf#page=2","Abrir facsímil")</f>
        <v>Abrir facsímil</v>
      </c>
      <c r="K7331" s="3" t="s">
        <v>150</v>
      </c>
    </row>
    <row r="7332" spans="1:11" ht="42" customHeight="1">
      <c r="A7332" s="2" t="s">
        <v>18765</v>
      </c>
      <c r="B7332" s="2" t="s">
        <v>18766</v>
      </c>
      <c r="C7332" s="2" t="s">
        <v>17</v>
      </c>
      <c r="D7332" s="2" t="s">
        <v>18</v>
      </c>
      <c r="E7332" s="4">
        <v>-32144</v>
      </c>
      <c r="F7332" s="3" t="s">
        <v>1097</v>
      </c>
      <c r="G7332" s="3" t="s">
        <v>561</v>
      </c>
      <c r="H7332" s="2" t="s">
        <v>148</v>
      </c>
      <c r="I7332" s="2" t="s">
        <v>18767</v>
      </c>
      <c r="J7332" s="3" t="str">
        <f>HYPERLINK("https://www.boe.es/gazeta/dias/1811/12/28/pdfs/GEI-1811-168.pdf#page=5","Abrir facsímil")</f>
        <v>Abrir facsímil</v>
      </c>
      <c r="K7332" s="3" t="s">
        <v>150</v>
      </c>
    </row>
    <row r="7333" spans="1:11" ht="42" customHeight="1">
      <c r="A7333" s="2" t="s">
        <v>18768</v>
      </c>
      <c r="B7333" s="2" t="s">
        <v>18768</v>
      </c>
      <c r="C7333" s="2" t="s">
        <v>17</v>
      </c>
      <c r="D7333" s="2" t="s">
        <v>18</v>
      </c>
      <c r="E7333" s="4">
        <v>-32171</v>
      </c>
      <c r="F7333" s="3" t="s">
        <v>157</v>
      </c>
      <c r="G7333" s="3" t="s">
        <v>47</v>
      </c>
      <c r="H7333" s="2" t="s">
        <v>148</v>
      </c>
      <c r="I7333" s="2" t="s">
        <v>18769</v>
      </c>
      <c r="J7333" s="3" t="str">
        <f>HYPERLINK("https://www.boe.es/gazeta/dias/1811/12/01/pdfs/GMD-1811-335.pdf#page=2","Abrir facsímil")</f>
        <v>Abrir facsímil</v>
      </c>
      <c r="K7333" s="3" t="s">
        <v>150</v>
      </c>
    </row>
    <row r="7334" spans="1:11" ht="42" customHeight="1">
      <c r="A7334" s="2" t="s">
        <v>18770</v>
      </c>
      <c r="B7334" s="2" t="s">
        <v>18770</v>
      </c>
      <c r="C7334" s="2" t="s">
        <v>26</v>
      </c>
      <c r="D7334" s="2" t="s">
        <v>18</v>
      </c>
      <c r="E7334" s="4">
        <v>-32193</v>
      </c>
      <c r="F7334" s="3" t="s">
        <v>6497</v>
      </c>
      <c r="G7334" s="3" t="s">
        <v>162</v>
      </c>
      <c r="H7334" s="2" t="s">
        <v>148</v>
      </c>
      <c r="I7334" s="2" t="s">
        <v>18771</v>
      </c>
      <c r="J7334" s="3" t="str">
        <f>HYPERLINK("https://www.boe.es/gazeta/dias/1811/11/09/pdfs/GMD-1811-313.pdf#page=1","Abrir facsímil")</f>
        <v>Abrir facsímil</v>
      </c>
      <c r="K7334" s="3" t="s">
        <v>150</v>
      </c>
    </row>
    <row r="7335" spans="1:11" ht="42" customHeight="1">
      <c r="A7335" s="2" t="s">
        <v>18772</v>
      </c>
      <c r="B7335" s="2" t="s">
        <v>18773</v>
      </c>
      <c r="C7335" s="2" t="s">
        <v>26</v>
      </c>
      <c r="D7335" s="2" t="s">
        <v>18</v>
      </c>
      <c r="E7335" s="4">
        <v>-32204</v>
      </c>
      <c r="F7335" s="3" t="s">
        <v>1053</v>
      </c>
      <c r="G7335" s="3" t="s">
        <v>6161</v>
      </c>
      <c r="H7335" s="2" t="s">
        <v>148</v>
      </c>
      <c r="I7335" s="2" t="s">
        <v>18774</v>
      </c>
      <c r="J7335" s="3" t="str">
        <f>HYPERLINK("https://www.boe.es/gazeta/dias/1811/10/29/pdfs/GEI-1811-139.pdf#page=8","Abrir facsímil")</f>
        <v>Abrir facsímil</v>
      </c>
      <c r="K7335" s="3" t="s">
        <v>150</v>
      </c>
    </row>
    <row r="7336" spans="1:11" ht="42" customHeight="1">
      <c r="A7336" s="2" t="s">
        <v>18775</v>
      </c>
      <c r="B7336" s="2" t="s">
        <v>18776</v>
      </c>
      <c r="C7336" s="2" t="s">
        <v>26</v>
      </c>
      <c r="D7336" s="2" t="s">
        <v>18</v>
      </c>
      <c r="E7336" s="4">
        <v>-32221</v>
      </c>
      <c r="F7336" s="3" t="s">
        <v>747</v>
      </c>
      <c r="G7336" s="3" t="s">
        <v>47</v>
      </c>
      <c r="H7336" s="2" t="s">
        <v>148</v>
      </c>
      <c r="I7336" s="2" t="s">
        <v>18777</v>
      </c>
      <c r="J7336" s="3" t="str">
        <f>HYPERLINK("https://www.boe.es/gazeta/dias/1811/10/12/pdfs/GEI-1811-131.pdf#page=6","Abrir facsímil")</f>
        <v>Abrir facsímil</v>
      </c>
      <c r="K7336" s="3" t="s">
        <v>150</v>
      </c>
    </row>
    <row r="7337" spans="1:11" ht="42" customHeight="1">
      <c r="A7337" s="2" t="s">
        <v>18778</v>
      </c>
      <c r="B7337" s="2" t="s">
        <v>18779</v>
      </c>
      <c r="C7337" s="2" t="s">
        <v>26</v>
      </c>
      <c r="D7337" s="2" t="s">
        <v>141</v>
      </c>
      <c r="E7337" s="4">
        <v>-32188</v>
      </c>
      <c r="F7337" s="3" t="s">
        <v>505</v>
      </c>
      <c r="G7337" s="3" t="s">
        <v>162</v>
      </c>
      <c r="H7337" s="2" t="s">
        <v>148</v>
      </c>
      <c r="I7337" s="2" t="s">
        <v>18780</v>
      </c>
      <c r="J7337" s="3" t="str">
        <f>HYPERLINK("https://www.boe.es/gazeta/dias/1811/11/14/pdfs/GEI-D-1811-149.pdf#page=4","Abrir facsímil")</f>
        <v>Abrir facsímil</v>
      </c>
      <c r="K7337" s="3" t="s">
        <v>150</v>
      </c>
    </row>
    <row r="7338" spans="1:11" ht="42" customHeight="1">
      <c r="A7338" s="2" t="s">
        <v>18781</v>
      </c>
      <c r="B7338" s="2" t="s">
        <v>18782</v>
      </c>
      <c r="C7338" s="2" t="s">
        <v>841</v>
      </c>
      <c r="D7338" s="2" t="s">
        <v>18</v>
      </c>
      <c r="E7338" s="4">
        <v>-32225</v>
      </c>
      <c r="F7338" s="3" t="s">
        <v>390</v>
      </c>
      <c r="G7338" s="3" t="s">
        <v>1368</v>
      </c>
      <c r="H7338" s="2" t="s">
        <v>148</v>
      </c>
      <c r="I7338" s="2" t="s">
        <v>18783</v>
      </c>
      <c r="J7338" s="3" t="str">
        <f>HYPERLINK("https://www.boe.es/gazeta/dias/1811/10/08/pdfs/GEI-1811-129.pdf#page=8","Abrir facsímil")</f>
        <v>Abrir facsímil</v>
      </c>
      <c r="K7338" s="3" t="s">
        <v>150</v>
      </c>
    </row>
    <row r="7339" spans="1:11" ht="42" customHeight="1">
      <c r="A7339" s="2" t="s">
        <v>18784</v>
      </c>
      <c r="B7339" s="2" t="s">
        <v>18785</v>
      </c>
      <c r="C7339" s="2" t="s">
        <v>122</v>
      </c>
      <c r="D7339" s="2" t="s">
        <v>18</v>
      </c>
      <c r="E7339" s="4">
        <v>-32192</v>
      </c>
      <c r="F7339" s="3" t="s">
        <v>673</v>
      </c>
      <c r="G7339" s="3" t="s">
        <v>305</v>
      </c>
      <c r="H7339" s="2" t="s">
        <v>148</v>
      </c>
      <c r="I7339" s="2" t="s">
        <v>18786</v>
      </c>
      <c r="J7339" s="3" t="str">
        <f>HYPERLINK("https://www.boe.es/gazeta/dias/1811/11/10/pdfs/GMD-1811-314.pdf#page=4","Abrir facsímil")</f>
        <v>Abrir facsímil</v>
      </c>
      <c r="K7339" s="3" t="s">
        <v>150</v>
      </c>
    </row>
    <row r="7340" spans="1:11" ht="42" customHeight="1">
      <c r="A7340" s="2" t="s">
        <v>18787</v>
      </c>
      <c r="B7340" s="2" t="s">
        <v>18787</v>
      </c>
      <c r="C7340" s="2" t="s">
        <v>84</v>
      </c>
      <c r="D7340" s="2" t="s">
        <v>18</v>
      </c>
      <c r="E7340" s="4">
        <v>-32296</v>
      </c>
      <c r="F7340" s="3" t="s">
        <v>8352</v>
      </c>
      <c r="G7340" s="3" t="s">
        <v>183</v>
      </c>
      <c r="H7340" s="2" t="s">
        <v>148</v>
      </c>
      <c r="I7340" s="2" t="s">
        <v>18788</v>
      </c>
      <c r="J7340" s="3" t="str">
        <f>HYPERLINK("https://www.boe.es/gazeta/dias/1811/07/29/pdfs/GMD-1811-210.pdf#page=4","Abrir facsímil")</f>
        <v>Abrir facsímil</v>
      </c>
      <c r="K7340" s="3" t="s">
        <v>150</v>
      </c>
    </row>
    <row r="7341" spans="1:11" ht="42" customHeight="1">
      <c r="A7341" s="2" t="s">
        <v>18789</v>
      </c>
      <c r="B7341" s="2" t="s">
        <v>18790</v>
      </c>
      <c r="C7341" s="2" t="s">
        <v>26</v>
      </c>
      <c r="D7341" s="2" t="s">
        <v>18</v>
      </c>
      <c r="E7341" s="4">
        <v>-32195</v>
      </c>
      <c r="F7341" s="3" t="s">
        <v>439</v>
      </c>
      <c r="G7341" s="3" t="s">
        <v>2092</v>
      </c>
      <c r="H7341" s="2" t="s">
        <v>148</v>
      </c>
      <c r="I7341" s="2" t="s">
        <v>18791</v>
      </c>
      <c r="J7341" s="3" t="str">
        <f>HYPERLINK("https://www.boe.es/gazeta/dias/1811/11/07/pdfs/GEI-1811-144.pdf#page=7","Abrir facsímil")</f>
        <v>Abrir facsímil</v>
      </c>
      <c r="K7341" s="3" t="s">
        <v>150</v>
      </c>
    </row>
    <row r="7342" spans="1:11" ht="42" customHeight="1">
      <c r="A7342" s="2" t="s">
        <v>18792</v>
      </c>
      <c r="B7342" s="2" t="s">
        <v>18793</v>
      </c>
      <c r="C7342" s="2" t="s">
        <v>26</v>
      </c>
      <c r="D7342" s="2" t="s">
        <v>18</v>
      </c>
      <c r="E7342" s="4">
        <v>-32172</v>
      </c>
      <c r="F7342" s="3" t="s">
        <v>300</v>
      </c>
      <c r="G7342" s="3" t="s">
        <v>301</v>
      </c>
      <c r="H7342" s="2" t="s">
        <v>148</v>
      </c>
      <c r="I7342" s="2" t="s">
        <v>18794</v>
      </c>
      <c r="J7342" s="3" t="str">
        <f>HYPERLINK("https://www.boe.es/gazeta/dias/1811/11/30/pdfs/GMD-1811-334.pdf#page=4","Abrir facsímil")</f>
        <v>Abrir facsímil</v>
      </c>
      <c r="K7342" s="3" t="s">
        <v>150</v>
      </c>
    </row>
    <row r="7343" spans="1:11" ht="42" customHeight="1">
      <c r="A7343" s="2" t="s">
        <v>18795</v>
      </c>
      <c r="B7343" s="2" t="s">
        <v>18796</v>
      </c>
      <c r="C7343" s="2" t="s">
        <v>26</v>
      </c>
      <c r="D7343" s="2" t="s">
        <v>141</v>
      </c>
      <c r="E7343" s="4">
        <v>-32280</v>
      </c>
      <c r="F7343" s="3" t="s">
        <v>142</v>
      </c>
      <c r="G7343" s="3" t="s">
        <v>597</v>
      </c>
      <c r="H7343" s="2" t="s">
        <v>148</v>
      </c>
      <c r="I7343" s="2" t="s">
        <v>18797</v>
      </c>
      <c r="J7343" s="3" t="str">
        <f>HYPERLINK("https://www.boe.es/gazeta/dias/1811/08/14/pdfs/GMD-C-1811-226.pdf#page=2","Abrir facsímil")</f>
        <v>Abrir facsímil</v>
      </c>
      <c r="K7343" s="3" t="s">
        <v>150</v>
      </c>
    </row>
    <row r="7344" spans="1:11" ht="42" customHeight="1">
      <c r="A7344" s="2" t="s">
        <v>18798</v>
      </c>
      <c r="B7344" s="2" t="s">
        <v>18799</v>
      </c>
      <c r="C7344" s="2" t="s">
        <v>26</v>
      </c>
      <c r="D7344" s="2" t="s">
        <v>18</v>
      </c>
      <c r="E7344" s="4">
        <v>-32158</v>
      </c>
      <c r="F7344" s="3" t="s">
        <v>46</v>
      </c>
      <c r="G7344" s="3" t="s">
        <v>47</v>
      </c>
      <c r="H7344" s="2" t="s">
        <v>148</v>
      </c>
      <c r="I7344" s="2" t="s">
        <v>18800</v>
      </c>
      <c r="J7344" s="3" t="str">
        <f>HYPERLINK("https://www.boe.es/gazeta/dias/1811/12/14/pdfs/GEI-1811-162.pdf#page=7","Abrir facsímil")</f>
        <v>Abrir facsímil</v>
      </c>
      <c r="K7344" s="3" t="s">
        <v>150</v>
      </c>
    </row>
    <row r="7345" spans="1:11" ht="42" customHeight="1">
      <c r="A7345" s="2" t="s">
        <v>18801</v>
      </c>
      <c r="B7345" s="2" t="s">
        <v>18802</v>
      </c>
      <c r="C7345" s="2" t="s">
        <v>26</v>
      </c>
      <c r="D7345" s="2" t="s">
        <v>18</v>
      </c>
      <c r="E7345" s="4">
        <v>-32153</v>
      </c>
      <c r="F7345" s="3" t="s">
        <v>123</v>
      </c>
      <c r="G7345" s="3" t="s">
        <v>288</v>
      </c>
      <c r="H7345" s="2" t="s">
        <v>148</v>
      </c>
      <c r="I7345" s="2" t="s">
        <v>18803</v>
      </c>
      <c r="J7345" s="3" t="str">
        <f>HYPERLINK("https://www.boe.es/gazeta/dias/1811/12/19/pdfs/GMD-1811-353.pdf#page=4","Abrir facsímil")</f>
        <v>Abrir facsímil</v>
      </c>
      <c r="K7345" s="3" t="s">
        <v>150</v>
      </c>
    </row>
    <row r="7346" spans="1:11" ht="42" customHeight="1">
      <c r="A7346" s="2" t="s">
        <v>18804</v>
      </c>
      <c r="B7346" s="2" t="s">
        <v>18805</v>
      </c>
      <c r="C7346" s="2" t="s">
        <v>26</v>
      </c>
      <c r="D7346" s="2" t="s">
        <v>18</v>
      </c>
      <c r="E7346" s="4">
        <v>-32249</v>
      </c>
      <c r="F7346" s="3" t="s">
        <v>182</v>
      </c>
      <c r="G7346" s="3" t="s">
        <v>183</v>
      </c>
      <c r="H7346" s="2" t="s">
        <v>148</v>
      </c>
      <c r="I7346" s="2" t="s">
        <v>18806</v>
      </c>
      <c r="J7346" s="3" t="str">
        <f>HYPERLINK("https://www.boe.es/gazeta/dias/1811/09/14/pdfs/GMD-1811-257.pdf#page=4","Abrir facsímil")</f>
        <v>Abrir facsímil</v>
      </c>
      <c r="K7346" s="3" t="s">
        <v>150</v>
      </c>
    </row>
    <row r="7347" spans="1:11" ht="42" customHeight="1">
      <c r="A7347" s="2" t="s">
        <v>18807</v>
      </c>
      <c r="B7347" s="2" t="s">
        <v>18808</v>
      </c>
      <c r="C7347" s="2" t="s">
        <v>17</v>
      </c>
      <c r="D7347" s="2" t="s">
        <v>18</v>
      </c>
      <c r="E7347" s="4">
        <v>-32461</v>
      </c>
      <c r="F7347" s="3" t="s">
        <v>2429</v>
      </c>
      <c r="G7347" s="3" t="s">
        <v>2101</v>
      </c>
      <c r="H7347" s="2" t="s">
        <v>148</v>
      </c>
      <c r="I7347" s="2" t="s">
        <v>18809</v>
      </c>
      <c r="J7347" s="3" t="str">
        <f>HYPERLINK("https://www.boe.es/gazeta/dias/1811/02/14/pdfs/GEI-1811-20.pdf#page=2","Abrir facsímil")</f>
        <v>Abrir facsímil</v>
      </c>
      <c r="K7347" s="3" t="s">
        <v>150</v>
      </c>
    </row>
    <row r="7348" spans="1:11" ht="42" customHeight="1">
      <c r="A7348" s="2" t="s">
        <v>18810</v>
      </c>
      <c r="B7348" s="2" t="s">
        <v>18811</v>
      </c>
      <c r="C7348" s="2" t="s">
        <v>26</v>
      </c>
      <c r="D7348" s="2" t="s">
        <v>18</v>
      </c>
      <c r="E7348" s="4">
        <v>-32193</v>
      </c>
      <c r="F7348" s="3" t="s">
        <v>1037</v>
      </c>
      <c r="G7348" s="3" t="s">
        <v>44</v>
      </c>
      <c r="H7348" s="2" t="s">
        <v>148</v>
      </c>
      <c r="I7348" s="2" t="s">
        <v>18812</v>
      </c>
      <c r="J7348" s="3" t="str">
        <f>HYPERLINK("https://www.boe.es/gazeta/dias/1811/11/09/pdfs/GEI-1811-145.pdf#page=4","Abrir facsímil")</f>
        <v>Abrir facsímil</v>
      </c>
      <c r="K7348" s="3" t="s">
        <v>150</v>
      </c>
    </row>
    <row r="7349" spans="1:11" ht="42" customHeight="1">
      <c r="A7349" s="2" t="s">
        <v>18813</v>
      </c>
      <c r="B7349" s="2" t="s">
        <v>18814</v>
      </c>
      <c r="C7349" s="2" t="s">
        <v>26</v>
      </c>
      <c r="D7349" s="2" t="s">
        <v>18</v>
      </c>
      <c r="E7349" s="4">
        <v>-32379</v>
      </c>
      <c r="F7349" s="3" t="s">
        <v>462</v>
      </c>
      <c r="G7349" s="3" t="s">
        <v>4609</v>
      </c>
      <c r="H7349" s="2" t="s">
        <v>148</v>
      </c>
      <c r="I7349" s="2" t="s">
        <v>18815</v>
      </c>
      <c r="J7349" s="3" t="str">
        <f>HYPERLINK("https://www.boe.es/gazeta/dias/1811/05/07/pdfs/GEI-1811-60.pdf#page=2","Abrir facsímil")</f>
        <v>Abrir facsímil</v>
      </c>
      <c r="K7349" s="3" t="s">
        <v>150</v>
      </c>
    </row>
    <row r="7350" spans="1:11" ht="42" customHeight="1">
      <c r="A7350" s="2" t="s">
        <v>18813</v>
      </c>
      <c r="B7350" s="2" t="s">
        <v>18814</v>
      </c>
      <c r="C7350" s="2" t="s">
        <v>26</v>
      </c>
      <c r="D7350" s="2" t="s">
        <v>18</v>
      </c>
      <c r="E7350" s="4">
        <v>-32326</v>
      </c>
      <c r="F7350" s="3" t="s">
        <v>43</v>
      </c>
      <c r="G7350" s="3" t="s">
        <v>44</v>
      </c>
      <c r="H7350" s="2" t="s">
        <v>148</v>
      </c>
      <c r="I7350" s="2" t="s">
        <v>18816</v>
      </c>
      <c r="J7350" s="3" t="str">
        <f>HYPERLINK("https://www.boe.es/gazeta/dias/1811/06/29/pdfs/GEI-1811-86.pdf#page=6","Abrir facsímil")</f>
        <v>Abrir facsímil</v>
      </c>
      <c r="K7350" s="3" t="s">
        <v>150</v>
      </c>
    </row>
    <row r="7351" spans="1:11" ht="42" customHeight="1">
      <c r="A7351" s="2" t="s">
        <v>18817</v>
      </c>
      <c r="B7351" s="2" t="s">
        <v>18818</v>
      </c>
      <c r="C7351" s="2" t="s">
        <v>26</v>
      </c>
      <c r="D7351" s="2" t="s">
        <v>105</v>
      </c>
      <c r="E7351" s="4">
        <v>-32230</v>
      </c>
      <c r="F7351" s="3" t="s">
        <v>625</v>
      </c>
      <c r="G7351" s="3" t="s">
        <v>162</v>
      </c>
      <c r="H7351" s="2" t="s">
        <v>148</v>
      </c>
      <c r="I7351" s="2" t="s">
        <v>18819</v>
      </c>
      <c r="J7351" s="3" t="str">
        <f>HYPERLINK("https://www.boe.es/gazeta/dias/1811/10/03/pdfs/GEI-1811-127.pdf#page=7","Abrir facsímil")</f>
        <v>Abrir facsímil</v>
      </c>
      <c r="K7351" s="3" t="s">
        <v>150</v>
      </c>
    </row>
    <row r="7352" spans="1:11" ht="42" customHeight="1">
      <c r="A7352" s="2" t="s">
        <v>18820</v>
      </c>
      <c r="B7352" s="2" t="s">
        <v>18821</v>
      </c>
      <c r="C7352" s="2" t="s">
        <v>17</v>
      </c>
      <c r="D7352" s="2" t="s">
        <v>18</v>
      </c>
      <c r="E7352" s="4">
        <v>-32232</v>
      </c>
      <c r="F7352" s="3" t="s">
        <v>1816</v>
      </c>
      <c r="G7352" s="3" t="s">
        <v>1817</v>
      </c>
      <c r="H7352" s="2" t="s">
        <v>148</v>
      </c>
      <c r="I7352" s="2" t="s">
        <v>18822</v>
      </c>
      <c r="J7352" s="3" t="str">
        <f>HYPERLINK("https://www.boe.es/gazeta/dias/1811/10/01/pdfs/GEI-1811-126.pdf#page=8","Abrir facsímil")</f>
        <v>Abrir facsímil</v>
      </c>
      <c r="K7352" s="3" t="s">
        <v>150</v>
      </c>
    </row>
    <row r="7353" spans="1:11" ht="42" customHeight="1">
      <c r="A7353" s="2" t="s">
        <v>18820</v>
      </c>
      <c r="B7353" s="2" t="s">
        <v>18821</v>
      </c>
      <c r="C7353" s="2" t="s">
        <v>17</v>
      </c>
      <c r="D7353" s="2" t="s">
        <v>18</v>
      </c>
      <c r="E7353" s="4">
        <v>-32200</v>
      </c>
      <c r="F7353" s="3" t="s">
        <v>109</v>
      </c>
      <c r="G7353" s="3" t="s">
        <v>268</v>
      </c>
      <c r="H7353" s="2" t="s">
        <v>148</v>
      </c>
      <c r="I7353" s="2" t="s">
        <v>18823</v>
      </c>
      <c r="J7353" s="3" t="str">
        <f>HYPERLINK("https://www.boe.es/gazeta/dias/1811/11/02/pdfs/GEI-1811-141.pdf#page=7","Abrir facsímil")</f>
        <v>Abrir facsímil</v>
      </c>
      <c r="K7353" s="3" t="s">
        <v>150</v>
      </c>
    </row>
    <row r="7354" spans="1:11" ht="42" customHeight="1">
      <c r="A7354" s="2" t="s">
        <v>18824</v>
      </c>
      <c r="B7354" s="2" t="s">
        <v>18825</v>
      </c>
      <c r="C7354" s="2" t="s">
        <v>26</v>
      </c>
      <c r="D7354" s="2" t="s">
        <v>18</v>
      </c>
      <c r="E7354" s="4">
        <v>-32379</v>
      </c>
      <c r="F7354" s="3" t="s">
        <v>462</v>
      </c>
      <c r="G7354" s="3" t="s">
        <v>463</v>
      </c>
      <c r="H7354" s="2" t="s">
        <v>148</v>
      </c>
      <c r="I7354" s="2" t="s">
        <v>18826</v>
      </c>
      <c r="J7354" s="3" t="str">
        <f>HYPERLINK("https://www.boe.es/gazeta/dias/1811/05/07/pdfs/GEI-1811-60.pdf#page=8","Abrir facsímil")</f>
        <v>Abrir facsímil</v>
      </c>
      <c r="K7354" s="3" t="s">
        <v>150</v>
      </c>
    </row>
    <row r="7355" spans="1:11" ht="42" customHeight="1">
      <c r="A7355" s="2" t="s">
        <v>18827</v>
      </c>
      <c r="B7355" s="2" t="s">
        <v>18828</v>
      </c>
      <c r="C7355" s="2" t="s">
        <v>26</v>
      </c>
      <c r="D7355" s="2" t="s">
        <v>18</v>
      </c>
      <c r="E7355" s="4">
        <v>-32235</v>
      </c>
      <c r="F7355" s="3" t="s">
        <v>190</v>
      </c>
      <c r="G7355" s="3" t="s">
        <v>188</v>
      </c>
      <c r="H7355" s="2" t="s">
        <v>148</v>
      </c>
      <c r="I7355" s="2" t="s">
        <v>18829</v>
      </c>
      <c r="J7355" s="3" t="str">
        <f>HYPERLINK("https://www.boe.es/gazeta/dias/1811/09/28/pdfs/GEI-1811-125.pdf#page=8","Abrir facsímil")</f>
        <v>Abrir facsímil</v>
      </c>
      <c r="K7355" s="3" t="s">
        <v>150</v>
      </c>
    </row>
    <row r="7356" spans="1:11" ht="42" customHeight="1">
      <c r="A7356" s="2" t="s">
        <v>18830</v>
      </c>
      <c r="B7356" s="2" t="s">
        <v>18831</v>
      </c>
      <c r="C7356" s="2" t="s">
        <v>26</v>
      </c>
      <c r="D7356" s="2" t="s">
        <v>18</v>
      </c>
      <c r="E7356" s="4">
        <v>-32433</v>
      </c>
      <c r="F7356" s="3" t="s">
        <v>209</v>
      </c>
      <c r="G7356" s="3" t="s">
        <v>488</v>
      </c>
      <c r="H7356" s="2" t="s">
        <v>148</v>
      </c>
      <c r="I7356" s="2" t="s">
        <v>18832</v>
      </c>
      <c r="J7356" s="3" t="str">
        <f>HYPERLINK("https://www.boe.es/gazeta/dias/1811/03/14/pdfs/GMD-1811-73.pdf#page=2","Abrir facsímil")</f>
        <v>Abrir facsímil</v>
      </c>
      <c r="K7356" s="3" t="s">
        <v>150</v>
      </c>
    </row>
    <row r="7357" spans="1:11" ht="42" customHeight="1">
      <c r="A7357" s="2" t="s">
        <v>18833</v>
      </c>
      <c r="B7357" s="2" t="s">
        <v>18834</v>
      </c>
      <c r="C7357" s="2" t="s">
        <v>122</v>
      </c>
      <c r="D7357" s="2" t="s">
        <v>141</v>
      </c>
      <c r="E7357" s="4">
        <v>-32238</v>
      </c>
      <c r="F7357" s="3" t="s">
        <v>166</v>
      </c>
      <c r="G7357" s="3" t="s">
        <v>129</v>
      </c>
      <c r="H7357" s="2" t="s">
        <v>148</v>
      </c>
      <c r="I7357" s="2" t="s">
        <v>18835</v>
      </c>
      <c r="J7357" s="3" t="str">
        <f>HYPERLINK("https://www.boe.es/gazeta/dias/1811/09/25/pdfs/GMD-C-1811-268.pdf#page=1","Abrir facsímil")</f>
        <v>Abrir facsímil</v>
      </c>
      <c r="K7357" s="3" t="s">
        <v>150</v>
      </c>
    </row>
    <row r="7358" spans="1:11" ht="42" customHeight="1">
      <c r="A7358" s="2" t="s">
        <v>18836</v>
      </c>
      <c r="B7358" s="2" t="s">
        <v>18837</v>
      </c>
      <c r="C7358" s="2" t="s">
        <v>26</v>
      </c>
      <c r="D7358" s="2" t="s">
        <v>141</v>
      </c>
      <c r="E7358" s="4">
        <v>-32238</v>
      </c>
      <c r="F7358" s="3" t="s">
        <v>166</v>
      </c>
      <c r="G7358" s="3" t="s">
        <v>178</v>
      </c>
      <c r="H7358" s="2" t="s">
        <v>148</v>
      </c>
      <c r="I7358" s="2" t="s">
        <v>18838</v>
      </c>
      <c r="J7358" s="3" t="str">
        <f>HYPERLINK("https://www.boe.es/gazeta/dias/1811/09/25/pdfs/GMD-C-1811-268.pdf#page=4","Abrir facsímil")</f>
        <v>Abrir facsímil</v>
      </c>
      <c r="K7358" s="3" t="s">
        <v>150</v>
      </c>
    </row>
    <row r="7359" spans="1:11" ht="42" customHeight="1">
      <c r="A7359" s="2" t="s">
        <v>18839</v>
      </c>
      <c r="B7359" s="2" t="s">
        <v>18840</v>
      </c>
      <c r="C7359" s="2" t="s">
        <v>26</v>
      </c>
      <c r="D7359" s="2" t="s">
        <v>141</v>
      </c>
      <c r="E7359" s="4">
        <v>-32280</v>
      </c>
      <c r="F7359" s="3" t="s">
        <v>142</v>
      </c>
      <c r="G7359" s="3" t="s">
        <v>47</v>
      </c>
      <c r="H7359" s="2" t="s">
        <v>148</v>
      </c>
      <c r="I7359" s="2" t="s">
        <v>18841</v>
      </c>
      <c r="J7359" s="3" t="str">
        <f>HYPERLINK("https://www.boe.es/gazeta/dias/1811/08/14/pdfs/GMD-C-1811-226.pdf#page=1","Abrir facsímil")</f>
        <v>Abrir facsímil</v>
      </c>
      <c r="K7359" s="3" t="s">
        <v>150</v>
      </c>
    </row>
    <row r="7360" spans="1:11" ht="42" customHeight="1">
      <c r="A7360" s="2" t="s">
        <v>18842</v>
      </c>
      <c r="B7360" s="2" t="s">
        <v>18843</v>
      </c>
      <c r="C7360" s="2" t="s">
        <v>17</v>
      </c>
      <c r="D7360" s="2" t="s">
        <v>18</v>
      </c>
      <c r="E7360" s="4">
        <v>-32505</v>
      </c>
      <c r="F7360" s="3" t="s">
        <v>475</v>
      </c>
      <c r="G7360" s="3" t="s">
        <v>755</v>
      </c>
      <c r="H7360" s="2" t="s">
        <v>148</v>
      </c>
      <c r="I7360" s="2" t="s">
        <v>18844</v>
      </c>
      <c r="J7360" s="3" t="str">
        <f>HYPERLINK("https://www.boe.es/gazeta/dias/1811/01/01/pdfs/GEI-1811-1.pdf#page=8","Abrir facsímil")</f>
        <v>Abrir facsímil</v>
      </c>
      <c r="K7360" s="3" t="s">
        <v>150</v>
      </c>
    </row>
    <row r="7361" spans="1:11" ht="42" customHeight="1">
      <c r="A7361" s="2" t="s">
        <v>18842</v>
      </c>
      <c r="B7361" s="2" t="s">
        <v>18843</v>
      </c>
      <c r="C7361" s="2" t="s">
        <v>26</v>
      </c>
      <c r="D7361" s="2" t="s">
        <v>18</v>
      </c>
      <c r="E7361" s="4">
        <v>-32463</v>
      </c>
      <c r="F7361" s="3" t="s">
        <v>734</v>
      </c>
      <c r="G7361" s="3" t="s">
        <v>735</v>
      </c>
      <c r="H7361" s="2" t="s">
        <v>148</v>
      </c>
      <c r="I7361" s="2" t="s">
        <v>18845</v>
      </c>
      <c r="J7361" s="3" t="str">
        <f>HYPERLINK("https://www.boe.es/gazeta/dias/1811/02/12/pdfs/GEI-1811-19.pdf#page=8","Abrir facsímil")</f>
        <v>Abrir facsímil</v>
      </c>
      <c r="K7361" s="3" t="s">
        <v>150</v>
      </c>
    </row>
    <row r="7362" spans="1:11" ht="42" customHeight="1">
      <c r="A7362" s="2" t="s">
        <v>18846</v>
      </c>
      <c r="B7362" s="2" t="s">
        <v>18847</v>
      </c>
      <c r="C7362" s="2" t="s">
        <v>26</v>
      </c>
      <c r="D7362" s="2" t="s">
        <v>18</v>
      </c>
      <c r="E7362" s="4">
        <v>-32242</v>
      </c>
      <c r="F7362" s="3" t="s">
        <v>1295</v>
      </c>
      <c r="G7362" s="3" t="s">
        <v>1296</v>
      </c>
      <c r="H7362" s="2" t="s">
        <v>148</v>
      </c>
      <c r="I7362" s="2" t="s">
        <v>18848</v>
      </c>
      <c r="J7362" s="3" t="str">
        <f>HYPERLINK("https://www.boe.es/gazeta/dias/1811/09/21/pdfs/GEI-1811-122.pdf#page=8","Abrir facsímil")</f>
        <v>Abrir facsímil</v>
      </c>
      <c r="K7362" s="3" t="s">
        <v>150</v>
      </c>
    </row>
    <row r="7363" spans="1:11" ht="42" customHeight="1">
      <c r="A7363" s="2" t="s">
        <v>18849</v>
      </c>
      <c r="B7363" s="2" t="s">
        <v>18850</v>
      </c>
      <c r="C7363" s="2" t="s">
        <v>26</v>
      </c>
      <c r="D7363" s="2" t="s">
        <v>105</v>
      </c>
      <c r="E7363" s="4">
        <v>-32238</v>
      </c>
      <c r="F7363" s="3" t="s">
        <v>166</v>
      </c>
      <c r="G7363" s="3" t="s">
        <v>39</v>
      </c>
      <c r="H7363" s="2" t="s">
        <v>148</v>
      </c>
      <c r="I7363" s="2" t="s">
        <v>18851</v>
      </c>
      <c r="J7363" s="3" t="str">
        <f>HYPERLINK("https://www.boe.es/gazeta/dias/1811/09/25/pdfs/GMD-C-1811-268.pdf#page=2","Abrir facsímil")</f>
        <v>Abrir facsímil</v>
      </c>
      <c r="K7363" s="3" t="s">
        <v>150</v>
      </c>
    </row>
    <row r="7364" spans="1:11" ht="42" customHeight="1">
      <c r="A7364" s="2" t="s">
        <v>18852</v>
      </c>
      <c r="B7364" s="2" t="s">
        <v>18853</v>
      </c>
      <c r="C7364" s="2" t="s">
        <v>26</v>
      </c>
      <c r="D7364" s="2" t="s">
        <v>18</v>
      </c>
      <c r="E7364" s="4">
        <v>-32242</v>
      </c>
      <c r="F7364" s="3" t="s">
        <v>1295</v>
      </c>
      <c r="G7364" s="3" t="s">
        <v>1296</v>
      </c>
      <c r="H7364" s="2" t="s">
        <v>148</v>
      </c>
      <c r="I7364" s="2" t="s">
        <v>18854</v>
      </c>
      <c r="J7364" s="3" t="str">
        <f>HYPERLINK("https://www.boe.es/gazeta/dias/1811/09/21/pdfs/GEI-1811-122.pdf#page=8","Abrir facsímil")</f>
        <v>Abrir facsímil</v>
      </c>
      <c r="K7364" s="3" t="s">
        <v>150</v>
      </c>
    </row>
    <row r="7365" spans="1:11" ht="42" customHeight="1">
      <c r="A7365" s="2" t="s">
        <v>18855</v>
      </c>
      <c r="B7365" s="2" t="s">
        <v>18856</v>
      </c>
      <c r="C7365" s="2" t="s">
        <v>26</v>
      </c>
      <c r="D7365" s="2" t="s">
        <v>141</v>
      </c>
      <c r="E7365" s="4">
        <v>-32238</v>
      </c>
      <c r="F7365" s="3" t="s">
        <v>166</v>
      </c>
      <c r="G7365" s="3" t="s">
        <v>657</v>
      </c>
      <c r="H7365" s="2" t="s">
        <v>148</v>
      </c>
      <c r="I7365" s="2" t="s">
        <v>18857</v>
      </c>
      <c r="J7365" s="3" t="str">
        <f>HYPERLINK("https://www.boe.es/gazeta/dias/1811/09/25/pdfs/GMD-C-1811-268.pdf#page=3","Abrir facsímil")</f>
        <v>Abrir facsímil</v>
      </c>
      <c r="K7365" s="3" t="s">
        <v>150</v>
      </c>
    </row>
    <row r="7366" spans="1:11" ht="42" customHeight="1">
      <c r="A7366" s="2" t="s">
        <v>18858</v>
      </c>
      <c r="B7366" s="2" t="s">
        <v>18859</v>
      </c>
      <c r="C7366" s="2" t="s">
        <v>37</v>
      </c>
      <c r="D7366" s="2" t="s">
        <v>18</v>
      </c>
      <c r="E7366" s="4">
        <v>-32333</v>
      </c>
      <c r="F7366" s="3" t="s">
        <v>292</v>
      </c>
      <c r="G7366" s="3" t="s">
        <v>476</v>
      </c>
      <c r="H7366" s="2" t="s">
        <v>148</v>
      </c>
      <c r="I7366" s="2" t="s">
        <v>18860</v>
      </c>
      <c r="J7366" s="3" t="str">
        <f>HYPERLINK("https://www.boe.es/gazeta/dias/1811/06/22/pdfs/GEI-1811-83.pdf#page=7","Abrir facsímil")</f>
        <v>Abrir facsímil</v>
      </c>
      <c r="K7366" s="3" t="s">
        <v>150</v>
      </c>
    </row>
    <row r="7367" spans="1:11" ht="42" customHeight="1">
      <c r="A7367" s="2" t="s">
        <v>18861</v>
      </c>
      <c r="B7367" s="2" t="s">
        <v>18862</v>
      </c>
      <c r="C7367" s="2" t="s">
        <v>26</v>
      </c>
      <c r="D7367" s="2" t="s">
        <v>105</v>
      </c>
      <c r="E7367" s="4">
        <v>-32272</v>
      </c>
      <c r="F7367" s="3" t="s">
        <v>1150</v>
      </c>
      <c r="G7367" s="3" t="s">
        <v>248</v>
      </c>
      <c r="H7367" s="2" t="s">
        <v>148</v>
      </c>
      <c r="I7367" s="2" t="s">
        <v>18863</v>
      </c>
      <c r="J7367" s="3" t="str">
        <f>HYPERLINK("https://www.boe.es/gazeta/dias/1811/08/22/pdfs/GMD-C-1811-234.pdf#page=1","Abrir facsímil")</f>
        <v>Abrir facsímil</v>
      </c>
      <c r="K7367" s="3" t="s">
        <v>150</v>
      </c>
    </row>
    <row r="7368" spans="1:11" ht="42" customHeight="1">
      <c r="A7368" s="2" t="s">
        <v>18861</v>
      </c>
      <c r="B7368" s="2" t="s">
        <v>18862</v>
      </c>
      <c r="C7368" s="2" t="s">
        <v>26</v>
      </c>
      <c r="D7368" s="2" t="s">
        <v>18</v>
      </c>
      <c r="E7368" s="4">
        <v>-32153</v>
      </c>
      <c r="F7368" s="3" t="s">
        <v>123</v>
      </c>
      <c r="G7368" s="3" t="s">
        <v>288</v>
      </c>
      <c r="H7368" s="2" t="s">
        <v>148</v>
      </c>
      <c r="I7368" s="2" t="s">
        <v>18864</v>
      </c>
      <c r="J7368" s="3" t="str">
        <f>HYPERLINK("https://www.boe.es/gazeta/dias/1811/12/19/pdfs/GMD-1811-353.pdf#page=4","Abrir facsímil")</f>
        <v>Abrir facsímil</v>
      </c>
      <c r="K7368" s="3" t="s">
        <v>150</v>
      </c>
    </row>
    <row r="7369" spans="1:11" ht="42" customHeight="1">
      <c r="A7369" s="2" t="s">
        <v>18865</v>
      </c>
      <c r="B7369" s="2" t="s">
        <v>18866</v>
      </c>
      <c r="C7369" s="2" t="s">
        <v>26</v>
      </c>
      <c r="D7369" s="2" t="s">
        <v>141</v>
      </c>
      <c r="E7369" s="4">
        <v>-32238</v>
      </c>
      <c r="F7369" s="3" t="s">
        <v>166</v>
      </c>
      <c r="G7369" s="3" t="s">
        <v>39</v>
      </c>
      <c r="H7369" s="2" t="s">
        <v>148</v>
      </c>
      <c r="I7369" s="2" t="s">
        <v>18867</v>
      </c>
      <c r="J7369" s="3" t="str">
        <f>HYPERLINK("https://www.boe.es/gazeta/dias/1811/09/25/pdfs/GMD-C-1811-268.pdf#page=2","Abrir facsímil")</f>
        <v>Abrir facsímil</v>
      </c>
      <c r="K7369" s="3" t="s">
        <v>150</v>
      </c>
    </row>
    <row r="7370" spans="1:11" ht="42" customHeight="1">
      <c r="A7370" s="2" t="s">
        <v>18868</v>
      </c>
      <c r="B7370" s="2" t="s">
        <v>18869</v>
      </c>
      <c r="C7370" s="2" t="s">
        <v>26</v>
      </c>
      <c r="D7370" s="2" t="s">
        <v>18</v>
      </c>
      <c r="E7370" s="4">
        <v>-32340</v>
      </c>
      <c r="F7370" s="3" t="s">
        <v>565</v>
      </c>
      <c r="G7370" s="3" t="s">
        <v>91</v>
      </c>
      <c r="H7370" s="2" t="s">
        <v>148</v>
      </c>
      <c r="I7370" s="2" t="s">
        <v>18870</v>
      </c>
      <c r="J7370" s="3" t="str">
        <f>HYPERLINK("https://www.boe.es/gazeta/dias/1811/06/15/pdfs/GEI-1811-80.pdf#page=8","Abrir facsímil")</f>
        <v>Abrir facsímil</v>
      </c>
      <c r="K7370" s="3" t="s">
        <v>150</v>
      </c>
    </row>
    <row r="7371" spans="1:11" ht="42" customHeight="1">
      <c r="A7371" s="2" t="s">
        <v>18871</v>
      </c>
      <c r="B7371" s="2" t="s">
        <v>18872</v>
      </c>
      <c r="C7371" s="2" t="s">
        <v>66</v>
      </c>
      <c r="D7371" s="2" t="s">
        <v>141</v>
      </c>
      <c r="E7371" s="4">
        <v>-32238</v>
      </c>
      <c r="F7371" s="3" t="s">
        <v>166</v>
      </c>
      <c r="G7371" s="3" t="s">
        <v>657</v>
      </c>
      <c r="H7371" s="2" t="s">
        <v>148</v>
      </c>
      <c r="I7371" s="2" t="s">
        <v>18873</v>
      </c>
      <c r="J7371" s="3" t="str">
        <f>HYPERLINK("https://www.boe.es/gazeta/dias/1811/09/25/pdfs/GMD-C-1811-268.pdf#page=3","Abrir facsímil")</f>
        <v>Abrir facsímil</v>
      </c>
      <c r="K7371" s="3" t="s">
        <v>150</v>
      </c>
    </row>
    <row r="7372" spans="1:11" ht="42" customHeight="1">
      <c r="A7372" s="2" t="s">
        <v>18874</v>
      </c>
      <c r="B7372" s="2" t="s">
        <v>18875</v>
      </c>
      <c r="C7372" s="2" t="s">
        <v>26</v>
      </c>
      <c r="D7372" s="2" t="s">
        <v>18</v>
      </c>
      <c r="E7372" s="4">
        <v>-32200</v>
      </c>
      <c r="F7372" s="3" t="s">
        <v>109</v>
      </c>
      <c r="G7372" s="3" t="s">
        <v>268</v>
      </c>
      <c r="H7372" s="2" t="s">
        <v>148</v>
      </c>
      <c r="I7372" s="2" t="s">
        <v>18876</v>
      </c>
      <c r="J7372" s="3" t="str">
        <f>HYPERLINK("https://www.boe.es/gazeta/dias/1811/11/02/pdfs/GEI-1811-141.pdf#page=7","Abrir facsímil")</f>
        <v>Abrir facsímil</v>
      </c>
      <c r="K7372" s="3" t="s">
        <v>150</v>
      </c>
    </row>
    <row r="7373" spans="1:11" ht="42" customHeight="1">
      <c r="A7373" s="2" t="s">
        <v>18877</v>
      </c>
      <c r="B7373" s="2" t="s">
        <v>18878</v>
      </c>
      <c r="C7373" s="2" t="s">
        <v>26</v>
      </c>
      <c r="D7373" s="2" t="s">
        <v>204</v>
      </c>
      <c r="E7373" s="4">
        <v>-32432</v>
      </c>
      <c r="F7373" s="3" t="s">
        <v>8994</v>
      </c>
      <c r="G7373" s="3" t="s">
        <v>245</v>
      </c>
      <c r="H7373" s="2" t="s">
        <v>148</v>
      </c>
      <c r="I7373" s="2" t="s">
        <v>18879</v>
      </c>
      <c r="J7373" s="3" t="str">
        <f>HYPERLINK("https://www.boe.es/gazeta/dias/1811/03/15/pdfs/GMD-1811-74.pdf#page=3","Abrir facsímil")</f>
        <v>Abrir facsímil</v>
      </c>
      <c r="K7373" s="3" t="s">
        <v>150</v>
      </c>
    </row>
    <row r="7374" spans="1:11" ht="42" customHeight="1">
      <c r="A7374" s="2" t="s">
        <v>18880</v>
      </c>
      <c r="B7374" s="2" t="s">
        <v>18880</v>
      </c>
      <c r="C7374" s="2" t="s">
        <v>17</v>
      </c>
      <c r="D7374" s="2" t="s">
        <v>156</v>
      </c>
      <c r="E7374" s="4">
        <v>-32400</v>
      </c>
      <c r="F7374" s="3" t="s">
        <v>3343</v>
      </c>
      <c r="G7374" s="3" t="s">
        <v>846</v>
      </c>
      <c r="H7374" s="2" t="s">
        <v>148</v>
      </c>
      <c r="I7374" s="2" t="s">
        <v>18881</v>
      </c>
      <c r="J7374" s="3" t="str">
        <f>HYPERLINK("https://www.boe.es/gazeta/dias/1811/04/16/pdfs/GMD-1811-106.pdf#page=3","Abrir facsímil")</f>
        <v>Abrir facsímil</v>
      </c>
      <c r="K7374" s="3" t="s">
        <v>150</v>
      </c>
    </row>
    <row r="7375" spans="1:11" ht="42" customHeight="1">
      <c r="A7375" s="2" t="s">
        <v>18882</v>
      </c>
      <c r="B7375" s="2" t="s">
        <v>18882</v>
      </c>
      <c r="C7375" s="2" t="s">
        <v>17</v>
      </c>
      <c r="D7375" s="2" t="s">
        <v>18</v>
      </c>
      <c r="E7375" s="4">
        <v>-32192</v>
      </c>
      <c r="F7375" s="3" t="s">
        <v>673</v>
      </c>
      <c r="G7375" s="3" t="s">
        <v>8354</v>
      </c>
      <c r="H7375" s="2" t="s">
        <v>148</v>
      </c>
      <c r="I7375" s="2" t="s">
        <v>18883</v>
      </c>
      <c r="J7375" s="3" t="str">
        <f>HYPERLINK("https://www.boe.es/gazeta/dias/1811/11/10/pdfs/GMD-1811-314.pdf#page=3","Abrir facsímil")</f>
        <v>Abrir facsímil</v>
      </c>
      <c r="K7375" s="3" t="s">
        <v>150</v>
      </c>
    </row>
    <row r="7376" spans="1:11" ht="42" customHeight="1">
      <c r="A7376" s="2" t="s">
        <v>18884</v>
      </c>
      <c r="B7376" s="2" t="s">
        <v>18885</v>
      </c>
      <c r="C7376" s="2" t="s">
        <v>26</v>
      </c>
      <c r="D7376" s="2" t="s">
        <v>18</v>
      </c>
      <c r="E7376" s="4">
        <v>-32141</v>
      </c>
      <c r="F7376" s="3" t="s">
        <v>327</v>
      </c>
      <c r="G7376" s="3" t="s">
        <v>20</v>
      </c>
      <c r="H7376" s="2" t="s">
        <v>148</v>
      </c>
      <c r="I7376" s="2" t="s">
        <v>18886</v>
      </c>
      <c r="J7376" s="3" t="str">
        <f>HYPERLINK("https://www.boe.es/gazeta/dias/1811/12/31/pdfs/GMD-1811-365.pdf#page=4","Abrir facsímil")</f>
        <v>Abrir facsímil</v>
      </c>
      <c r="K7376" s="3" t="s">
        <v>150</v>
      </c>
    </row>
    <row r="7377" spans="1:11" ht="42" customHeight="1">
      <c r="A7377" s="2" t="s">
        <v>18887</v>
      </c>
      <c r="B7377" s="2" t="s">
        <v>18887</v>
      </c>
      <c r="C7377" s="2" t="s">
        <v>17</v>
      </c>
      <c r="D7377" s="2" t="s">
        <v>18</v>
      </c>
      <c r="E7377" s="4">
        <v>-32195</v>
      </c>
      <c r="F7377" s="3" t="s">
        <v>8457</v>
      </c>
      <c r="G7377" s="3" t="s">
        <v>44</v>
      </c>
      <c r="H7377" s="2" t="s">
        <v>148</v>
      </c>
      <c r="I7377" s="2" t="s">
        <v>18888</v>
      </c>
      <c r="J7377" s="3" t="str">
        <f>HYPERLINK("https://www.boe.es/gazeta/dias/1811/11/07/pdfs/GMD-1811-311.pdf#page=2","Abrir facsímil")</f>
        <v>Abrir facsímil</v>
      </c>
      <c r="K7377" s="3" t="s">
        <v>150</v>
      </c>
    </row>
    <row r="7378" spans="1:11" ht="42" customHeight="1">
      <c r="A7378" s="2" t="s">
        <v>18887</v>
      </c>
      <c r="B7378" s="2" t="s">
        <v>18887</v>
      </c>
      <c r="C7378" s="2" t="s">
        <v>17</v>
      </c>
      <c r="D7378" s="2" t="s">
        <v>18</v>
      </c>
      <c r="E7378" s="4">
        <v>-32191</v>
      </c>
      <c r="F7378" s="3" t="s">
        <v>2483</v>
      </c>
      <c r="G7378" s="3" t="s">
        <v>488</v>
      </c>
      <c r="H7378" s="2" t="s">
        <v>148</v>
      </c>
      <c r="I7378" s="2" t="s">
        <v>18889</v>
      </c>
      <c r="J7378" s="3" t="str">
        <f>HYPERLINK("https://www.boe.es/gazeta/dias/1811/11/11/pdfs/GMD-1811-315.pdf#page=2","Abrir facsímil")</f>
        <v>Abrir facsímil</v>
      </c>
      <c r="K7378" s="3" t="s">
        <v>150</v>
      </c>
    </row>
    <row r="7379" spans="1:11" ht="42" customHeight="1">
      <c r="A7379" s="2" t="s">
        <v>18890</v>
      </c>
      <c r="B7379" s="2" t="s">
        <v>18890</v>
      </c>
      <c r="C7379" s="2" t="s">
        <v>17</v>
      </c>
      <c r="D7379" s="2" t="s">
        <v>18</v>
      </c>
      <c r="E7379" s="4">
        <v>-32286</v>
      </c>
      <c r="F7379" s="3" t="s">
        <v>754</v>
      </c>
      <c r="G7379" s="3" t="s">
        <v>755</v>
      </c>
      <c r="H7379" s="2" t="s">
        <v>148</v>
      </c>
      <c r="I7379" s="2" t="s">
        <v>18891</v>
      </c>
      <c r="J7379" s="3" t="str">
        <f>HYPERLINK("https://www.boe.es/gazeta/dias/1811/08/08/pdfs/GEI-1811-103.pdf#page=2","Abrir facsímil")</f>
        <v>Abrir facsímil</v>
      </c>
      <c r="K7379" s="3" t="s">
        <v>150</v>
      </c>
    </row>
    <row r="7380" spans="1:11" ht="42" customHeight="1">
      <c r="A7380" s="2" t="s">
        <v>18892</v>
      </c>
      <c r="B7380" s="2" t="s">
        <v>18892</v>
      </c>
      <c r="C7380" s="2" t="s">
        <v>17</v>
      </c>
      <c r="D7380" s="2" t="s">
        <v>156</v>
      </c>
      <c r="E7380" s="4">
        <v>-32294</v>
      </c>
      <c r="F7380" s="3" t="s">
        <v>3123</v>
      </c>
      <c r="G7380" s="3" t="s">
        <v>91</v>
      </c>
      <c r="H7380" s="2" t="s">
        <v>148</v>
      </c>
      <c r="I7380" s="2" t="s">
        <v>18893</v>
      </c>
      <c r="J7380" s="3" t="str">
        <f>HYPERLINK("https://www.boe.es/gazeta/dias/1811/07/31/pdfs/GMD-1811-212.pdf#page=2","Abrir facsímil")</f>
        <v>Abrir facsímil</v>
      </c>
      <c r="K7380" s="3" t="s">
        <v>150</v>
      </c>
    </row>
    <row r="7381" spans="1:11" ht="42" customHeight="1">
      <c r="A7381" s="2" t="s">
        <v>18894</v>
      </c>
      <c r="B7381" s="2" t="s">
        <v>18894</v>
      </c>
      <c r="C7381" s="2" t="s">
        <v>17</v>
      </c>
      <c r="D7381" s="2" t="s">
        <v>18</v>
      </c>
      <c r="E7381" s="4">
        <v>-32318</v>
      </c>
      <c r="F7381" s="3" t="s">
        <v>1193</v>
      </c>
      <c r="G7381" s="3" t="s">
        <v>284</v>
      </c>
      <c r="H7381" s="2" t="s">
        <v>148</v>
      </c>
      <c r="I7381" s="2" t="s">
        <v>18895</v>
      </c>
      <c r="J7381" s="3" t="str">
        <f>HYPERLINK("https://www.boe.es/gazeta/dias/1811/07/07/pdfs/GMD-1811-188.pdf#page=2","Abrir facsímil")</f>
        <v>Abrir facsímil</v>
      </c>
      <c r="K7381" s="3" t="s">
        <v>150</v>
      </c>
    </row>
    <row r="7382" spans="1:11" ht="42" customHeight="1">
      <c r="A7382" s="2" t="s">
        <v>18896</v>
      </c>
      <c r="B7382" s="2" t="s">
        <v>18897</v>
      </c>
      <c r="C7382" s="2" t="s">
        <v>26</v>
      </c>
      <c r="D7382" s="2" t="s">
        <v>18</v>
      </c>
      <c r="E7382" s="4">
        <v>-32379</v>
      </c>
      <c r="F7382" s="3" t="s">
        <v>462</v>
      </c>
      <c r="G7382" s="3" t="s">
        <v>463</v>
      </c>
      <c r="H7382" s="2" t="s">
        <v>148</v>
      </c>
      <c r="I7382" s="2" t="s">
        <v>18898</v>
      </c>
      <c r="J7382" s="3" t="str">
        <f>HYPERLINK("https://www.boe.es/gazeta/dias/1811/05/07/pdfs/GEI-1811-60.pdf#page=8","Abrir facsímil")</f>
        <v>Abrir facsímil</v>
      </c>
      <c r="K7382" s="3" t="s">
        <v>150</v>
      </c>
    </row>
    <row r="7383" spans="1:11" ht="42" customHeight="1">
      <c r="A7383" s="2" t="s">
        <v>18896</v>
      </c>
      <c r="B7383" s="2" t="s">
        <v>18897</v>
      </c>
      <c r="C7383" s="2" t="s">
        <v>17</v>
      </c>
      <c r="D7383" s="2" t="s">
        <v>18</v>
      </c>
      <c r="E7383" s="4">
        <v>-32204</v>
      </c>
      <c r="F7383" s="3" t="s">
        <v>1053</v>
      </c>
      <c r="G7383" s="3" t="s">
        <v>8703</v>
      </c>
      <c r="H7383" s="2" t="s">
        <v>148</v>
      </c>
      <c r="I7383" s="2" t="s">
        <v>18899</v>
      </c>
      <c r="J7383" s="3" t="str">
        <f>HYPERLINK("https://www.boe.es/gazeta/dias/1811/10/29/pdfs/GEI-1811-139.pdf#page=3","Abrir facsímil")</f>
        <v>Abrir facsímil</v>
      </c>
      <c r="K7383" s="3" t="s">
        <v>150</v>
      </c>
    </row>
    <row r="7384" spans="1:11" ht="42" customHeight="1">
      <c r="A7384" s="2" t="s">
        <v>18900</v>
      </c>
      <c r="B7384" s="2" t="s">
        <v>18900</v>
      </c>
      <c r="C7384" s="2" t="s">
        <v>26</v>
      </c>
      <c r="D7384" s="2" t="s">
        <v>18</v>
      </c>
      <c r="E7384" s="4">
        <v>-32167</v>
      </c>
      <c r="F7384" s="3" t="s">
        <v>195</v>
      </c>
      <c r="G7384" s="3" t="s">
        <v>91</v>
      </c>
      <c r="H7384" s="2" t="s">
        <v>148</v>
      </c>
      <c r="I7384" s="2" t="s">
        <v>18901</v>
      </c>
      <c r="J7384" s="3" t="str">
        <f>HYPERLINK("https://www.boe.es/gazeta/dias/1811/12/05/pdfs/GEI-1811-158.pdf#page=5","Abrir facsímil")</f>
        <v>Abrir facsímil</v>
      </c>
      <c r="K7384" s="3" t="s">
        <v>150</v>
      </c>
    </row>
    <row r="7385" spans="1:11" ht="42" customHeight="1">
      <c r="A7385" s="2" t="s">
        <v>18902</v>
      </c>
      <c r="B7385" s="2" t="s">
        <v>18902</v>
      </c>
      <c r="C7385" s="2" t="s">
        <v>26</v>
      </c>
      <c r="D7385" s="2" t="s">
        <v>18</v>
      </c>
      <c r="E7385" s="4">
        <v>-32307</v>
      </c>
      <c r="F7385" s="3" t="s">
        <v>1112</v>
      </c>
      <c r="G7385" s="3" t="s">
        <v>553</v>
      </c>
      <c r="H7385" s="2" t="s">
        <v>148</v>
      </c>
      <c r="I7385" s="2" t="s">
        <v>18903</v>
      </c>
      <c r="J7385" s="3" t="str">
        <f>HYPERLINK("https://www.boe.es/gazeta/dias/1811/07/18/pdfs/GEI-1811-94.pdf#page=1","Abrir facsímil")</f>
        <v>Abrir facsímil</v>
      </c>
      <c r="K7385" s="3" t="s">
        <v>150</v>
      </c>
    </row>
    <row r="7386" spans="1:11" ht="42" customHeight="1">
      <c r="A7386" s="2" t="s">
        <v>18904</v>
      </c>
      <c r="B7386" s="2" t="s">
        <v>18905</v>
      </c>
      <c r="C7386" s="2" t="s">
        <v>17</v>
      </c>
      <c r="D7386" s="2" t="s">
        <v>18</v>
      </c>
      <c r="E7386" s="4">
        <v>-32417</v>
      </c>
      <c r="F7386" s="3" t="s">
        <v>604</v>
      </c>
      <c r="G7386" s="3" t="s">
        <v>178</v>
      </c>
      <c r="H7386" s="2" t="s">
        <v>148</v>
      </c>
      <c r="I7386" s="2" t="s">
        <v>18906</v>
      </c>
      <c r="J7386" s="3" t="str">
        <f>HYPERLINK("https://www.boe.es/gazeta/dias/1811/03/30/pdfs/GMD-1811-89.pdf#page=3","Abrir facsímil")</f>
        <v>Abrir facsímil</v>
      </c>
      <c r="K7386" s="3" t="s">
        <v>150</v>
      </c>
    </row>
    <row r="7387" spans="1:11" ht="42" customHeight="1">
      <c r="A7387" s="2" t="s">
        <v>18907</v>
      </c>
      <c r="B7387" s="2" t="s">
        <v>18908</v>
      </c>
      <c r="C7387" s="2" t="s">
        <v>37</v>
      </c>
      <c r="D7387" s="2" t="s">
        <v>18</v>
      </c>
      <c r="E7387" s="4">
        <v>-32192</v>
      </c>
      <c r="F7387" s="3" t="s">
        <v>673</v>
      </c>
      <c r="G7387" s="3" t="s">
        <v>305</v>
      </c>
      <c r="H7387" s="2" t="s">
        <v>148</v>
      </c>
      <c r="I7387" s="2" t="s">
        <v>18909</v>
      </c>
      <c r="J7387" s="3" t="str">
        <f>HYPERLINK("https://www.boe.es/gazeta/dias/1811/11/10/pdfs/GMD-1811-314.pdf#page=4","Abrir facsímil")</f>
        <v>Abrir facsímil</v>
      </c>
      <c r="K7387" s="3" t="s">
        <v>150</v>
      </c>
    </row>
    <row r="7388" spans="1:11" ht="42" customHeight="1">
      <c r="A7388" s="2" t="s">
        <v>18910</v>
      </c>
      <c r="B7388" s="2" t="s">
        <v>18911</v>
      </c>
      <c r="C7388" s="2" t="s">
        <v>26</v>
      </c>
      <c r="D7388" s="2" t="s">
        <v>18</v>
      </c>
      <c r="E7388" s="4">
        <v>-32209</v>
      </c>
      <c r="F7388" s="3" t="s">
        <v>1324</v>
      </c>
      <c r="G7388" s="3" t="s">
        <v>2539</v>
      </c>
      <c r="H7388" s="2" t="s">
        <v>148</v>
      </c>
      <c r="I7388" s="2" t="s">
        <v>18912</v>
      </c>
      <c r="J7388" s="3" t="str">
        <f>HYPERLINK("https://www.boe.es/gazeta/dias/1811/10/24/pdfs/GMD-1811-297.pdf#page=3","Abrir facsímil")</f>
        <v>Abrir facsímil</v>
      </c>
      <c r="K7388" s="3" t="s">
        <v>150</v>
      </c>
    </row>
    <row r="7389" spans="1:11" ht="42" customHeight="1">
      <c r="A7389" s="2" t="s">
        <v>18913</v>
      </c>
      <c r="B7389" s="2" t="s">
        <v>18914</v>
      </c>
      <c r="C7389" s="2" t="s">
        <v>84</v>
      </c>
      <c r="D7389" s="2" t="s">
        <v>18</v>
      </c>
      <c r="E7389" s="4">
        <v>-32447</v>
      </c>
      <c r="F7389" s="3" t="s">
        <v>665</v>
      </c>
      <c r="G7389" s="3" t="s">
        <v>57</v>
      </c>
      <c r="H7389" s="2" t="s">
        <v>148</v>
      </c>
      <c r="I7389" s="2" t="s">
        <v>18915</v>
      </c>
      <c r="J7389" s="3" t="str">
        <f>HYPERLINK("https://www.boe.es/gazeta/dias/1811/02/28/pdfs/GMD-1811-59.pdf#page=2","Abrir facsímil")</f>
        <v>Abrir facsímil</v>
      </c>
      <c r="K7389" s="3" t="s">
        <v>150</v>
      </c>
    </row>
    <row r="7390" spans="1:11" ht="42" customHeight="1">
      <c r="A7390" s="2" t="s">
        <v>18916</v>
      </c>
      <c r="B7390" s="2" t="s">
        <v>18917</v>
      </c>
      <c r="C7390" s="2" t="s">
        <v>84</v>
      </c>
      <c r="D7390" s="2" t="s">
        <v>18</v>
      </c>
      <c r="E7390" s="4">
        <v>-32300</v>
      </c>
      <c r="F7390" s="3" t="s">
        <v>492</v>
      </c>
      <c r="G7390" s="3" t="s">
        <v>493</v>
      </c>
      <c r="H7390" s="2" t="s">
        <v>148</v>
      </c>
      <c r="I7390" s="2" t="s">
        <v>18918</v>
      </c>
      <c r="J7390" s="3" t="str">
        <f>HYPERLINK("https://www.boe.es/gazeta/dias/1811/07/25/pdfs/GMD-1811-206.pdf#page=4","Abrir facsímil")</f>
        <v>Abrir facsímil</v>
      </c>
      <c r="K7390" s="3" t="s">
        <v>150</v>
      </c>
    </row>
    <row r="7391" spans="1:11" ht="42" customHeight="1">
      <c r="A7391" s="2" t="s">
        <v>18919</v>
      </c>
      <c r="B7391" s="2" t="s">
        <v>18920</v>
      </c>
      <c r="C7391" s="2" t="s">
        <v>26</v>
      </c>
      <c r="D7391" s="2" t="s">
        <v>18</v>
      </c>
      <c r="E7391" s="4">
        <v>-32150</v>
      </c>
      <c r="F7391" s="3" t="s">
        <v>1174</v>
      </c>
      <c r="G7391" s="3" t="s">
        <v>20</v>
      </c>
      <c r="H7391" s="2" t="s">
        <v>148</v>
      </c>
      <c r="I7391" s="2" t="s">
        <v>18921</v>
      </c>
      <c r="J7391" s="3" t="str">
        <f>HYPERLINK("https://www.boe.es/gazeta/dias/1811/12/22/pdfs/GMD-1811-356.pdf#page=4","Abrir facsímil")</f>
        <v>Abrir facsímil</v>
      </c>
      <c r="K7391" s="3" t="s">
        <v>150</v>
      </c>
    </row>
    <row r="7392" spans="1:11" ht="42" customHeight="1">
      <c r="A7392" s="2" t="s">
        <v>18922</v>
      </c>
      <c r="B7392" s="2" t="s">
        <v>18923</v>
      </c>
      <c r="C7392" s="2" t="s">
        <v>841</v>
      </c>
      <c r="D7392" s="2" t="s">
        <v>18</v>
      </c>
      <c r="E7392" s="4">
        <v>-32195</v>
      </c>
      <c r="F7392" s="3" t="s">
        <v>439</v>
      </c>
      <c r="G7392" s="3" t="s">
        <v>2092</v>
      </c>
      <c r="H7392" s="2" t="s">
        <v>148</v>
      </c>
      <c r="I7392" s="2" t="s">
        <v>18924</v>
      </c>
      <c r="J7392" s="3" t="str">
        <f>HYPERLINK("https://www.boe.es/gazeta/dias/1811/11/07/pdfs/GEI-1811-144.pdf#page=7","Abrir facsímil")</f>
        <v>Abrir facsímil</v>
      </c>
      <c r="K7392" s="3" t="s">
        <v>150</v>
      </c>
    </row>
    <row r="7393" spans="1:11" ht="42" customHeight="1">
      <c r="A7393" s="2" t="s">
        <v>18925</v>
      </c>
      <c r="B7393" s="2" t="s">
        <v>18925</v>
      </c>
      <c r="C7393" s="2" t="s">
        <v>17</v>
      </c>
      <c r="D7393" s="2" t="s">
        <v>156</v>
      </c>
      <c r="E7393" s="4">
        <v>-32460</v>
      </c>
      <c r="F7393" s="3" t="s">
        <v>4783</v>
      </c>
      <c r="G7393" s="3" t="s">
        <v>18926</v>
      </c>
      <c r="H7393" s="2" t="s">
        <v>148</v>
      </c>
      <c r="I7393" s="2" t="s">
        <v>18927</v>
      </c>
      <c r="J7393" s="3" t="str">
        <f>HYPERLINK("https://www.boe.es/gazeta/dias/1811/02/15/pdfs/GMD-1811-46.pdf#page=3","Abrir facsímil")</f>
        <v>Abrir facsímil</v>
      </c>
      <c r="K7393" s="3" t="s">
        <v>150</v>
      </c>
    </row>
    <row r="7394" spans="1:11" ht="42" customHeight="1">
      <c r="A7394" s="2" t="s">
        <v>18928</v>
      </c>
      <c r="B7394" s="2" t="s">
        <v>18928</v>
      </c>
      <c r="C7394" s="2" t="s">
        <v>17</v>
      </c>
      <c r="D7394" s="2" t="s">
        <v>18</v>
      </c>
      <c r="E7394" s="4">
        <v>-32193</v>
      </c>
      <c r="F7394" s="3" t="s">
        <v>6497</v>
      </c>
      <c r="G7394" s="3" t="s">
        <v>245</v>
      </c>
      <c r="H7394" s="2" t="s">
        <v>148</v>
      </c>
      <c r="I7394" s="2" t="s">
        <v>18929</v>
      </c>
      <c r="J7394" s="3" t="str">
        <f>HYPERLINK("https://www.boe.es/gazeta/dias/1811/11/09/pdfs/GMD-1811-313.pdf#page=3","Abrir facsímil")</f>
        <v>Abrir facsímil</v>
      </c>
      <c r="K7394" s="3" t="s">
        <v>150</v>
      </c>
    </row>
    <row r="7395" spans="1:11" ht="42" customHeight="1">
      <c r="A7395" s="2" t="s">
        <v>18930</v>
      </c>
      <c r="B7395" s="2" t="s">
        <v>18930</v>
      </c>
      <c r="C7395" s="2" t="s">
        <v>26</v>
      </c>
      <c r="D7395" s="2" t="s">
        <v>18</v>
      </c>
      <c r="E7395" s="4">
        <v>-32349</v>
      </c>
      <c r="F7395" s="3" t="s">
        <v>3983</v>
      </c>
      <c r="G7395" s="3" t="s">
        <v>10596</v>
      </c>
      <c r="H7395" s="2" t="s">
        <v>148</v>
      </c>
      <c r="I7395" s="2" t="s">
        <v>18931</v>
      </c>
      <c r="J7395" s="3" t="str">
        <f>HYPERLINK("https://www.boe.es/gazeta/dias/1811/06/06/pdfs/GMD-1811-157.pdf#page=3","Abrir facsímil")</f>
        <v>Abrir facsímil</v>
      </c>
      <c r="K7395" s="3" t="s">
        <v>150</v>
      </c>
    </row>
    <row r="7396" spans="1:11" ht="42" customHeight="1">
      <c r="A7396" s="2" t="s">
        <v>18932</v>
      </c>
      <c r="B7396" s="2" t="s">
        <v>18933</v>
      </c>
      <c r="C7396" s="2" t="s">
        <v>26</v>
      </c>
      <c r="D7396" s="2" t="s">
        <v>18</v>
      </c>
      <c r="E7396" s="4">
        <v>-32235</v>
      </c>
      <c r="F7396" s="3" t="s">
        <v>190</v>
      </c>
      <c r="G7396" s="3" t="s">
        <v>188</v>
      </c>
      <c r="H7396" s="2" t="s">
        <v>148</v>
      </c>
      <c r="I7396" s="2" t="s">
        <v>18934</v>
      </c>
      <c r="J7396" s="3" t="str">
        <f>HYPERLINK("https://www.boe.es/gazeta/dias/1811/09/28/pdfs/GEI-1811-125.pdf#page=8","Abrir facsímil")</f>
        <v>Abrir facsímil</v>
      </c>
      <c r="K7396" s="3" t="s">
        <v>150</v>
      </c>
    </row>
    <row r="7397" spans="1:11" ht="42" customHeight="1">
      <c r="A7397" s="2" t="s">
        <v>18935</v>
      </c>
      <c r="B7397" s="2" t="s">
        <v>18936</v>
      </c>
      <c r="C7397" s="2" t="s">
        <v>17</v>
      </c>
      <c r="D7397" s="2" t="s">
        <v>18</v>
      </c>
      <c r="E7397" s="4">
        <v>-32445</v>
      </c>
      <c r="F7397" s="3" t="s">
        <v>880</v>
      </c>
      <c r="G7397" s="3" t="s">
        <v>881</v>
      </c>
      <c r="H7397" s="2" t="s">
        <v>148</v>
      </c>
      <c r="I7397" s="2" t="s">
        <v>18937</v>
      </c>
      <c r="J7397" s="3" t="str">
        <f>HYPERLINK("https://www.boe.es/gazeta/dias/1811/03/02/pdfs/GMD-1811-61.pdf#page=3","Abrir facsímil")</f>
        <v>Abrir facsímil</v>
      </c>
      <c r="K7397" s="3" t="s">
        <v>150</v>
      </c>
    </row>
    <row r="7398" spans="1:11" ht="42" customHeight="1">
      <c r="A7398" s="2" t="s">
        <v>18938</v>
      </c>
      <c r="B7398" s="2" t="s">
        <v>18939</v>
      </c>
      <c r="C7398" s="2" t="s">
        <v>26</v>
      </c>
      <c r="D7398" s="2" t="s">
        <v>18</v>
      </c>
      <c r="E7398" s="4">
        <v>-32379</v>
      </c>
      <c r="F7398" s="3" t="s">
        <v>462</v>
      </c>
      <c r="G7398" s="3" t="s">
        <v>463</v>
      </c>
      <c r="H7398" s="2" t="s">
        <v>148</v>
      </c>
      <c r="I7398" s="2" t="s">
        <v>18940</v>
      </c>
      <c r="J7398" s="3" t="str">
        <f>HYPERLINK("https://www.boe.es/gazeta/dias/1811/05/07/pdfs/GEI-1811-60.pdf#page=8","Abrir facsímil")</f>
        <v>Abrir facsímil</v>
      </c>
      <c r="K7398" s="3" t="s">
        <v>150</v>
      </c>
    </row>
    <row r="7399" spans="1:11" ht="42" customHeight="1">
      <c r="A7399" s="2" t="s">
        <v>18941</v>
      </c>
      <c r="B7399" s="2" t="s">
        <v>18942</v>
      </c>
      <c r="C7399" s="2" t="s">
        <v>17</v>
      </c>
      <c r="D7399" s="2" t="s">
        <v>18</v>
      </c>
      <c r="E7399" s="4">
        <v>-32389</v>
      </c>
      <c r="F7399" s="3" t="s">
        <v>5334</v>
      </c>
      <c r="G7399" s="3" t="s">
        <v>6010</v>
      </c>
      <c r="H7399" s="2" t="s">
        <v>148</v>
      </c>
      <c r="I7399" s="2" t="s">
        <v>18943</v>
      </c>
      <c r="J7399" s="3" t="str">
        <f>HYPERLINK("https://www.boe.es/gazeta/dias/1811/04/27/pdfs/GEI-1811-56.pdf#page=5","Abrir facsímil")</f>
        <v>Abrir facsímil</v>
      </c>
      <c r="K7399" s="3" t="s">
        <v>150</v>
      </c>
    </row>
    <row r="7400" spans="1:11" ht="42" customHeight="1">
      <c r="A7400" s="2" t="s">
        <v>18944</v>
      </c>
      <c r="B7400" s="2" t="s">
        <v>18945</v>
      </c>
      <c r="C7400" s="2" t="s">
        <v>26</v>
      </c>
      <c r="D7400" s="2" t="s">
        <v>18</v>
      </c>
      <c r="E7400" s="4">
        <v>-32155</v>
      </c>
      <c r="F7400" s="3" t="s">
        <v>263</v>
      </c>
      <c r="G7400" s="3" t="s">
        <v>1800</v>
      </c>
      <c r="H7400" s="2" t="s">
        <v>148</v>
      </c>
      <c r="I7400" s="2" t="s">
        <v>18946</v>
      </c>
      <c r="J7400" s="3" t="str">
        <f>HYPERLINK("https://www.boe.es/gazeta/dias/1811/12/17/pdfs/GEI-1811-163.pdf#page=7","Abrir facsímil")</f>
        <v>Abrir facsímil</v>
      </c>
      <c r="K7400" s="3" t="s">
        <v>150</v>
      </c>
    </row>
    <row r="7401" spans="1:11" ht="42" customHeight="1">
      <c r="A7401" s="2" t="s">
        <v>18947</v>
      </c>
      <c r="B7401" s="2" t="s">
        <v>18948</v>
      </c>
      <c r="C7401" s="2" t="s">
        <v>26</v>
      </c>
      <c r="D7401" s="2" t="s">
        <v>18</v>
      </c>
      <c r="E7401" s="4">
        <v>-32165</v>
      </c>
      <c r="F7401" s="3" t="s">
        <v>1462</v>
      </c>
      <c r="G7401" s="3" t="s">
        <v>1463</v>
      </c>
      <c r="H7401" s="2" t="s">
        <v>148</v>
      </c>
      <c r="I7401" s="2" t="s">
        <v>18949</v>
      </c>
      <c r="J7401" s="3" t="str">
        <f>HYPERLINK("https://www.boe.es/gazeta/dias/1811/12/07/pdfs/GMD-1811-341.pdf#page=3","Abrir facsímil")</f>
        <v>Abrir facsímil</v>
      </c>
      <c r="K7401" s="3" t="s">
        <v>150</v>
      </c>
    </row>
    <row r="7402" spans="1:11" ht="42" customHeight="1">
      <c r="A7402" s="2" t="s">
        <v>18950</v>
      </c>
      <c r="B7402" s="2" t="s">
        <v>18951</v>
      </c>
      <c r="C7402" s="2" t="s">
        <v>26</v>
      </c>
      <c r="D7402" s="2" t="s">
        <v>18</v>
      </c>
      <c r="E7402" s="4">
        <v>-32237</v>
      </c>
      <c r="F7402" s="3" t="s">
        <v>717</v>
      </c>
      <c r="G7402" s="3" t="s">
        <v>47</v>
      </c>
      <c r="H7402" s="2" t="s">
        <v>148</v>
      </c>
      <c r="I7402" s="2" t="s">
        <v>18952</v>
      </c>
      <c r="J7402" s="3" t="str">
        <f>HYPERLINK("https://www.boe.es/gazeta/dias/1811/09/26/pdfs/GEI-1811-124.pdf#page=4","Abrir facsímil")</f>
        <v>Abrir facsímil</v>
      </c>
      <c r="K7402" s="3" t="s">
        <v>150</v>
      </c>
    </row>
    <row r="7403" spans="1:11" ht="42" customHeight="1">
      <c r="A7403" s="2" t="s">
        <v>18953</v>
      </c>
      <c r="B7403" s="2" t="s">
        <v>18954</v>
      </c>
      <c r="C7403" s="2" t="s">
        <v>26</v>
      </c>
      <c r="D7403" s="2" t="s">
        <v>18</v>
      </c>
      <c r="E7403" s="4">
        <v>-32297</v>
      </c>
      <c r="F7403" s="3" t="s">
        <v>2174</v>
      </c>
      <c r="G7403" s="3" t="s">
        <v>115</v>
      </c>
      <c r="H7403" s="2" t="s">
        <v>148</v>
      </c>
      <c r="I7403" s="2" t="s">
        <v>18955</v>
      </c>
      <c r="J7403" s="3" t="str">
        <f>HYPERLINK("https://www.boe.es/gazeta/dias/1811/07/28/pdfs/GMD-1811-209.pdf#page=3","Abrir facsímil")</f>
        <v>Abrir facsímil</v>
      </c>
      <c r="K7403" s="3" t="s">
        <v>150</v>
      </c>
    </row>
    <row r="7404" spans="1:11" ht="42" customHeight="1">
      <c r="A7404" s="2" t="s">
        <v>18956</v>
      </c>
      <c r="B7404" s="2" t="s">
        <v>18957</v>
      </c>
      <c r="C7404" s="2" t="s">
        <v>26</v>
      </c>
      <c r="D7404" s="2" t="s">
        <v>204</v>
      </c>
      <c r="E7404" s="4">
        <v>-32489</v>
      </c>
      <c r="F7404" s="3" t="s">
        <v>722</v>
      </c>
      <c r="G7404" s="3" t="s">
        <v>468</v>
      </c>
      <c r="H7404" s="2" t="s">
        <v>148</v>
      </c>
      <c r="I7404" s="2" t="s">
        <v>18958</v>
      </c>
      <c r="J7404" s="3" t="str">
        <f>HYPERLINK("https://www.boe.es/gazeta/dias/1811/01/17/pdfs/GMD-1811-17.pdf#page=4","Abrir facsímil")</f>
        <v>Abrir facsímil</v>
      </c>
      <c r="K7404" s="3" t="s">
        <v>150</v>
      </c>
    </row>
    <row r="7405" spans="1:11" ht="42" customHeight="1">
      <c r="A7405" s="2" t="s">
        <v>18959</v>
      </c>
      <c r="B7405" s="2" t="s">
        <v>18960</v>
      </c>
      <c r="C7405" s="2" t="s">
        <v>17</v>
      </c>
      <c r="D7405" s="2" t="s">
        <v>18</v>
      </c>
      <c r="E7405" s="4">
        <v>-32416</v>
      </c>
      <c r="F7405" s="3" t="s">
        <v>954</v>
      </c>
      <c r="G7405" s="3" t="s">
        <v>183</v>
      </c>
      <c r="H7405" s="2" t="s">
        <v>148</v>
      </c>
      <c r="I7405" s="2" t="s">
        <v>18961</v>
      </c>
      <c r="J7405" s="3" t="str">
        <f>HYPERLINK("https://www.boe.es/gazeta/dias/1811/03/31/pdfs/GMD-1811-90.pdf#page=4","Abrir facsímil")</f>
        <v>Abrir facsímil</v>
      </c>
      <c r="K7405" s="3" t="s">
        <v>150</v>
      </c>
    </row>
    <row r="7406" spans="1:11" ht="42" customHeight="1">
      <c r="A7406" s="2" t="s">
        <v>18962</v>
      </c>
      <c r="B7406" s="2" t="s">
        <v>18963</v>
      </c>
      <c r="C7406" s="2" t="s">
        <v>104</v>
      </c>
      <c r="D7406" s="2" t="s">
        <v>18</v>
      </c>
      <c r="E7406" s="4">
        <v>-32181</v>
      </c>
      <c r="F7406" s="3" t="s">
        <v>1169</v>
      </c>
      <c r="G7406" s="3" t="s">
        <v>1170</v>
      </c>
      <c r="H7406" s="2" t="s">
        <v>148</v>
      </c>
      <c r="I7406" s="2" t="s">
        <v>18964</v>
      </c>
      <c r="J7406" s="3" t="str">
        <f>HYPERLINK("https://www.boe.es/gazeta/dias/1811/11/21/pdfs/GMD-1811-325.pdf#page=4","Abrir facsímil")</f>
        <v>Abrir facsímil</v>
      </c>
      <c r="K7406" s="3" t="s">
        <v>150</v>
      </c>
    </row>
    <row r="7407" spans="1:11" ht="42" customHeight="1">
      <c r="A7407" s="2" t="s">
        <v>18965</v>
      </c>
      <c r="B7407" s="2" t="s">
        <v>18966</v>
      </c>
      <c r="C7407" s="2" t="s">
        <v>26</v>
      </c>
      <c r="D7407" s="2" t="s">
        <v>18</v>
      </c>
      <c r="E7407" s="4">
        <v>-32288</v>
      </c>
      <c r="F7407" s="3" t="s">
        <v>95</v>
      </c>
      <c r="G7407" s="3" t="s">
        <v>47</v>
      </c>
      <c r="H7407" s="2" t="s">
        <v>148</v>
      </c>
      <c r="I7407" s="2" t="s">
        <v>18967</v>
      </c>
      <c r="J7407" s="3" t="str">
        <f>HYPERLINK("https://www.boe.es/gazeta/dias/1811/08/06/pdfs/GEI-1811-102.pdf#page=8","Abrir facsímil")</f>
        <v>Abrir facsímil</v>
      </c>
      <c r="K7407" s="3" t="s">
        <v>150</v>
      </c>
    </row>
    <row r="7408" spans="1:11" ht="42" customHeight="1">
      <c r="A7408" s="2" t="s">
        <v>18968</v>
      </c>
      <c r="B7408" s="2" t="s">
        <v>18969</v>
      </c>
      <c r="C7408" s="2" t="s">
        <v>26</v>
      </c>
      <c r="D7408" s="2" t="s">
        <v>18</v>
      </c>
      <c r="E7408" s="4">
        <v>-32361</v>
      </c>
      <c r="F7408" s="3" t="s">
        <v>1104</v>
      </c>
      <c r="G7408" s="3" t="s">
        <v>2213</v>
      </c>
      <c r="H7408" s="2" t="s">
        <v>148</v>
      </c>
      <c r="I7408" s="2" t="s">
        <v>18970</v>
      </c>
      <c r="J7408" s="3" t="str">
        <f>HYPERLINK("https://www.boe.es/gazeta/dias/1811/05/25/pdfs/GEI-1811-71.pdf#page=8","Abrir facsímil")</f>
        <v>Abrir facsímil</v>
      </c>
      <c r="K7408" s="3" t="s">
        <v>150</v>
      </c>
    </row>
    <row r="7409" spans="1:11" ht="42" customHeight="1">
      <c r="A7409" s="2" t="s">
        <v>18971</v>
      </c>
      <c r="B7409" s="2" t="s">
        <v>18971</v>
      </c>
      <c r="C7409" s="2" t="s">
        <v>17</v>
      </c>
      <c r="D7409" s="2" t="s">
        <v>18</v>
      </c>
      <c r="E7409" s="4">
        <v>-32473</v>
      </c>
      <c r="F7409" s="3" t="s">
        <v>3399</v>
      </c>
      <c r="G7409" s="3" t="s">
        <v>282</v>
      </c>
      <c r="H7409" s="2" t="s">
        <v>148</v>
      </c>
      <c r="I7409" s="2" t="s">
        <v>18972</v>
      </c>
      <c r="J7409" s="3" t="str">
        <f>HYPERLINK("https://www.boe.es/gazeta/dias/1811/02/02/pdfs/GEI-1811-15.pdf#page=4","Abrir facsímil")</f>
        <v>Abrir facsímil</v>
      </c>
      <c r="K7409" s="3" t="s">
        <v>150</v>
      </c>
    </row>
    <row r="7410" spans="1:11" ht="42" customHeight="1">
      <c r="A7410" s="2" t="s">
        <v>18971</v>
      </c>
      <c r="B7410" s="2" t="s">
        <v>18971</v>
      </c>
      <c r="C7410" s="2" t="s">
        <v>66</v>
      </c>
      <c r="D7410" s="2" t="s">
        <v>18</v>
      </c>
      <c r="E7410" s="4">
        <v>-32356</v>
      </c>
      <c r="F7410" s="3" t="s">
        <v>648</v>
      </c>
      <c r="G7410" s="3" t="s">
        <v>115</v>
      </c>
      <c r="H7410" s="2" t="s">
        <v>148</v>
      </c>
      <c r="I7410" s="2" t="s">
        <v>18973</v>
      </c>
      <c r="J7410" s="3" t="str">
        <f>HYPERLINK("https://www.boe.es/gazeta/dias/1811/05/30/pdfs/GMD-1811-150.pdf#page=3","Abrir facsímil")</f>
        <v>Abrir facsímil</v>
      </c>
      <c r="K7410" s="3" t="s">
        <v>150</v>
      </c>
    </row>
    <row r="7411" spans="1:11" ht="42" customHeight="1">
      <c r="A7411" s="2" t="s">
        <v>18971</v>
      </c>
      <c r="B7411" s="2" t="s">
        <v>18971</v>
      </c>
      <c r="C7411" s="2" t="s">
        <v>17</v>
      </c>
      <c r="D7411" s="2" t="s">
        <v>156</v>
      </c>
      <c r="E7411" s="4">
        <v>-32309</v>
      </c>
      <c r="F7411" s="3" t="s">
        <v>2496</v>
      </c>
      <c r="G7411" s="3" t="s">
        <v>228</v>
      </c>
      <c r="H7411" s="2" t="s">
        <v>148</v>
      </c>
      <c r="I7411" s="2" t="s">
        <v>18974</v>
      </c>
      <c r="J7411" s="3" t="str">
        <f>HYPERLINK("https://www.boe.es/gazeta/dias/1811/07/16/pdfs/GEI-1811-93.pdf#page=5","Abrir facsímil")</f>
        <v>Abrir facsímil</v>
      </c>
      <c r="K7411" s="3" t="s">
        <v>150</v>
      </c>
    </row>
    <row r="7412" spans="1:11" ht="42" customHeight="1">
      <c r="A7412" s="2" t="s">
        <v>18975</v>
      </c>
      <c r="B7412" s="2" t="s">
        <v>18975</v>
      </c>
      <c r="C7412" s="2" t="s">
        <v>17</v>
      </c>
      <c r="D7412" s="2" t="s">
        <v>204</v>
      </c>
      <c r="E7412" s="4">
        <v>-32202</v>
      </c>
      <c r="F7412" s="3" t="s">
        <v>1634</v>
      </c>
      <c r="G7412" s="3" t="s">
        <v>440</v>
      </c>
      <c r="H7412" s="2" t="s">
        <v>148</v>
      </c>
      <c r="I7412" s="2" t="s">
        <v>18976</v>
      </c>
      <c r="J7412" s="3" t="str">
        <f>HYPERLINK("https://www.boe.es/gazeta/dias/1811/10/31/pdfs/GMD-1811-304.pdf#page=2","Abrir facsímil")</f>
        <v>Abrir facsímil</v>
      </c>
      <c r="K7412" s="3" t="s">
        <v>150</v>
      </c>
    </row>
    <row r="7413" spans="1:11" ht="42" customHeight="1">
      <c r="A7413" s="2" t="s">
        <v>18977</v>
      </c>
      <c r="B7413" s="2" t="s">
        <v>18977</v>
      </c>
      <c r="C7413" s="2" t="s">
        <v>17</v>
      </c>
      <c r="D7413" s="2" t="s">
        <v>18</v>
      </c>
      <c r="E7413" s="4">
        <v>-32202</v>
      </c>
      <c r="F7413" s="3" t="s">
        <v>1634</v>
      </c>
      <c r="G7413" s="3" t="s">
        <v>248</v>
      </c>
      <c r="H7413" s="2" t="s">
        <v>148</v>
      </c>
      <c r="I7413" s="2" t="s">
        <v>18978</v>
      </c>
      <c r="J7413" s="3" t="str">
        <f>HYPERLINK("https://www.boe.es/gazeta/dias/1811/10/31/pdfs/GMD-1811-304.pdf#page=1","Abrir facsímil")</f>
        <v>Abrir facsímil</v>
      </c>
      <c r="K7413" s="3" t="s">
        <v>150</v>
      </c>
    </row>
    <row r="7414" spans="1:11" ht="42" customHeight="1">
      <c r="A7414" s="2" t="s">
        <v>18979</v>
      </c>
      <c r="B7414" s="2" t="s">
        <v>18979</v>
      </c>
      <c r="C7414" s="2" t="s">
        <v>17</v>
      </c>
      <c r="D7414" s="2" t="s">
        <v>18</v>
      </c>
      <c r="E7414" s="4">
        <v>-32495</v>
      </c>
      <c r="F7414" s="3" t="s">
        <v>1681</v>
      </c>
      <c r="G7414" s="3" t="s">
        <v>129</v>
      </c>
      <c r="H7414" s="2" t="s">
        <v>148</v>
      </c>
      <c r="I7414" s="2" t="s">
        <v>18980</v>
      </c>
      <c r="J7414" s="3" t="str">
        <f>HYPERLINK("https://www.boe.es/gazeta/dias/1811/01/11/pdfs/GMD-1811-11.pdf#page=4","Abrir facsímil")</f>
        <v>Abrir facsímil</v>
      </c>
      <c r="K7414" s="3" t="s">
        <v>150</v>
      </c>
    </row>
    <row r="7415" spans="1:11" ht="42" customHeight="1">
      <c r="A7415" s="2" t="s">
        <v>18981</v>
      </c>
      <c r="B7415" s="2" t="s">
        <v>18981</v>
      </c>
      <c r="C7415" s="2" t="s">
        <v>26</v>
      </c>
      <c r="D7415" s="2" t="s">
        <v>18</v>
      </c>
      <c r="E7415" s="4">
        <v>-32452</v>
      </c>
      <c r="F7415" s="3" t="s">
        <v>15369</v>
      </c>
      <c r="G7415" s="3" t="s">
        <v>91</v>
      </c>
      <c r="H7415" s="2" t="s">
        <v>148</v>
      </c>
      <c r="I7415" s="2" t="s">
        <v>18982</v>
      </c>
      <c r="J7415" s="3" t="str">
        <f>HYPERLINK("https://www.boe.es/gazeta/dias/1811/02/23/pdfs/GMD-1811-54.pdf#page=1","Abrir facsímil")</f>
        <v>Abrir facsímil</v>
      </c>
      <c r="K7415" s="3" t="s">
        <v>150</v>
      </c>
    </row>
    <row r="7416" spans="1:11" ht="42" customHeight="1">
      <c r="A7416" s="2" t="s">
        <v>18983</v>
      </c>
      <c r="B7416" s="2" t="s">
        <v>18983</v>
      </c>
      <c r="C7416" s="2" t="s">
        <v>26</v>
      </c>
      <c r="D7416" s="2" t="s">
        <v>18</v>
      </c>
      <c r="E7416" s="4">
        <v>-32377</v>
      </c>
      <c r="F7416" s="3" t="s">
        <v>2461</v>
      </c>
      <c r="G7416" s="3" t="s">
        <v>183</v>
      </c>
      <c r="H7416" s="2" t="s">
        <v>148</v>
      </c>
      <c r="I7416" s="2" t="s">
        <v>18984</v>
      </c>
      <c r="J7416" s="3" t="str">
        <f>HYPERLINK("https://www.boe.es/gazeta/dias/1811/05/09/pdfs/GMD-1811-129.pdf#page=4","Abrir facsímil")</f>
        <v>Abrir facsímil</v>
      </c>
      <c r="K7416" s="3" t="s">
        <v>150</v>
      </c>
    </row>
    <row r="7417" spans="1:11" ht="42" customHeight="1">
      <c r="A7417" s="2" t="s">
        <v>18985</v>
      </c>
      <c r="B7417" s="2" t="s">
        <v>18986</v>
      </c>
      <c r="C7417" s="2" t="s">
        <v>26</v>
      </c>
      <c r="D7417" s="2" t="s">
        <v>18</v>
      </c>
      <c r="E7417" s="4">
        <v>-32188</v>
      </c>
      <c r="F7417" s="3" t="s">
        <v>356</v>
      </c>
      <c r="G7417" s="3" t="s">
        <v>248</v>
      </c>
      <c r="H7417" s="2" t="s">
        <v>148</v>
      </c>
      <c r="I7417" s="2" t="s">
        <v>18987</v>
      </c>
      <c r="J7417" s="3" t="str">
        <f>HYPERLINK("https://www.boe.es/gazeta/dias/1811/11/14/pdfs/GMD-1811-318.pdf#page=5","Abrir facsímil")</f>
        <v>Abrir facsímil</v>
      </c>
      <c r="K7417" s="3" t="s">
        <v>150</v>
      </c>
    </row>
    <row r="7418" spans="1:11" ht="42" customHeight="1">
      <c r="A7418" s="2" t="s">
        <v>18988</v>
      </c>
      <c r="B7418" s="2" t="s">
        <v>18989</v>
      </c>
      <c r="C7418" s="2" t="s">
        <v>17</v>
      </c>
      <c r="D7418" s="2" t="s">
        <v>156</v>
      </c>
      <c r="E7418" s="4">
        <v>-32438</v>
      </c>
      <c r="F7418" s="3" t="s">
        <v>114</v>
      </c>
      <c r="G7418" s="3" t="s">
        <v>183</v>
      </c>
      <c r="H7418" s="2" t="s">
        <v>148</v>
      </c>
      <c r="I7418" s="2" t="s">
        <v>18990</v>
      </c>
      <c r="J7418" s="3" t="str">
        <f>HYPERLINK("https://www.boe.es/gazeta/dias/1811/03/09/pdfs/GEI-1811-33.pdf#page=4","Abrir facsímil")</f>
        <v>Abrir facsímil</v>
      </c>
      <c r="K7418" s="3" t="s">
        <v>150</v>
      </c>
    </row>
    <row r="7419" spans="1:11" ht="42" customHeight="1">
      <c r="A7419" s="2" t="s">
        <v>18991</v>
      </c>
      <c r="B7419" s="2" t="s">
        <v>18992</v>
      </c>
      <c r="C7419" s="2" t="s">
        <v>17</v>
      </c>
      <c r="D7419" s="2" t="s">
        <v>18</v>
      </c>
      <c r="E7419" s="4">
        <v>-32496</v>
      </c>
      <c r="F7419" s="3" t="s">
        <v>1927</v>
      </c>
      <c r="G7419" s="3" t="s">
        <v>1184</v>
      </c>
      <c r="H7419" s="2" t="s">
        <v>148</v>
      </c>
      <c r="I7419" s="2" t="s">
        <v>18993</v>
      </c>
      <c r="J7419" s="3" t="str">
        <f>HYPERLINK("https://www.boe.es/gazeta/dias/1811/01/10/pdfs/GEI-1811-5.pdf#page=5","Abrir facsímil")</f>
        <v>Abrir facsímil</v>
      </c>
      <c r="K7419" s="3" t="s">
        <v>150</v>
      </c>
    </row>
    <row r="7420" spans="1:11" ht="42" customHeight="1">
      <c r="A7420" s="2" t="s">
        <v>18994</v>
      </c>
      <c r="B7420" s="2" t="s">
        <v>18995</v>
      </c>
      <c r="C7420" s="2" t="s">
        <v>26</v>
      </c>
      <c r="D7420" s="2" t="s">
        <v>18</v>
      </c>
      <c r="E7420" s="4">
        <v>-32422</v>
      </c>
      <c r="F7420" s="3" t="s">
        <v>5675</v>
      </c>
      <c r="G7420" s="3" t="s">
        <v>47</v>
      </c>
      <c r="H7420" s="2" t="s">
        <v>148</v>
      </c>
      <c r="I7420" s="2" t="s">
        <v>18996</v>
      </c>
      <c r="J7420" s="3" t="str">
        <f>HYPERLINK("https://www.boe.es/gazeta/dias/1811/03/25/pdfs/GMD-1811-84.pdf#page=4","Abrir facsímil")</f>
        <v>Abrir facsímil</v>
      </c>
      <c r="K7420" s="3" t="s">
        <v>150</v>
      </c>
    </row>
    <row r="7421" spans="1:11" ht="42" customHeight="1">
      <c r="A7421" s="2" t="s">
        <v>18997</v>
      </c>
      <c r="B7421" s="2" t="s">
        <v>18998</v>
      </c>
      <c r="C7421" s="2" t="s">
        <v>26</v>
      </c>
      <c r="D7421" s="2" t="s">
        <v>141</v>
      </c>
      <c r="E7421" s="4">
        <v>-32396</v>
      </c>
      <c r="F7421" s="3" t="s">
        <v>804</v>
      </c>
      <c r="G7421" s="3" t="s">
        <v>805</v>
      </c>
      <c r="H7421" s="2" t="s">
        <v>148</v>
      </c>
      <c r="I7421" s="2" t="s">
        <v>18999</v>
      </c>
      <c r="J7421" s="3" t="str">
        <f>HYPERLINK("https://www.boe.es/gazeta/dias/1811/04/20/pdfs/GEI-D-1811-53.pdf#page=4","Abrir facsímil")</f>
        <v>Abrir facsímil</v>
      </c>
      <c r="K7421" s="3" t="s">
        <v>150</v>
      </c>
    </row>
    <row r="7422" spans="1:11" ht="42" customHeight="1">
      <c r="A7422" s="2" t="s">
        <v>19000</v>
      </c>
      <c r="B7422" s="2" t="s">
        <v>19000</v>
      </c>
      <c r="C7422" s="2" t="s">
        <v>17</v>
      </c>
      <c r="D7422" s="2" t="s">
        <v>156</v>
      </c>
      <c r="E7422" s="4">
        <v>-32405</v>
      </c>
      <c r="F7422" s="3" t="s">
        <v>1413</v>
      </c>
      <c r="G7422" s="3" t="s">
        <v>8834</v>
      </c>
      <c r="H7422" s="2" t="s">
        <v>148</v>
      </c>
      <c r="I7422" s="2" t="s">
        <v>19001</v>
      </c>
      <c r="J7422" s="3" t="str">
        <f>HYPERLINK("https://www.boe.es/gazeta/dias/1811/04/11/pdfs/GEI-1811-49.pdf#page=4","Abrir facsímil")</f>
        <v>Abrir facsímil</v>
      </c>
      <c r="K7422" s="3" t="s">
        <v>150</v>
      </c>
    </row>
    <row r="7423" spans="1:11" ht="42" customHeight="1">
      <c r="A7423" s="2" t="s">
        <v>19002</v>
      </c>
      <c r="B7423" s="2" t="s">
        <v>19002</v>
      </c>
      <c r="C7423" s="2" t="s">
        <v>17</v>
      </c>
      <c r="D7423" s="2" t="s">
        <v>18</v>
      </c>
      <c r="E7423" s="4">
        <v>-32315</v>
      </c>
      <c r="F7423" s="3" t="s">
        <v>3189</v>
      </c>
      <c r="G7423" s="3" t="s">
        <v>248</v>
      </c>
      <c r="H7423" s="2" t="s">
        <v>148</v>
      </c>
      <c r="I7423" s="2" t="s">
        <v>19003</v>
      </c>
      <c r="J7423" s="3" t="str">
        <f>HYPERLINK("https://www.boe.es/gazeta/dias/1811/07/10/pdfs/GMD-1811-191.pdf#page=1","Abrir facsímil")</f>
        <v>Abrir facsímil</v>
      </c>
      <c r="K7423" s="3" t="s">
        <v>150</v>
      </c>
    </row>
    <row r="7424" spans="1:11" ht="42" customHeight="1">
      <c r="A7424" s="2" t="s">
        <v>19004</v>
      </c>
      <c r="B7424" s="2" t="s">
        <v>19005</v>
      </c>
      <c r="C7424" s="2" t="s">
        <v>17</v>
      </c>
      <c r="D7424" s="2" t="s">
        <v>18</v>
      </c>
      <c r="E7424" s="4">
        <v>-32145</v>
      </c>
      <c r="F7424" s="3" t="s">
        <v>417</v>
      </c>
      <c r="G7424" s="3" t="s">
        <v>418</v>
      </c>
      <c r="H7424" s="2" t="s">
        <v>148</v>
      </c>
      <c r="I7424" s="2" t="s">
        <v>19006</v>
      </c>
      <c r="J7424" s="3" t="str">
        <f>HYPERLINK("https://www.boe.es/gazeta/dias/1811/12/27/pdfs/GMD-1811-361.pdf#page=4","Abrir facsímil")</f>
        <v>Abrir facsímil</v>
      </c>
      <c r="K7424" s="3" t="s">
        <v>150</v>
      </c>
    </row>
    <row r="7425" spans="1:11" ht="42" customHeight="1">
      <c r="A7425" s="2" t="s">
        <v>19007</v>
      </c>
      <c r="B7425" s="2" t="s">
        <v>19007</v>
      </c>
      <c r="C7425" s="2" t="s">
        <v>17</v>
      </c>
      <c r="D7425" s="2" t="s">
        <v>18</v>
      </c>
      <c r="E7425" s="4">
        <v>-32376</v>
      </c>
      <c r="F7425" s="3" t="s">
        <v>5460</v>
      </c>
      <c r="G7425" s="3" t="s">
        <v>115</v>
      </c>
      <c r="H7425" s="2" t="s">
        <v>148</v>
      </c>
      <c r="I7425" s="2" t="s">
        <v>19008</v>
      </c>
      <c r="J7425" s="3" t="str">
        <f>HYPERLINK("https://www.boe.es/gazeta/dias/1811/05/10/pdfs/GMD-1811-130.pdf#page=3","Abrir facsímil")</f>
        <v>Abrir facsímil</v>
      </c>
      <c r="K7425" s="3" t="s">
        <v>150</v>
      </c>
    </row>
    <row r="7426" spans="1:11" ht="42" customHeight="1">
      <c r="A7426" s="2" t="s">
        <v>19009</v>
      </c>
      <c r="B7426" s="2" t="s">
        <v>19009</v>
      </c>
      <c r="C7426" s="2" t="s">
        <v>17</v>
      </c>
      <c r="D7426" s="2" t="s">
        <v>18</v>
      </c>
      <c r="E7426" s="4">
        <v>-32244</v>
      </c>
      <c r="F7426" s="3" t="s">
        <v>4301</v>
      </c>
      <c r="G7426" s="3" t="s">
        <v>755</v>
      </c>
      <c r="H7426" s="2" t="s">
        <v>148</v>
      </c>
      <c r="I7426" s="2" t="s">
        <v>19010</v>
      </c>
      <c r="J7426" s="3" t="str">
        <f>HYPERLINK("https://www.boe.es/gazeta/dias/1811/09/19/pdfs/GEI-1811-121.pdf#page=6","Abrir facsímil")</f>
        <v>Abrir facsímil</v>
      </c>
      <c r="K7426" s="3" t="s">
        <v>150</v>
      </c>
    </row>
    <row r="7427" spans="1:11" ht="42" customHeight="1">
      <c r="A7427" s="2" t="s">
        <v>19011</v>
      </c>
      <c r="B7427" s="2" t="s">
        <v>19012</v>
      </c>
      <c r="C7427" s="2" t="s">
        <v>17</v>
      </c>
      <c r="D7427" s="2" t="s">
        <v>156</v>
      </c>
      <c r="E7427" s="4">
        <v>-32389</v>
      </c>
      <c r="F7427" s="3" t="s">
        <v>5334</v>
      </c>
      <c r="G7427" s="3" t="s">
        <v>4049</v>
      </c>
      <c r="H7427" s="2" t="s">
        <v>148</v>
      </c>
      <c r="I7427" s="2" t="s">
        <v>19013</v>
      </c>
      <c r="J7427" s="3" t="str">
        <f>HYPERLINK("https://www.boe.es/gazeta/dias/1811/04/27/pdfs/GEI-1811-56.pdf#page=7","Abrir facsímil")</f>
        <v>Abrir facsímil</v>
      </c>
      <c r="K7427" s="3" t="s">
        <v>150</v>
      </c>
    </row>
    <row r="7428" spans="1:11" ht="42" customHeight="1">
      <c r="A7428" s="2" t="s">
        <v>19014</v>
      </c>
      <c r="B7428" s="2" t="s">
        <v>19014</v>
      </c>
      <c r="C7428" s="2" t="s">
        <v>17</v>
      </c>
      <c r="D7428" s="2" t="s">
        <v>18</v>
      </c>
      <c r="E7428" s="4">
        <v>-32244</v>
      </c>
      <c r="F7428" s="3" t="s">
        <v>4301</v>
      </c>
      <c r="G7428" s="3" t="s">
        <v>19015</v>
      </c>
      <c r="H7428" s="2" t="s">
        <v>148</v>
      </c>
      <c r="I7428" s="2" t="s">
        <v>19016</v>
      </c>
      <c r="J7428" s="3" t="str">
        <f>HYPERLINK("https://www.boe.es/gazeta/dias/1811/09/19/pdfs/GEI-1811-121.pdf#page=5","Abrir facsímil")</f>
        <v>Abrir facsímil</v>
      </c>
      <c r="K7428" s="3" t="s">
        <v>150</v>
      </c>
    </row>
    <row r="7429" spans="1:11" ht="42" customHeight="1">
      <c r="A7429" s="2" t="s">
        <v>19014</v>
      </c>
      <c r="B7429" s="2" t="s">
        <v>19014</v>
      </c>
      <c r="C7429" s="2" t="s">
        <v>17</v>
      </c>
      <c r="D7429" s="2" t="s">
        <v>156</v>
      </c>
      <c r="E7429" s="4">
        <v>-32181</v>
      </c>
      <c r="F7429" s="3" t="s">
        <v>368</v>
      </c>
      <c r="G7429" s="3" t="s">
        <v>3866</v>
      </c>
      <c r="H7429" s="2" t="s">
        <v>148</v>
      </c>
      <c r="I7429" s="2" t="s">
        <v>19017</v>
      </c>
      <c r="J7429" s="3" t="str">
        <f>HYPERLINK("https://www.boe.es/gazeta/dias/1811/11/21/pdfs/GEI-1811-152.pdf#page=4","Abrir facsímil")</f>
        <v>Abrir facsímil</v>
      </c>
      <c r="K7429" s="3" t="s">
        <v>150</v>
      </c>
    </row>
    <row r="7430" spans="1:11" ht="42" customHeight="1">
      <c r="A7430" s="2" t="s">
        <v>19014</v>
      </c>
      <c r="B7430" s="2" t="s">
        <v>19014</v>
      </c>
      <c r="C7430" s="2" t="s">
        <v>17</v>
      </c>
      <c r="D7430" s="2" t="s">
        <v>18</v>
      </c>
      <c r="E7430" s="4">
        <v>-32162</v>
      </c>
      <c r="F7430" s="3" t="s">
        <v>317</v>
      </c>
      <c r="G7430" s="3" t="s">
        <v>5003</v>
      </c>
      <c r="H7430" s="2" t="s">
        <v>148</v>
      </c>
      <c r="I7430" s="2" t="s">
        <v>19018</v>
      </c>
      <c r="J7430" s="3" t="str">
        <f>HYPERLINK("https://www.boe.es/gazeta/dias/1811/12/10/pdfs/GEI-1811-160.pdf#page=7","Abrir facsímil")</f>
        <v>Abrir facsímil</v>
      </c>
      <c r="K7430" s="3" t="s">
        <v>150</v>
      </c>
    </row>
    <row r="7431" spans="1:11" ht="42" customHeight="1">
      <c r="A7431" s="2" t="s">
        <v>19019</v>
      </c>
      <c r="B7431" s="2" t="s">
        <v>19020</v>
      </c>
      <c r="C7431" s="2" t="s">
        <v>26</v>
      </c>
      <c r="D7431" s="2" t="s">
        <v>18</v>
      </c>
      <c r="E7431" s="4">
        <v>-32286</v>
      </c>
      <c r="F7431" s="3" t="s">
        <v>754</v>
      </c>
      <c r="G7431" s="3" t="s">
        <v>1728</v>
      </c>
      <c r="H7431" s="2" t="s">
        <v>148</v>
      </c>
      <c r="I7431" s="2" t="s">
        <v>19021</v>
      </c>
      <c r="J7431" s="3" t="str">
        <f>HYPERLINK("https://www.boe.es/gazeta/dias/1811/08/08/pdfs/GEI-1811-103.pdf#page=8","Abrir facsímil")</f>
        <v>Abrir facsímil</v>
      </c>
      <c r="K7431" s="3" t="s">
        <v>150</v>
      </c>
    </row>
    <row r="7432" spans="1:11" ht="42" customHeight="1">
      <c r="A7432" s="2" t="s">
        <v>19022</v>
      </c>
      <c r="B7432" s="2" t="s">
        <v>19023</v>
      </c>
      <c r="C7432" s="2" t="s">
        <v>17</v>
      </c>
      <c r="D7432" s="2" t="s">
        <v>18</v>
      </c>
      <c r="E7432" s="4">
        <v>-32393</v>
      </c>
      <c r="F7432" s="3" t="s">
        <v>32</v>
      </c>
      <c r="G7432" s="3" t="s">
        <v>5014</v>
      </c>
      <c r="H7432" s="2" t="s">
        <v>148</v>
      </c>
      <c r="I7432" s="2" t="s">
        <v>19024</v>
      </c>
      <c r="J7432" s="3" t="str">
        <f>HYPERLINK("https://www.boe.es/gazeta/dias/1811/04/23/pdfs/GEI-1811-54.pdf#page=2","Abrir facsímil")</f>
        <v>Abrir facsímil</v>
      </c>
      <c r="K7432" s="3" t="s">
        <v>150</v>
      </c>
    </row>
    <row r="7433" spans="1:11" ht="42" customHeight="1">
      <c r="A7433" s="2" t="s">
        <v>19025</v>
      </c>
      <c r="B7433" s="2" t="s">
        <v>19025</v>
      </c>
      <c r="C7433" s="2" t="s">
        <v>17</v>
      </c>
      <c r="D7433" s="2" t="s">
        <v>156</v>
      </c>
      <c r="E7433" s="4">
        <v>-32228</v>
      </c>
      <c r="F7433" s="3" t="s">
        <v>899</v>
      </c>
      <c r="G7433" s="3" t="s">
        <v>900</v>
      </c>
      <c r="H7433" s="2" t="s">
        <v>148</v>
      </c>
      <c r="I7433" s="2" t="s">
        <v>19026</v>
      </c>
      <c r="J7433" s="3" t="str">
        <f>HYPERLINK("https://www.boe.es/gazeta/dias/1811/10/05/pdfs/GMD-1811-278.pdf#page=2","Abrir facsímil")</f>
        <v>Abrir facsímil</v>
      </c>
      <c r="K7433" s="3" t="s">
        <v>150</v>
      </c>
    </row>
    <row r="7434" spans="1:11" ht="42" customHeight="1">
      <c r="A7434" s="2" t="s">
        <v>19027</v>
      </c>
      <c r="B7434" s="2" t="s">
        <v>19027</v>
      </c>
      <c r="C7434" s="2" t="s">
        <v>17</v>
      </c>
      <c r="D7434" s="2" t="s">
        <v>156</v>
      </c>
      <c r="E7434" s="4">
        <v>-32381</v>
      </c>
      <c r="F7434" s="3" t="s">
        <v>1698</v>
      </c>
      <c r="G7434" s="3" t="s">
        <v>134</v>
      </c>
      <c r="H7434" s="2" t="s">
        <v>148</v>
      </c>
      <c r="I7434" s="2" t="s">
        <v>19028</v>
      </c>
      <c r="J7434" s="3" t="str">
        <f>HYPERLINK("https://www.boe.es/gazeta/dias/1811/05/05/pdfs/GMD-1811-125.pdf#page=3","Abrir facsímil")</f>
        <v>Abrir facsímil</v>
      </c>
      <c r="K7434" s="3" t="s">
        <v>150</v>
      </c>
    </row>
    <row r="7435" spans="1:11" ht="42" customHeight="1">
      <c r="A7435" s="2" t="s">
        <v>19029</v>
      </c>
      <c r="B7435" s="2" t="s">
        <v>19030</v>
      </c>
      <c r="C7435" s="2" t="s">
        <v>26</v>
      </c>
      <c r="D7435" s="2" t="s">
        <v>18</v>
      </c>
      <c r="E7435" s="4">
        <v>-32188</v>
      </c>
      <c r="F7435" s="3" t="s">
        <v>356</v>
      </c>
      <c r="G7435" s="3" t="s">
        <v>248</v>
      </c>
      <c r="H7435" s="2" t="s">
        <v>148</v>
      </c>
      <c r="I7435" s="2" t="s">
        <v>19031</v>
      </c>
      <c r="J7435" s="3" t="str">
        <f>HYPERLINK("https://www.boe.es/gazeta/dias/1811/11/14/pdfs/GMD-1811-318.pdf#page=5","Abrir facsímil")</f>
        <v>Abrir facsímil</v>
      </c>
      <c r="K7435" s="3" t="s">
        <v>150</v>
      </c>
    </row>
    <row r="7436" spans="1:11" ht="42" customHeight="1">
      <c r="A7436" s="2" t="s">
        <v>19032</v>
      </c>
      <c r="B7436" s="2" t="s">
        <v>19032</v>
      </c>
      <c r="C7436" s="2" t="s">
        <v>17</v>
      </c>
      <c r="D7436" s="2" t="s">
        <v>156</v>
      </c>
      <c r="E7436" s="4">
        <v>-32377</v>
      </c>
      <c r="F7436" s="3" t="s">
        <v>6097</v>
      </c>
      <c r="G7436" s="3" t="s">
        <v>15349</v>
      </c>
      <c r="H7436" s="2" t="s">
        <v>148</v>
      </c>
      <c r="I7436" s="2" t="s">
        <v>19033</v>
      </c>
      <c r="J7436" s="3" t="str">
        <f>HYPERLINK("https://www.boe.es/gazeta/dias/1811/05/09/pdfs/GEI-1811-61.pdf#page=6","Abrir facsímil")</f>
        <v>Abrir facsímil</v>
      </c>
      <c r="K7436" s="3" t="s">
        <v>150</v>
      </c>
    </row>
    <row r="7437" spans="1:11" ht="42" customHeight="1">
      <c r="A7437" s="2" t="s">
        <v>19034</v>
      </c>
      <c r="B7437" s="2" t="s">
        <v>19035</v>
      </c>
      <c r="C7437" s="2" t="s">
        <v>17</v>
      </c>
      <c r="D7437" s="2" t="s">
        <v>18</v>
      </c>
      <c r="E7437" s="4">
        <v>-32335</v>
      </c>
      <c r="F7437" s="3" t="s">
        <v>3776</v>
      </c>
      <c r="G7437" s="3" t="s">
        <v>1179</v>
      </c>
      <c r="H7437" s="2" t="s">
        <v>148</v>
      </c>
      <c r="I7437" s="2" t="s">
        <v>19036</v>
      </c>
      <c r="J7437" s="3" t="str">
        <f>HYPERLINK("https://www.boe.es/gazeta/dias/1811/06/20/pdfs/GEI-1811-82.pdf#page=7","Abrir facsímil")</f>
        <v>Abrir facsímil</v>
      </c>
      <c r="K7437" s="3" t="s">
        <v>150</v>
      </c>
    </row>
    <row r="7438" spans="1:11" ht="42" customHeight="1">
      <c r="A7438" s="2" t="s">
        <v>19037</v>
      </c>
      <c r="B7438" s="2" t="s">
        <v>19038</v>
      </c>
      <c r="C7438" s="2" t="s">
        <v>26</v>
      </c>
      <c r="D7438" s="2" t="s">
        <v>18</v>
      </c>
      <c r="E7438" s="4">
        <v>-32202</v>
      </c>
      <c r="F7438" s="3" t="s">
        <v>2194</v>
      </c>
      <c r="G7438" s="3" t="s">
        <v>7693</v>
      </c>
      <c r="H7438" s="2" t="s">
        <v>148</v>
      </c>
      <c r="I7438" s="2" t="s">
        <v>19039</v>
      </c>
      <c r="J7438" s="3" t="str">
        <f>HYPERLINK("https://www.boe.es/gazeta/dias/1811/10/31/pdfs/GEI-1811-140.pdf#page=3","Abrir facsímil")</f>
        <v>Abrir facsímil</v>
      </c>
      <c r="K7438" s="3" t="s">
        <v>150</v>
      </c>
    </row>
    <row r="7439" spans="1:11" ht="42" customHeight="1">
      <c r="A7439" s="2" t="s">
        <v>19040</v>
      </c>
      <c r="B7439" s="2" t="s">
        <v>19040</v>
      </c>
      <c r="C7439" s="2" t="s">
        <v>17</v>
      </c>
      <c r="D7439" s="2" t="s">
        <v>18</v>
      </c>
      <c r="E7439" s="4">
        <v>-32424</v>
      </c>
      <c r="F7439" s="3" t="s">
        <v>772</v>
      </c>
      <c r="G7439" s="3" t="s">
        <v>488</v>
      </c>
      <c r="H7439" s="2" t="s">
        <v>148</v>
      </c>
      <c r="I7439" s="2" t="s">
        <v>19041</v>
      </c>
      <c r="J7439" s="3" t="str">
        <f>HYPERLINK("https://www.boe.es/gazeta/dias/1811/03/23/pdfs/GMD-1811-82.pdf#page=3","Abrir facsímil")</f>
        <v>Abrir facsímil</v>
      </c>
      <c r="K7439" s="3" t="s">
        <v>150</v>
      </c>
    </row>
    <row r="7440" spans="1:11" ht="42" customHeight="1">
      <c r="A7440" s="2" t="s">
        <v>19042</v>
      </c>
      <c r="B7440" s="2" t="s">
        <v>19042</v>
      </c>
      <c r="C7440" s="2" t="s">
        <v>17</v>
      </c>
      <c r="D7440" s="2" t="s">
        <v>18</v>
      </c>
      <c r="E7440" s="4">
        <v>-32426</v>
      </c>
      <c r="F7440" s="3" t="s">
        <v>244</v>
      </c>
      <c r="G7440" s="3" t="s">
        <v>248</v>
      </c>
      <c r="H7440" s="2" t="s">
        <v>148</v>
      </c>
      <c r="I7440" s="2" t="s">
        <v>19043</v>
      </c>
      <c r="J7440" s="3" t="str">
        <f>HYPERLINK("https://www.boe.es/gazeta/dias/1811/03/21/pdfs/GMD-1811-80.pdf#page=1","Abrir facsímil")</f>
        <v>Abrir facsímil</v>
      </c>
      <c r="K7440" s="3" t="s">
        <v>150</v>
      </c>
    </row>
    <row r="7441" spans="1:11" ht="42" customHeight="1">
      <c r="A7441" s="2" t="s">
        <v>19044</v>
      </c>
      <c r="B7441" s="2" t="s">
        <v>19045</v>
      </c>
      <c r="C7441" s="2" t="s">
        <v>37</v>
      </c>
      <c r="D7441" s="2" t="s">
        <v>18</v>
      </c>
      <c r="E7441" s="4">
        <v>-32487</v>
      </c>
      <c r="F7441" s="3" t="s">
        <v>3104</v>
      </c>
      <c r="G7441" s="3" t="s">
        <v>409</v>
      </c>
      <c r="H7441" s="2" t="s">
        <v>148</v>
      </c>
      <c r="I7441" s="2" t="s">
        <v>19046</v>
      </c>
      <c r="J7441" s="3" t="str">
        <f>HYPERLINK("https://www.boe.es/gazeta/dias/1811/01/19/pdfs/GMD-1811-19.pdf#page=2","Abrir facsímil")</f>
        <v>Abrir facsímil</v>
      </c>
      <c r="K7441" s="3" t="s">
        <v>150</v>
      </c>
    </row>
    <row r="7442" spans="1:11" ht="42" customHeight="1">
      <c r="A7442" s="2" t="s">
        <v>19047</v>
      </c>
      <c r="B7442" s="2" t="s">
        <v>19048</v>
      </c>
      <c r="C7442" s="2" t="s">
        <v>26</v>
      </c>
      <c r="D7442" s="2" t="s">
        <v>18</v>
      </c>
      <c r="E7442" s="4">
        <v>-32503</v>
      </c>
      <c r="F7442" s="3" t="s">
        <v>487</v>
      </c>
      <c r="G7442" s="3" t="s">
        <v>1930</v>
      </c>
      <c r="H7442" s="2" t="s">
        <v>148</v>
      </c>
      <c r="I7442" s="2" t="s">
        <v>19049</v>
      </c>
      <c r="J7442" s="3" t="str">
        <f>HYPERLINK("https://www.boe.es/gazeta/dias/1811/01/03/pdfs/GEI-1811-2.pdf#page=8","Abrir facsímil")</f>
        <v>Abrir facsímil</v>
      </c>
      <c r="K7442" s="3" t="s">
        <v>150</v>
      </c>
    </row>
    <row r="7443" spans="1:11" ht="42" customHeight="1">
      <c r="A7443" s="2" t="s">
        <v>19050</v>
      </c>
      <c r="B7443" s="2" t="s">
        <v>19051</v>
      </c>
      <c r="C7443" s="2" t="s">
        <v>122</v>
      </c>
      <c r="D7443" s="2" t="s">
        <v>18</v>
      </c>
      <c r="E7443" s="4">
        <v>-32211</v>
      </c>
      <c r="F7443" s="3" t="s">
        <v>1074</v>
      </c>
      <c r="G7443" s="3" t="s">
        <v>248</v>
      </c>
      <c r="H7443" s="2" t="s">
        <v>148</v>
      </c>
      <c r="I7443" s="2" t="s">
        <v>19052</v>
      </c>
      <c r="J7443" s="3" t="str">
        <f>HYPERLINK("https://www.boe.es/gazeta/dias/1811/10/22/pdfs/GEI-1811-136.pdf#page=5","Abrir facsímil")</f>
        <v>Abrir facsímil</v>
      </c>
      <c r="K7443" s="3" t="s">
        <v>150</v>
      </c>
    </row>
    <row r="7444" spans="1:11" ht="42" customHeight="1">
      <c r="A7444" s="2" t="s">
        <v>19053</v>
      </c>
      <c r="B7444" s="2" t="s">
        <v>19054</v>
      </c>
      <c r="C7444" s="2" t="s">
        <v>26</v>
      </c>
      <c r="D7444" s="2" t="s">
        <v>18</v>
      </c>
      <c r="E7444" s="4">
        <v>-32141</v>
      </c>
      <c r="F7444" s="3" t="s">
        <v>327</v>
      </c>
      <c r="G7444" s="3" t="s">
        <v>115</v>
      </c>
      <c r="H7444" s="2" t="s">
        <v>148</v>
      </c>
      <c r="I7444" s="2" t="s">
        <v>19055</v>
      </c>
      <c r="J7444" s="3" t="str">
        <f>HYPERLINK("https://www.boe.es/gazeta/dias/1811/12/31/pdfs/GMD-1811-365.pdf#page=3","Abrir facsímil")</f>
        <v>Abrir facsímil</v>
      </c>
      <c r="K7444" s="3" t="s">
        <v>150</v>
      </c>
    </row>
    <row r="7445" spans="1:11" ht="42" customHeight="1">
      <c r="A7445" s="2" t="s">
        <v>19056</v>
      </c>
      <c r="B7445" s="2" t="s">
        <v>19056</v>
      </c>
      <c r="C7445" s="2" t="s">
        <v>17</v>
      </c>
      <c r="D7445" s="2" t="s">
        <v>156</v>
      </c>
      <c r="E7445" s="4">
        <v>-32372</v>
      </c>
      <c r="F7445" s="3" t="s">
        <v>1508</v>
      </c>
      <c r="G7445" s="3" t="s">
        <v>47</v>
      </c>
      <c r="H7445" s="2" t="s">
        <v>148</v>
      </c>
      <c r="I7445" s="2" t="s">
        <v>19057</v>
      </c>
      <c r="J7445" s="3" t="str">
        <f>HYPERLINK("https://www.boe.es/gazeta/dias/1811/05/14/pdfs/GMD-1811-134.pdf#page=3","Abrir facsímil")</f>
        <v>Abrir facsímil</v>
      </c>
      <c r="K7445" s="3" t="s">
        <v>150</v>
      </c>
    </row>
    <row r="7446" spans="1:11" ht="42" customHeight="1">
      <c r="A7446" s="2" t="s">
        <v>19058</v>
      </c>
      <c r="B7446" s="2" t="s">
        <v>19059</v>
      </c>
      <c r="C7446" s="2" t="s">
        <v>26</v>
      </c>
      <c r="D7446" s="2" t="s">
        <v>18</v>
      </c>
      <c r="E7446" s="4">
        <v>-32419</v>
      </c>
      <c r="F7446" s="3" t="s">
        <v>2585</v>
      </c>
      <c r="G7446" s="3" t="s">
        <v>4049</v>
      </c>
      <c r="H7446" s="2" t="s">
        <v>148</v>
      </c>
      <c r="I7446" s="2" t="s">
        <v>19060</v>
      </c>
      <c r="J7446" s="3" t="str">
        <f>HYPERLINK("https://www.boe.es/gazeta/dias/1811/03/28/pdfs/GEI-1811-43.pdf#page=7","Abrir facsímil")</f>
        <v>Abrir facsímil</v>
      </c>
      <c r="K7446" s="3" t="s">
        <v>150</v>
      </c>
    </row>
    <row r="7447" spans="1:11" ht="42" customHeight="1">
      <c r="A7447" s="2" t="s">
        <v>19061</v>
      </c>
      <c r="B7447" s="2" t="s">
        <v>19062</v>
      </c>
      <c r="C7447" s="2" t="s">
        <v>17</v>
      </c>
      <c r="D7447" s="2" t="s">
        <v>18</v>
      </c>
      <c r="E7447" s="4">
        <v>-32218</v>
      </c>
      <c r="F7447" s="3" t="s">
        <v>938</v>
      </c>
      <c r="G7447" s="3" t="s">
        <v>939</v>
      </c>
      <c r="H7447" s="2" t="s">
        <v>148</v>
      </c>
      <c r="I7447" s="2" t="s">
        <v>19063</v>
      </c>
      <c r="J7447" s="3" t="str">
        <f>HYPERLINK("https://www.boe.es/gazeta/dias/1811/10/15/pdfs/GEI-1811-133.pdf#page=8","Abrir facsímil")</f>
        <v>Abrir facsímil</v>
      </c>
      <c r="K7447" s="3" t="s">
        <v>150</v>
      </c>
    </row>
    <row r="7448" spans="1:11" ht="42" customHeight="1">
      <c r="A7448" s="2" t="s">
        <v>19064</v>
      </c>
      <c r="B7448" s="2" t="s">
        <v>19065</v>
      </c>
      <c r="C7448" s="2" t="s">
        <v>26</v>
      </c>
      <c r="D7448" s="2" t="s">
        <v>141</v>
      </c>
      <c r="E7448" s="4">
        <v>-32280</v>
      </c>
      <c r="F7448" s="3" t="s">
        <v>142</v>
      </c>
      <c r="G7448" s="3" t="s">
        <v>597</v>
      </c>
      <c r="H7448" s="2" t="s">
        <v>148</v>
      </c>
      <c r="I7448" s="2" t="s">
        <v>19066</v>
      </c>
      <c r="J7448" s="3" t="str">
        <f>HYPERLINK("https://www.boe.es/gazeta/dias/1811/08/14/pdfs/GMD-C-1811-226.pdf#page=2","Abrir facsímil")</f>
        <v>Abrir facsímil</v>
      </c>
      <c r="K7448" s="3" t="s">
        <v>150</v>
      </c>
    </row>
    <row r="7449" spans="1:11" ht="42" customHeight="1">
      <c r="A7449" s="2" t="s">
        <v>19067</v>
      </c>
      <c r="B7449" s="2" t="s">
        <v>19068</v>
      </c>
      <c r="C7449" s="2" t="s">
        <v>26</v>
      </c>
      <c r="D7449" s="2" t="s">
        <v>18</v>
      </c>
      <c r="E7449" s="4">
        <v>-32193</v>
      </c>
      <c r="F7449" s="3" t="s">
        <v>1037</v>
      </c>
      <c r="G7449" s="3" t="s">
        <v>44</v>
      </c>
      <c r="H7449" s="2" t="s">
        <v>148</v>
      </c>
      <c r="I7449" s="2" t="s">
        <v>19069</v>
      </c>
      <c r="J7449" s="3" t="str">
        <f>HYPERLINK("https://www.boe.es/gazeta/dias/1811/11/09/pdfs/GEI-1811-145.pdf#page=4","Abrir facsímil")</f>
        <v>Abrir facsímil</v>
      </c>
      <c r="K7449" s="3" t="s">
        <v>150</v>
      </c>
    </row>
    <row r="7450" spans="1:11" ht="42" customHeight="1">
      <c r="A7450" s="2" t="s">
        <v>19070</v>
      </c>
      <c r="B7450" s="2" t="s">
        <v>19071</v>
      </c>
      <c r="C7450" s="2" t="s">
        <v>17</v>
      </c>
      <c r="D7450" s="2" t="s">
        <v>156</v>
      </c>
      <c r="E7450" s="4">
        <v>-32414</v>
      </c>
      <c r="F7450" s="3" t="s">
        <v>213</v>
      </c>
      <c r="G7450" s="3" t="s">
        <v>214</v>
      </c>
      <c r="H7450" s="2" t="s">
        <v>148</v>
      </c>
      <c r="I7450" s="2" t="s">
        <v>19072</v>
      </c>
      <c r="J7450" s="3" t="str">
        <f>HYPERLINK("https://www.boe.es/gazeta/dias/1811/04/02/pdfs/GEI-1811-45.pdf#page=6","Abrir facsímil")</f>
        <v>Abrir facsímil</v>
      </c>
      <c r="K7450" s="3" t="s">
        <v>150</v>
      </c>
    </row>
    <row r="7451" spans="1:11" ht="42" customHeight="1">
      <c r="A7451" s="2" t="s">
        <v>19073</v>
      </c>
      <c r="B7451" s="2" t="s">
        <v>19074</v>
      </c>
      <c r="C7451" s="2" t="s">
        <v>104</v>
      </c>
      <c r="D7451" s="2" t="s">
        <v>18</v>
      </c>
      <c r="E7451" s="4">
        <v>-32141</v>
      </c>
      <c r="F7451" s="3" t="s">
        <v>327</v>
      </c>
      <c r="G7451" s="3" t="s">
        <v>20</v>
      </c>
      <c r="H7451" s="2" t="s">
        <v>148</v>
      </c>
      <c r="I7451" s="2" t="s">
        <v>19075</v>
      </c>
      <c r="J7451" s="3" t="str">
        <f>HYPERLINK("https://www.boe.es/gazeta/dias/1811/12/31/pdfs/GMD-1811-365.pdf#page=4","Abrir facsímil")</f>
        <v>Abrir facsímil</v>
      </c>
      <c r="K7451" s="3" t="s">
        <v>150</v>
      </c>
    </row>
    <row r="7452" spans="1:11" ht="42" customHeight="1">
      <c r="A7452" s="2" t="s">
        <v>19076</v>
      </c>
      <c r="B7452" s="2" t="s">
        <v>19077</v>
      </c>
      <c r="C7452" s="2" t="s">
        <v>367</v>
      </c>
      <c r="D7452" s="2" t="s">
        <v>18</v>
      </c>
      <c r="E7452" s="4">
        <v>-32153</v>
      </c>
      <c r="F7452" s="3" t="s">
        <v>123</v>
      </c>
      <c r="G7452" s="3" t="s">
        <v>1067</v>
      </c>
      <c r="H7452" s="2" t="s">
        <v>148</v>
      </c>
      <c r="I7452" s="2" t="s">
        <v>19078</v>
      </c>
      <c r="J7452" s="3" t="str">
        <f>HYPERLINK("https://www.boe.es/gazeta/dias/1811/12/19/pdfs/GMD-1811-353.pdf#page=5","Abrir facsímil")</f>
        <v>Abrir facsímil</v>
      </c>
      <c r="K7452" s="3" t="s">
        <v>150</v>
      </c>
    </row>
    <row r="7453" spans="1:11" ht="42" customHeight="1">
      <c r="A7453" s="2" t="s">
        <v>19076</v>
      </c>
      <c r="B7453" s="2" t="s">
        <v>19077</v>
      </c>
      <c r="C7453" s="2" t="s">
        <v>37</v>
      </c>
      <c r="D7453" s="2" t="s">
        <v>105</v>
      </c>
      <c r="E7453" s="4">
        <v>-32145</v>
      </c>
      <c r="F7453" s="3" t="s">
        <v>417</v>
      </c>
      <c r="G7453" s="3" t="s">
        <v>418</v>
      </c>
      <c r="H7453" s="2" t="s">
        <v>148</v>
      </c>
      <c r="I7453" s="2" t="s">
        <v>19079</v>
      </c>
      <c r="J7453" s="3" t="str">
        <f>HYPERLINK("https://www.boe.es/gazeta/dias/1811/12/27/pdfs/GMD-1811-361.pdf#page=4","Abrir facsímil")</f>
        <v>Abrir facsímil</v>
      </c>
      <c r="K7453" s="3" t="s">
        <v>150</v>
      </c>
    </row>
    <row r="7454" spans="1:11" ht="42" customHeight="1">
      <c r="A7454" s="2" t="s">
        <v>19080</v>
      </c>
      <c r="B7454" s="2" t="s">
        <v>19081</v>
      </c>
      <c r="C7454" s="2" t="s">
        <v>84</v>
      </c>
      <c r="D7454" s="2" t="s">
        <v>18</v>
      </c>
      <c r="E7454" s="4">
        <v>-32274</v>
      </c>
      <c r="F7454" s="3" t="s">
        <v>5081</v>
      </c>
      <c r="G7454" s="3" t="s">
        <v>14256</v>
      </c>
      <c r="H7454" s="2" t="s">
        <v>148</v>
      </c>
      <c r="I7454" s="2" t="s">
        <v>19082</v>
      </c>
      <c r="J7454" s="3" t="str">
        <f>HYPERLINK("https://www.boe.es/gazeta/dias/1811/08/20/pdfs/GEI-1811-108.pdf#page=8","Abrir facsímil")</f>
        <v>Abrir facsímil</v>
      </c>
      <c r="K7454" s="3" t="s">
        <v>150</v>
      </c>
    </row>
    <row r="7455" spans="1:11" ht="42" customHeight="1">
      <c r="A7455" s="2" t="s">
        <v>19083</v>
      </c>
      <c r="B7455" s="2" t="s">
        <v>19083</v>
      </c>
      <c r="C7455" s="2" t="s">
        <v>17</v>
      </c>
      <c r="D7455" s="2" t="s">
        <v>204</v>
      </c>
      <c r="E7455" s="4">
        <v>-32258</v>
      </c>
      <c r="F7455" s="3" t="s">
        <v>7467</v>
      </c>
      <c r="G7455" s="3" t="s">
        <v>47</v>
      </c>
      <c r="H7455" s="2" t="s">
        <v>148</v>
      </c>
      <c r="I7455" s="2" t="s">
        <v>19084</v>
      </c>
      <c r="J7455" s="3" t="str">
        <f>HYPERLINK("https://www.boe.es/gazeta/dias/1811/09/05/pdfs/GMD-1811-248.pdf#page=2","Abrir facsímil")</f>
        <v>Abrir facsímil</v>
      </c>
      <c r="K7455" s="3" t="s">
        <v>150</v>
      </c>
    </row>
    <row r="7456" spans="1:11" ht="42" customHeight="1">
      <c r="A7456" s="2" t="s">
        <v>19085</v>
      </c>
      <c r="B7456" s="2" t="s">
        <v>19085</v>
      </c>
      <c r="C7456" s="2" t="s">
        <v>17</v>
      </c>
      <c r="D7456" s="2" t="s">
        <v>18</v>
      </c>
      <c r="E7456" s="4">
        <v>-32381</v>
      </c>
      <c r="F7456" s="3" t="s">
        <v>1698</v>
      </c>
      <c r="G7456" s="3" t="s">
        <v>134</v>
      </c>
      <c r="H7456" s="2" t="s">
        <v>148</v>
      </c>
      <c r="I7456" s="2" t="s">
        <v>19086</v>
      </c>
      <c r="J7456" s="3" t="str">
        <f>HYPERLINK("https://www.boe.es/gazeta/dias/1811/05/05/pdfs/GMD-1811-125.pdf#page=3","Abrir facsímil")</f>
        <v>Abrir facsímil</v>
      </c>
      <c r="K7456" s="3" t="s">
        <v>150</v>
      </c>
    </row>
    <row r="7457" spans="1:11" ht="42" customHeight="1">
      <c r="A7457" s="2" t="s">
        <v>19087</v>
      </c>
      <c r="B7457" s="2" t="s">
        <v>19087</v>
      </c>
      <c r="C7457" s="2" t="s">
        <v>17</v>
      </c>
      <c r="D7457" s="2" t="s">
        <v>156</v>
      </c>
      <c r="E7457" s="4">
        <v>-32407</v>
      </c>
      <c r="F7457" s="3" t="s">
        <v>38</v>
      </c>
      <c r="G7457" s="3" t="s">
        <v>2379</v>
      </c>
      <c r="H7457" s="2" t="s">
        <v>148</v>
      </c>
      <c r="I7457" s="2" t="s">
        <v>19088</v>
      </c>
      <c r="J7457" s="3" t="str">
        <f>HYPERLINK("https://www.boe.es/gazeta/dias/1811/04/09/pdfs/GEI-1811-48.pdf#page=10","Abrir facsímil")</f>
        <v>Abrir facsímil</v>
      </c>
      <c r="K7457" s="3" t="s">
        <v>150</v>
      </c>
    </row>
    <row r="7458" spans="1:11" ht="42" customHeight="1">
      <c r="A7458" s="2" t="s">
        <v>19089</v>
      </c>
      <c r="B7458" s="2" t="s">
        <v>19089</v>
      </c>
      <c r="C7458" s="2" t="s">
        <v>17</v>
      </c>
      <c r="D7458" s="2" t="s">
        <v>156</v>
      </c>
      <c r="E7458" s="4">
        <v>-32389</v>
      </c>
      <c r="F7458" s="3" t="s">
        <v>5683</v>
      </c>
      <c r="G7458" s="3" t="s">
        <v>20</v>
      </c>
      <c r="H7458" s="2" t="s">
        <v>148</v>
      </c>
      <c r="I7458" s="2" t="s">
        <v>19090</v>
      </c>
      <c r="J7458" s="3" t="str">
        <f>HYPERLINK("https://www.boe.es/gazeta/dias/1811/04/27/pdfs/GMD-1811-117.pdf#page=3","Abrir facsímil")</f>
        <v>Abrir facsímil</v>
      </c>
      <c r="K7458" s="3" t="s">
        <v>150</v>
      </c>
    </row>
    <row r="7459" spans="1:11" ht="42" customHeight="1">
      <c r="A7459" s="2" t="s">
        <v>19091</v>
      </c>
      <c r="B7459" s="2" t="s">
        <v>19091</v>
      </c>
      <c r="C7459" s="2" t="s">
        <v>17</v>
      </c>
      <c r="D7459" s="2" t="s">
        <v>156</v>
      </c>
      <c r="E7459" s="4">
        <v>-32389</v>
      </c>
      <c r="F7459" s="3" t="s">
        <v>5683</v>
      </c>
      <c r="G7459" s="3" t="s">
        <v>468</v>
      </c>
      <c r="H7459" s="2" t="s">
        <v>148</v>
      </c>
      <c r="I7459" s="2" t="s">
        <v>19092</v>
      </c>
      <c r="J7459" s="3" t="str">
        <f>HYPERLINK("https://www.boe.es/gazeta/dias/1811/04/27/pdfs/GMD-1811-117.pdf#page=4","Abrir facsímil")</f>
        <v>Abrir facsímil</v>
      </c>
      <c r="K7459" s="3" t="s">
        <v>150</v>
      </c>
    </row>
    <row r="7460" spans="1:11" ht="42" customHeight="1">
      <c r="A7460" s="2" t="s">
        <v>19093</v>
      </c>
      <c r="B7460" s="2" t="s">
        <v>19094</v>
      </c>
      <c r="C7460" s="2" t="s">
        <v>26</v>
      </c>
      <c r="D7460" s="2" t="s">
        <v>18</v>
      </c>
      <c r="E7460" s="4">
        <v>-32225</v>
      </c>
      <c r="F7460" s="3" t="s">
        <v>2347</v>
      </c>
      <c r="G7460" s="3" t="s">
        <v>115</v>
      </c>
      <c r="H7460" s="2" t="s">
        <v>148</v>
      </c>
      <c r="I7460" s="2" t="s">
        <v>19095</v>
      </c>
      <c r="J7460" s="3" t="str">
        <f>HYPERLINK("https://www.boe.es/gazeta/dias/1811/10/08/pdfs/GMD-1811-281.pdf#page=3","Abrir facsímil")</f>
        <v>Abrir facsímil</v>
      </c>
      <c r="K7460" s="3" t="s">
        <v>150</v>
      </c>
    </row>
    <row r="7461" spans="1:11" ht="42" customHeight="1">
      <c r="A7461" s="2" t="s">
        <v>19096</v>
      </c>
      <c r="B7461" s="2" t="s">
        <v>19097</v>
      </c>
      <c r="C7461" s="2" t="s">
        <v>17</v>
      </c>
      <c r="D7461" s="2" t="s">
        <v>18</v>
      </c>
      <c r="E7461" s="4">
        <v>-32300</v>
      </c>
      <c r="F7461" s="3" t="s">
        <v>61</v>
      </c>
      <c r="G7461" s="3" t="s">
        <v>221</v>
      </c>
      <c r="H7461" s="2" t="s">
        <v>148</v>
      </c>
      <c r="I7461" s="2" t="s">
        <v>19098</v>
      </c>
      <c r="J7461" s="3" t="str">
        <f>HYPERLINK("https://www.boe.es/gazeta/dias/1811/07/25/pdfs/GEI-1811-97.pdf#page=4","Abrir facsímil")</f>
        <v>Abrir facsímil</v>
      </c>
      <c r="K7461" s="3" t="s">
        <v>150</v>
      </c>
    </row>
    <row r="7462" spans="1:11" ht="42" customHeight="1">
      <c r="A7462" s="2" t="s">
        <v>19096</v>
      </c>
      <c r="B7462" s="2" t="s">
        <v>19097</v>
      </c>
      <c r="C7462" s="2" t="s">
        <v>17</v>
      </c>
      <c r="D7462" s="2" t="s">
        <v>18</v>
      </c>
      <c r="E7462" s="4">
        <v>-32300</v>
      </c>
      <c r="F7462" s="3" t="s">
        <v>61</v>
      </c>
      <c r="G7462" s="3" t="s">
        <v>62</v>
      </c>
      <c r="H7462" s="2" t="s">
        <v>148</v>
      </c>
      <c r="I7462" s="2" t="s">
        <v>19099</v>
      </c>
      <c r="J7462" s="3" t="str">
        <f>HYPERLINK("https://www.boe.es/gazeta/dias/1811/07/25/pdfs/GEI-1811-97.pdf#page=5","Abrir facsímil")</f>
        <v>Abrir facsímil</v>
      </c>
      <c r="K7462" s="3" t="s">
        <v>150</v>
      </c>
    </row>
    <row r="7463" spans="1:11" ht="42" customHeight="1">
      <c r="A7463" s="2" t="s">
        <v>19096</v>
      </c>
      <c r="B7463" s="2" t="s">
        <v>19097</v>
      </c>
      <c r="C7463" s="2" t="s">
        <v>26</v>
      </c>
      <c r="D7463" s="2" t="s">
        <v>18</v>
      </c>
      <c r="E7463" s="4">
        <v>-32242</v>
      </c>
      <c r="F7463" s="3" t="s">
        <v>1295</v>
      </c>
      <c r="G7463" s="3" t="s">
        <v>1296</v>
      </c>
      <c r="H7463" s="2" t="s">
        <v>148</v>
      </c>
      <c r="I7463" s="2" t="s">
        <v>19100</v>
      </c>
      <c r="J7463" s="3" t="str">
        <f>HYPERLINK("https://www.boe.es/gazeta/dias/1811/09/21/pdfs/GEI-1811-122.pdf#page=8","Abrir facsímil")</f>
        <v>Abrir facsímil</v>
      </c>
      <c r="K7463" s="3" t="s">
        <v>150</v>
      </c>
    </row>
    <row r="7464" spans="1:11" ht="42" customHeight="1">
      <c r="A7464" s="2" t="s">
        <v>19101</v>
      </c>
      <c r="B7464" s="2" t="s">
        <v>19102</v>
      </c>
      <c r="C7464" s="2" t="s">
        <v>26</v>
      </c>
      <c r="D7464" s="2" t="s">
        <v>18</v>
      </c>
      <c r="E7464" s="4">
        <v>-32251</v>
      </c>
      <c r="F7464" s="3" t="s">
        <v>726</v>
      </c>
      <c r="G7464" s="3" t="s">
        <v>44</v>
      </c>
      <c r="H7464" s="2" t="s">
        <v>148</v>
      </c>
      <c r="I7464" s="2" t="s">
        <v>19103</v>
      </c>
      <c r="J7464" s="3" t="str">
        <f>HYPERLINK("https://www.boe.es/gazeta/dias/1811/09/12/pdfs/GEI-1811-118.pdf#page=7","Abrir facsímil")</f>
        <v>Abrir facsímil</v>
      </c>
      <c r="K7464" s="3" t="s">
        <v>150</v>
      </c>
    </row>
    <row r="7465" spans="1:11" ht="42" customHeight="1">
      <c r="A7465" s="2" t="s">
        <v>19104</v>
      </c>
      <c r="B7465" s="2" t="s">
        <v>19105</v>
      </c>
      <c r="C7465" s="2" t="s">
        <v>26</v>
      </c>
      <c r="D7465" s="2" t="s">
        <v>141</v>
      </c>
      <c r="E7465" s="4">
        <v>-32280</v>
      </c>
      <c r="F7465" s="3" t="s">
        <v>142</v>
      </c>
      <c r="G7465" s="3" t="s">
        <v>597</v>
      </c>
      <c r="H7465" s="2" t="s">
        <v>148</v>
      </c>
      <c r="I7465" s="2" t="s">
        <v>19106</v>
      </c>
      <c r="J7465" s="3" t="str">
        <f>HYPERLINK("https://www.boe.es/gazeta/dias/1811/08/14/pdfs/GMD-C-1811-226.pdf#page=2","Abrir facsímil")</f>
        <v>Abrir facsímil</v>
      </c>
      <c r="K7465" s="3" t="s">
        <v>150</v>
      </c>
    </row>
    <row r="7466" spans="1:11" ht="42" customHeight="1">
      <c r="A7466" s="2" t="s">
        <v>19107</v>
      </c>
      <c r="B7466" s="2" t="s">
        <v>19108</v>
      </c>
      <c r="C7466" s="2" t="s">
        <v>367</v>
      </c>
      <c r="D7466" s="2" t="s">
        <v>105</v>
      </c>
      <c r="E7466" s="4">
        <v>-32297</v>
      </c>
      <c r="F7466" s="3" t="s">
        <v>2174</v>
      </c>
      <c r="G7466" s="3" t="s">
        <v>183</v>
      </c>
      <c r="H7466" s="2" t="s">
        <v>148</v>
      </c>
      <c r="I7466" s="2" t="s">
        <v>19109</v>
      </c>
      <c r="J7466" s="3" t="str">
        <f>HYPERLINK("https://www.boe.es/gazeta/dias/1811/07/28/pdfs/GMD-1811-209.pdf#page=4","Abrir facsímil")</f>
        <v>Abrir facsímil</v>
      </c>
      <c r="K7466" s="3" t="s">
        <v>150</v>
      </c>
    </row>
    <row r="7467" spans="1:11" ht="42" customHeight="1">
      <c r="A7467" s="2" t="s">
        <v>19110</v>
      </c>
      <c r="B7467" s="2" t="s">
        <v>19111</v>
      </c>
      <c r="C7467" s="2" t="s">
        <v>26</v>
      </c>
      <c r="D7467" s="2" t="s">
        <v>18</v>
      </c>
      <c r="E7467" s="4">
        <v>-32153</v>
      </c>
      <c r="F7467" s="3" t="s">
        <v>123</v>
      </c>
      <c r="G7467" s="3" t="s">
        <v>1067</v>
      </c>
      <c r="H7467" s="2" t="s">
        <v>148</v>
      </c>
      <c r="I7467" s="2" t="s">
        <v>19112</v>
      </c>
      <c r="J7467" s="3" t="str">
        <f>HYPERLINK("https://www.boe.es/gazeta/dias/1811/12/19/pdfs/GMD-1811-353.pdf#page=5","Abrir facsímil")</f>
        <v>Abrir facsímil</v>
      </c>
      <c r="K7467" s="3" t="s">
        <v>150</v>
      </c>
    </row>
    <row r="7468" spans="1:11" ht="42" customHeight="1">
      <c r="A7468" s="2" t="s">
        <v>19113</v>
      </c>
      <c r="B7468" s="2" t="s">
        <v>19114</v>
      </c>
      <c r="C7468" s="2" t="s">
        <v>17</v>
      </c>
      <c r="D7468" s="2" t="s">
        <v>18</v>
      </c>
      <c r="E7468" s="4">
        <v>-32416</v>
      </c>
      <c r="F7468" s="3" t="s">
        <v>954</v>
      </c>
      <c r="G7468" s="3" t="s">
        <v>183</v>
      </c>
      <c r="H7468" s="2" t="s">
        <v>148</v>
      </c>
      <c r="I7468" s="2" t="s">
        <v>19115</v>
      </c>
      <c r="J7468" s="3" t="str">
        <f>HYPERLINK("https://www.boe.es/gazeta/dias/1811/03/31/pdfs/GMD-1811-90.pdf#page=4","Abrir facsímil")</f>
        <v>Abrir facsímil</v>
      </c>
      <c r="K7468" s="3" t="s">
        <v>150</v>
      </c>
    </row>
    <row r="7469" spans="1:11" ht="42" customHeight="1">
      <c r="A7469" s="2" t="s">
        <v>19116</v>
      </c>
      <c r="B7469" s="2" t="s">
        <v>19117</v>
      </c>
      <c r="C7469" s="2" t="s">
        <v>17</v>
      </c>
      <c r="D7469" s="2" t="s">
        <v>156</v>
      </c>
      <c r="E7469" s="4">
        <v>-32394</v>
      </c>
      <c r="F7469" s="3" t="s">
        <v>1709</v>
      </c>
      <c r="G7469" s="3" t="s">
        <v>115</v>
      </c>
      <c r="H7469" s="2" t="s">
        <v>148</v>
      </c>
      <c r="I7469" s="2" t="s">
        <v>19118</v>
      </c>
      <c r="J7469" s="3" t="str">
        <f>HYPERLINK("https://www.boe.es/gazeta/dias/1811/04/22/pdfs/GMD-1811-112.pdf#page=3","Abrir facsímil")</f>
        <v>Abrir facsímil</v>
      </c>
      <c r="K7469" s="3" t="s">
        <v>150</v>
      </c>
    </row>
    <row r="7470" spans="1:11" ht="42" customHeight="1">
      <c r="A7470" s="2" t="s">
        <v>19119</v>
      </c>
      <c r="B7470" s="2" t="s">
        <v>19120</v>
      </c>
      <c r="C7470" s="2" t="s">
        <v>841</v>
      </c>
      <c r="D7470" s="2" t="s">
        <v>18</v>
      </c>
      <c r="E7470" s="4">
        <v>-32209</v>
      </c>
      <c r="F7470" s="3" t="s">
        <v>1324</v>
      </c>
      <c r="G7470" s="3" t="s">
        <v>1325</v>
      </c>
      <c r="H7470" s="2" t="s">
        <v>148</v>
      </c>
      <c r="I7470" s="2" t="s">
        <v>19121</v>
      </c>
      <c r="J7470" s="3" t="str">
        <f>HYPERLINK("https://www.boe.es/gazeta/dias/1811/10/24/pdfs/GMD-1811-297.pdf#page=2","Abrir facsímil")</f>
        <v>Abrir facsímil</v>
      </c>
      <c r="K7470" s="3" t="s">
        <v>150</v>
      </c>
    </row>
    <row r="7471" spans="1:11" ht="42" customHeight="1">
      <c r="A7471" s="2" t="s">
        <v>19122</v>
      </c>
      <c r="B7471" s="2" t="s">
        <v>19123</v>
      </c>
      <c r="C7471" s="2" t="s">
        <v>26</v>
      </c>
      <c r="D7471" s="2" t="s">
        <v>141</v>
      </c>
      <c r="E7471" s="4">
        <v>-32280</v>
      </c>
      <c r="F7471" s="3" t="s">
        <v>142</v>
      </c>
      <c r="G7471" s="3" t="s">
        <v>597</v>
      </c>
      <c r="H7471" s="2" t="s">
        <v>148</v>
      </c>
      <c r="I7471" s="2" t="s">
        <v>19124</v>
      </c>
      <c r="J7471" s="3" t="str">
        <f>HYPERLINK("https://www.boe.es/gazeta/dias/1811/08/14/pdfs/GMD-C-1811-226.pdf#page=2","Abrir facsímil")</f>
        <v>Abrir facsímil</v>
      </c>
      <c r="K7471" s="3" t="s">
        <v>150</v>
      </c>
    </row>
    <row r="7472" spans="1:11" ht="42" customHeight="1">
      <c r="A7472" s="2" t="s">
        <v>19125</v>
      </c>
      <c r="B7472" s="2" t="s">
        <v>19126</v>
      </c>
      <c r="C7472" s="2" t="s">
        <v>26</v>
      </c>
      <c r="D7472" s="2" t="s">
        <v>18</v>
      </c>
      <c r="E7472" s="4">
        <v>-32172</v>
      </c>
      <c r="F7472" s="3" t="s">
        <v>300</v>
      </c>
      <c r="G7472" s="3" t="s">
        <v>301</v>
      </c>
      <c r="H7472" s="2" t="s">
        <v>148</v>
      </c>
      <c r="I7472" s="2" t="s">
        <v>19127</v>
      </c>
      <c r="J7472" s="3" t="str">
        <f>HYPERLINK("https://www.boe.es/gazeta/dias/1811/11/30/pdfs/GMD-1811-334.pdf#page=4","Abrir facsímil")</f>
        <v>Abrir facsímil</v>
      </c>
      <c r="K7472" s="3" t="s">
        <v>150</v>
      </c>
    </row>
    <row r="7473" spans="1:11" ht="42" customHeight="1">
      <c r="A7473" s="2" t="s">
        <v>19128</v>
      </c>
      <c r="B7473" s="2" t="s">
        <v>19129</v>
      </c>
      <c r="C7473" s="2" t="s">
        <v>17</v>
      </c>
      <c r="D7473" s="2" t="s">
        <v>156</v>
      </c>
      <c r="E7473" s="4">
        <v>-32319</v>
      </c>
      <c r="F7473" s="3" t="s">
        <v>907</v>
      </c>
      <c r="G7473" s="3" t="s">
        <v>134</v>
      </c>
      <c r="H7473" s="2" t="s">
        <v>148</v>
      </c>
      <c r="I7473" s="2" t="s">
        <v>19130</v>
      </c>
      <c r="J7473" s="3" t="str">
        <f>HYPERLINK("https://www.boe.es/gazeta/dias/1811/07/06/pdfs/GEI-D-1811-89.pdf#page=4","Abrir facsímil")</f>
        <v>Abrir facsímil</v>
      </c>
      <c r="K7473" s="3" t="s">
        <v>150</v>
      </c>
    </row>
    <row r="7474" spans="1:11" ht="42" customHeight="1">
      <c r="A7474" s="2" t="s">
        <v>19131</v>
      </c>
      <c r="B7474" s="2" t="s">
        <v>19132</v>
      </c>
      <c r="C7474" s="2" t="s">
        <v>26</v>
      </c>
      <c r="D7474" s="2" t="s">
        <v>18</v>
      </c>
      <c r="E7474" s="4">
        <v>-32200</v>
      </c>
      <c r="F7474" s="3" t="s">
        <v>109</v>
      </c>
      <c r="G7474" s="3" t="s">
        <v>268</v>
      </c>
      <c r="H7474" s="2" t="s">
        <v>148</v>
      </c>
      <c r="I7474" s="2" t="s">
        <v>19133</v>
      </c>
      <c r="J7474" s="3" t="str">
        <f>HYPERLINK("https://www.boe.es/gazeta/dias/1811/11/02/pdfs/GEI-1811-141.pdf#page=7","Abrir facsímil")</f>
        <v>Abrir facsímil</v>
      </c>
      <c r="K7474" s="3" t="s">
        <v>150</v>
      </c>
    </row>
    <row r="7475" spans="1:11" ht="42" customHeight="1">
      <c r="A7475" s="2" t="s">
        <v>19134</v>
      </c>
      <c r="B7475" s="2" t="s">
        <v>19135</v>
      </c>
      <c r="C7475" s="2" t="s">
        <v>26</v>
      </c>
      <c r="D7475" s="2" t="s">
        <v>18</v>
      </c>
      <c r="E7475" s="4">
        <v>-32414</v>
      </c>
      <c r="F7475" s="3" t="s">
        <v>213</v>
      </c>
      <c r="G7475" s="3" t="s">
        <v>214</v>
      </c>
      <c r="H7475" s="2" t="s">
        <v>148</v>
      </c>
      <c r="I7475" s="2" t="s">
        <v>19136</v>
      </c>
      <c r="J7475" s="3" t="str">
        <f>HYPERLINK("https://www.boe.es/gazeta/dias/1811/04/02/pdfs/GEI-1811-45.pdf#page=6","Abrir facsímil")</f>
        <v>Abrir facsímil</v>
      </c>
      <c r="K7475" s="3" t="s">
        <v>150</v>
      </c>
    </row>
    <row r="7476" spans="1:11" ht="42" customHeight="1">
      <c r="A7476" s="2" t="s">
        <v>19134</v>
      </c>
      <c r="B7476" s="2" t="s">
        <v>19135</v>
      </c>
      <c r="C7476" s="2" t="s">
        <v>17</v>
      </c>
      <c r="D7476" s="2" t="s">
        <v>18</v>
      </c>
      <c r="E7476" s="4">
        <v>-32258</v>
      </c>
      <c r="F7476" s="3" t="s">
        <v>449</v>
      </c>
      <c r="G7476" s="3" t="s">
        <v>3736</v>
      </c>
      <c r="H7476" s="2" t="s">
        <v>148</v>
      </c>
      <c r="I7476" s="2" t="s">
        <v>19137</v>
      </c>
      <c r="J7476" s="3" t="str">
        <f>HYPERLINK("https://www.boe.es/gazeta/dias/1811/09/05/pdfs/GEI-1811-115.pdf#page=3","Abrir facsímil")</f>
        <v>Abrir facsímil</v>
      </c>
      <c r="K7476" s="3" t="s">
        <v>150</v>
      </c>
    </row>
    <row r="7477" spans="1:11" ht="42" customHeight="1">
      <c r="A7477" s="2" t="s">
        <v>19138</v>
      </c>
      <c r="B7477" s="2" t="s">
        <v>19139</v>
      </c>
      <c r="C7477" s="2" t="s">
        <v>84</v>
      </c>
      <c r="D7477" s="2" t="s">
        <v>18</v>
      </c>
      <c r="E7477" s="4">
        <v>-32333</v>
      </c>
      <c r="F7477" s="3" t="s">
        <v>11259</v>
      </c>
      <c r="G7477" s="3" t="s">
        <v>91</v>
      </c>
      <c r="H7477" s="2" t="s">
        <v>148</v>
      </c>
      <c r="I7477" s="2" t="s">
        <v>19140</v>
      </c>
      <c r="J7477" s="3" t="str">
        <f>HYPERLINK("https://www.boe.es/gazeta/dias/1811/06/22/pdfs/GMD-1811-173.pdf#page=4","Abrir facsímil")</f>
        <v>Abrir facsímil</v>
      </c>
      <c r="K7477" s="3" t="s">
        <v>150</v>
      </c>
    </row>
    <row r="7478" spans="1:11" ht="42" customHeight="1">
      <c r="A7478" s="2" t="s">
        <v>19141</v>
      </c>
      <c r="B7478" s="2" t="s">
        <v>19141</v>
      </c>
      <c r="C7478" s="2" t="s">
        <v>17</v>
      </c>
      <c r="D7478" s="2" t="s">
        <v>18</v>
      </c>
      <c r="E7478" s="4">
        <v>-32381</v>
      </c>
      <c r="F7478" s="3" t="s">
        <v>1698</v>
      </c>
      <c r="G7478" s="3" t="s">
        <v>134</v>
      </c>
      <c r="H7478" s="2" t="s">
        <v>148</v>
      </c>
      <c r="I7478" s="2" t="s">
        <v>19142</v>
      </c>
      <c r="J7478" s="3" t="str">
        <f>HYPERLINK("https://www.boe.es/gazeta/dias/1811/05/05/pdfs/GMD-1811-125.pdf#page=3","Abrir facsímil")</f>
        <v>Abrir facsímil</v>
      </c>
      <c r="K7478" s="3" t="s">
        <v>150</v>
      </c>
    </row>
    <row r="7479" spans="1:11" ht="42" customHeight="1">
      <c r="A7479" s="2" t="s">
        <v>19143</v>
      </c>
      <c r="B7479" s="2" t="s">
        <v>19144</v>
      </c>
      <c r="C7479" s="2" t="s">
        <v>26</v>
      </c>
      <c r="D7479" s="2" t="s">
        <v>18</v>
      </c>
      <c r="E7479" s="4">
        <v>-32179</v>
      </c>
      <c r="F7479" s="3" t="s">
        <v>614</v>
      </c>
      <c r="G7479" s="3" t="s">
        <v>47</v>
      </c>
      <c r="H7479" s="2" t="s">
        <v>148</v>
      </c>
      <c r="I7479" s="2" t="s">
        <v>19145</v>
      </c>
      <c r="J7479" s="3" t="str">
        <f>HYPERLINK("https://www.boe.es/gazeta/dias/1811/11/23/pdfs/GEI-1811-153.pdf#page=8","Abrir facsímil")</f>
        <v>Abrir facsímil</v>
      </c>
      <c r="K7479" s="3" t="s">
        <v>150</v>
      </c>
    </row>
    <row r="7480" spans="1:11" ht="42" customHeight="1">
      <c r="A7480" s="2" t="s">
        <v>19146</v>
      </c>
      <c r="B7480" s="2" t="s">
        <v>19146</v>
      </c>
      <c r="C7480" s="2" t="s">
        <v>26</v>
      </c>
      <c r="D7480" s="2" t="s">
        <v>18</v>
      </c>
      <c r="E7480" s="4">
        <v>-32281</v>
      </c>
      <c r="F7480" s="3" t="s">
        <v>1041</v>
      </c>
      <c r="G7480" s="3" t="s">
        <v>115</v>
      </c>
      <c r="H7480" s="2" t="s">
        <v>148</v>
      </c>
      <c r="I7480" s="2" t="s">
        <v>19147</v>
      </c>
      <c r="J7480" s="3" t="str">
        <f>HYPERLINK("https://www.boe.es/gazeta/dias/1811/08/13/pdfs/GMD-1811-225.pdf#page=3","Abrir facsímil")</f>
        <v>Abrir facsímil</v>
      </c>
      <c r="K7480" s="3" t="s">
        <v>150</v>
      </c>
    </row>
    <row r="7481" spans="1:11" ht="42" customHeight="1">
      <c r="A7481" s="2" t="s">
        <v>19146</v>
      </c>
      <c r="B7481" s="2" t="s">
        <v>19146</v>
      </c>
      <c r="C7481" s="2" t="s">
        <v>26</v>
      </c>
      <c r="D7481" s="2" t="s">
        <v>18</v>
      </c>
      <c r="E7481" s="4">
        <v>-32281</v>
      </c>
      <c r="F7481" s="3" t="s">
        <v>1041</v>
      </c>
      <c r="G7481" s="3" t="s">
        <v>468</v>
      </c>
      <c r="H7481" s="2" t="s">
        <v>148</v>
      </c>
      <c r="I7481" s="2" t="s">
        <v>19148</v>
      </c>
      <c r="J7481" s="3" t="str">
        <f>HYPERLINK("https://www.boe.es/gazeta/dias/1811/08/13/pdfs/GMD-1811-225.pdf#page=4","Abrir facsímil")</f>
        <v>Abrir facsímil</v>
      </c>
      <c r="K7481" s="3" t="s">
        <v>150</v>
      </c>
    </row>
    <row r="7482" spans="1:11" ht="42" customHeight="1">
      <c r="A7482" s="2" t="s">
        <v>19149</v>
      </c>
      <c r="B7482" s="2" t="s">
        <v>19150</v>
      </c>
      <c r="C7482" s="2" t="s">
        <v>26</v>
      </c>
      <c r="D7482" s="2" t="s">
        <v>141</v>
      </c>
      <c r="E7482" s="4">
        <v>-32396</v>
      </c>
      <c r="F7482" s="3" t="s">
        <v>804</v>
      </c>
      <c r="G7482" s="3" t="s">
        <v>805</v>
      </c>
      <c r="H7482" s="2" t="s">
        <v>148</v>
      </c>
      <c r="I7482" s="2" t="s">
        <v>19151</v>
      </c>
      <c r="J7482" s="3" t="str">
        <f>HYPERLINK("https://www.boe.es/gazeta/dias/1811/04/20/pdfs/GEI-D-1811-53.pdf#page=4","Abrir facsímil")</f>
        <v>Abrir facsímil</v>
      </c>
      <c r="K7482" s="3" t="s">
        <v>150</v>
      </c>
    </row>
    <row r="7483" spans="1:11" ht="42" customHeight="1">
      <c r="A7483" s="2" t="s">
        <v>19152</v>
      </c>
      <c r="B7483" s="2" t="s">
        <v>19152</v>
      </c>
      <c r="C7483" s="2" t="s">
        <v>17</v>
      </c>
      <c r="D7483" s="2" t="s">
        <v>156</v>
      </c>
      <c r="E7483" s="4">
        <v>-32325</v>
      </c>
      <c r="F7483" s="3" t="s">
        <v>552</v>
      </c>
      <c r="G7483" s="3" t="s">
        <v>553</v>
      </c>
      <c r="H7483" s="2" t="s">
        <v>148</v>
      </c>
      <c r="I7483" s="2" t="s">
        <v>19153</v>
      </c>
      <c r="J7483" s="3" t="str">
        <f>HYPERLINK("https://www.boe.es/gazeta/dias/1811/06/30/pdfs/GMD-1811-181.pdf#page=3","Abrir facsímil")</f>
        <v>Abrir facsímil</v>
      </c>
      <c r="K7483" s="3" t="s">
        <v>150</v>
      </c>
    </row>
    <row r="7484" spans="1:11" ht="42" customHeight="1">
      <c r="A7484" s="2" t="s">
        <v>19154</v>
      </c>
      <c r="B7484" s="2" t="s">
        <v>19154</v>
      </c>
      <c r="C7484" s="2" t="s">
        <v>17</v>
      </c>
      <c r="D7484" s="2" t="s">
        <v>18</v>
      </c>
      <c r="E7484" s="4">
        <v>-32389</v>
      </c>
      <c r="F7484" s="3" t="s">
        <v>5683</v>
      </c>
      <c r="G7484" s="3" t="s">
        <v>20</v>
      </c>
      <c r="H7484" s="2" t="s">
        <v>148</v>
      </c>
      <c r="I7484" s="2" t="s">
        <v>19155</v>
      </c>
      <c r="J7484" s="3" t="str">
        <f>HYPERLINK("https://www.boe.es/gazeta/dias/1811/04/27/pdfs/GMD-1811-117.pdf#page=3","Abrir facsímil")</f>
        <v>Abrir facsímil</v>
      </c>
      <c r="K7484" s="3" t="s">
        <v>150</v>
      </c>
    </row>
    <row r="7485" spans="1:11" ht="42" customHeight="1">
      <c r="A7485" s="2" t="s">
        <v>19156</v>
      </c>
      <c r="B7485" s="2" t="s">
        <v>19157</v>
      </c>
      <c r="C7485" s="2" t="s">
        <v>17</v>
      </c>
      <c r="D7485" s="2" t="s">
        <v>18</v>
      </c>
      <c r="E7485" s="4">
        <v>-32149</v>
      </c>
      <c r="F7485" s="3" t="s">
        <v>2292</v>
      </c>
      <c r="G7485" s="3" t="s">
        <v>183</v>
      </c>
      <c r="H7485" s="2" t="s">
        <v>21</v>
      </c>
      <c r="I7485" s="2" t="s">
        <v>19158</v>
      </c>
      <c r="J7485" s="3" t="str">
        <f>HYPERLINK("https://www.boe.es/gazeta/dias/1811/12/23/pdfs/GMD-1811-357.pdf#page=4","Abrir facsímil")</f>
        <v>Abrir facsímil</v>
      </c>
      <c r="K7485" s="3" t="s">
        <v>23</v>
      </c>
    </row>
    <row r="7486" spans="1:11" ht="42" customHeight="1">
      <c r="A7486" s="2" t="s">
        <v>19159</v>
      </c>
      <c r="B7486" s="2" t="s">
        <v>19160</v>
      </c>
      <c r="C7486" s="2" t="s">
        <v>17</v>
      </c>
      <c r="D7486" s="2" t="s">
        <v>204</v>
      </c>
      <c r="E7486" s="4">
        <v>-32444</v>
      </c>
      <c r="F7486" s="3" t="s">
        <v>4512</v>
      </c>
      <c r="G7486" s="3" t="s">
        <v>162</v>
      </c>
      <c r="H7486" s="2" t="s">
        <v>21</v>
      </c>
      <c r="I7486" s="2" t="s">
        <v>19161</v>
      </c>
      <c r="J7486" s="3" t="str">
        <f>HYPERLINK("https://www.boe.es/gazeta/dias/1811/03/03/pdfs/GMD-1811-62.pdf#page=4","Abrir facsímil")</f>
        <v>Abrir facsímil</v>
      </c>
      <c r="K7486" s="3" t="s">
        <v>23</v>
      </c>
    </row>
    <row r="7487" spans="1:11" ht="42" customHeight="1">
      <c r="A7487" s="2" t="s">
        <v>19162</v>
      </c>
      <c r="B7487" s="2" t="s">
        <v>19163</v>
      </c>
      <c r="C7487" s="2" t="s">
        <v>26</v>
      </c>
      <c r="D7487" s="2" t="s">
        <v>18</v>
      </c>
      <c r="E7487" s="4">
        <v>-32197</v>
      </c>
      <c r="F7487" s="3" t="s">
        <v>687</v>
      </c>
      <c r="G7487" s="3" t="s">
        <v>1240</v>
      </c>
      <c r="H7487" s="2" t="s">
        <v>21</v>
      </c>
      <c r="I7487" s="2" t="s">
        <v>19164</v>
      </c>
      <c r="J7487" s="3" t="str">
        <f>HYPERLINK("https://www.boe.es/gazeta/dias/1811/11/05/pdfs/GEI-1811-143.pdf#page=8","Abrir facsímil")</f>
        <v>Abrir facsímil</v>
      </c>
      <c r="K7487" s="3" t="s">
        <v>23</v>
      </c>
    </row>
    <row r="7488" spans="1:11" ht="42" customHeight="1">
      <c r="A7488" s="2" t="s">
        <v>19165</v>
      </c>
      <c r="B7488" s="2" t="s">
        <v>19166</v>
      </c>
      <c r="C7488" s="2" t="s">
        <v>17</v>
      </c>
      <c r="D7488" s="2" t="s">
        <v>18</v>
      </c>
      <c r="E7488" s="4">
        <v>-32389</v>
      </c>
      <c r="F7488" s="3" t="s">
        <v>5683</v>
      </c>
      <c r="G7488" s="3" t="s">
        <v>7861</v>
      </c>
      <c r="H7488" s="2" t="s">
        <v>21</v>
      </c>
      <c r="I7488" s="2" t="s">
        <v>19167</v>
      </c>
      <c r="J7488" s="3" t="str">
        <f>HYPERLINK("https://www.boe.es/gazeta/dias/1811/04/27/pdfs/GMD-1811-117.pdf#page=2","Abrir facsímil")</f>
        <v>Abrir facsímil</v>
      </c>
      <c r="K7488" s="3" t="s">
        <v>23</v>
      </c>
    </row>
    <row r="7489" spans="1:11" ht="42" customHeight="1">
      <c r="A7489" s="2" t="s">
        <v>19168</v>
      </c>
      <c r="B7489" s="2" t="s">
        <v>19169</v>
      </c>
      <c r="C7489" s="2" t="s">
        <v>26</v>
      </c>
      <c r="D7489" s="2" t="s">
        <v>18</v>
      </c>
      <c r="E7489" s="4">
        <v>-32459</v>
      </c>
      <c r="F7489" s="3" t="s">
        <v>1034</v>
      </c>
      <c r="G7489" s="3" t="s">
        <v>2668</v>
      </c>
      <c r="H7489" s="2" t="s">
        <v>21</v>
      </c>
      <c r="I7489" s="2" t="s">
        <v>19170</v>
      </c>
      <c r="J7489" s="3" t="str">
        <f>HYPERLINK("https://www.boe.es/gazeta/dias/1811/02/16/pdfs/GEI-1811-21.pdf#page=5","Abrir facsímil")</f>
        <v>Abrir facsímil</v>
      </c>
      <c r="K7489" s="3" t="s">
        <v>23</v>
      </c>
    </row>
    <row r="7490" spans="1:11" ht="42" customHeight="1">
      <c r="A7490" s="2" t="s">
        <v>19171</v>
      </c>
      <c r="B7490" s="2" t="s">
        <v>19172</v>
      </c>
      <c r="C7490" s="2" t="s">
        <v>17</v>
      </c>
      <c r="D7490" s="2" t="s">
        <v>18</v>
      </c>
      <c r="E7490" s="4">
        <v>-32466</v>
      </c>
      <c r="F7490" s="3" t="s">
        <v>1514</v>
      </c>
      <c r="G7490" s="3" t="s">
        <v>846</v>
      </c>
      <c r="H7490" s="2" t="s">
        <v>21</v>
      </c>
      <c r="I7490" s="2" t="s">
        <v>19173</v>
      </c>
      <c r="J7490" s="3" t="str">
        <f>HYPERLINK("https://www.boe.es/gazeta/dias/1811/02/09/pdfs/GEI-1811-18.pdf#page=4","Abrir facsímil")</f>
        <v>Abrir facsímil</v>
      </c>
      <c r="K7490" s="3" t="s">
        <v>23</v>
      </c>
    </row>
    <row r="7491" spans="1:11" ht="42" customHeight="1">
      <c r="A7491" s="2" t="s">
        <v>19171</v>
      </c>
      <c r="B7491" s="2" t="s">
        <v>19172</v>
      </c>
      <c r="C7491" s="2" t="s">
        <v>17</v>
      </c>
      <c r="D7491" s="2" t="s">
        <v>156</v>
      </c>
      <c r="E7491" s="4">
        <v>-32165</v>
      </c>
      <c r="F7491" s="3" t="s">
        <v>1462</v>
      </c>
      <c r="G7491" s="3" t="s">
        <v>1463</v>
      </c>
      <c r="H7491" s="2" t="s">
        <v>21</v>
      </c>
      <c r="I7491" s="2" t="s">
        <v>19174</v>
      </c>
      <c r="J7491" s="3" t="str">
        <f>HYPERLINK("https://www.boe.es/gazeta/dias/1811/12/07/pdfs/GMD-1811-341.pdf#page=3","Abrir facsímil")</f>
        <v>Abrir facsímil</v>
      </c>
      <c r="K7491" s="3" t="s">
        <v>23</v>
      </c>
    </row>
    <row r="7492" spans="1:11" ht="42" customHeight="1">
      <c r="A7492" s="2" t="s">
        <v>19175</v>
      </c>
      <c r="B7492" s="2" t="s">
        <v>19176</v>
      </c>
      <c r="C7492" s="2" t="s">
        <v>17</v>
      </c>
      <c r="D7492" s="2" t="s">
        <v>18</v>
      </c>
      <c r="E7492" s="4">
        <v>-32237</v>
      </c>
      <c r="F7492" s="3" t="s">
        <v>717</v>
      </c>
      <c r="G7492" s="3" t="s">
        <v>1128</v>
      </c>
      <c r="H7492" s="2" t="s">
        <v>21</v>
      </c>
      <c r="I7492" s="2" t="s">
        <v>19177</v>
      </c>
      <c r="J7492" s="3" t="str">
        <f>HYPERLINK("https://www.boe.es/gazeta/dias/1811/09/26/pdfs/GEI-1811-124.pdf#page=8","Abrir facsímil")</f>
        <v>Abrir facsímil</v>
      </c>
      <c r="K7492" s="3" t="s">
        <v>23</v>
      </c>
    </row>
    <row r="7493" spans="1:11" ht="42" customHeight="1">
      <c r="A7493" s="2" t="s">
        <v>19178</v>
      </c>
      <c r="B7493" s="2" t="s">
        <v>19179</v>
      </c>
      <c r="C7493" s="2" t="s">
        <v>37</v>
      </c>
      <c r="D7493" s="2" t="s">
        <v>18</v>
      </c>
      <c r="E7493" s="4">
        <v>-32319</v>
      </c>
      <c r="F7493" s="3" t="s">
        <v>975</v>
      </c>
      <c r="G7493" s="3" t="s">
        <v>19180</v>
      </c>
      <c r="H7493" s="2" t="s">
        <v>21</v>
      </c>
      <c r="I7493" s="2" t="s">
        <v>19181</v>
      </c>
      <c r="J7493" s="3" t="str">
        <f>HYPERLINK("https://www.boe.es/gazeta/dias/1811/07/06/pdfs/GEI-1811-89.pdf#page=3","Abrir facsímil")</f>
        <v>Abrir facsímil</v>
      </c>
      <c r="K7493" s="3" t="s">
        <v>23</v>
      </c>
    </row>
    <row r="7494" spans="1:11" ht="42" customHeight="1">
      <c r="A7494" s="2" t="s">
        <v>19182</v>
      </c>
      <c r="B7494" s="2" t="s">
        <v>19183</v>
      </c>
      <c r="C7494" s="2" t="s">
        <v>26</v>
      </c>
      <c r="D7494" s="2" t="s">
        <v>18</v>
      </c>
      <c r="E7494" s="4">
        <v>-32181</v>
      </c>
      <c r="F7494" s="3" t="s">
        <v>1169</v>
      </c>
      <c r="G7494" s="3" t="s">
        <v>1170</v>
      </c>
      <c r="H7494" s="2" t="s">
        <v>21</v>
      </c>
      <c r="I7494" s="2" t="s">
        <v>19184</v>
      </c>
      <c r="J7494" s="3" t="str">
        <f>HYPERLINK("https://www.boe.es/gazeta/dias/1811/11/21/pdfs/GMD-1811-325.pdf#page=4","Abrir facsímil")</f>
        <v>Abrir facsímil</v>
      </c>
      <c r="K7494" s="3" t="s">
        <v>23</v>
      </c>
    </row>
    <row r="7495" spans="1:11" ht="42" customHeight="1">
      <c r="A7495" s="2" t="s">
        <v>19185</v>
      </c>
      <c r="B7495" s="2" t="s">
        <v>19186</v>
      </c>
      <c r="C7495" s="2" t="s">
        <v>26</v>
      </c>
      <c r="D7495" s="2" t="s">
        <v>18</v>
      </c>
      <c r="E7495" s="4">
        <v>-32155</v>
      </c>
      <c r="F7495" s="3" t="s">
        <v>263</v>
      </c>
      <c r="G7495" s="3" t="s">
        <v>1800</v>
      </c>
      <c r="H7495" s="2" t="s">
        <v>21</v>
      </c>
      <c r="I7495" s="2" t="s">
        <v>19187</v>
      </c>
      <c r="J7495" s="3" t="str">
        <f>HYPERLINK("https://www.boe.es/gazeta/dias/1811/12/17/pdfs/GEI-1811-163.pdf#page=7","Abrir facsímil")</f>
        <v>Abrir facsímil</v>
      </c>
      <c r="K7495" s="3" t="s">
        <v>23</v>
      </c>
    </row>
    <row r="7496" spans="1:11" ht="42" customHeight="1">
      <c r="A7496" s="2" t="s">
        <v>19188</v>
      </c>
      <c r="B7496" s="2" t="s">
        <v>19189</v>
      </c>
      <c r="C7496" s="2" t="s">
        <v>17</v>
      </c>
      <c r="D7496" s="2" t="s">
        <v>18</v>
      </c>
      <c r="E7496" s="4">
        <v>-32298</v>
      </c>
      <c r="F7496" s="3" t="s">
        <v>133</v>
      </c>
      <c r="G7496" s="3" t="s">
        <v>134</v>
      </c>
      <c r="H7496" s="2" t="s">
        <v>21</v>
      </c>
      <c r="I7496" s="2" t="s">
        <v>19190</v>
      </c>
      <c r="J7496" s="3" t="str">
        <f>HYPERLINK("https://www.boe.es/gazeta/dias/1811/07/27/pdfs/GEI-1811-98.pdf#page=7","Abrir facsímil")</f>
        <v>Abrir facsímil</v>
      </c>
      <c r="K7496" s="3" t="s">
        <v>23</v>
      </c>
    </row>
    <row r="7497" spans="1:11" ht="42" customHeight="1">
      <c r="A7497" s="2" t="s">
        <v>19191</v>
      </c>
      <c r="B7497" s="2" t="s">
        <v>19192</v>
      </c>
      <c r="C7497" s="2" t="s">
        <v>17</v>
      </c>
      <c r="D7497" s="2" t="s">
        <v>18</v>
      </c>
      <c r="E7497" s="4">
        <v>-32298</v>
      </c>
      <c r="F7497" s="3" t="s">
        <v>133</v>
      </c>
      <c r="G7497" s="3" t="s">
        <v>134</v>
      </c>
      <c r="H7497" s="2" t="s">
        <v>21</v>
      </c>
      <c r="I7497" s="2" t="s">
        <v>19193</v>
      </c>
      <c r="J7497" s="3" t="str">
        <f>HYPERLINK("https://www.boe.es/gazeta/dias/1811/07/27/pdfs/GEI-1811-98.pdf#page=7","Abrir facsímil")</f>
        <v>Abrir facsímil</v>
      </c>
      <c r="K7497" s="3" t="s">
        <v>23</v>
      </c>
    </row>
    <row r="7498" spans="1:11" ht="42" customHeight="1">
      <c r="A7498" s="2" t="s">
        <v>19194</v>
      </c>
      <c r="B7498" s="2" t="s">
        <v>19195</v>
      </c>
      <c r="C7498" s="2" t="s">
        <v>17</v>
      </c>
      <c r="D7498" s="2" t="s">
        <v>156</v>
      </c>
      <c r="E7498" s="4">
        <v>-32243</v>
      </c>
      <c r="F7498" s="3" t="s">
        <v>51</v>
      </c>
      <c r="G7498" s="3" t="s">
        <v>12777</v>
      </c>
      <c r="H7498" s="2" t="s">
        <v>21</v>
      </c>
      <c r="I7498" s="2" t="s">
        <v>19196</v>
      </c>
      <c r="J7498" s="3" t="str">
        <f>HYPERLINK("https://www.boe.es/gazeta/dias/1811/09/20/pdfs/GMD-1811-263.pdf#page=1","Abrir facsímil")</f>
        <v>Abrir facsímil</v>
      </c>
      <c r="K7498" s="3" t="s">
        <v>23</v>
      </c>
    </row>
    <row r="7499" spans="1:11" ht="42" customHeight="1">
      <c r="A7499" s="2" t="s">
        <v>19197</v>
      </c>
      <c r="B7499" s="2" t="s">
        <v>19198</v>
      </c>
      <c r="C7499" s="2" t="s">
        <v>17</v>
      </c>
      <c r="D7499" s="2" t="s">
        <v>18</v>
      </c>
      <c r="E7499" s="4">
        <v>-32193</v>
      </c>
      <c r="F7499" s="3" t="s">
        <v>1037</v>
      </c>
      <c r="G7499" s="3" t="s">
        <v>4628</v>
      </c>
      <c r="H7499" s="2" t="s">
        <v>21</v>
      </c>
      <c r="I7499" s="2" t="s">
        <v>19199</v>
      </c>
      <c r="J7499" s="3" t="str">
        <f>HYPERLINK("https://www.boe.es/gazeta/dias/1811/11/09/pdfs/GEI-1811-145.pdf#page=7","Abrir facsímil")</f>
        <v>Abrir facsímil</v>
      </c>
      <c r="K7499" s="3" t="s">
        <v>23</v>
      </c>
    </row>
    <row r="7500" spans="1:11" ht="42" customHeight="1">
      <c r="A7500" s="2" t="s">
        <v>19200</v>
      </c>
      <c r="B7500" s="2" t="s">
        <v>19201</v>
      </c>
      <c r="C7500" s="2" t="s">
        <v>26</v>
      </c>
      <c r="D7500" s="2" t="s">
        <v>18</v>
      </c>
      <c r="E7500" s="4">
        <v>-32416</v>
      </c>
      <c r="F7500" s="3" t="s">
        <v>954</v>
      </c>
      <c r="G7500" s="3" t="s">
        <v>183</v>
      </c>
      <c r="H7500" s="2" t="s">
        <v>21</v>
      </c>
      <c r="I7500" s="2" t="s">
        <v>19202</v>
      </c>
      <c r="J7500" s="3" t="str">
        <f>HYPERLINK("https://www.boe.es/gazeta/dias/1811/03/31/pdfs/GMD-1811-90.pdf#page=4","Abrir facsímil")</f>
        <v>Abrir facsímil</v>
      </c>
      <c r="K7500" s="3" t="s">
        <v>23</v>
      </c>
    </row>
    <row r="7501" spans="1:11" ht="42" customHeight="1">
      <c r="A7501" s="2" t="s">
        <v>19203</v>
      </c>
      <c r="B7501" s="2" t="s">
        <v>19204</v>
      </c>
      <c r="C7501" s="2" t="s">
        <v>26</v>
      </c>
      <c r="D7501" s="2" t="s">
        <v>18</v>
      </c>
      <c r="E7501" s="4">
        <v>-32283</v>
      </c>
      <c r="F7501" s="3" t="s">
        <v>90</v>
      </c>
      <c r="G7501" s="3" t="s">
        <v>91</v>
      </c>
      <c r="H7501" s="2" t="s">
        <v>21</v>
      </c>
      <c r="I7501" s="2" t="s">
        <v>19205</v>
      </c>
      <c r="J7501" s="3" t="str">
        <f>HYPERLINK("https://www.boe.es/gazeta/dias/1811/08/11/pdfs/GMD-1811-223.pdf#page=4","Abrir facsímil")</f>
        <v>Abrir facsímil</v>
      </c>
      <c r="K7501" s="3" t="s">
        <v>23</v>
      </c>
    </row>
    <row r="7502" spans="1:11" ht="42" customHeight="1">
      <c r="A7502" s="2" t="s">
        <v>19206</v>
      </c>
      <c r="B7502" s="2" t="s">
        <v>19207</v>
      </c>
      <c r="C7502" s="2" t="s">
        <v>17</v>
      </c>
      <c r="D7502" s="2" t="s">
        <v>18</v>
      </c>
      <c r="E7502" s="4">
        <v>-32421</v>
      </c>
      <c r="F7502" s="3" t="s">
        <v>79</v>
      </c>
      <c r="G7502" s="3" t="s">
        <v>80</v>
      </c>
      <c r="H7502" s="2" t="s">
        <v>21</v>
      </c>
      <c r="I7502" s="2" t="s">
        <v>19208</v>
      </c>
      <c r="J7502" s="3" t="str">
        <f>HYPERLINK("https://www.boe.es/gazeta/dias/1811/03/26/pdfs/GEI-1811-42.pdf#page=7","Abrir facsímil")</f>
        <v>Abrir facsímil</v>
      </c>
      <c r="K7502" s="3" t="s">
        <v>23</v>
      </c>
    </row>
    <row r="7503" spans="1:11" ht="42" customHeight="1">
      <c r="A7503" s="2" t="s">
        <v>19209</v>
      </c>
      <c r="B7503" s="2" t="s">
        <v>19210</v>
      </c>
      <c r="C7503" s="2" t="s">
        <v>26</v>
      </c>
      <c r="D7503" s="2" t="s">
        <v>18</v>
      </c>
      <c r="E7503" s="4">
        <v>-32345</v>
      </c>
      <c r="F7503" s="3" t="s">
        <v>9686</v>
      </c>
      <c r="G7503" s="3" t="s">
        <v>9687</v>
      </c>
      <c r="H7503" s="2" t="s">
        <v>21</v>
      </c>
      <c r="I7503" s="2" t="s">
        <v>19211</v>
      </c>
      <c r="J7503" s="3" t="str">
        <f>HYPERLINK("https://www.boe.es/gazeta/dias/1811/06/10/pdfs/GMD-1811-161.pdf#page=1","Abrir facsímil")</f>
        <v>Abrir facsímil</v>
      </c>
      <c r="K7503" s="3" t="s">
        <v>23</v>
      </c>
    </row>
    <row r="7504" spans="1:11" ht="42" customHeight="1">
      <c r="A7504" s="2" t="s">
        <v>19212</v>
      </c>
      <c r="B7504" s="2" t="s">
        <v>19213</v>
      </c>
      <c r="C7504" s="2" t="s">
        <v>84</v>
      </c>
      <c r="D7504" s="2" t="s">
        <v>18</v>
      </c>
      <c r="E7504" s="4">
        <v>-32368</v>
      </c>
      <c r="F7504" s="3" t="s">
        <v>1561</v>
      </c>
      <c r="G7504" s="3" t="s">
        <v>57</v>
      </c>
      <c r="H7504" s="2" t="s">
        <v>21</v>
      </c>
      <c r="I7504" s="2" t="s">
        <v>19214</v>
      </c>
      <c r="J7504" s="3" t="str">
        <f>HYPERLINK("https://www.boe.es/gazeta/dias/1811/05/18/pdfs/GMD-1811-138.pdf#page=2","Abrir facsímil")</f>
        <v>Abrir facsímil</v>
      </c>
      <c r="K7504" s="3" t="s">
        <v>23</v>
      </c>
    </row>
    <row r="7505" spans="1:11" ht="42" customHeight="1">
      <c r="A7505" s="2" t="s">
        <v>19215</v>
      </c>
      <c r="B7505" s="2" t="s">
        <v>19216</v>
      </c>
      <c r="C7505" s="2" t="s">
        <v>26</v>
      </c>
      <c r="D7505" s="2" t="s">
        <v>105</v>
      </c>
      <c r="E7505" s="4">
        <v>-32298</v>
      </c>
      <c r="F7505" s="3" t="s">
        <v>133</v>
      </c>
      <c r="G7505" s="3" t="s">
        <v>134</v>
      </c>
      <c r="H7505" s="2" t="s">
        <v>21</v>
      </c>
      <c r="I7505" s="2" t="s">
        <v>19217</v>
      </c>
      <c r="J7505" s="3" t="str">
        <f>HYPERLINK("https://www.boe.es/gazeta/dias/1811/07/27/pdfs/GEI-1811-98.pdf#page=7","Abrir facsímil")</f>
        <v>Abrir facsímil</v>
      </c>
      <c r="K7505" s="3" t="s">
        <v>23</v>
      </c>
    </row>
    <row r="7506" spans="1:11" ht="42" customHeight="1">
      <c r="A7506" s="2" t="s">
        <v>19218</v>
      </c>
      <c r="B7506" s="2" t="s">
        <v>19219</v>
      </c>
      <c r="C7506" s="2" t="s">
        <v>104</v>
      </c>
      <c r="D7506" s="2" t="s">
        <v>105</v>
      </c>
      <c r="E7506" s="4">
        <v>-32298</v>
      </c>
      <c r="F7506" s="3" t="s">
        <v>133</v>
      </c>
      <c r="G7506" s="3" t="s">
        <v>134</v>
      </c>
      <c r="H7506" s="2" t="s">
        <v>148</v>
      </c>
      <c r="I7506" s="2" t="s">
        <v>19220</v>
      </c>
      <c r="J7506" s="3" t="str">
        <f>HYPERLINK("https://www.boe.es/gazeta/dias/1811/07/27/pdfs/GEI-1811-98.pdf#page=7","Abrir facsímil")</f>
        <v>Abrir facsímil</v>
      </c>
      <c r="K7506" s="3" t="s">
        <v>150</v>
      </c>
    </row>
    <row r="7507" spans="1:11" ht="42" customHeight="1">
      <c r="A7507" s="2" t="s">
        <v>19221</v>
      </c>
      <c r="B7507" s="2" t="s">
        <v>19221</v>
      </c>
      <c r="C7507" s="2" t="s">
        <v>17</v>
      </c>
      <c r="D7507" s="2" t="s">
        <v>18</v>
      </c>
      <c r="E7507" s="4">
        <v>-32444</v>
      </c>
      <c r="F7507" s="3" t="s">
        <v>4512</v>
      </c>
      <c r="G7507" s="3" t="s">
        <v>20</v>
      </c>
      <c r="H7507" s="2" t="s">
        <v>148</v>
      </c>
      <c r="I7507" s="2" t="s">
        <v>19222</v>
      </c>
      <c r="J7507" s="3" t="str">
        <f>HYPERLINK("https://www.boe.es/gazeta/dias/1811/03/03/pdfs/GMD-1811-62.pdf#page=1","Abrir facsímil")</f>
        <v>Abrir facsímil</v>
      </c>
      <c r="K7507" s="3" t="s">
        <v>150</v>
      </c>
    </row>
    <row r="7508" spans="1:11" ht="42" customHeight="1">
      <c r="A7508" s="2" t="s">
        <v>19223</v>
      </c>
      <c r="B7508" s="2" t="s">
        <v>19224</v>
      </c>
      <c r="C7508" s="2" t="s">
        <v>17</v>
      </c>
      <c r="D7508" s="2" t="s">
        <v>156</v>
      </c>
      <c r="E7508" s="4">
        <v>-32177</v>
      </c>
      <c r="F7508" s="3" t="s">
        <v>402</v>
      </c>
      <c r="G7508" s="3" t="s">
        <v>178</v>
      </c>
      <c r="H7508" s="2" t="s">
        <v>21</v>
      </c>
      <c r="I7508" s="2" t="s">
        <v>19225</v>
      </c>
      <c r="J7508" s="3" t="str">
        <f>HYPERLINK("https://www.boe.es/gazeta/dias/1811/11/25/pdfs/GMD-1811-329.pdf#page=4","Abrir facsímil")</f>
        <v>Abrir facsímil</v>
      </c>
      <c r="K7508" s="3" t="s">
        <v>23</v>
      </c>
    </row>
    <row r="7509" spans="1:11" ht="42" customHeight="1">
      <c r="A7509" s="2" t="s">
        <v>19226</v>
      </c>
      <c r="B7509" s="2" t="s">
        <v>19227</v>
      </c>
      <c r="C7509" s="2" t="s">
        <v>367</v>
      </c>
      <c r="D7509" s="2" t="s">
        <v>18</v>
      </c>
      <c r="E7509" s="4">
        <v>-32314</v>
      </c>
      <c r="F7509" s="3" t="s">
        <v>6914</v>
      </c>
      <c r="G7509" s="3" t="s">
        <v>248</v>
      </c>
      <c r="H7509" s="2" t="s">
        <v>148</v>
      </c>
      <c r="I7509" s="2" t="s">
        <v>19228</v>
      </c>
      <c r="J7509" s="3" t="str">
        <f>HYPERLINK("https://www.boe.es/gazeta/dias/1811/07/11/pdfs/GMD-1811-192.pdf#page=4","Abrir facsímil")</f>
        <v>Abrir facsímil</v>
      </c>
      <c r="K7509" s="3" t="s">
        <v>150</v>
      </c>
    </row>
    <row r="7510" spans="1:11" ht="42" customHeight="1">
      <c r="A7510" s="2" t="s">
        <v>19229</v>
      </c>
      <c r="B7510" s="2" t="s">
        <v>19230</v>
      </c>
      <c r="C7510" s="2" t="s">
        <v>17</v>
      </c>
      <c r="D7510" s="2" t="s">
        <v>18</v>
      </c>
      <c r="E7510" s="4">
        <v>-32482</v>
      </c>
      <c r="F7510" s="3" t="s">
        <v>924</v>
      </c>
      <c r="G7510" s="3" t="s">
        <v>846</v>
      </c>
      <c r="H7510" s="2" t="s">
        <v>148</v>
      </c>
      <c r="I7510" s="2" t="s">
        <v>19231</v>
      </c>
      <c r="J7510" s="3" t="str">
        <f>HYPERLINK("https://www.boe.es/gazeta/dias/1811/01/24/pdfs/GEI-1811-11.pdf#page=8","Abrir facsímil")</f>
        <v>Abrir facsímil</v>
      </c>
      <c r="K7510" s="3" t="s">
        <v>150</v>
      </c>
    </row>
    <row r="7511" spans="1:11" ht="42" customHeight="1">
      <c r="A7511" s="2" t="s">
        <v>19232</v>
      </c>
      <c r="B7511" s="2" t="s">
        <v>19233</v>
      </c>
      <c r="C7511" s="2" t="s">
        <v>17</v>
      </c>
      <c r="D7511" s="2" t="s">
        <v>18</v>
      </c>
      <c r="E7511" s="4">
        <v>-32192</v>
      </c>
      <c r="F7511" s="3" t="s">
        <v>673</v>
      </c>
      <c r="G7511" s="3" t="s">
        <v>305</v>
      </c>
      <c r="H7511" s="2" t="s">
        <v>148</v>
      </c>
      <c r="I7511" s="2" t="s">
        <v>19234</v>
      </c>
      <c r="J7511" s="3" t="str">
        <f>HYPERLINK("https://www.boe.es/gazeta/dias/1811/11/10/pdfs/GMD-1811-314.pdf#page=4","Abrir facsímil")</f>
        <v>Abrir facsímil</v>
      </c>
      <c r="K7511" s="3" t="s">
        <v>150</v>
      </c>
    </row>
    <row r="7512" spans="1:11" ht="42" customHeight="1">
      <c r="A7512" s="2" t="s">
        <v>19235</v>
      </c>
      <c r="B7512" s="2" t="s">
        <v>19236</v>
      </c>
      <c r="C7512" s="2" t="s">
        <v>17</v>
      </c>
      <c r="D7512" s="2" t="s">
        <v>156</v>
      </c>
      <c r="E7512" s="4">
        <v>-32150</v>
      </c>
      <c r="F7512" s="3" t="s">
        <v>1174</v>
      </c>
      <c r="G7512" s="3" t="s">
        <v>20</v>
      </c>
      <c r="H7512" s="2" t="s">
        <v>148</v>
      </c>
      <c r="I7512" s="2" t="s">
        <v>19237</v>
      </c>
      <c r="J7512" s="3" t="str">
        <f>HYPERLINK("https://www.boe.es/gazeta/dias/1811/12/22/pdfs/GMD-1811-356.pdf#page=4","Abrir facsímil")</f>
        <v>Abrir facsímil</v>
      </c>
      <c r="K7512" s="3" t="s">
        <v>150</v>
      </c>
    </row>
    <row r="7513" spans="1:11" ht="42" customHeight="1">
      <c r="A7513" s="2" t="s">
        <v>19238</v>
      </c>
      <c r="B7513" s="2" t="s">
        <v>19239</v>
      </c>
      <c r="C7513" s="2" t="s">
        <v>841</v>
      </c>
      <c r="D7513" s="2" t="s">
        <v>18</v>
      </c>
      <c r="E7513" s="4">
        <v>-32162</v>
      </c>
      <c r="F7513" s="3" t="s">
        <v>317</v>
      </c>
      <c r="G7513" s="3" t="s">
        <v>318</v>
      </c>
      <c r="H7513" s="2" t="s">
        <v>148</v>
      </c>
      <c r="I7513" s="2" t="s">
        <v>19240</v>
      </c>
      <c r="J7513" s="3" t="str">
        <f>HYPERLINK("https://www.boe.es/gazeta/dias/1811/12/10/pdfs/GEI-1811-160.pdf#page=8","Abrir facsímil")</f>
        <v>Abrir facsímil</v>
      </c>
      <c r="K7513" s="3" t="s">
        <v>150</v>
      </c>
    </row>
    <row r="7514" spans="1:11" ht="42" customHeight="1">
      <c r="A7514" s="2" t="s">
        <v>19241</v>
      </c>
      <c r="B7514" s="2" t="s">
        <v>19242</v>
      </c>
      <c r="C7514" s="2" t="s">
        <v>122</v>
      </c>
      <c r="D7514" s="2" t="s">
        <v>18</v>
      </c>
      <c r="E7514" s="4">
        <v>-32252</v>
      </c>
      <c r="F7514" s="3" t="s">
        <v>3502</v>
      </c>
      <c r="G7514" s="3" t="s">
        <v>47</v>
      </c>
      <c r="H7514" s="2" t="s">
        <v>148</v>
      </c>
      <c r="I7514" s="2" t="s">
        <v>19243</v>
      </c>
      <c r="J7514" s="3" t="str">
        <f>HYPERLINK("https://www.boe.es/gazeta/dias/1811/09/11/pdfs/GMD-1811-254.pdf#page=4","Abrir facsímil")</f>
        <v>Abrir facsímil</v>
      </c>
      <c r="K7514" s="3" t="s">
        <v>150</v>
      </c>
    </row>
    <row r="7515" spans="1:11" ht="42" customHeight="1">
      <c r="A7515" s="2" t="s">
        <v>19241</v>
      </c>
      <c r="B7515" s="2" t="s">
        <v>19242</v>
      </c>
      <c r="C7515" s="2" t="s">
        <v>26</v>
      </c>
      <c r="D7515" s="2" t="s">
        <v>18</v>
      </c>
      <c r="E7515" s="4">
        <v>-32251</v>
      </c>
      <c r="F7515" s="3" t="s">
        <v>1089</v>
      </c>
      <c r="G7515" s="3" t="s">
        <v>183</v>
      </c>
      <c r="H7515" s="2" t="s">
        <v>148</v>
      </c>
      <c r="I7515" s="2" t="s">
        <v>19244</v>
      </c>
      <c r="J7515" s="3" t="str">
        <f>HYPERLINK("https://www.boe.es/gazeta/dias/1811/09/12/pdfs/GMD-1811-255.pdf#page=4","Abrir facsímil")</f>
        <v>Abrir facsímil</v>
      </c>
      <c r="K7515" s="3" t="s">
        <v>150</v>
      </c>
    </row>
    <row r="7516" spans="1:11" ht="42" customHeight="1">
      <c r="A7516" s="2" t="s">
        <v>19245</v>
      </c>
      <c r="B7516" s="2" t="s">
        <v>19246</v>
      </c>
      <c r="C7516" s="2" t="s">
        <v>841</v>
      </c>
      <c r="D7516" s="2" t="s">
        <v>18</v>
      </c>
      <c r="E7516" s="4">
        <v>-32175</v>
      </c>
      <c r="F7516" s="3" t="s">
        <v>1671</v>
      </c>
      <c r="G7516" s="3" t="s">
        <v>1184</v>
      </c>
      <c r="H7516" s="2" t="s">
        <v>148</v>
      </c>
      <c r="I7516" s="2" t="s">
        <v>19247</v>
      </c>
      <c r="J7516" s="3" t="str">
        <f>HYPERLINK("https://www.boe.es/gazeta/dias/1811/11/27/pdfs/GMD-1811-331.pdf#page=4","Abrir facsímil")</f>
        <v>Abrir facsímil</v>
      </c>
      <c r="K7516" s="3" t="s">
        <v>150</v>
      </c>
    </row>
    <row r="7517" spans="1:11" ht="42" customHeight="1">
      <c r="A7517" s="2" t="s">
        <v>19248</v>
      </c>
      <c r="B7517" s="2" t="s">
        <v>19249</v>
      </c>
      <c r="C7517" s="2" t="s">
        <v>26</v>
      </c>
      <c r="D7517" s="2" t="s">
        <v>18</v>
      </c>
      <c r="E7517" s="4">
        <v>-32433</v>
      </c>
      <c r="F7517" s="3" t="s">
        <v>209</v>
      </c>
      <c r="G7517" s="3" t="s">
        <v>115</v>
      </c>
      <c r="H7517" s="2" t="s">
        <v>148</v>
      </c>
      <c r="I7517" s="2" t="s">
        <v>19250</v>
      </c>
      <c r="J7517" s="3" t="str">
        <f>HYPERLINK("https://www.boe.es/gazeta/dias/1811/03/14/pdfs/GMD-1811-73.pdf#page=3","Abrir facsímil")</f>
        <v>Abrir facsímil</v>
      </c>
      <c r="K7517" s="3" t="s">
        <v>150</v>
      </c>
    </row>
    <row r="7518" spans="1:11" ht="42" customHeight="1">
      <c r="A7518" s="2" t="s">
        <v>19251</v>
      </c>
      <c r="B7518" s="2" t="s">
        <v>19251</v>
      </c>
      <c r="C7518" s="2" t="s">
        <v>26</v>
      </c>
      <c r="D7518" s="2" t="s">
        <v>18</v>
      </c>
      <c r="E7518" s="4">
        <v>-32339</v>
      </c>
      <c r="F7518" s="3" t="s">
        <v>1853</v>
      </c>
      <c r="G7518" s="3" t="s">
        <v>44</v>
      </c>
      <c r="H7518" s="2" t="s">
        <v>148</v>
      </c>
      <c r="I7518" s="2" t="s">
        <v>19252</v>
      </c>
      <c r="J7518" s="3" t="str">
        <f>HYPERLINK("https://www.boe.es/gazeta/dias/1811/06/16/pdfs/GMD-1811-167.pdf#page=2","Abrir facsímil")</f>
        <v>Abrir facsímil</v>
      </c>
      <c r="K7518" s="3" t="s">
        <v>150</v>
      </c>
    </row>
    <row r="7519" spans="1:11" ht="42" customHeight="1">
      <c r="A7519" s="2" t="s">
        <v>19253</v>
      </c>
      <c r="B7519" s="2" t="s">
        <v>19254</v>
      </c>
      <c r="C7519" s="2" t="s">
        <v>17</v>
      </c>
      <c r="D7519" s="2" t="s">
        <v>156</v>
      </c>
      <c r="E7519" s="4">
        <v>-32165</v>
      </c>
      <c r="F7519" s="3" t="s">
        <v>1462</v>
      </c>
      <c r="G7519" s="3" t="s">
        <v>1463</v>
      </c>
      <c r="H7519" s="2" t="s">
        <v>148</v>
      </c>
      <c r="I7519" s="2" t="s">
        <v>19255</v>
      </c>
      <c r="J7519" s="3" t="str">
        <f>HYPERLINK("https://www.boe.es/gazeta/dias/1811/12/07/pdfs/GMD-1811-341.pdf#page=3","Abrir facsímil")</f>
        <v>Abrir facsímil</v>
      </c>
      <c r="K7519" s="3" t="s">
        <v>150</v>
      </c>
    </row>
    <row r="7520" spans="1:11" ht="42" customHeight="1">
      <c r="A7520" s="2" t="s">
        <v>19256</v>
      </c>
      <c r="B7520" s="2" t="s">
        <v>19257</v>
      </c>
      <c r="C7520" s="2" t="s">
        <v>122</v>
      </c>
      <c r="D7520" s="2" t="s">
        <v>18</v>
      </c>
      <c r="E7520" s="4">
        <v>-32248</v>
      </c>
      <c r="F7520" s="3" t="s">
        <v>622</v>
      </c>
      <c r="G7520" s="3" t="s">
        <v>115</v>
      </c>
      <c r="H7520" s="2" t="s">
        <v>148</v>
      </c>
      <c r="I7520" s="2" t="s">
        <v>19258</v>
      </c>
      <c r="J7520" s="3" t="str">
        <f>HYPERLINK("https://www.boe.es/gazeta/dias/1811/09/15/pdfs/GMD-1811-258.pdf#page=3","Abrir facsímil")</f>
        <v>Abrir facsímil</v>
      </c>
      <c r="K7520" s="3" t="s">
        <v>150</v>
      </c>
    </row>
    <row r="7521" spans="1:11" ht="42" customHeight="1">
      <c r="A7521" s="2" t="s">
        <v>19259</v>
      </c>
      <c r="B7521" s="2" t="s">
        <v>19260</v>
      </c>
      <c r="C7521" s="2" t="s">
        <v>17</v>
      </c>
      <c r="D7521" s="2" t="s">
        <v>18</v>
      </c>
      <c r="E7521" s="4">
        <v>-32472</v>
      </c>
      <c r="F7521" s="3" t="s">
        <v>398</v>
      </c>
      <c r="G7521" s="3" t="s">
        <v>115</v>
      </c>
      <c r="H7521" s="2" t="s">
        <v>148</v>
      </c>
      <c r="I7521" s="2" t="s">
        <v>19261</v>
      </c>
      <c r="J7521" s="3" t="str">
        <f>HYPERLINK("https://www.boe.es/gazeta/dias/1811/02/03/pdfs/GMD-1811-34.pdf#page=3","Abrir facsímil")</f>
        <v>Abrir facsímil</v>
      </c>
      <c r="K7521" s="3" t="s">
        <v>150</v>
      </c>
    </row>
    <row r="7522" spans="1:11" ht="42" customHeight="1">
      <c r="A7522" s="2" t="s">
        <v>19262</v>
      </c>
      <c r="B7522" s="2" t="s">
        <v>19263</v>
      </c>
      <c r="C7522" s="2" t="s">
        <v>17</v>
      </c>
      <c r="D7522" s="2" t="s">
        <v>18</v>
      </c>
      <c r="E7522" s="4">
        <v>-32200</v>
      </c>
      <c r="F7522" s="3" t="s">
        <v>109</v>
      </c>
      <c r="G7522" s="3" t="s">
        <v>268</v>
      </c>
      <c r="H7522" s="2" t="s">
        <v>148</v>
      </c>
      <c r="I7522" s="2" t="s">
        <v>19264</v>
      </c>
      <c r="J7522" s="3" t="str">
        <f>HYPERLINK("https://www.boe.es/gazeta/dias/1811/11/02/pdfs/GEI-1811-141.pdf#page=7","Abrir facsímil")</f>
        <v>Abrir facsímil</v>
      </c>
      <c r="K7522" s="3" t="s">
        <v>150</v>
      </c>
    </row>
    <row r="7523" spans="1:11" ht="42" customHeight="1">
      <c r="A7523" s="2" t="s">
        <v>19265</v>
      </c>
      <c r="B7523" s="2" t="s">
        <v>19266</v>
      </c>
      <c r="C7523" s="2" t="s">
        <v>17</v>
      </c>
      <c r="D7523" s="2" t="s">
        <v>156</v>
      </c>
      <c r="E7523" s="4">
        <v>-32489</v>
      </c>
      <c r="F7523" s="3" t="s">
        <v>2073</v>
      </c>
      <c r="G7523" s="3" t="s">
        <v>44</v>
      </c>
      <c r="H7523" s="2" t="s">
        <v>148</v>
      </c>
      <c r="I7523" s="2" t="s">
        <v>19267</v>
      </c>
      <c r="J7523" s="3" t="str">
        <f>HYPERLINK("https://www.boe.es/gazeta/dias/1811/01/17/pdfs/GEI-1811-8.pdf#page=8","Abrir facsímil")</f>
        <v>Abrir facsímil</v>
      </c>
      <c r="K7523" s="3" t="s">
        <v>150</v>
      </c>
    </row>
    <row r="7524" spans="1:11" ht="42" customHeight="1">
      <c r="A7524" s="2" t="s">
        <v>19268</v>
      </c>
      <c r="B7524" s="2" t="s">
        <v>19269</v>
      </c>
      <c r="C7524" s="2" t="s">
        <v>26</v>
      </c>
      <c r="D7524" s="2" t="s">
        <v>18</v>
      </c>
      <c r="E7524" s="4">
        <v>-32153</v>
      </c>
      <c r="F7524" s="3" t="s">
        <v>235</v>
      </c>
      <c r="G7524" s="3" t="s">
        <v>2181</v>
      </c>
      <c r="H7524" s="2" t="s">
        <v>148</v>
      </c>
      <c r="I7524" s="2" t="s">
        <v>19270</v>
      </c>
      <c r="J7524" s="3" t="str">
        <f>HYPERLINK("https://www.boe.es/gazeta/dias/1811/12/19/pdfs/GEI-1811-164.pdf#page=8","Abrir facsímil")</f>
        <v>Abrir facsímil</v>
      </c>
      <c r="K7524" s="3" t="s">
        <v>150</v>
      </c>
    </row>
    <row r="7525" spans="1:11" ht="42" customHeight="1">
      <c r="A7525" s="2" t="s">
        <v>19271</v>
      </c>
      <c r="B7525" s="2" t="s">
        <v>19272</v>
      </c>
      <c r="C7525" s="2" t="s">
        <v>26</v>
      </c>
      <c r="D7525" s="2" t="s">
        <v>105</v>
      </c>
      <c r="E7525" s="4">
        <v>-32263</v>
      </c>
      <c r="F7525" s="3" t="s">
        <v>3780</v>
      </c>
      <c r="G7525" s="3" t="s">
        <v>3781</v>
      </c>
      <c r="H7525" s="2" t="s">
        <v>148</v>
      </c>
      <c r="I7525" s="2" t="s">
        <v>19273</v>
      </c>
      <c r="J7525" s="3" t="str">
        <f>HYPERLINK("https://www.boe.es/gazeta/dias/1811/08/31/pdfs/GMD-1811-243.pdf#page=4","Abrir facsímil")</f>
        <v>Abrir facsímil</v>
      </c>
      <c r="K7525" s="3" t="s">
        <v>150</v>
      </c>
    </row>
    <row r="7526" spans="1:11" ht="42" customHeight="1">
      <c r="A7526" s="2" t="s">
        <v>19274</v>
      </c>
      <c r="B7526" s="2" t="s">
        <v>19275</v>
      </c>
      <c r="C7526" s="2" t="s">
        <v>26</v>
      </c>
      <c r="D7526" s="2" t="s">
        <v>141</v>
      </c>
      <c r="E7526" s="4">
        <v>-32188</v>
      </c>
      <c r="F7526" s="3" t="s">
        <v>505</v>
      </c>
      <c r="G7526" s="3" t="s">
        <v>47</v>
      </c>
      <c r="H7526" s="2" t="s">
        <v>148</v>
      </c>
      <c r="I7526" s="2" t="s">
        <v>19276</v>
      </c>
      <c r="J7526" s="3" t="str">
        <f>HYPERLINK("https://www.boe.es/gazeta/dias/1811/11/14/pdfs/GEI-D-1811-149.pdf#page=3","Abrir facsímil")</f>
        <v>Abrir facsímil</v>
      </c>
      <c r="K7526" s="3" t="s">
        <v>150</v>
      </c>
    </row>
    <row r="7527" spans="1:11" ht="42" customHeight="1">
      <c r="A7527" s="2" t="s">
        <v>19277</v>
      </c>
      <c r="B7527" s="2" t="s">
        <v>19278</v>
      </c>
      <c r="C7527" s="2" t="s">
        <v>104</v>
      </c>
      <c r="D7527" s="2" t="s">
        <v>141</v>
      </c>
      <c r="E7527" s="4">
        <v>-32272</v>
      </c>
      <c r="F7527" s="3" t="s">
        <v>1150</v>
      </c>
      <c r="G7527" s="3" t="s">
        <v>248</v>
      </c>
      <c r="H7527" s="2" t="s">
        <v>148</v>
      </c>
      <c r="I7527" s="2" t="s">
        <v>19279</v>
      </c>
      <c r="J7527" s="3" t="str">
        <f>HYPERLINK("https://www.boe.es/gazeta/dias/1811/08/22/pdfs/GMD-C-1811-234.pdf#page=1","Abrir facsímil")</f>
        <v>Abrir facsímil</v>
      </c>
      <c r="K7527" s="3" t="s">
        <v>150</v>
      </c>
    </row>
    <row r="7528" spans="1:11" ht="42" customHeight="1">
      <c r="A7528" s="2" t="s">
        <v>19280</v>
      </c>
      <c r="B7528" s="2" t="s">
        <v>19281</v>
      </c>
      <c r="C7528" s="2" t="s">
        <v>26</v>
      </c>
      <c r="D7528" s="2" t="s">
        <v>105</v>
      </c>
      <c r="E7528" s="4">
        <v>-32150</v>
      </c>
      <c r="F7528" s="3" t="s">
        <v>1174</v>
      </c>
      <c r="G7528" s="3" t="s">
        <v>20</v>
      </c>
      <c r="H7528" s="2" t="s">
        <v>148</v>
      </c>
      <c r="I7528" s="2" t="s">
        <v>19282</v>
      </c>
      <c r="J7528" s="3" t="str">
        <f>HYPERLINK("https://www.boe.es/gazeta/dias/1811/12/22/pdfs/GMD-1811-356.pdf#page=4","Abrir facsímil")</f>
        <v>Abrir facsímil</v>
      </c>
      <c r="K7528" s="3" t="s">
        <v>150</v>
      </c>
    </row>
    <row r="7529" spans="1:11" ht="42" customHeight="1">
      <c r="A7529" s="2" t="s">
        <v>19283</v>
      </c>
      <c r="B7529" s="2" t="s">
        <v>19284</v>
      </c>
      <c r="C7529" s="2" t="s">
        <v>26</v>
      </c>
      <c r="D7529" s="2" t="s">
        <v>18</v>
      </c>
      <c r="E7529" s="4">
        <v>-32153</v>
      </c>
      <c r="F7529" s="3" t="s">
        <v>235</v>
      </c>
      <c r="G7529" s="3" t="s">
        <v>236</v>
      </c>
      <c r="H7529" s="2" t="s">
        <v>21</v>
      </c>
      <c r="I7529" s="2" t="s">
        <v>19285</v>
      </c>
      <c r="J7529" s="3" t="str">
        <f>HYPERLINK("https://www.boe.es/gazeta/dias/1811/12/19/pdfs/GEI-1811-164.pdf#page=7","Abrir facsímil")</f>
        <v>Abrir facsímil</v>
      </c>
      <c r="K7529" s="3" t="s">
        <v>23</v>
      </c>
    </row>
    <row r="7530" spans="1:11" ht="42" customHeight="1">
      <c r="A7530" s="2" t="s">
        <v>19286</v>
      </c>
      <c r="B7530" s="2" t="s">
        <v>19287</v>
      </c>
      <c r="C7530" s="2" t="s">
        <v>17</v>
      </c>
      <c r="D7530" s="2" t="s">
        <v>18</v>
      </c>
      <c r="E7530" s="4">
        <v>-32169</v>
      </c>
      <c r="F7530" s="3" t="s">
        <v>1702</v>
      </c>
      <c r="G7530" s="3" t="s">
        <v>15197</v>
      </c>
      <c r="H7530" s="2" t="s">
        <v>148</v>
      </c>
      <c r="I7530" s="2" t="s">
        <v>19288</v>
      </c>
      <c r="J7530" s="3" t="str">
        <f>HYPERLINK("https://www.boe.es/gazeta/dias/1811/12/03/pdfs/GEI-1811-157.pdf#page=2","Abrir facsímil")</f>
        <v>Abrir facsímil</v>
      </c>
      <c r="K7530" s="3" t="s">
        <v>150</v>
      </c>
    </row>
    <row r="7531" spans="1:11" ht="42" customHeight="1">
      <c r="A7531" s="2" t="s">
        <v>19289</v>
      </c>
      <c r="B7531" s="2" t="s">
        <v>19290</v>
      </c>
      <c r="C7531" s="2" t="s">
        <v>26</v>
      </c>
      <c r="D7531" s="2" t="s">
        <v>18</v>
      </c>
      <c r="E7531" s="4">
        <v>-32155</v>
      </c>
      <c r="F7531" s="3" t="s">
        <v>263</v>
      </c>
      <c r="G7531" s="3" t="s">
        <v>264</v>
      </c>
      <c r="H7531" s="2" t="s">
        <v>148</v>
      </c>
      <c r="I7531" s="2" t="s">
        <v>19291</v>
      </c>
      <c r="J7531" s="3" t="str">
        <f>HYPERLINK("https://www.boe.es/gazeta/dias/1811/12/17/pdfs/GEI-1811-163.pdf#page=8","Abrir facsímil")</f>
        <v>Abrir facsímil</v>
      </c>
      <c r="K7531" s="3" t="s">
        <v>150</v>
      </c>
    </row>
    <row r="7532" spans="1:11" ht="42" customHeight="1">
      <c r="A7532" s="2" t="s">
        <v>19292</v>
      </c>
      <c r="B7532" s="2" t="s">
        <v>19293</v>
      </c>
      <c r="C7532" s="2" t="s">
        <v>17</v>
      </c>
      <c r="D7532" s="2" t="s">
        <v>156</v>
      </c>
      <c r="E7532" s="4">
        <v>-32179</v>
      </c>
      <c r="F7532" s="3" t="s">
        <v>3269</v>
      </c>
      <c r="G7532" s="3" t="s">
        <v>91</v>
      </c>
      <c r="H7532" s="2" t="s">
        <v>148</v>
      </c>
      <c r="I7532" s="2" t="s">
        <v>19294</v>
      </c>
      <c r="J7532" s="3" t="str">
        <f>HYPERLINK("https://www.boe.es/gazeta/dias/1811/11/23/pdfs/GMD-1811-327.pdf#page=4","Abrir facsímil")</f>
        <v>Abrir facsímil</v>
      </c>
      <c r="K7532" s="3" t="s">
        <v>150</v>
      </c>
    </row>
    <row r="7533" spans="1:11" ht="42" customHeight="1">
      <c r="A7533" s="2" t="s">
        <v>19295</v>
      </c>
      <c r="B7533" s="2" t="s">
        <v>19296</v>
      </c>
      <c r="C7533" s="2" t="s">
        <v>17</v>
      </c>
      <c r="D7533" s="2" t="s">
        <v>18</v>
      </c>
      <c r="E7533" s="4">
        <v>-32248</v>
      </c>
      <c r="F7533" s="3" t="s">
        <v>622</v>
      </c>
      <c r="G7533" s="3" t="s">
        <v>115</v>
      </c>
      <c r="H7533" s="2" t="s">
        <v>148</v>
      </c>
      <c r="I7533" s="2" t="s">
        <v>19297</v>
      </c>
      <c r="J7533" s="3" t="str">
        <f>HYPERLINK("https://www.boe.es/gazeta/dias/1811/09/15/pdfs/GMD-1811-258.pdf#page=3","Abrir facsímil")</f>
        <v>Abrir facsímil</v>
      </c>
      <c r="K7533" s="3" t="s">
        <v>150</v>
      </c>
    </row>
    <row r="7534" spans="1:11" ht="42" customHeight="1">
      <c r="A7534" s="2" t="s">
        <v>19298</v>
      </c>
      <c r="B7534" s="2" t="s">
        <v>19299</v>
      </c>
      <c r="C7534" s="2" t="s">
        <v>84</v>
      </c>
      <c r="D7534" s="2" t="s">
        <v>18</v>
      </c>
      <c r="E7534" s="4">
        <v>-32181</v>
      </c>
      <c r="F7534" s="3" t="s">
        <v>1169</v>
      </c>
      <c r="G7534" s="3" t="s">
        <v>1170</v>
      </c>
      <c r="H7534" s="2" t="s">
        <v>148</v>
      </c>
      <c r="I7534" s="2" t="s">
        <v>19300</v>
      </c>
      <c r="J7534" s="3" t="str">
        <f>HYPERLINK("https://www.boe.es/gazeta/dias/1811/11/21/pdfs/GMD-1811-325.pdf#page=4","Abrir facsímil")</f>
        <v>Abrir facsímil</v>
      </c>
      <c r="K7534" s="3" t="s">
        <v>150</v>
      </c>
    </row>
    <row r="7535" spans="1:11" ht="42" customHeight="1">
      <c r="A7535" s="2" t="s">
        <v>19301</v>
      </c>
      <c r="B7535" s="2" t="s">
        <v>19302</v>
      </c>
      <c r="C7535" s="2" t="s">
        <v>66</v>
      </c>
      <c r="D7535" s="2" t="s">
        <v>18</v>
      </c>
      <c r="E7535" s="4">
        <v>-32182</v>
      </c>
      <c r="F7535" s="3" t="s">
        <v>653</v>
      </c>
      <c r="G7535" s="3" t="s">
        <v>44</v>
      </c>
      <c r="H7535" s="2" t="s">
        <v>148</v>
      </c>
      <c r="I7535" s="2" t="s">
        <v>19303</v>
      </c>
      <c r="J7535" s="3" t="str">
        <f>HYPERLINK("https://www.boe.es/gazeta/dias/1811/11/20/pdfs/GMD-1811-324.pdf#page=4","Abrir facsímil")</f>
        <v>Abrir facsímil</v>
      </c>
      <c r="K7535" s="3" t="s">
        <v>150</v>
      </c>
    </row>
    <row r="7536" spans="1:11" ht="42" customHeight="1">
      <c r="A7536" s="2" t="s">
        <v>19304</v>
      </c>
      <c r="B7536" s="2" t="s">
        <v>19304</v>
      </c>
      <c r="C7536" s="2" t="s">
        <v>17</v>
      </c>
      <c r="D7536" s="2" t="s">
        <v>156</v>
      </c>
      <c r="E7536" s="4">
        <v>-32308</v>
      </c>
      <c r="F7536" s="3" t="s">
        <v>4572</v>
      </c>
      <c r="G7536" s="3" t="s">
        <v>91</v>
      </c>
      <c r="H7536" s="2" t="s">
        <v>148</v>
      </c>
      <c r="I7536" s="2" t="s">
        <v>19305</v>
      </c>
      <c r="J7536" s="3" t="str">
        <f>HYPERLINK("https://www.boe.es/gazeta/dias/1811/07/17/pdfs/GMD-1811-198.pdf#page=3","Abrir facsímil")</f>
        <v>Abrir facsímil</v>
      </c>
      <c r="K7536" s="3" t="s">
        <v>150</v>
      </c>
    </row>
    <row r="7537" spans="1:11" ht="42" customHeight="1">
      <c r="A7537" s="2" t="s">
        <v>19306</v>
      </c>
      <c r="B7537" s="2" t="s">
        <v>19307</v>
      </c>
      <c r="C7537" s="2" t="s">
        <v>122</v>
      </c>
      <c r="D7537" s="2" t="s">
        <v>18</v>
      </c>
      <c r="E7537" s="4">
        <v>-32347</v>
      </c>
      <c r="F7537" s="3" t="s">
        <v>1911</v>
      </c>
      <c r="G7537" s="3" t="s">
        <v>9535</v>
      </c>
      <c r="H7537" s="2" t="s">
        <v>148</v>
      </c>
      <c r="I7537" s="2" t="s">
        <v>19308</v>
      </c>
      <c r="J7537" s="3" t="str">
        <f>HYPERLINK("https://www.boe.es/gazeta/dias/1811/06/08/pdfs/GEI-1811-77.pdf#page=7","Abrir facsímil")</f>
        <v>Abrir facsímil</v>
      </c>
      <c r="K7537" s="3" t="s">
        <v>150</v>
      </c>
    </row>
    <row r="7538" spans="1:11" ht="42" customHeight="1">
      <c r="A7538" s="2" t="s">
        <v>19309</v>
      </c>
      <c r="B7538" s="2" t="s">
        <v>19310</v>
      </c>
      <c r="C7538" s="2" t="s">
        <v>26</v>
      </c>
      <c r="D7538" s="2" t="s">
        <v>141</v>
      </c>
      <c r="E7538" s="4">
        <v>-32238</v>
      </c>
      <c r="F7538" s="3" t="s">
        <v>166</v>
      </c>
      <c r="G7538" s="3" t="s">
        <v>657</v>
      </c>
      <c r="H7538" s="2" t="s">
        <v>148</v>
      </c>
      <c r="I7538" s="2" t="s">
        <v>19311</v>
      </c>
      <c r="J7538" s="3" t="str">
        <f>HYPERLINK("https://www.boe.es/gazeta/dias/1811/09/25/pdfs/GMD-C-1811-268.pdf#page=3","Abrir facsímil")</f>
        <v>Abrir facsímil</v>
      </c>
      <c r="K7538" s="3" t="s">
        <v>150</v>
      </c>
    </row>
    <row r="7539" spans="1:11" ht="42" customHeight="1">
      <c r="A7539" s="2" t="s">
        <v>19312</v>
      </c>
      <c r="B7539" s="2" t="s">
        <v>19312</v>
      </c>
      <c r="C7539" s="2" t="s">
        <v>37</v>
      </c>
      <c r="D7539" s="2" t="s">
        <v>18</v>
      </c>
      <c r="E7539" s="4">
        <v>-32232</v>
      </c>
      <c r="F7539" s="3" t="s">
        <v>1879</v>
      </c>
      <c r="G7539" s="3" t="s">
        <v>120</v>
      </c>
      <c r="H7539" s="2" t="s">
        <v>148</v>
      </c>
      <c r="I7539" s="2" t="s">
        <v>19313</v>
      </c>
      <c r="J7539" s="3" t="str">
        <f>HYPERLINK("https://www.boe.es/gazeta/dias/1811/10/01/pdfs/GMD-1811-274.pdf#page=1","Abrir facsímil")</f>
        <v>Abrir facsímil</v>
      </c>
      <c r="K7539" s="3" t="s">
        <v>150</v>
      </c>
    </row>
    <row r="7540" spans="1:11" ht="42" customHeight="1">
      <c r="A7540" s="2" t="s">
        <v>19314</v>
      </c>
      <c r="B7540" s="2" t="s">
        <v>19314</v>
      </c>
      <c r="C7540" s="2" t="s">
        <v>17</v>
      </c>
      <c r="D7540" s="2" t="s">
        <v>18</v>
      </c>
      <c r="E7540" s="4">
        <v>-32231</v>
      </c>
      <c r="F7540" s="3" t="s">
        <v>2755</v>
      </c>
      <c r="G7540" s="3" t="s">
        <v>530</v>
      </c>
      <c r="H7540" s="2" t="s">
        <v>148</v>
      </c>
      <c r="I7540" s="2" t="s">
        <v>19315</v>
      </c>
      <c r="J7540" s="3" t="str">
        <f>HYPERLINK("https://www.boe.es/gazeta/dias/1811/10/02/pdfs/GMD-1811-275.pdf#page=4","Abrir facsímil")</f>
        <v>Abrir facsímil</v>
      </c>
      <c r="K7540" s="3" t="s">
        <v>150</v>
      </c>
    </row>
    <row r="7541" spans="1:11" ht="42" customHeight="1">
      <c r="A7541" s="2" t="s">
        <v>19316</v>
      </c>
      <c r="B7541" s="2" t="s">
        <v>19317</v>
      </c>
      <c r="C7541" s="2" t="s">
        <v>26</v>
      </c>
      <c r="D7541" s="2" t="s">
        <v>18</v>
      </c>
      <c r="E7541" s="4">
        <v>-32195</v>
      </c>
      <c r="F7541" s="3" t="s">
        <v>439</v>
      </c>
      <c r="G7541" s="3" t="s">
        <v>440</v>
      </c>
      <c r="H7541" s="2" t="s">
        <v>148</v>
      </c>
      <c r="I7541" s="2" t="s">
        <v>19318</v>
      </c>
      <c r="J7541" s="3" t="str">
        <f>HYPERLINK("https://www.boe.es/gazeta/dias/1811/11/07/pdfs/GEI-1811-144.pdf#page=8","Abrir facsímil")</f>
        <v>Abrir facsímil</v>
      </c>
      <c r="K7541" s="3" t="s">
        <v>150</v>
      </c>
    </row>
    <row r="7542" spans="1:11" ht="42" customHeight="1">
      <c r="A7542" s="2" t="s">
        <v>19319</v>
      </c>
      <c r="B7542" s="2" t="s">
        <v>19320</v>
      </c>
      <c r="C7542" s="2" t="s">
        <v>104</v>
      </c>
      <c r="D7542" s="2" t="s">
        <v>18</v>
      </c>
      <c r="E7542" s="4">
        <v>-32176</v>
      </c>
      <c r="F7542" s="3" t="s">
        <v>638</v>
      </c>
      <c r="G7542" s="3" t="s">
        <v>7649</v>
      </c>
      <c r="H7542" s="2" t="s">
        <v>148</v>
      </c>
      <c r="I7542" s="2" t="s">
        <v>19321</v>
      </c>
      <c r="J7542" s="3" t="str">
        <f>HYPERLINK("https://www.boe.es/gazeta/dias/1811/11/26/pdfs/GEI-1811-154.pdf#page=1","Abrir facsímil")</f>
        <v>Abrir facsímil</v>
      </c>
      <c r="K7542" s="3" t="s">
        <v>150</v>
      </c>
    </row>
    <row r="7543" spans="1:11" ht="42" customHeight="1">
      <c r="A7543" s="2" t="s">
        <v>19322</v>
      </c>
      <c r="B7543" s="2" t="s">
        <v>19323</v>
      </c>
      <c r="C7543" s="2" t="s">
        <v>17</v>
      </c>
      <c r="D7543" s="2" t="s">
        <v>18</v>
      </c>
      <c r="E7543" s="4">
        <v>-32470</v>
      </c>
      <c r="F7543" s="3" t="s">
        <v>10438</v>
      </c>
      <c r="G7543" s="3" t="s">
        <v>10439</v>
      </c>
      <c r="H7543" s="2" t="s">
        <v>148</v>
      </c>
      <c r="I7543" s="2" t="s">
        <v>19324</v>
      </c>
      <c r="J7543" s="3" t="str">
        <f>HYPERLINK("https://www.boe.es/gazeta/dias/1811/02/05/pdfs/GMD-1811-36.pdf#page=2","Abrir facsímil")</f>
        <v>Abrir facsímil</v>
      </c>
      <c r="K7543" s="3" t="s">
        <v>150</v>
      </c>
    </row>
    <row r="7544" spans="1:11" ht="42" customHeight="1">
      <c r="A7544" s="2" t="s">
        <v>19325</v>
      </c>
      <c r="B7544" s="2" t="s">
        <v>19326</v>
      </c>
      <c r="C7544" s="2" t="s">
        <v>104</v>
      </c>
      <c r="D7544" s="2" t="s">
        <v>18</v>
      </c>
      <c r="E7544" s="4">
        <v>-32232</v>
      </c>
      <c r="F7544" s="3" t="s">
        <v>1816</v>
      </c>
      <c r="G7544" s="3" t="s">
        <v>1817</v>
      </c>
      <c r="H7544" s="2" t="s">
        <v>148</v>
      </c>
      <c r="I7544" s="2" t="s">
        <v>19327</v>
      </c>
      <c r="J7544" s="3" t="str">
        <f>HYPERLINK("https://www.boe.es/gazeta/dias/1811/10/01/pdfs/GEI-1811-126.pdf#page=8","Abrir facsímil")</f>
        <v>Abrir facsímil</v>
      </c>
      <c r="K7544" s="3" t="s">
        <v>150</v>
      </c>
    </row>
    <row r="7545" spans="1:11" ht="42" customHeight="1">
      <c r="A7545" s="2" t="s">
        <v>19328</v>
      </c>
      <c r="B7545" s="2" t="s">
        <v>19329</v>
      </c>
      <c r="C7545" s="2" t="s">
        <v>17</v>
      </c>
      <c r="D7545" s="2" t="s">
        <v>18</v>
      </c>
      <c r="E7545" s="4">
        <v>-32214</v>
      </c>
      <c r="F7545" s="3" t="s">
        <v>1753</v>
      </c>
      <c r="G7545" s="3" t="s">
        <v>47</v>
      </c>
      <c r="H7545" s="2" t="s">
        <v>148</v>
      </c>
      <c r="I7545" s="2" t="s">
        <v>19330</v>
      </c>
      <c r="J7545" s="3" t="str">
        <f>HYPERLINK("https://www.boe.es/gazeta/dias/1811/10/19/pdfs/GEI-1811-135.pdf#page=4","Abrir facsímil")</f>
        <v>Abrir facsímil</v>
      </c>
      <c r="K7545" s="3" t="s">
        <v>150</v>
      </c>
    </row>
    <row r="7546" spans="1:11" ht="42" customHeight="1">
      <c r="A7546" s="2" t="s">
        <v>19331</v>
      </c>
      <c r="B7546" s="2" t="s">
        <v>19332</v>
      </c>
      <c r="C7546" s="2" t="s">
        <v>17</v>
      </c>
      <c r="D7546" s="2" t="s">
        <v>156</v>
      </c>
      <c r="E7546" s="4">
        <v>-32237</v>
      </c>
      <c r="F7546" s="3" t="s">
        <v>717</v>
      </c>
      <c r="G7546" s="3" t="s">
        <v>1128</v>
      </c>
      <c r="H7546" s="2" t="s">
        <v>148</v>
      </c>
      <c r="I7546" s="2" t="s">
        <v>19333</v>
      </c>
      <c r="J7546" s="3" t="str">
        <f>HYPERLINK("https://www.boe.es/gazeta/dias/1811/09/26/pdfs/GEI-1811-124.pdf#page=8","Abrir facsímil")</f>
        <v>Abrir facsímil</v>
      </c>
      <c r="K7546" s="3" t="s">
        <v>150</v>
      </c>
    </row>
    <row r="7547" spans="1:11" ht="42" customHeight="1">
      <c r="A7547" s="2" t="s">
        <v>19334</v>
      </c>
      <c r="B7547" s="2" t="s">
        <v>19335</v>
      </c>
      <c r="C7547" s="2" t="s">
        <v>26</v>
      </c>
      <c r="D7547" s="2" t="s">
        <v>18</v>
      </c>
      <c r="E7547" s="4">
        <v>-32195</v>
      </c>
      <c r="F7547" s="3" t="s">
        <v>439</v>
      </c>
      <c r="G7547" s="3" t="s">
        <v>440</v>
      </c>
      <c r="H7547" s="2" t="s">
        <v>148</v>
      </c>
      <c r="I7547" s="2" t="s">
        <v>19336</v>
      </c>
      <c r="J7547" s="3" t="str">
        <f>HYPERLINK("https://www.boe.es/gazeta/dias/1811/11/07/pdfs/GEI-1811-144.pdf#page=8","Abrir facsímil")</f>
        <v>Abrir facsímil</v>
      </c>
      <c r="K7547" s="3" t="s">
        <v>150</v>
      </c>
    </row>
    <row r="7548" spans="1:11" ht="42" customHeight="1">
      <c r="A7548" s="2" t="s">
        <v>19337</v>
      </c>
      <c r="B7548" s="2" t="s">
        <v>19338</v>
      </c>
      <c r="C7548" s="2" t="s">
        <v>26</v>
      </c>
      <c r="D7548" s="2" t="s">
        <v>18</v>
      </c>
      <c r="E7548" s="4">
        <v>-32235</v>
      </c>
      <c r="F7548" s="3" t="s">
        <v>190</v>
      </c>
      <c r="G7548" s="3" t="s">
        <v>188</v>
      </c>
      <c r="H7548" s="2" t="s">
        <v>148</v>
      </c>
      <c r="I7548" s="2" t="s">
        <v>19339</v>
      </c>
      <c r="J7548" s="3" t="str">
        <f>HYPERLINK("https://www.boe.es/gazeta/dias/1811/09/28/pdfs/GEI-1811-125.pdf#page=8","Abrir facsímil")</f>
        <v>Abrir facsímil</v>
      </c>
      <c r="K7548" s="3" t="s">
        <v>150</v>
      </c>
    </row>
    <row r="7549" spans="1:11" ht="42" customHeight="1">
      <c r="A7549" s="2" t="s">
        <v>19340</v>
      </c>
      <c r="B7549" s="2" t="s">
        <v>19341</v>
      </c>
      <c r="C7549" s="2" t="s">
        <v>37</v>
      </c>
      <c r="D7549" s="2" t="s">
        <v>141</v>
      </c>
      <c r="E7549" s="4">
        <v>-32365</v>
      </c>
      <c r="F7549" s="3" t="s">
        <v>1304</v>
      </c>
      <c r="G7549" s="3" t="s">
        <v>120</v>
      </c>
      <c r="H7549" s="2" t="s">
        <v>148</v>
      </c>
      <c r="I7549" s="2" t="s">
        <v>19342</v>
      </c>
      <c r="J7549" s="3" t="str">
        <f>HYPERLINK("https://www.boe.es/gazeta/dias/1811/05/21/pdfs/GEI-D-1811-67.pdf#page=4","Abrir facsímil")</f>
        <v>Abrir facsímil</v>
      </c>
      <c r="K7549" s="3" t="s">
        <v>150</v>
      </c>
    </row>
    <row r="7550" spans="1:11" ht="42" customHeight="1">
      <c r="A7550" s="2" t="s">
        <v>19343</v>
      </c>
      <c r="B7550" s="2" t="s">
        <v>19344</v>
      </c>
      <c r="C7550" s="2" t="s">
        <v>26</v>
      </c>
      <c r="D7550" s="2" t="s">
        <v>18</v>
      </c>
      <c r="E7550" s="4">
        <v>-32421</v>
      </c>
      <c r="F7550" s="3" t="s">
        <v>79</v>
      </c>
      <c r="G7550" s="3" t="s">
        <v>19345</v>
      </c>
      <c r="H7550" s="2" t="s">
        <v>148</v>
      </c>
      <c r="I7550" s="2" t="s">
        <v>19346</v>
      </c>
      <c r="J7550" s="3" t="str">
        <f>HYPERLINK("https://www.boe.es/gazeta/dias/1811/03/26/pdfs/GEI-1811-42.pdf#page=2","Abrir facsímil")</f>
        <v>Abrir facsímil</v>
      </c>
      <c r="K7550" s="3" t="s">
        <v>150</v>
      </c>
    </row>
    <row r="7551" spans="1:11" ht="42" customHeight="1">
      <c r="A7551" s="2" t="s">
        <v>19347</v>
      </c>
      <c r="B7551" s="2" t="s">
        <v>19348</v>
      </c>
      <c r="C7551" s="2" t="s">
        <v>37</v>
      </c>
      <c r="D7551" s="2" t="s">
        <v>18</v>
      </c>
      <c r="E7551" s="4">
        <v>-32447</v>
      </c>
      <c r="F7551" s="3" t="s">
        <v>665</v>
      </c>
      <c r="G7551" s="3" t="s">
        <v>57</v>
      </c>
      <c r="H7551" s="2" t="s">
        <v>148</v>
      </c>
      <c r="I7551" s="2" t="s">
        <v>19349</v>
      </c>
      <c r="J7551" s="3" t="str">
        <f>HYPERLINK("https://www.boe.es/gazeta/dias/1811/02/28/pdfs/GMD-1811-59.pdf#page=2","Abrir facsímil")</f>
        <v>Abrir facsímil</v>
      </c>
      <c r="K7551" s="3" t="s">
        <v>150</v>
      </c>
    </row>
    <row r="7552" spans="1:11" ht="42" customHeight="1">
      <c r="A7552" s="2" t="s">
        <v>19350</v>
      </c>
      <c r="B7552" s="2" t="s">
        <v>19351</v>
      </c>
      <c r="C7552" s="2" t="s">
        <v>26</v>
      </c>
      <c r="D7552" s="2" t="s">
        <v>18</v>
      </c>
      <c r="E7552" s="4">
        <v>-32155</v>
      </c>
      <c r="F7552" s="3" t="s">
        <v>263</v>
      </c>
      <c r="G7552" s="3" t="s">
        <v>264</v>
      </c>
      <c r="H7552" s="2" t="s">
        <v>148</v>
      </c>
      <c r="I7552" s="2" t="s">
        <v>19352</v>
      </c>
      <c r="J7552" s="3" t="str">
        <f>HYPERLINK("https://www.boe.es/gazeta/dias/1811/12/17/pdfs/GEI-1811-163.pdf#page=8","Abrir facsímil")</f>
        <v>Abrir facsímil</v>
      </c>
      <c r="K7552" s="3" t="s">
        <v>150</v>
      </c>
    </row>
    <row r="7553" spans="1:11" ht="42" customHeight="1">
      <c r="A7553" s="2" t="s">
        <v>19353</v>
      </c>
      <c r="B7553" s="2" t="s">
        <v>19353</v>
      </c>
      <c r="C7553" s="2" t="s">
        <v>26</v>
      </c>
      <c r="D7553" s="2" t="s">
        <v>18</v>
      </c>
      <c r="E7553" s="4">
        <v>-32443</v>
      </c>
      <c r="F7553" s="3" t="s">
        <v>1522</v>
      </c>
      <c r="G7553" s="3" t="s">
        <v>91</v>
      </c>
      <c r="H7553" s="2" t="s">
        <v>148</v>
      </c>
      <c r="I7553" s="2" t="s">
        <v>19354</v>
      </c>
      <c r="J7553" s="3" t="str">
        <f>HYPERLINK("https://www.boe.es/gazeta/dias/1811/03/04/pdfs/GMD-1811-63.pdf#page=2","Abrir facsímil")</f>
        <v>Abrir facsímil</v>
      </c>
      <c r="K7553" s="3" t="s">
        <v>150</v>
      </c>
    </row>
    <row r="7554" spans="1:11" ht="42" customHeight="1">
      <c r="A7554" s="2" t="s">
        <v>19355</v>
      </c>
      <c r="B7554" s="2" t="s">
        <v>19356</v>
      </c>
      <c r="C7554" s="2" t="s">
        <v>17</v>
      </c>
      <c r="D7554" s="2" t="s">
        <v>18</v>
      </c>
      <c r="E7554" s="4">
        <v>-32314</v>
      </c>
      <c r="F7554" s="3" t="s">
        <v>570</v>
      </c>
      <c r="G7554" s="3" t="s">
        <v>2322</v>
      </c>
      <c r="H7554" s="2" t="s">
        <v>148</v>
      </c>
      <c r="I7554" s="2" t="s">
        <v>19357</v>
      </c>
      <c r="J7554" s="3" t="str">
        <f>HYPERLINK("https://www.boe.es/gazeta/dias/1811/07/11/pdfs/GEI-1811-91.pdf#page=8","Abrir facsímil")</f>
        <v>Abrir facsímil</v>
      </c>
      <c r="K7554" s="3" t="s">
        <v>150</v>
      </c>
    </row>
    <row r="7555" spans="1:11" ht="42" customHeight="1">
      <c r="A7555" s="2" t="s">
        <v>19358</v>
      </c>
      <c r="B7555" s="2" t="s">
        <v>19359</v>
      </c>
      <c r="C7555" s="2" t="s">
        <v>26</v>
      </c>
      <c r="D7555" s="2" t="s">
        <v>18</v>
      </c>
      <c r="E7555" s="4">
        <v>-32155</v>
      </c>
      <c r="F7555" s="3" t="s">
        <v>263</v>
      </c>
      <c r="G7555" s="3" t="s">
        <v>891</v>
      </c>
      <c r="H7555" s="2" t="s">
        <v>148</v>
      </c>
      <c r="I7555" s="2" t="s">
        <v>19360</v>
      </c>
      <c r="J7555" s="3" t="str">
        <f>HYPERLINK("https://www.boe.es/gazeta/dias/1811/12/17/pdfs/GEI-1811-163.pdf#page=1","Abrir facsímil")</f>
        <v>Abrir facsímil</v>
      </c>
      <c r="K7555" s="3" t="s">
        <v>150</v>
      </c>
    </row>
    <row r="7556" spans="1:11" ht="42" customHeight="1">
      <c r="A7556" s="2" t="s">
        <v>19361</v>
      </c>
      <c r="B7556" s="2" t="s">
        <v>19362</v>
      </c>
      <c r="C7556" s="2" t="s">
        <v>26</v>
      </c>
      <c r="D7556" s="2" t="s">
        <v>18</v>
      </c>
      <c r="E7556" s="4">
        <v>-32195</v>
      </c>
      <c r="F7556" s="3" t="s">
        <v>439</v>
      </c>
      <c r="G7556" s="3" t="s">
        <v>440</v>
      </c>
      <c r="H7556" s="2" t="s">
        <v>148</v>
      </c>
      <c r="I7556" s="2" t="s">
        <v>19363</v>
      </c>
      <c r="J7556" s="3" t="str">
        <f>HYPERLINK("https://www.boe.es/gazeta/dias/1811/11/07/pdfs/GEI-1811-144.pdf#page=8","Abrir facsímil")</f>
        <v>Abrir facsímil</v>
      </c>
      <c r="K7556" s="3" t="s">
        <v>150</v>
      </c>
    </row>
    <row r="7557" spans="1:11" ht="42" customHeight="1">
      <c r="A7557" s="2" t="s">
        <v>19364</v>
      </c>
      <c r="B7557" s="2" t="s">
        <v>19365</v>
      </c>
      <c r="C7557" s="2" t="s">
        <v>17</v>
      </c>
      <c r="D7557" s="2" t="s">
        <v>18</v>
      </c>
      <c r="E7557" s="4">
        <v>-32291</v>
      </c>
      <c r="F7557" s="3" t="s">
        <v>712</v>
      </c>
      <c r="G7557" s="3" t="s">
        <v>248</v>
      </c>
      <c r="H7557" s="2" t="s">
        <v>148</v>
      </c>
      <c r="I7557" s="2" t="s">
        <v>19366</v>
      </c>
      <c r="J7557" s="3" t="str">
        <f>HYPERLINK("https://www.boe.es/gazeta/dias/1811/08/03/pdfs/GEI-1811-101.pdf#page=3","Abrir facsímil")</f>
        <v>Abrir facsímil</v>
      </c>
      <c r="K7557" s="3" t="s">
        <v>150</v>
      </c>
    </row>
    <row r="7558" spans="1:11" ht="42" customHeight="1">
      <c r="A7558" s="2" t="s">
        <v>19367</v>
      </c>
      <c r="B7558" s="2" t="s">
        <v>19368</v>
      </c>
      <c r="C7558" s="2" t="s">
        <v>26</v>
      </c>
      <c r="D7558" s="2" t="s">
        <v>18</v>
      </c>
      <c r="E7558" s="4">
        <v>-32505</v>
      </c>
      <c r="F7558" s="3" t="s">
        <v>475</v>
      </c>
      <c r="G7558" s="3" t="s">
        <v>755</v>
      </c>
      <c r="H7558" s="2" t="s">
        <v>148</v>
      </c>
      <c r="I7558" s="2" t="s">
        <v>19369</v>
      </c>
      <c r="J7558" s="3" t="str">
        <f>HYPERLINK("https://www.boe.es/gazeta/dias/1811/01/01/pdfs/GEI-1811-1.pdf#page=8","Abrir facsímil")</f>
        <v>Abrir facsímil</v>
      </c>
      <c r="K7558" s="3" t="s">
        <v>150</v>
      </c>
    </row>
    <row r="7559" spans="1:11" ht="42" customHeight="1">
      <c r="A7559" s="2" t="s">
        <v>19370</v>
      </c>
      <c r="B7559" s="2" t="s">
        <v>19371</v>
      </c>
      <c r="C7559" s="2" t="s">
        <v>17</v>
      </c>
      <c r="D7559" s="2" t="s">
        <v>18</v>
      </c>
      <c r="E7559" s="4">
        <v>-32300</v>
      </c>
      <c r="F7559" s="3" t="s">
        <v>61</v>
      </c>
      <c r="G7559" s="3" t="s">
        <v>846</v>
      </c>
      <c r="H7559" s="2" t="s">
        <v>148</v>
      </c>
      <c r="I7559" s="2" t="s">
        <v>19372</v>
      </c>
      <c r="J7559" s="3" t="str">
        <f>HYPERLINK("https://www.boe.es/gazeta/dias/1811/07/25/pdfs/GEI-1811-97.pdf#page=3","Abrir facsímil")</f>
        <v>Abrir facsímil</v>
      </c>
      <c r="K7559" s="3" t="s">
        <v>150</v>
      </c>
    </row>
    <row r="7560" spans="1:11" ht="42" customHeight="1">
      <c r="A7560" s="2" t="s">
        <v>19373</v>
      </c>
      <c r="B7560" s="2" t="s">
        <v>19374</v>
      </c>
      <c r="C7560" s="2" t="s">
        <v>17</v>
      </c>
      <c r="D7560" s="2" t="s">
        <v>18</v>
      </c>
      <c r="E7560" s="4">
        <v>-32361</v>
      </c>
      <c r="F7560" s="3" t="s">
        <v>1104</v>
      </c>
      <c r="G7560" s="3" t="s">
        <v>2213</v>
      </c>
      <c r="H7560" s="2" t="s">
        <v>148</v>
      </c>
      <c r="I7560" s="2" t="s">
        <v>19375</v>
      </c>
      <c r="J7560" s="3" t="str">
        <f>HYPERLINK("https://www.boe.es/gazeta/dias/1811/05/25/pdfs/GEI-1811-71.pdf#page=8","Abrir facsímil")</f>
        <v>Abrir facsímil</v>
      </c>
      <c r="K7560" s="3" t="s">
        <v>150</v>
      </c>
    </row>
    <row r="7561" spans="1:11" ht="42" customHeight="1">
      <c r="A7561" s="2" t="s">
        <v>19376</v>
      </c>
      <c r="B7561" s="2" t="s">
        <v>19377</v>
      </c>
      <c r="C7561" s="2" t="s">
        <v>26</v>
      </c>
      <c r="D7561" s="2" t="s">
        <v>18</v>
      </c>
      <c r="E7561" s="4">
        <v>-32326</v>
      </c>
      <c r="F7561" s="3" t="s">
        <v>43</v>
      </c>
      <c r="G7561" s="3" t="s">
        <v>91</v>
      </c>
      <c r="H7561" s="2" t="s">
        <v>148</v>
      </c>
      <c r="I7561" s="2" t="s">
        <v>19378</v>
      </c>
      <c r="J7561" s="3" t="str">
        <f>HYPERLINK("https://www.boe.es/gazeta/dias/1811/06/29/pdfs/GEI-1811-86.pdf#page=7","Abrir facsímil")</f>
        <v>Abrir facsímil</v>
      </c>
      <c r="K7561" s="3" t="s">
        <v>150</v>
      </c>
    </row>
    <row r="7562" spans="1:11" ht="42" customHeight="1">
      <c r="A7562" s="2" t="s">
        <v>19379</v>
      </c>
      <c r="B7562" s="2" t="s">
        <v>19380</v>
      </c>
      <c r="C7562" s="2" t="s">
        <v>26</v>
      </c>
      <c r="D7562" s="2" t="s">
        <v>18</v>
      </c>
      <c r="E7562" s="4">
        <v>-32463</v>
      </c>
      <c r="F7562" s="3" t="s">
        <v>734</v>
      </c>
      <c r="G7562" s="3" t="s">
        <v>735</v>
      </c>
      <c r="H7562" s="2" t="s">
        <v>148</v>
      </c>
      <c r="I7562" s="2" t="s">
        <v>19381</v>
      </c>
      <c r="J7562" s="3" t="str">
        <f>HYPERLINK("https://www.boe.es/gazeta/dias/1811/02/12/pdfs/GEI-1811-19.pdf#page=8","Abrir facsímil")</f>
        <v>Abrir facsímil</v>
      </c>
      <c r="K7562" s="3" t="s">
        <v>150</v>
      </c>
    </row>
    <row r="7563" spans="1:11" ht="42" customHeight="1">
      <c r="A7563" s="2" t="s">
        <v>19382</v>
      </c>
      <c r="B7563" s="2" t="s">
        <v>19383</v>
      </c>
      <c r="C7563" s="2" t="s">
        <v>26</v>
      </c>
      <c r="D7563" s="2" t="s">
        <v>18</v>
      </c>
      <c r="E7563" s="4">
        <v>-32230</v>
      </c>
      <c r="F7563" s="3" t="s">
        <v>625</v>
      </c>
      <c r="G7563" s="3" t="s">
        <v>162</v>
      </c>
      <c r="H7563" s="2" t="s">
        <v>148</v>
      </c>
      <c r="I7563" s="2" t="s">
        <v>19384</v>
      </c>
      <c r="J7563" s="3" t="str">
        <f>HYPERLINK("https://www.boe.es/gazeta/dias/1811/10/03/pdfs/GEI-1811-127.pdf#page=7","Abrir facsímil")</f>
        <v>Abrir facsímil</v>
      </c>
      <c r="K7563" s="3" t="s">
        <v>150</v>
      </c>
    </row>
    <row r="7564" spans="1:11" ht="42" customHeight="1">
      <c r="A7564" s="2" t="s">
        <v>19385</v>
      </c>
      <c r="B7564" s="2" t="s">
        <v>19386</v>
      </c>
      <c r="C7564" s="2" t="s">
        <v>26</v>
      </c>
      <c r="D7564" s="2" t="s">
        <v>141</v>
      </c>
      <c r="E7564" s="4">
        <v>-32238</v>
      </c>
      <c r="F7564" s="3" t="s">
        <v>166</v>
      </c>
      <c r="G7564" s="3" t="s">
        <v>657</v>
      </c>
      <c r="H7564" s="2" t="s">
        <v>148</v>
      </c>
      <c r="I7564" s="2" t="s">
        <v>19387</v>
      </c>
      <c r="J7564" s="3" t="str">
        <f>HYPERLINK("https://www.boe.es/gazeta/dias/1811/09/25/pdfs/GMD-C-1811-268.pdf#page=3","Abrir facsímil")</f>
        <v>Abrir facsímil</v>
      </c>
      <c r="K7564" s="3" t="s">
        <v>150</v>
      </c>
    </row>
    <row r="7565" spans="1:11" ht="42" customHeight="1">
      <c r="A7565" s="2" t="s">
        <v>19388</v>
      </c>
      <c r="B7565" s="2" t="s">
        <v>19389</v>
      </c>
      <c r="C7565" s="2" t="s">
        <v>66</v>
      </c>
      <c r="D7565" s="2" t="s">
        <v>105</v>
      </c>
      <c r="E7565" s="4">
        <v>-32416</v>
      </c>
      <c r="F7565" s="3" t="s">
        <v>954</v>
      </c>
      <c r="G7565" s="3" t="s">
        <v>47</v>
      </c>
      <c r="H7565" s="2" t="s">
        <v>148</v>
      </c>
      <c r="I7565" s="2" t="s">
        <v>19390</v>
      </c>
      <c r="J7565" s="3" t="str">
        <f>HYPERLINK("https://www.boe.es/gazeta/dias/1811/03/31/pdfs/GMD-1811-90.pdf#page=3","Abrir facsímil")</f>
        <v>Abrir facsímil</v>
      </c>
      <c r="K7565" s="3" t="s">
        <v>150</v>
      </c>
    </row>
    <row r="7566" spans="1:11" ht="42" customHeight="1">
      <c r="A7566" s="2" t="s">
        <v>19391</v>
      </c>
      <c r="B7566" s="2" t="s">
        <v>19392</v>
      </c>
      <c r="C7566" s="2" t="s">
        <v>26</v>
      </c>
      <c r="D7566" s="2" t="s">
        <v>18</v>
      </c>
      <c r="E7566" s="4">
        <v>-32237</v>
      </c>
      <c r="F7566" s="3" t="s">
        <v>717</v>
      </c>
      <c r="G7566" s="3" t="s">
        <v>718</v>
      </c>
      <c r="H7566" s="2" t="s">
        <v>148</v>
      </c>
      <c r="I7566" s="2" t="s">
        <v>19393</v>
      </c>
      <c r="J7566" s="3" t="str">
        <f>HYPERLINK("https://www.boe.es/gazeta/dias/1811/09/26/pdfs/GEI-1811-124.pdf#page=5","Abrir facsímil")</f>
        <v>Abrir facsímil</v>
      </c>
      <c r="K7566" s="3" t="s">
        <v>150</v>
      </c>
    </row>
    <row r="7567" spans="1:11" ht="42" customHeight="1">
      <c r="A7567" s="2" t="s">
        <v>19394</v>
      </c>
      <c r="B7567" s="2" t="s">
        <v>19395</v>
      </c>
      <c r="C7567" s="2" t="s">
        <v>26</v>
      </c>
      <c r="D7567" s="2" t="s">
        <v>141</v>
      </c>
      <c r="E7567" s="4">
        <v>-32249</v>
      </c>
      <c r="F7567" s="3" t="s">
        <v>743</v>
      </c>
      <c r="G7567" s="3" t="s">
        <v>1021</v>
      </c>
      <c r="H7567" s="2" t="s">
        <v>148</v>
      </c>
      <c r="I7567" s="2" t="s">
        <v>19396</v>
      </c>
      <c r="J7567" s="3" t="str">
        <f>HYPERLINK("https://www.boe.es/gazeta/dias/1811/09/14/pdfs/GMD-C-1811-257.pdf#page=2","Abrir facsímil")</f>
        <v>Abrir facsímil</v>
      </c>
      <c r="K7567" s="3" t="s">
        <v>150</v>
      </c>
    </row>
    <row r="7568" spans="1:11" ht="42" customHeight="1">
      <c r="A7568" s="2" t="s">
        <v>19397</v>
      </c>
      <c r="B7568" s="2" t="s">
        <v>19398</v>
      </c>
      <c r="C7568" s="2" t="s">
        <v>26</v>
      </c>
      <c r="D7568" s="2" t="s">
        <v>18</v>
      </c>
      <c r="E7568" s="4">
        <v>-32286</v>
      </c>
      <c r="F7568" s="3" t="s">
        <v>754</v>
      </c>
      <c r="G7568" s="3" t="s">
        <v>1728</v>
      </c>
      <c r="H7568" s="2" t="s">
        <v>148</v>
      </c>
      <c r="I7568" s="2" t="s">
        <v>19399</v>
      </c>
      <c r="J7568" s="3" t="str">
        <f>HYPERLINK("https://www.boe.es/gazeta/dias/1811/08/08/pdfs/GEI-1811-103.pdf#page=8","Abrir facsímil")</f>
        <v>Abrir facsímil</v>
      </c>
      <c r="K7568" s="3" t="s">
        <v>150</v>
      </c>
    </row>
    <row r="7569" spans="1:11" ht="42" customHeight="1">
      <c r="A7569" s="2" t="s">
        <v>19400</v>
      </c>
      <c r="B7569" s="2" t="s">
        <v>19401</v>
      </c>
      <c r="C7569" s="2" t="s">
        <v>26</v>
      </c>
      <c r="D7569" s="2" t="s">
        <v>18</v>
      </c>
      <c r="E7569" s="4">
        <v>-32379</v>
      </c>
      <c r="F7569" s="3" t="s">
        <v>462</v>
      </c>
      <c r="G7569" s="3" t="s">
        <v>228</v>
      </c>
      <c r="H7569" s="2" t="s">
        <v>148</v>
      </c>
      <c r="I7569" s="2" t="s">
        <v>19402</v>
      </c>
      <c r="J7569" s="3" t="str">
        <f>HYPERLINK("https://www.boe.es/gazeta/dias/1811/05/07/pdfs/GEI-1811-60.pdf#page=3","Abrir facsímil")</f>
        <v>Abrir facsímil</v>
      </c>
      <c r="K7569" s="3" t="s">
        <v>150</v>
      </c>
    </row>
    <row r="7570" spans="1:11" ht="42" customHeight="1">
      <c r="A7570" s="2" t="s">
        <v>19403</v>
      </c>
      <c r="B7570" s="2" t="s">
        <v>19404</v>
      </c>
      <c r="C7570" s="2" t="s">
        <v>26</v>
      </c>
      <c r="D7570" s="2" t="s">
        <v>141</v>
      </c>
      <c r="E7570" s="4">
        <v>-32249</v>
      </c>
      <c r="F7570" s="3" t="s">
        <v>743</v>
      </c>
      <c r="G7570" s="3" t="s">
        <v>468</v>
      </c>
      <c r="H7570" s="2" t="s">
        <v>148</v>
      </c>
      <c r="I7570" s="2" t="s">
        <v>19405</v>
      </c>
      <c r="J7570" s="3" t="str">
        <f>HYPERLINK("https://www.boe.es/gazeta/dias/1811/09/14/pdfs/GMD-C-1811-257.pdf#page=1","Abrir facsímil")</f>
        <v>Abrir facsímil</v>
      </c>
      <c r="K7570" s="3" t="s">
        <v>150</v>
      </c>
    </row>
    <row r="7571" spans="1:11" ht="42" customHeight="1">
      <c r="A7571" s="2" t="s">
        <v>19406</v>
      </c>
      <c r="B7571" s="2" t="s">
        <v>19406</v>
      </c>
      <c r="C7571" s="2" t="s">
        <v>17</v>
      </c>
      <c r="D7571" s="2" t="s">
        <v>156</v>
      </c>
      <c r="E7571" s="4">
        <v>-32318</v>
      </c>
      <c r="F7571" s="3" t="s">
        <v>1193</v>
      </c>
      <c r="G7571" s="3" t="s">
        <v>284</v>
      </c>
      <c r="H7571" s="2" t="s">
        <v>148</v>
      </c>
      <c r="I7571" s="2" t="s">
        <v>19407</v>
      </c>
      <c r="J7571" s="3" t="str">
        <f>HYPERLINK("https://www.boe.es/gazeta/dias/1811/07/07/pdfs/GMD-1811-188.pdf#page=2","Abrir facsímil")</f>
        <v>Abrir facsímil</v>
      </c>
      <c r="K7571" s="3" t="s">
        <v>150</v>
      </c>
    </row>
    <row r="7572" spans="1:11" ht="42" customHeight="1">
      <c r="A7572" s="2" t="s">
        <v>19408</v>
      </c>
      <c r="B7572" s="2" t="s">
        <v>19408</v>
      </c>
      <c r="C7572" s="2" t="s">
        <v>17</v>
      </c>
      <c r="D7572" s="2" t="s">
        <v>18</v>
      </c>
      <c r="E7572" s="4">
        <v>-32318</v>
      </c>
      <c r="F7572" s="3" t="s">
        <v>1193</v>
      </c>
      <c r="G7572" s="3" t="s">
        <v>488</v>
      </c>
      <c r="H7572" s="2" t="s">
        <v>148</v>
      </c>
      <c r="I7572" s="2" t="s">
        <v>19409</v>
      </c>
      <c r="J7572" s="3" t="str">
        <f>HYPERLINK("https://www.boe.es/gazeta/dias/1811/07/07/pdfs/GMD-1811-188.pdf#page=3","Abrir facsímil")</f>
        <v>Abrir facsímil</v>
      </c>
      <c r="K7572" s="3" t="s">
        <v>150</v>
      </c>
    </row>
    <row r="7573" spans="1:11" ht="42" customHeight="1">
      <c r="A7573" s="2" t="s">
        <v>19410</v>
      </c>
      <c r="B7573" s="2" t="s">
        <v>19411</v>
      </c>
      <c r="C7573" s="2" t="s">
        <v>17</v>
      </c>
      <c r="D7573" s="2" t="s">
        <v>18</v>
      </c>
      <c r="E7573" s="4">
        <v>-32414</v>
      </c>
      <c r="F7573" s="3" t="s">
        <v>213</v>
      </c>
      <c r="G7573" s="3" t="s">
        <v>91</v>
      </c>
      <c r="H7573" s="2" t="s">
        <v>148</v>
      </c>
      <c r="I7573" s="2" t="s">
        <v>19412</v>
      </c>
      <c r="J7573" s="3" t="str">
        <f>HYPERLINK("https://www.boe.es/gazeta/dias/1811/04/02/pdfs/GEI-1811-45.pdf#page=2","Abrir facsímil")</f>
        <v>Abrir facsímil</v>
      </c>
      <c r="K7573" s="3" t="s">
        <v>150</v>
      </c>
    </row>
    <row r="7574" spans="1:11" ht="42" customHeight="1">
      <c r="A7574" s="2" t="s">
        <v>19413</v>
      </c>
      <c r="B7574" s="2" t="s">
        <v>19413</v>
      </c>
      <c r="C7574" s="2" t="s">
        <v>26</v>
      </c>
      <c r="D7574" s="2" t="s">
        <v>204</v>
      </c>
      <c r="E7574" s="4">
        <v>-32385</v>
      </c>
      <c r="F7574" s="3" t="s">
        <v>2952</v>
      </c>
      <c r="G7574" s="3" t="s">
        <v>10024</v>
      </c>
      <c r="H7574" s="2" t="s">
        <v>148</v>
      </c>
      <c r="I7574" s="2" t="s">
        <v>19414</v>
      </c>
      <c r="J7574" s="3" t="str">
        <f>HYPERLINK("https://www.boe.es/gazeta/dias/1811/05/01/pdfs/GMD-1811-121.pdf#page=1","Abrir facsímil")</f>
        <v>Abrir facsímil</v>
      </c>
      <c r="K7574" s="3" t="s">
        <v>150</v>
      </c>
    </row>
    <row r="7575" spans="1:11" ht="42" customHeight="1">
      <c r="A7575" s="2" t="s">
        <v>19415</v>
      </c>
      <c r="B7575" s="2" t="s">
        <v>19416</v>
      </c>
      <c r="C7575" s="2" t="s">
        <v>104</v>
      </c>
      <c r="D7575" s="2" t="s">
        <v>18</v>
      </c>
      <c r="E7575" s="4">
        <v>-32438</v>
      </c>
      <c r="F7575" s="3" t="s">
        <v>114</v>
      </c>
      <c r="G7575" s="3" t="s">
        <v>331</v>
      </c>
      <c r="H7575" s="2" t="s">
        <v>148</v>
      </c>
      <c r="I7575" s="2" t="s">
        <v>19417</v>
      </c>
      <c r="J7575" s="3" t="str">
        <f>HYPERLINK("https://www.boe.es/gazeta/dias/1811/03/09/pdfs/GEI-1811-33.pdf#page=5","Abrir facsímil")</f>
        <v>Abrir facsímil</v>
      </c>
      <c r="K7575" s="3" t="s">
        <v>150</v>
      </c>
    </row>
    <row r="7576" spans="1:11" ht="42" customHeight="1">
      <c r="A7576" s="2" t="s">
        <v>19418</v>
      </c>
      <c r="B7576" s="2" t="s">
        <v>19418</v>
      </c>
      <c r="C7576" s="2" t="s">
        <v>17</v>
      </c>
      <c r="D7576" s="2" t="s">
        <v>18</v>
      </c>
      <c r="E7576" s="4">
        <v>-32235</v>
      </c>
      <c r="F7576" s="3" t="s">
        <v>376</v>
      </c>
      <c r="G7576" s="3" t="s">
        <v>1280</v>
      </c>
      <c r="H7576" s="2" t="s">
        <v>148</v>
      </c>
      <c r="I7576" s="2" t="s">
        <v>19419</v>
      </c>
      <c r="J7576" s="3" t="str">
        <f>HYPERLINK("https://www.boe.es/gazeta/dias/1811/09/28/pdfs/GMD-1811-271.pdf#page=2","Abrir facsímil")</f>
        <v>Abrir facsímil</v>
      </c>
      <c r="K7576" s="3" t="s">
        <v>150</v>
      </c>
    </row>
    <row r="7577" spans="1:11" ht="42" customHeight="1">
      <c r="A7577" s="2" t="s">
        <v>19420</v>
      </c>
      <c r="B7577" s="2" t="s">
        <v>19420</v>
      </c>
      <c r="C7577" s="2" t="s">
        <v>26</v>
      </c>
      <c r="D7577" s="2" t="s">
        <v>105</v>
      </c>
      <c r="E7577" s="4">
        <v>-32152</v>
      </c>
      <c r="F7577" s="3" t="s">
        <v>1673</v>
      </c>
      <c r="G7577" s="3" t="s">
        <v>2565</v>
      </c>
      <c r="H7577" s="2" t="s">
        <v>148</v>
      </c>
      <c r="I7577" s="2" t="s">
        <v>19421</v>
      </c>
      <c r="J7577" s="3" t="str">
        <f>HYPERLINK("https://www.boe.es/gazeta/dias/1811/12/20/pdfs/GMD-1811-354.pdf#page=3","Abrir facsímil")</f>
        <v>Abrir facsímil</v>
      </c>
      <c r="K7577" s="3" t="s">
        <v>150</v>
      </c>
    </row>
    <row r="7578" spans="1:11" ht="42" customHeight="1">
      <c r="A7578" s="2" t="s">
        <v>19422</v>
      </c>
      <c r="B7578" s="2" t="s">
        <v>19423</v>
      </c>
      <c r="C7578" s="2" t="s">
        <v>17</v>
      </c>
      <c r="D7578" s="2" t="s">
        <v>18</v>
      </c>
      <c r="E7578" s="4">
        <v>-32246</v>
      </c>
      <c r="F7578" s="3" t="s">
        <v>19</v>
      </c>
      <c r="G7578" s="3" t="s">
        <v>20</v>
      </c>
      <c r="H7578" s="2" t="s">
        <v>148</v>
      </c>
      <c r="I7578" s="2" t="s">
        <v>19424</v>
      </c>
      <c r="J7578" s="3" t="str">
        <f>HYPERLINK("https://www.boe.es/gazeta/dias/1811/09/17/pdfs/GEI-1811-120.pdf#page=24","Abrir facsímil")</f>
        <v>Abrir facsímil</v>
      </c>
      <c r="K7578" s="3" t="s">
        <v>150</v>
      </c>
    </row>
    <row r="7579" spans="1:11" ht="42" customHeight="1">
      <c r="A7579" s="2" t="s">
        <v>19425</v>
      </c>
      <c r="B7579" s="2" t="s">
        <v>19426</v>
      </c>
      <c r="C7579" s="2" t="s">
        <v>17</v>
      </c>
      <c r="D7579" s="2" t="s">
        <v>156</v>
      </c>
      <c r="E7579" s="4">
        <v>-32442</v>
      </c>
      <c r="F7579" s="3" t="s">
        <v>634</v>
      </c>
      <c r="G7579" s="3" t="s">
        <v>3430</v>
      </c>
      <c r="H7579" s="2" t="s">
        <v>148</v>
      </c>
      <c r="I7579" s="2" t="s">
        <v>19427</v>
      </c>
      <c r="J7579" s="3" t="str">
        <f>HYPERLINK("https://www.boe.es/gazeta/dias/1811/03/05/pdfs/GEI-1811-29.pdf#page=3","Abrir facsímil")</f>
        <v>Abrir facsímil</v>
      </c>
      <c r="K7579" s="3" t="s">
        <v>150</v>
      </c>
    </row>
    <row r="7580" spans="1:11" ht="42" customHeight="1">
      <c r="A7580" s="2" t="s">
        <v>19428</v>
      </c>
      <c r="B7580" s="2" t="s">
        <v>19429</v>
      </c>
      <c r="C7580" s="2" t="s">
        <v>17</v>
      </c>
      <c r="D7580" s="2" t="s">
        <v>18</v>
      </c>
      <c r="E7580" s="4">
        <v>-32314</v>
      </c>
      <c r="F7580" s="3" t="s">
        <v>570</v>
      </c>
      <c r="G7580" s="3" t="s">
        <v>7758</v>
      </c>
      <c r="H7580" s="2" t="s">
        <v>148</v>
      </c>
      <c r="I7580" s="2" t="s">
        <v>19430</v>
      </c>
      <c r="J7580" s="3" t="str">
        <f>HYPERLINK("https://www.boe.es/gazeta/dias/1811/07/11/pdfs/GEI-1811-91.pdf#page=5","Abrir facsímil")</f>
        <v>Abrir facsímil</v>
      </c>
      <c r="K7580" s="3" t="s">
        <v>150</v>
      </c>
    </row>
    <row r="7581" spans="1:11" ht="42" customHeight="1">
      <c r="A7581" s="2" t="s">
        <v>19431</v>
      </c>
      <c r="B7581" s="2" t="s">
        <v>19431</v>
      </c>
      <c r="C7581" s="2" t="s">
        <v>26</v>
      </c>
      <c r="D7581" s="2" t="s">
        <v>18</v>
      </c>
      <c r="E7581" s="4">
        <v>-32343</v>
      </c>
      <c r="F7581" s="3" t="s">
        <v>6073</v>
      </c>
      <c r="G7581" s="3" t="s">
        <v>9615</v>
      </c>
      <c r="H7581" s="2" t="s">
        <v>148</v>
      </c>
      <c r="I7581" s="2" t="s">
        <v>19432</v>
      </c>
      <c r="J7581" s="3" t="str">
        <f>HYPERLINK("https://www.boe.es/gazeta/dias/1811/06/12/pdfs/GMD-1811-163.pdf#page=3","Abrir facsímil")</f>
        <v>Abrir facsímil</v>
      </c>
      <c r="K7581" s="3" t="s">
        <v>150</v>
      </c>
    </row>
    <row r="7582" spans="1:11" ht="42" customHeight="1">
      <c r="A7582" s="2" t="s">
        <v>19433</v>
      </c>
      <c r="B7582" s="2" t="s">
        <v>19433</v>
      </c>
      <c r="C7582" s="2" t="s">
        <v>37</v>
      </c>
      <c r="D7582" s="2" t="s">
        <v>18</v>
      </c>
      <c r="E7582" s="4">
        <v>-32172</v>
      </c>
      <c r="F7582" s="3" t="s">
        <v>707</v>
      </c>
      <c r="G7582" s="3" t="s">
        <v>305</v>
      </c>
      <c r="H7582" s="2" t="s">
        <v>148</v>
      </c>
      <c r="I7582" s="2" t="s">
        <v>19434</v>
      </c>
      <c r="J7582" s="3" t="str">
        <f>HYPERLINK("https://www.boe.es/gazeta/dias/1811/11/30/pdfs/GEI-1811-156.pdf#page=4","Abrir facsímil")</f>
        <v>Abrir facsímil</v>
      </c>
      <c r="K7582" s="3" t="s">
        <v>150</v>
      </c>
    </row>
    <row r="7583" spans="1:11" ht="42" customHeight="1">
      <c r="A7583" s="2" t="s">
        <v>19435</v>
      </c>
      <c r="B7583" s="2" t="s">
        <v>19436</v>
      </c>
      <c r="C7583" s="2" t="s">
        <v>84</v>
      </c>
      <c r="D7583" s="2" t="s">
        <v>141</v>
      </c>
      <c r="E7583" s="4">
        <v>-32314</v>
      </c>
      <c r="F7583" s="3" t="s">
        <v>2051</v>
      </c>
      <c r="G7583" s="3" t="s">
        <v>468</v>
      </c>
      <c r="H7583" s="2" t="s">
        <v>148</v>
      </c>
      <c r="I7583" s="2" t="s">
        <v>19437</v>
      </c>
      <c r="J7583" s="3" t="str">
        <f>HYPERLINK("https://www.boe.es/gazeta/dias/1811/07/11/pdfs/GMD-C-1811-192.pdf#page=1","Abrir facsímil")</f>
        <v>Abrir facsímil</v>
      </c>
      <c r="K7583" s="3" t="s">
        <v>150</v>
      </c>
    </row>
    <row r="7584" spans="1:11" ht="42" customHeight="1">
      <c r="A7584" s="2" t="s">
        <v>19438</v>
      </c>
      <c r="B7584" s="2" t="s">
        <v>19439</v>
      </c>
      <c r="C7584" s="2" t="s">
        <v>26</v>
      </c>
      <c r="D7584" s="2" t="s">
        <v>18</v>
      </c>
      <c r="E7584" s="4">
        <v>-32270</v>
      </c>
      <c r="F7584" s="3" t="s">
        <v>431</v>
      </c>
      <c r="G7584" s="3" t="s">
        <v>2080</v>
      </c>
      <c r="H7584" s="2" t="s">
        <v>148</v>
      </c>
      <c r="I7584" s="2" t="s">
        <v>19440</v>
      </c>
      <c r="J7584" s="3" t="str">
        <f>HYPERLINK("https://www.boe.es/gazeta/dias/1811/08/24/pdfs/GEI-1811-110.pdf#page=5","Abrir facsímil")</f>
        <v>Abrir facsímil</v>
      </c>
      <c r="K7584" s="3" t="s">
        <v>150</v>
      </c>
    </row>
    <row r="7585" spans="1:11" ht="42" customHeight="1">
      <c r="A7585" s="2" t="s">
        <v>19441</v>
      </c>
      <c r="B7585" s="2" t="s">
        <v>19441</v>
      </c>
      <c r="C7585" s="2" t="s">
        <v>17</v>
      </c>
      <c r="D7585" s="2" t="s">
        <v>156</v>
      </c>
      <c r="E7585" s="4">
        <v>-32486</v>
      </c>
      <c r="F7585" s="3" t="s">
        <v>556</v>
      </c>
      <c r="G7585" s="3" t="s">
        <v>248</v>
      </c>
      <c r="H7585" s="2" t="s">
        <v>148</v>
      </c>
      <c r="I7585" s="2" t="s">
        <v>19442</v>
      </c>
      <c r="J7585" s="3" t="str">
        <f>HYPERLINK("https://www.boe.es/gazeta/dias/1811/01/20/pdfs/GMD-1811-20.pdf#page=2","Abrir facsímil")</f>
        <v>Abrir facsímil</v>
      </c>
      <c r="K7585" s="3" t="s">
        <v>150</v>
      </c>
    </row>
    <row r="7586" spans="1:11" ht="42" customHeight="1">
      <c r="A7586" s="2" t="s">
        <v>19441</v>
      </c>
      <c r="B7586" s="2" t="s">
        <v>19441</v>
      </c>
      <c r="C7586" s="2" t="s">
        <v>17</v>
      </c>
      <c r="D7586" s="2" t="s">
        <v>156</v>
      </c>
      <c r="E7586" s="4">
        <v>-32309</v>
      </c>
      <c r="F7586" s="3" t="s">
        <v>2496</v>
      </c>
      <c r="G7586" s="3" t="s">
        <v>47</v>
      </c>
      <c r="H7586" s="2" t="s">
        <v>148</v>
      </c>
      <c r="I7586" s="2" t="s">
        <v>19443</v>
      </c>
      <c r="J7586" s="3" t="str">
        <f>HYPERLINK("https://www.boe.es/gazeta/dias/1811/07/16/pdfs/GEI-1811-93.pdf#page=8","Abrir facsímil")</f>
        <v>Abrir facsímil</v>
      </c>
      <c r="K7586" s="3" t="s">
        <v>150</v>
      </c>
    </row>
    <row r="7587" spans="1:11" ht="42" customHeight="1">
      <c r="A7587" s="2" t="s">
        <v>19444</v>
      </c>
      <c r="B7587" s="2" t="s">
        <v>19444</v>
      </c>
      <c r="C7587" s="2" t="s">
        <v>26</v>
      </c>
      <c r="D7587" s="2" t="s">
        <v>18</v>
      </c>
      <c r="E7587" s="4">
        <v>-32188</v>
      </c>
      <c r="F7587" s="3" t="s">
        <v>356</v>
      </c>
      <c r="G7587" s="3" t="s">
        <v>468</v>
      </c>
      <c r="H7587" s="2" t="s">
        <v>148</v>
      </c>
      <c r="I7587" s="2" t="s">
        <v>19445</v>
      </c>
      <c r="J7587" s="3" t="str">
        <f>HYPERLINK("https://www.boe.es/gazeta/dias/1811/11/14/pdfs/GMD-1811-318.pdf#page=6","Abrir facsímil")</f>
        <v>Abrir facsímil</v>
      </c>
      <c r="K7587" s="3" t="s">
        <v>150</v>
      </c>
    </row>
    <row r="7588" spans="1:11" ht="42" customHeight="1">
      <c r="A7588" s="2" t="s">
        <v>19446</v>
      </c>
      <c r="B7588" s="2" t="s">
        <v>19447</v>
      </c>
      <c r="C7588" s="2" t="s">
        <v>66</v>
      </c>
      <c r="D7588" s="2" t="s">
        <v>18</v>
      </c>
      <c r="E7588" s="4">
        <v>-32251</v>
      </c>
      <c r="F7588" s="3" t="s">
        <v>726</v>
      </c>
      <c r="G7588" s="3" t="s">
        <v>727</v>
      </c>
      <c r="H7588" s="2" t="s">
        <v>148</v>
      </c>
      <c r="I7588" s="2" t="s">
        <v>19448</v>
      </c>
      <c r="J7588" s="3" t="str">
        <f>HYPERLINK("https://www.boe.es/gazeta/dias/1811/09/12/pdfs/GEI-1811-118.pdf#page=8","Abrir facsímil")</f>
        <v>Abrir facsímil</v>
      </c>
      <c r="K7588" s="3" t="s">
        <v>150</v>
      </c>
    </row>
    <row r="7589" spans="1:11" ht="42" customHeight="1">
      <c r="A7589" s="2" t="s">
        <v>19449</v>
      </c>
      <c r="B7589" s="2" t="s">
        <v>19450</v>
      </c>
      <c r="C7589" s="2" t="s">
        <v>26</v>
      </c>
      <c r="D7589" s="2" t="s">
        <v>141</v>
      </c>
      <c r="E7589" s="4">
        <v>-32188</v>
      </c>
      <c r="F7589" s="3" t="s">
        <v>505</v>
      </c>
      <c r="G7589" s="3" t="s">
        <v>162</v>
      </c>
      <c r="H7589" s="2" t="s">
        <v>148</v>
      </c>
      <c r="I7589" s="2" t="s">
        <v>19451</v>
      </c>
      <c r="J7589" s="3" t="str">
        <f>HYPERLINK("https://www.boe.es/gazeta/dias/1811/11/14/pdfs/GEI-D-1811-149.pdf#page=4","Abrir facsímil")</f>
        <v>Abrir facsímil</v>
      </c>
      <c r="K7589" s="3" t="s">
        <v>150</v>
      </c>
    </row>
    <row r="7590" spans="1:11" ht="42" customHeight="1">
      <c r="A7590" s="2" t="s">
        <v>19452</v>
      </c>
      <c r="B7590" s="2" t="s">
        <v>19453</v>
      </c>
      <c r="C7590" s="2" t="s">
        <v>104</v>
      </c>
      <c r="D7590" s="2" t="s">
        <v>105</v>
      </c>
      <c r="E7590" s="4">
        <v>-32249</v>
      </c>
      <c r="F7590" s="3" t="s">
        <v>182</v>
      </c>
      <c r="G7590" s="3" t="s">
        <v>183</v>
      </c>
      <c r="H7590" s="2" t="s">
        <v>148</v>
      </c>
      <c r="I7590" s="2" t="s">
        <v>19454</v>
      </c>
      <c r="J7590" s="3" t="str">
        <f>HYPERLINK("https://www.boe.es/gazeta/dias/1811/09/14/pdfs/GMD-1811-257.pdf#page=4","Abrir facsímil")</f>
        <v>Abrir facsímil</v>
      </c>
      <c r="K7590" s="3" t="s">
        <v>150</v>
      </c>
    </row>
    <row r="7591" spans="1:11" ht="42" customHeight="1">
      <c r="A7591" s="2" t="s">
        <v>19455</v>
      </c>
      <c r="B7591" s="2" t="s">
        <v>19456</v>
      </c>
      <c r="C7591" s="2" t="s">
        <v>26</v>
      </c>
      <c r="D7591" s="2" t="s">
        <v>18</v>
      </c>
      <c r="E7591" s="4">
        <v>-32295</v>
      </c>
      <c r="F7591" s="3" t="s">
        <v>279</v>
      </c>
      <c r="G7591" s="3" t="s">
        <v>44</v>
      </c>
      <c r="H7591" s="2" t="s">
        <v>148</v>
      </c>
      <c r="I7591" s="2" t="s">
        <v>19457</v>
      </c>
      <c r="J7591" s="3" t="str">
        <f>HYPERLINK("https://www.boe.es/gazeta/dias/1811/07/30/pdfs/GEI-1811-99.pdf#page=8","Abrir facsímil")</f>
        <v>Abrir facsímil</v>
      </c>
      <c r="K7591" s="3" t="s">
        <v>150</v>
      </c>
    </row>
    <row r="7592" spans="1:11" ht="42" customHeight="1">
      <c r="A7592" s="2" t="s">
        <v>19458</v>
      </c>
      <c r="B7592" s="2" t="s">
        <v>19459</v>
      </c>
      <c r="C7592" s="2" t="s">
        <v>367</v>
      </c>
      <c r="D7592" s="2" t="s">
        <v>204</v>
      </c>
      <c r="E7592" s="4">
        <v>-32141</v>
      </c>
      <c r="F7592" s="3" t="s">
        <v>327</v>
      </c>
      <c r="G7592" s="3" t="s">
        <v>115</v>
      </c>
      <c r="H7592" s="2" t="s">
        <v>148</v>
      </c>
      <c r="I7592" s="2" t="s">
        <v>19460</v>
      </c>
      <c r="J7592" s="3" t="str">
        <f>HYPERLINK("https://www.boe.es/gazeta/dias/1811/12/31/pdfs/GMD-1811-365.pdf#page=3","Abrir facsímil")</f>
        <v>Abrir facsímil</v>
      </c>
      <c r="K7592" s="3" t="s">
        <v>150</v>
      </c>
    </row>
    <row r="7593" spans="1:11" ht="42" customHeight="1">
      <c r="A7593" s="2" t="s">
        <v>19461</v>
      </c>
      <c r="B7593" s="2" t="s">
        <v>19462</v>
      </c>
      <c r="C7593" s="2" t="s">
        <v>17</v>
      </c>
      <c r="D7593" s="2" t="s">
        <v>18</v>
      </c>
      <c r="E7593" s="4">
        <v>-32473</v>
      </c>
      <c r="F7593" s="3" t="s">
        <v>3399</v>
      </c>
      <c r="G7593" s="3" t="s">
        <v>3400</v>
      </c>
      <c r="H7593" s="2" t="s">
        <v>148</v>
      </c>
      <c r="I7593" s="2" t="s">
        <v>19463</v>
      </c>
      <c r="J7593" s="3" t="str">
        <f>HYPERLINK("https://www.boe.es/gazeta/dias/1811/02/02/pdfs/GEI-1811-15.pdf#page=6","Abrir facsímil")</f>
        <v>Abrir facsímil</v>
      </c>
      <c r="K7593" s="3" t="s">
        <v>150</v>
      </c>
    </row>
    <row r="7594" spans="1:11" ht="42" customHeight="1">
      <c r="A7594" s="2" t="s">
        <v>19461</v>
      </c>
      <c r="B7594" s="2" t="s">
        <v>19462</v>
      </c>
      <c r="C7594" s="2" t="s">
        <v>122</v>
      </c>
      <c r="D7594" s="2" t="s">
        <v>18</v>
      </c>
      <c r="E7594" s="4">
        <v>-32410</v>
      </c>
      <c r="F7594" s="3" t="s">
        <v>2678</v>
      </c>
      <c r="G7594" s="3" t="s">
        <v>4024</v>
      </c>
      <c r="H7594" s="2" t="s">
        <v>148</v>
      </c>
      <c r="I7594" s="2" t="s">
        <v>19464</v>
      </c>
      <c r="J7594" s="3" t="str">
        <f>HYPERLINK("https://www.boe.es/gazeta/dias/1811/04/06/pdfs/GEI-1811-47.pdf#page=7","Abrir facsímil")</f>
        <v>Abrir facsímil</v>
      </c>
      <c r="K7594" s="3" t="s">
        <v>150</v>
      </c>
    </row>
    <row r="7595" spans="1:11" ht="42" customHeight="1">
      <c r="A7595" s="2" t="s">
        <v>19465</v>
      </c>
      <c r="B7595" s="2" t="s">
        <v>19466</v>
      </c>
      <c r="C7595" s="2" t="s">
        <v>26</v>
      </c>
      <c r="D7595" s="2" t="s">
        <v>18</v>
      </c>
      <c r="E7595" s="4">
        <v>-32242</v>
      </c>
      <c r="F7595" s="3" t="s">
        <v>1295</v>
      </c>
      <c r="G7595" s="3" t="s">
        <v>1296</v>
      </c>
      <c r="H7595" s="2" t="s">
        <v>148</v>
      </c>
      <c r="I7595" s="2" t="s">
        <v>19467</v>
      </c>
      <c r="J7595" s="3" t="str">
        <f>HYPERLINK("https://www.boe.es/gazeta/dias/1811/09/21/pdfs/GEI-1811-122.pdf#page=8","Abrir facsímil")</f>
        <v>Abrir facsímil</v>
      </c>
      <c r="K7595" s="3" t="s">
        <v>150</v>
      </c>
    </row>
    <row r="7596" spans="1:11" ht="42" customHeight="1">
      <c r="A7596" s="2" t="s">
        <v>19465</v>
      </c>
      <c r="B7596" s="2" t="s">
        <v>19466</v>
      </c>
      <c r="C7596" s="2" t="s">
        <v>17</v>
      </c>
      <c r="D7596" s="2" t="s">
        <v>156</v>
      </c>
      <c r="E7596" s="4">
        <v>-32225</v>
      </c>
      <c r="F7596" s="3" t="s">
        <v>390</v>
      </c>
      <c r="G7596" s="3" t="s">
        <v>391</v>
      </c>
      <c r="H7596" s="2" t="s">
        <v>148</v>
      </c>
      <c r="I7596" s="2" t="s">
        <v>19468</v>
      </c>
      <c r="J7596" s="3" t="str">
        <f>HYPERLINK("https://www.boe.es/gazeta/dias/1811/10/08/pdfs/GEI-1811-129.pdf#page=7","Abrir facsímil")</f>
        <v>Abrir facsímil</v>
      </c>
      <c r="K7596" s="3" t="s">
        <v>150</v>
      </c>
    </row>
    <row r="7597" spans="1:11" ht="42" customHeight="1">
      <c r="A7597" s="2" t="s">
        <v>19469</v>
      </c>
      <c r="B7597" s="2" t="s">
        <v>19470</v>
      </c>
      <c r="C7597" s="2" t="s">
        <v>26</v>
      </c>
      <c r="D7597" s="2" t="s">
        <v>18</v>
      </c>
      <c r="E7597" s="4">
        <v>-32235</v>
      </c>
      <c r="F7597" s="3" t="s">
        <v>190</v>
      </c>
      <c r="G7597" s="3" t="s">
        <v>188</v>
      </c>
      <c r="H7597" s="2" t="s">
        <v>148</v>
      </c>
      <c r="I7597" s="2" t="s">
        <v>19471</v>
      </c>
      <c r="J7597" s="3" t="str">
        <f>HYPERLINK("https://www.boe.es/gazeta/dias/1811/09/28/pdfs/GEI-1811-125.pdf#page=8","Abrir facsímil")</f>
        <v>Abrir facsímil</v>
      </c>
      <c r="K7597" s="3" t="s">
        <v>150</v>
      </c>
    </row>
    <row r="7598" spans="1:11" ht="42" customHeight="1">
      <c r="A7598" s="2" t="s">
        <v>19472</v>
      </c>
      <c r="B7598" s="2" t="s">
        <v>19473</v>
      </c>
      <c r="C7598" s="2" t="s">
        <v>17</v>
      </c>
      <c r="D7598" s="2" t="s">
        <v>156</v>
      </c>
      <c r="E7598" s="4">
        <v>-32300</v>
      </c>
      <c r="F7598" s="3" t="s">
        <v>492</v>
      </c>
      <c r="G7598" s="3" t="s">
        <v>493</v>
      </c>
      <c r="H7598" s="2" t="s">
        <v>148</v>
      </c>
      <c r="I7598" s="2" t="s">
        <v>19474</v>
      </c>
      <c r="J7598" s="3" t="str">
        <f>HYPERLINK("https://www.boe.es/gazeta/dias/1811/07/25/pdfs/GMD-1811-206.pdf#page=4","Abrir facsímil")</f>
        <v>Abrir facsímil</v>
      </c>
      <c r="K7598" s="3" t="s">
        <v>150</v>
      </c>
    </row>
    <row r="7599" spans="1:11" ht="42" customHeight="1">
      <c r="A7599" s="2" t="s">
        <v>19475</v>
      </c>
      <c r="B7599" s="2" t="s">
        <v>19475</v>
      </c>
      <c r="C7599" s="2" t="s">
        <v>17</v>
      </c>
      <c r="D7599" s="2" t="s">
        <v>105</v>
      </c>
      <c r="E7599" s="4">
        <v>-32160</v>
      </c>
      <c r="F7599" s="3" t="s">
        <v>1013</v>
      </c>
      <c r="G7599" s="3" t="s">
        <v>1014</v>
      </c>
      <c r="H7599" s="2" t="s">
        <v>148</v>
      </c>
      <c r="I7599" s="2" t="s">
        <v>19476</v>
      </c>
      <c r="J7599" s="3" t="str">
        <f>HYPERLINK("https://www.boe.es/gazeta/dias/1811/12/12/pdfs/GEI-1811-161.pdf#page=5","Abrir facsímil")</f>
        <v>Abrir facsímil</v>
      </c>
      <c r="K7599" s="3" t="s">
        <v>150</v>
      </c>
    </row>
    <row r="7600" spans="1:11" ht="42" customHeight="1">
      <c r="A7600" s="2" t="s">
        <v>19477</v>
      </c>
      <c r="B7600" s="2" t="s">
        <v>19478</v>
      </c>
      <c r="C7600" s="2" t="s">
        <v>17</v>
      </c>
      <c r="D7600" s="2" t="s">
        <v>18</v>
      </c>
      <c r="E7600" s="4">
        <v>-32386</v>
      </c>
      <c r="F7600" s="3" t="s">
        <v>1934</v>
      </c>
      <c r="G7600" s="3" t="s">
        <v>2597</v>
      </c>
      <c r="H7600" s="2" t="s">
        <v>148</v>
      </c>
      <c r="I7600" s="2" t="s">
        <v>19479</v>
      </c>
      <c r="J7600" s="3" t="str">
        <f>HYPERLINK("https://www.boe.es/gazeta/dias/1811/04/30/pdfs/GEI-1811-57.pdf#page=1","Abrir facsímil")</f>
        <v>Abrir facsímil</v>
      </c>
      <c r="K7600" s="3" t="s">
        <v>150</v>
      </c>
    </row>
    <row r="7601" spans="1:11" ht="42" customHeight="1">
      <c r="A7601" s="2" t="s">
        <v>19480</v>
      </c>
      <c r="B7601" s="2" t="s">
        <v>19481</v>
      </c>
      <c r="C7601" s="2" t="s">
        <v>26</v>
      </c>
      <c r="D7601" s="2" t="s">
        <v>18</v>
      </c>
      <c r="E7601" s="4">
        <v>-32286</v>
      </c>
      <c r="F7601" s="3" t="s">
        <v>754</v>
      </c>
      <c r="G7601" s="3" t="s">
        <v>1728</v>
      </c>
      <c r="H7601" s="2" t="s">
        <v>148</v>
      </c>
      <c r="I7601" s="2" t="s">
        <v>19482</v>
      </c>
      <c r="J7601" s="3" t="str">
        <f>HYPERLINK("https://www.boe.es/gazeta/dias/1811/08/08/pdfs/GEI-1811-103.pdf#page=8","Abrir facsímil")</f>
        <v>Abrir facsímil</v>
      </c>
      <c r="K7601" s="3" t="s">
        <v>150</v>
      </c>
    </row>
    <row r="7602" spans="1:11" ht="42" customHeight="1">
      <c r="A7602" s="2" t="s">
        <v>19483</v>
      </c>
      <c r="B7602" s="2" t="s">
        <v>19483</v>
      </c>
      <c r="C7602" s="2" t="s">
        <v>17</v>
      </c>
      <c r="D7602" s="2" t="s">
        <v>156</v>
      </c>
      <c r="E7602" s="4">
        <v>-32193</v>
      </c>
      <c r="F7602" s="3" t="s">
        <v>1037</v>
      </c>
      <c r="G7602" s="3" t="s">
        <v>19484</v>
      </c>
      <c r="H7602" s="2" t="s">
        <v>148</v>
      </c>
      <c r="I7602" s="2" t="s">
        <v>19485</v>
      </c>
      <c r="J7602" s="3" t="str">
        <f>HYPERLINK("https://www.boe.es/gazeta/dias/1811/11/09/pdfs/GEI-1811-145.pdf#page=5","Abrir facsímil")</f>
        <v>Abrir facsímil</v>
      </c>
      <c r="K7602" s="3" t="s">
        <v>150</v>
      </c>
    </row>
    <row r="7603" spans="1:11" ht="42" customHeight="1">
      <c r="A7603" s="2" t="s">
        <v>19486</v>
      </c>
      <c r="B7603" s="2" t="s">
        <v>19487</v>
      </c>
      <c r="C7603" s="2" t="s">
        <v>26</v>
      </c>
      <c r="D7603" s="2" t="s">
        <v>18</v>
      </c>
      <c r="E7603" s="4">
        <v>-32241</v>
      </c>
      <c r="F7603" s="3" t="s">
        <v>514</v>
      </c>
      <c r="G7603" s="3" t="s">
        <v>515</v>
      </c>
      <c r="H7603" s="2" t="s">
        <v>148</v>
      </c>
      <c r="I7603" s="2" t="s">
        <v>19488</v>
      </c>
      <c r="J7603" s="3" t="str">
        <f>HYPERLINK("https://www.boe.es/gazeta/dias/1811/09/22/pdfs/GMD-1811-265.pdf#page=4","Abrir facsímil")</f>
        <v>Abrir facsímil</v>
      </c>
      <c r="K7603" s="3" t="s">
        <v>150</v>
      </c>
    </row>
    <row r="7604" spans="1:11" ht="42" customHeight="1">
      <c r="A7604" s="2" t="s">
        <v>19489</v>
      </c>
      <c r="B7604" s="2" t="s">
        <v>19490</v>
      </c>
      <c r="C7604" s="2" t="s">
        <v>104</v>
      </c>
      <c r="D7604" s="2" t="s">
        <v>18</v>
      </c>
      <c r="E7604" s="4">
        <v>-32230</v>
      </c>
      <c r="F7604" s="3" t="s">
        <v>625</v>
      </c>
      <c r="G7604" s="3" t="s">
        <v>162</v>
      </c>
      <c r="H7604" s="2" t="s">
        <v>148</v>
      </c>
      <c r="I7604" s="2" t="s">
        <v>19491</v>
      </c>
      <c r="J7604" s="3" t="str">
        <f>HYPERLINK("https://www.boe.es/gazeta/dias/1811/10/03/pdfs/GEI-1811-127.pdf#page=7","Abrir facsímil")</f>
        <v>Abrir facsímil</v>
      </c>
      <c r="K7604" s="3" t="s">
        <v>150</v>
      </c>
    </row>
    <row r="7605" spans="1:11" ht="42" customHeight="1">
      <c r="A7605" s="2" t="s">
        <v>19492</v>
      </c>
      <c r="B7605" s="2" t="s">
        <v>19493</v>
      </c>
      <c r="C7605" s="2" t="s">
        <v>17</v>
      </c>
      <c r="D7605" s="2" t="s">
        <v>141</v>
      </c>
      <c r="E7605" s="4">
        <v>-32209</v>
      </c>
      <c r="F7605" s="3" t="s">
        <v>1779</v>
      </c>
      <c r="G7605" s="3" t="s">
        <v>1780</v>
      </c>
      <c r="H7605" s="2" t="s">
        <v>148</v>
      </c>
      <c r="I7605" s="2" t="s">
        <v>19494</v>
      </c>
      <c r="J7605" s="3" t="str">
        <f>HYPERLINK("https://www.boe.es/gazeta/dias/1811/10/24/pdfs/GEI-D-1811-137.pdf#page=2","Abrir facsímil")</f>
        <v>Abrir facsímil</v>
      </c>
      <c r="K7605" s="3" t="s">
        <v>150</v>
      </c>
    </row>
    <row r="7606" spans="1:11" ht="42" customHeight="1">
      <c r="A7606" s="2" t="s">
        <v>19495</v>
      </c>
      <c r="B7606" s="2" t="s">
        <v>19496</v>
      </c>
      <c r="C7606" s="2" t="s">
        <v>26</v>
      </c>
      <c r="D7606" s="2" t="s">
        <v>141</v>
      </c>
      <c r="E7606" s="4">
        <v>-32188</v>
      </c>
      <c r="F7606" s="3" t="s">
        <v>505</v>
      </c>
      <c r="G7606" s="3" t="s">
        <v>162</v>
      </c>
      <c r="H7606" s="2" t="s">
        <v>148</v>
      </c>
      <c r="I7606" s="2" t="s">
        <v>19497</v>
      </c>
      <c r="J7606" s="3" t="str">
        <f>HYPERLINK("https://www.boe.es/gazeta/dias/1811/11/14/pdfs/GEI-D-1811-149.pdf#page=4","Abrir facsímil")</f>
        <v>Abrir facsímil</v>
      </c>
      <c r="K7606" s="3" t="s">
        <v>150</v>
      </c>
    </row>
    <row r="7607" spans="1:11" ht="42" customHeight="1">
      <c r="A7607" s="2" t="s">
        <v>19498</v>
      </c>
      <c r="B7607" s="2" t="s">
        <v>19499</v>
      </c>
      <c r="C7607" s="2" t="s">
        <v>26</v>
      </c>
      <c r="D7607" s="2" t="s">
        <v>18</v>
      </c>
      <c r="E7607" s="4">
        <v>-32498</v>
      </c>
      <c r="F7607" s="3" t="s">
        <v>828</v>
      </c>
      <c r="G7607" s="3" t="s">
        <v>1463</v>
      </c>
      <c r="H7607" s="2" t="s">
        <v>148</v>
      </c>
      <c r="I7607" s="2" t="s">
        <v>19500</v>
      </c>
      <c r="J7607" s="3" t="str">
        <f>HYPERLINK("https://www.boe.es/gazeta/dias/1811/01/08/pdfs/GEI-1811-4.pdf#page=7","Abrir facsímil")</f>
        <v>Abrir facsímil</v>
      </c>
      <c r="K7607" s="3" t="s">
        <v>150</v>
      </c>
    </row>
    <row r="7608" spans="1:11" ht="42" customHeight="1">
      <c r="A7608" s="2" t="s">
        <v>19498</v>
      </c>
      <c r="B7608" s="2" t="s">
        <v>19499</v>
      </c>
      <c r="C7608" s="2" t="s">
        <v>26</v>
      </c>
      <c r="D7608" s="2" t="s">
        <v>18</v>
      </c>
      <c r="E7608" s="4">
        <v>-32241</v>
      </c>
      <c r="F7608" s="3" t="s">
        <v>514</v>
      </c>
      <c r="G7608" s="3" t="s">
        <v>515</v>
      </c>
      <c r="H7608" s="2" t="s">
        <v>148</v>
      </c>
      <c r="I7608" s="2" t="s">
        <v>19501</v>
      </c>
      <c r="J7608" s="3" t="str">
        <f>HYPERLINK("https://www.boe.es/gazeta/dias/1811/09/22/pdfs/GMD-1811-265.pdf#page=4","Abrir facsímil")</f>
        <v>Abrir facsímil</v>
      </c>
      <c r="K7608" s="3" t="s">
        <v>150</v>
      </c>
    </row>
    <row r="7609" spans="1:11" ht="42" customHeight="1">
      <c r="A7609" s="2" t="s">
        <v>19498</v>
      </c>
      <c r="B7609" s="2" t="s">
        <v>19499</v>
      </c>
      <c r="C7609" s="2" t="s">
        <v>17</v>
      </c>
      <c r="D7609" s="2" t="s">
        <v>18</v>
      </c>
      <c r="E7609" s="4">
        <v>-32214</v>
      </c>
      <c r="F7609" s="3" t="s">
        <v>1753</v>
      </c>
      <c r="G7609" s="3" t="s">
        <v>20</v>
      </c>
      <c r="H7609" s="2" t="s">
        <v>148</v>
      </c>
      <c r="I7609" s="2" t="s">
        <v>19502</v>
      </c>
      <c r="J7609" s="3" t="str">
        <f>HYPERLINK("https://www.boe.es/gazeta/dias/1811/10/19/pdfs/GEI-1811-135.pdf#page=8","Abrir facsímil")</f>
        <v>Abrir facsímil</v>
      </c>
      <c r="K7609" s="3" t="s">
        <v>150</v>
      </c>
    </row>
    <row r="7610" spans="1:11" ht="42" customHeight="1">
      <c r="A7610" s="2" t="s">
        <v>19498</v>
      </c>
      <c r="B7610" s="2" t="s">
        <v>19499</v>
      </c>
      <c r="C7610" s="2" t="s">
        <v>26</v>
      </c>
      <c r="D7610" s="2" t="s">
        <v>18</v>
      </c>
      <c r="E7610" s="4">
        <v>-32155</v>
      </c>
      <c r="F7610" s="3" t="s">
        <v>263</v>
      </c>
      <c r="G7610" s="3" t="s">
        <v>5695</v>
      </c>
      <c r="H7610" s="2" t="s">
        <v>148</v>
      </c>
      <c r="I7610" s="2" t="s">
        <v>19503</v>
      </c>
      <c r="J7610" s="3" t="str">
        <f>HYPERLINK("https://www.boe.es/gazeta/dias/1811/12/17/pdfs/GEI-1811-163.pdf#page=3","Abrir facsímil")</f>
        <v>Abrir facsímil</v>
      </c>
      <c r="K7610" s="3" t="s">
        <v>150</v>
      </c>
    </row>
    <row r="7611" spans="1:11" ht="42" customHeight="1">
      <c r="A7611" s="2" t="s">
        <v>19504</v>
      </c>
      <c r="B7611" s="2" t="s">
        <v>19505</v>
      </c>
      <c r="C7611" s="2" t="s">
        <v>26</v>
      </c>
      <c r="D7611" s="2" t="s">
        <v>18</v>
      </c>
      <c r="E7611" s="4">
        <v>-32167</v>
      </c>
      <c r="F7611" s="3" t="s">
        <v>195</v>
      </c>
      <c r="G7611" s="3" t="s">
        <v>196</v>
      </c>
      <c r="H7611" s="2" t="s">
        <v>148</v>
      </c>
      <c r="I7611" s="2" t="s">
        <v>19506</v>
      </c>
      <c r="J7611" s="3" t="str">
        <f>HYPERLINK("https://www.boe.es/gazeta/dias/1811/12/05/pdfs/GEI-1811-158.pdf#page=1","Abrir facsímil")</f>
        <v>Abrir facsímil</v>
      </c>
      <c r="K7611" s="3" t="s">
        <v>150</v>
      </c>
    </row>
    <row r="7612" spans="1:11" ht="42" customHeight="1">
      <c r="A7612" s="2" t="s">
        <v>19507</v>
      </c>
      <c r="B7612" s="2" t="s">
        <v>19508</v>
      </c>
      <c r="C7612" s="2" t="s">
        <v>104</v>
      </c>
      <c r="D7612" s="2" t="s">
        <v>18</v>
      </c>
      <c r="E7612" s="4">
        <v>-32235</v>
      </c>
      <c r="F7612" s="3" t="s">
        <v>190</v>
      </c>
      <c r="G7612" s="3" t="s">
        <v>188</v>
      </c>
      <c r="H7612" s="2" t="s">
        <v>148</v>
      </c>
      <c r="I7612" s="2" t="s">
        <v>19509</v>
      </c>
      <c r="J7612" s="3" t="str">
        <f>HYPERLINK("https://www.boe.es/gazeta/dias/1811/09/28/pdfs/GEI-1811-125.pdf#page=8","Abrir facsímil")</f>
        <v>Abrir facsímil</v>
      </c>
      <c r="K7612" s="3" t="s">
        <v>150</v>
      </c>
    </row>
    <row r="7613" spans="1:11" ht="42" customHeight="1">
      <c r="A7613" s="2" t="s">
        <v>19510</v>
      </c>
      <c r="B7613" s="2" t="s">
        <v>19511</v>
      </c>
      <c r="C7613" s="2" t="s">
        <v>17</v>
      </c>
      <c r="D7613" s="2" t="s">
        <v>156</v>
      </c>
      <c r="E7613" s="4">
        <v>-32272</v>
      </c>
      <c r="F7613" s="3" t="s">
        <v>1121</v>
      </c>
      <c r="G7613" s="3" t="s">
        <v>12540</v>
      </c>
      <c r="H7613" s="2" t="s">
        <v>148</v>
      </c>
      <c r="I7613" s="2" t="s">
        <v>19512</v>
      </c>
      <c r="J7613" s="3" t="str">
        <f>HYPERLINK("https://www.boe.es/gazeta/dias/1811/08/22/pdfs/GEI-1811-109.pdf#page=6","Abrir facsímil")</f>
        <v>Abrir facsímil</v>
      </c>
      <c r="K7613" s="3" t="s">
        <v>150</v>
      </c>
    </row>
    <row r="7614" spans="1:11" ht="42" customHeight="1">
      <c r="A7614" s="2" t="s">
        <v>19513</v>
      </c>
      <c r="B7614" s="2" t="s">
        <v>19514</v>
      </c>
      <c r="C7614" s="2" t="s">
        <v>26</v>
      </c>
      <c r="D7614" s="2" t="s">
        <v>18</v>
      </c>
      <c r="E7614" s="4">
        <v>-32309</v>
      </c>
      <c r="F7614" s="3" t="s">
        <v>2496</v>
      </c>
      <c r="G7614" s="3" t="s">
        <v>2748</v>
      </c>
      <c r="H7614" s="2" t="s">
        <v>148</v>
      </c>
      <c r="I7614" s="2" t="s">
        <v>19515</v>
      </c>
      <c r="J7614" s="3" t="str">
        <f>HYPERLINK("https://www.boe.es/gazeta/dias/1811/07/16/pdfs/GEI-1811-93.pdf#page=2","Abrir facsímil")</f>
        <v>Abrir facsímil</v>
      </c>
      <c r="K7614" s="3" t="s">
        <v>150</v>
      </c>
    </row>
    <row r="7615" spans="1:11" ht="42" customHeight="1">
      <c r="A7615" s="2" t="s">
        <v>19516</v>
      </c>
      <c r="B7615" s="2" t="s">
        <v>19517</v>
      </c>
      <c r="C7615" s="2" t="s">
        <v>26</v>
      </c>
      <c r="D7615" s="2" t="s">
        <v>18</v>
      </c>
      <c r="E7615" s="4">
        <v>-32379</v>
      </c>
      <c r="F7615" s="3" t="s">
        <v>462</v>
      </c>
      <c r="G7615" s="3" t="s">
        <v>463</v>
      </c>
      <c r="H7615" s="2" t="s">
        <v>148</v>
      </c>
      <c r="I7615" s="2" t="s">
        <v>19518</v>
      </c>
      <c r="J7615" s="3" t="str">
        <f>HYPERLINK("https://www.boe.es/gazeta/dias/1811/05/07/pdfs/GEI-1811-60.pdf#page=8","Abrir facsímil")</f>
        <v>Abrir facsímil</v>
      </c>
      <c r="K7615" s="3" t="s">
        <v>150</v>
      </c>
    </row>
    <row r="7616" spans="1:11" ht="42" customHeight="1">
      <c r="A7616" s="2" t="s">
        <v>19516</v>
      </c>
      <c r="B7616" s="2" t="s">
        <v>19517</v>
      </c>
      <c r="C7616" s="2" t="s">
        <v>26</v>
      </c>
      <c r="D7616" s="2" t="s">
        <v>18</v>
      </c>
      <c r="E7616" s="4">
        <v>-32242</v>
      </c>
      <c r="F7616" s="3" t="s">
        <v>1295</v>
      </c>
      <c r="G7616" s="3" t="s">
        <v>1296</v>
      </c>
      <c r="H7616" s="2" t="s">
        <v>148</v>
      </c>
      <c r="I7616" s="2" t="s">
        <v>19519</v>
      </c>
      <c r="J7616" s="3" t="str">
        <f>HYPERLINK("https://www.boe.es/gazeta/dias/1811/09/21/pdfs/GEI-1811-122.pdf#page=8","Abrir facsímil")</f>
        <v>Abrir facsímil</v>
      </c>
      <c r="K7616" s="3" t="s">
        <v>150</v>
      </c>
    </row>
    <row r="7617" spans="1:11" ht="42" customHeight="1">
      <c r="A7617" s="2" t="s">
        <v>19516</v>
      </c>
      <c r="B7617" s="2" t="s">
        <v>19517</v>
      </c>
      <c r="C7617" s="2" t="s">
        <v>26</v>
      </c>
      <c r="D7617" s="2" t="s">
        <v>18</v>
      </c>
      <c r="E7617" s="4">
        <v>-32204</v>
      </c>
      <c r="F7617" s="3" t="s">
        <v>177</v>
      </c>
      <c r="G7617" s="3" t="s">
        <v>178</v>
      </c>
      <c r="H7617" s="2" t="s">
        <v>148</v>
      </c>
      <c r="I7617" s="2" t="s">
        <v>19520</v>
      </c>
      <c r="J7617" s="3" t="str">
        <f>HYPERLINK("https://www.boe.es/gazeta/dias/1811/10/29/pdfs/GMD-1811-302.pdf#page=4","Abrir facsímil")</f>
        <v>Abrir facsímil</v>
      </c>
      <c r="K7617" s="3" t="s">
        <v>150</v>
      </c>
    </row>
    <row r="7618" spans="1:11" ht="42" customHeight="1">
      <c r="A7618" s="2" t="s">
        <v>19521</v>
      </c>
      <c r="B7618" s="2" t="s">
        <v>19522</v>
      </c>
      <c r="C7618" s="2" t="s">
        <v>26</v>
      </c>
      <c r="D7618" s="2" t="s">
        <v>18</v>
      </c>
      <c r="E7618" s="4">
        <v>-32242</v>
      </c>
      <c r="F7618" s="3" t="s">
        <v>1295</v>
      </c>
      <c r="G7618" s="3" t="s">
        <v>1296</v>
      </c>
      <c r="H7618" s="2" t="s">
        <v>148</v>
      </c>
      <c r="I7618" s="2" t="s">
        <v>19523</v>
      </c>
      <c r="J7618" s="3" t="str">
        <f>HYPERLINK("https://www.boe.es/gazeta/dias/1811/09/21/pdfs/GEI-1811-122.pdf#page=8","Abrir facsímil")</f>
        <v>Abrir facsímil</v>
      </c>
      <c r="K7618" s="3" t="s">
        <v>150</v>
      </c>
    </row>
    <row r="7619" spans="1:11" ht="42" customHeight="1">
      <c r="A7619" s="2" t="s">
        <v>19524</v>
      </c>
      <c r="B7619" s="2" t="s">
        <v>19525</v>
      </c>
      <c r="C7619" s="2" t="s">
        <v>26</v>
      </c>
      <c r="D7619" s="2" t="s">
        <v>18</v>
      </c>
      <c r="E7619" s="4">
        <v>-32503</v>
      </c>
      <c r="F7619" s="3" t="s">
        <v>487</v>
      </c>
      <c r="G7619" s="3" t="s">
        <v>1930</v>
      </c>
      <c r="H7619" s="2" t="s">
        <v>148</v>
      </c>
      <c r="I7619" s="2" t="s">
        <v>19526</v>
      </c>
      <c r="J7619" s="3" t="str">
        <f>HYPERLINK("https://www.boe.es/gazeta/dias/1811/01/03/pdfs/GEI-1811-2.pdf#page=8","Abrir facsímil")</f>
        <v>Abrir facsímil</v>
      </c>
      <c r="K7619" s="3" t="s">
        <v>150</v>
      </c>
    </row>
    <row r="7620" spans="1:11" ht="42" customHeight="1">
      <c r="A7620" s="2" t="s">
        <v>19527</v>
      </c>
      <c r="B7620" s="2" t="s">
        <v>19528</v>
      </c>
      <c r="C7620" s="2" t="s">
        <v>367</v>
      </c>
      <c r="D7620" s="2" t="s">
        <v>18</v>
      </c>
      <c r="E7620" s="4">
        <v>-32141</v>
      </c>
      <c r="F7620" s="3" t="s">
        <v>327</v>
      </c>
      <c r="G7620" s="3" t="s">
        <v>115</v>
      </c>
      <c r="H7620" s="2" t="s">
        <v>148</v>
      </c>
      <c r="I7620" s="2" t="s">
        <v>19529</v>
      </c>
      <c r="J7620" s="3" t="str">
        <f>HYPERLINK("https://www.boe.es/gazeta/dias/1811/12/31/pdfs/GMD-1811-365.pdf#page=3","Abrir facsímil")</f>
        <v>Abrir facsímil</v>
      </c>
      <c r="K7620" s="3" t="s">
        <v>150</v>
      </c>
    </row>
    <row r="7621" spans="1:11" ht="42" customHeight="1">
      <c r="A7621" s="2" t="s">
        <v>19530</v>
      </c>
      <c r="B7621" s="2" t="s">
        <v>19531</v>
      </c>
      <c r="C7621" s="2" t="s">
        <v>17</v>
      </c>
      <c r="D7621" s="2" t="s">
        <v>18</v>
      </c>
      <c r="E7621" s="4">
        <v>-32299</v>
      </c>
      <c r="F7621" s="3" t="s">
        <v>2124</v>
      </c>
      <c r="G7621" s="3" t="s">
        <v>20</v>
      </c>
      <c r="H7621" s="2" t="s">
        <v>148</v>
      </c>
      <c r="I7621" s="2" t="s">
        <v>19532</v>
      </c>
      <c r="J7621" s="3" t="str">
        <f>HYPERLINK("https://www.boe.es/gazeta/dias/1811/07/26/pdfs/GMD-1811-207.pdf#page=3","Abrir facsímil")</f>
        <v>Abrir facsímil</v>
      </c>
      <c r="K7621" s="3" t="s">
        <v>150</v>
      </c>
    </row>
    <row r="7622" spans="1:11" ht="42" customHeight="1">
      <c r="A7622" s="2" t="s">
        <v>19533</v>
      </c>
      <c r="B7622" s="2" t="s">
        <v>19534</v>
      </c>
      <c r="C7622" s="2" t="s">
        <v>26</v>
      </c>
      <c r="D7622" s="2" t="s">
        <v>18</v>
      </c>
      <c r="E7622" s="4">
        <v>-32303</v>
      </c>
      <c r="F7622" s="3" t="s">
        <v>2811</v>
      </c>
      <c r="G7622" s="3" t="s">
        <v>3577</v>
      </c>
      <c r="H7622" s="2" t="s">
        <v>148</v>
      </c>
      <c r="I7622" s="2" t="s">
        <v>19535</v>
      </c>
      <c r="J7622" s="3" t="str">
        <f>HYPERLINK("https://www.boe.es/gazeta/dias/1811/07/22/pdfs/GMD-1811-203.pdf#page=4","Abrir facsímil")</f>
        <v>Abrir facsímil</v>
      </c>
      <c r="K7622" s="3" t="s">
        <v>150</v>
      </c>
    </row>
    <row r="7623" spans="1:11" ht="42" customHeight="1">
      <c r="A7623" s="2" t="s">
        <v>19536</v>
      </c>
      <c r="B7623" s="2" t="s">
        <v>19537</v>
      </c>
      <c r="C7623" s="2" t="s">
        <v>26</v>
      </c>
      <c r="D7623" s="2" t="s">
        <v>18</v>
      </c>
      <c r="E7623" s="4">
        <v>-32286</v>
      </c>
      <c r="F7623" s="3" t="s">
        <v>754</v>
      </c>
      <c r="G7623" s="3" t="s">
        <v>1728</v>
      </c>
      <c r="H7623" s="2" t="s">
        <v>148</v>
      </c>
      <c r="I7623" s="2" t="s">
        <v>19538</v>
      </c>
      <c r="J7623" s="3" t="str">
        <f>HYPERLINK("https://www.boe.es/gazeta/dias/1811/08/08/pdfs/GEI-1811-103.pdf#page=8","Abrir facsímil")</f>
        <v>Abrir facsímil</v>
      </c>
      <c r="K7623" s="3" t="s">
        <v>150</v>
      </c>
    </row>
    <row r="7624" spans="1:11" ht="42" customHeight="1">
      <c r="A7624" s="2" t="s">
        <v>19539</v>
      </c>
      <c r="B7624" s="2" t="s">
        <v>19540</v>
      </c>
      <c r="C7624" s="2" t="s">
        <v>26</v>
      </c>
      <c r="D7624" s="2" t="s">
        <v>18</v>
      </c>
      <c r="E7624" s="4">
        <v>-32503</v>
      </c>
      <c r="F7624" s="3" t="s">
        <v>487</v>
      </c>
      <c r="G7624" s="3" t="s">
        <v>488</v>
      </c>
      <c r="H7624" s="2" t="s">
        <v>148</v>
      </c>
      <c r="I7624" s="2" t="s">
        <v>19541</v>
      </c>
      <c r="J7624" s="3" t="str">
        <f>HYPERLINK("https://www.boe.es/gazeta/dias/1811/01/03/pdfs/GEI-1811-2.pdf#page=2","Abrir facsímil")</f>
        <v>Abrir facsímil</v>
      </c>
      <c r="K7624" s="3" t="s">
        <v>150</v>
      </c>
    </row>
    <row r="7625" spans="1:11" ht="42" customHeight="1">
      <c r="A7625" s="2" t="s">
        <v>19539</v>
      </c>
      <c r="B7625" s="2" t="s">
        <v>19540</v>
      </c>
      <c r="C7625" s="2" t="s">
        <v>17</v>
      </c>
      <c r="D7625" s="2" t="s">
        <v>156</v>
      </c>
      <c r="E7625" s="4">
        <v>-32489</v>
      </c>
      <c r="F7625" s="3" t="s">
        <v>2073</v>
      </c>
      <c r="G7625" s="3" t="s">
        <v>8573</v>
      </c>
      <c r="H7625" s="2" t="s">
        <v>148</v>
      </c>
      <c r="I7625" s="2" t="s">
        <v>19542</v>
      </c>
      <c r="J7625" s="3" t="str">
        <f>HYPERLINK("https://www.boe.es/gazeta/dias/1811/01/17/pdfs/GEI-1811-8.pdf#page=5","Abrir facsímil")</f>
        <v>Abrir facsímil</v>
      </c>
      <c r="K7625" s="3" t="s">
        <v>150</v>
      </c>
    </row>
    <row r="7626" spans="1:11" ht="42" customHeight="1">
      <c r="A7626" s="2" t="s">
        <v>19539</v>
      </c>
      <c r="B7626" s="2" t="s">
        <v>19540</v>
      </c>
      <c r="C7626" s="2" t="s">
        <v>17</v>
      </c>
      <c r="D7626" s="2" t="s">
        <v>156</v>
      </c>
      <c r="E7626" s="4">
        <v>-32480</v>
      </c>
      <c r="F7626" s="3" t="s">
        <v>3061</v>
      </c>
      <c r="G7626" s="3" t="s">
        <v>778</v>
      </c>
      <c r="H7626" s="2" t="s">
        <v>148</v>
      </c>
      <c r="I7626" s="2" t="s">
        <v>19543</v>
      </c>
      <c r="J7626" s="3" t="str">
        <f>HYPERLINK("https://www.boe.es/gazeta/dias/1811/01/26/pdfs/GEI-1811-12.pdf#page=6","Abrir facsímil")</f>
        <v>Abrir facsímil</v>
      </c>
      <c r="K7626" s="3" t="s">
        <v>150</v>
      </c>
    </row>
    <row r="7627" spans="1:11" ht="42" customHeight="1">
      <c r="A7627" s="2" t="s">
        <v>19539</v>
      </c>
      <c r="B7627" s="2" t="s">
        <v>19540</v>
      </c>
      <c r="C7627" s="2" t="s">
        <v>26</v>
      </c>
      <c r="D7627" s="2" t="s">
        <v>18</v>
      </c>
      <c r="E7627" s="4">
        <v>-32463</v>
      </c>
      <c r="F7627" s="3" t="s">
        <v>734</v>
      </c>
      <c r="G7627" s="3" t="s">
        <v>9100</v>
      </c>
      <c r="H7627" s="2" t="s">
        <v>148</v>
      </c>
      <c r="I7627" s="2" t="s">
        <v>19544</v>
      </c>
      <c r="J7627" s="3" t="str">
        <f>HYPERLINK("https://www.boe.es/gazeta/dias/1811/02/12/pdfs/GEI-1811-19.pdf#page=3","Abrir facsímil")</f>
        <v>Abrir facsímil</v>
      </c>
      <c r="K7627" s="3" t="s">
        <v>150</v>
      </c>
    </row>
    <row r="7628" spans="1:11" ht="42" customHeight="1">
      <c r="A7628" s="2" t="s">
        <v>19539</v>
      </c>
      <c r="B7628" s="2" t="s">
        <v>19540</v>
      </c>
      <c r="C7628" s="2" t="s">
        <v>17</v>
      </c>
      <c r="D7628" s="2" t="s">
        <v>204</v>
      </c>
      <c r="E7628" s="4">
        <v>-32459</v>
      </c>
      <c r="F7628" s="3" t="s">
        <v>1034</v>
      </c>
      <c r="G7628" s="3" t="s">
        <v>9825</v>
      </c>
      <c r="H7628" s="2" t="s">
        <v>148</v>
      </c>
      <c r="I7628" s="2" t="s">
        <v>19545</v>
      </c>
      <c r="J7628" s="3" t="str">
        <f>HYPERLINK("https://www.boe.es/gazeta/dias/1811/02/16/pdfs/GEI-1811-21.pdf#page=3","Abrir facsímil")</f>
        <v>Abrir facsímil</v>
      </c>
      <c r="K7628" s="3" t="s">
        <v>150</v>
      </c>
    </row>
    <row r="7629" spans="1:11" ht="42" customHeight="1">
      <c r="A7629" s="2" t="s">
        <v>19539</v>
      </c>
      <c r="B7629" s="2" t="s">
        <v>19540</v>
      </c>
      <c r="C7629" s="2" t="s">
        <v>17</v>
      </c>
      <c r="D7629" s="2" t="s">
        <v>156</v>
      </c>
      <c r="E7629" s="4">
        <v>-32456</v>
      </c>
      <c r="F7629" s="3" t="s">
        <v>1261</v>
      </c>
      <c r="G7629" s="3" t="s">
        <v>13244</v>
      </c>
      <c r="H7629" s="2" t="s">
        <v>148</v>
      </c>
      <c r="I7629" s="2" t="s">
        <v>19546</v>
      </c>
      <c r="J7629" s="3" t="str">
        <f>HYPERLINK("https://www.boe.es/gazeta/dias/1811/02/19/pdfs/GEI-1811-22.pdf#page=5","Abrir facsímil")</f>
        <v>Abrir facsímil</v>
      </c>
      <c r="K7629" s="3" t="s">
        <v>150</v>
      </c>
    </row>
    <row r="7630" spans="1:11" ht="42" customHeight="1">
      <c r="A7630" s="2" t="s">
        <v>19539</v>
      </c>
      <c r="B7630" s="2" t="s">
        <v>19540</v>
      </c>
      <c r="C7630" s="2" t="s">
        <v>17</v>
      </c>
      <c r="D7630" s="2" t="s">
        <v>18</v>
      </c>
      <c r="E7630" s="4">
        <v>-32454</v>
      </c>
      <c r="F7630" s="3" t="s">
        <v>2268</v>
      </c>
      <c r="G7630" s="3" t="s">
        <v>5554</v>
      </c>
      <c r="H7630" s="2" t="s">
        <v>148</v>
      </c>
      <c r="I7630" s="2" t="s">
        <v>19547</v>
      </c>
      <c r="J7630" s="3" t="str">
        <f>HYPERLINK("https://www.boe.es/gazeta/dias/1811/02/21/pdfs/GEI-1811-23.pdf#page=3","Abrir facsímil")</f>
        <v>Abrir facsímil</v>
      </c>
      <c r="K7630" s="3" t="s">
        <v>150</v>
      </c>
    </row>
    <row r="7631" spans="1:11" ht="42" customHeight="1">
      <c r="A7631" s="2" t="s">
        <v>19539</v>
      </c>
      <c r="B7631" s="2" t="s">
        <v>19540</v>
      </c>
      <c r="C7631" s="2" t="s">
        <v>104</v>
      </c>
      <c r="D7631" s="2" t="s">
        <v>204</v>
      </c>
      <c r="E7631" s="4">
        <v>-32363</v>
      </c>
      <c r="F7631" s="3" t="s">
        <v>1645</v>
      </c>
      <c r="G7631" s="3" t="s">
        <v>8256</v>
      </c>
      <c r="H7631" s="2" t="s">
        <v>148</v>
      </c>
      <c r="I7631" s="2" t="s">
        <v>19548</v>
      </c>
      <c r="J7631" s="3" t="str">
        <f>HYPERLINK("https://www.boe.es/gazeta/dias/1811/05/23/pdfs/GEI-1811-68.pdf#page=3","Abrir facsímil")</f>
        <v>Abrir facsímil</v>
      </c>
      <c r="K7631" s="3" t="s">
        <v>150</v>
      </c>
    </row>
    <row r="7632" spans="1:11" ht="42" customHeight="1">
      <c r="A7632" s="2" t="s">
        <v>19539</v>
      </c>
      <c r="B7632" s="2" t="s">
        <v>19540</v>
      </c>
      <c r="C7632" s="2" t="s">
        <v>17</v>
      </c>
      <c r="D7632" s="2" t="s">
        <v>156</v>
      </c>
      <c r="E7632" s="4">
        <v>-32356</v>
      </c>
      <c r="F7632" s="3" t="s">
        <v>1992</v>
      </c>
      <c r="G7632" s="3" t="s">
        <v>20</v>
      </c>
      <c r="H7632" s="2" t="s">
        <v>148</v>
      </c>
      <c r="I7632" s="2" t="s">
        <v>19549</v>
      </c>
      <c r="J7632" s="3" t="str">
        <f>HYPERLINK("https://www.boe.es/gazeta/dias/1811/05/30/pdfs/GEI-1811-73.pdf#page=3","Abrir facsímil")</f>
        <v>Abrir facsímil</v>
      </c>
      <c r="K7632" s="3" t="s">
        <v>150</v>
      </c>
    </row>
    <row r="7633" spans="1:11" ht="42" customHeight="1">
      <c r="A7633" s="2" t="s">
        <v>19539</v>
      </c>
      <c r="B7633" s="2" t="s">
        <v>19540</v>
      </c>
      <c r="C7633" s="2" t="s">
        <v>26</v>
      </c>
      <c r="D7633" s="2" t="s">
        <v>18</v>
      </c>
      <c r="E7633" s="4">
        <v>-32356</v>
      </c>
      <c r="F7633" s="3" t="s">
        <v>1992</v>
      </c>
      <c r="G7633" s="3" t="s">
        <v>5236</v>
      </c>
      <c r="H7633" s="2" t="s">
        <v>148</v>
      </c>
      <c r="I7633" s="2" t="s">
        <v>19550</v>
      </c>
      <c r="J7633" s="3" t="str">
        <f>HYPERLINK("https://www.boe.es/gazeta/dias/1811/05/30/pdfs/GEI-1811-73.pdf#page=4","Abrir facsímil")</f>
        <v>Abrir facsímil</v>
      </c>
      <c r="K7633" s="3" t="s">
        <v>150</v>
      </c>
    </row>
    <row r="7634" spans="1:11" ht="42" customHeight="1">
      <c r="A7634" s="2" t="s">
        <v>19539</v>
      </c>
      <c r="B7634" s="2" t="s">
        <v>19540</v>
      </c>
      <c r="C7634" s="2" t="s">
        <v>26</v>
      </c>
      <c r="D7634" s="2" t="s">
        <v>18</v>
      </c>
      <c r="E7634" s="4">
        <v>-32354</v>
      </c>
      <c r="F7634" s="3" t="s">
        <v>2914</v>
      </c>
      <c r="G7634" s="3" t="s">
        <v>91</v>
      </c>
      <c r="H7634" s="2" t="s">
        <v>148</v>
      </c>
      <c r="I7634" s="2" t="s">
        <v>19551</v>
      </c>
      <c r="J7634" s="3" t="str">
        <f>HYPERLINK("https://www.boe.es/gazeta/dias/1811/06/01/pdfs/GEI-1811-74.pdf#page=7","Abrir facsímil")</f>
        <v>Abrir facsímil</v>
      </c>
      <c r="K7634" s="3" t="s">
        <v>150</v>
      </c>
    </row>
    <row r="7635" spans="1:11" ht="42" customHeight="1">
      <c r="A7635" s="2" t="s">
        <v>19539</v>
      </c>
      <c r="B7635" s="2" t="s">
        <v>19540</v>
      </c>
      <c r="C7635" s="2" t="s">
        <v>17</v>
      </c>
      <c r="D7635" s="2" t="s">
        <v>156</v>
      </c>
      <c r="E7635" s="4">
        <v>-32333</v>
      </c>
      <c r="F7635" s="3" t="s">
        <v>292</v>
      </c>
      <c r="G7635" s="3" t="s">
        <v>4086</v>
      </c>
      <c r="H7635" s="2" t="s">
        <v>148</v>
      </c>
      <c r="I7635" s="2" t="s">
        <v>19552</v>
      </c>
      <c r="J7635" s="3" t="str">
        <f>HYPERLINK("https://www.boe.es/gazeta/dias/1811/06/22/pdfs/GEI-1811-83.pdf#page=1","Abrir facsímil")</f>
        <v>Abrir facsímil</v>
      </c>
      <c r="K7635" s="3" t="s">
        <v>150</v>
      </c>
    </row>
    <row r="7636" spans="1:11" ht="42" customHeight="1">
      <c r="A7636" s="2" t="s">
        <v>19539</v>
      </c>
      <c r="B7636" s="2" t="s">
        <v>19540</v>
      </c>
      <c r="C7636" s="2" t="s">
        <v>17</v>
      </c>
      <c r="D7636" s="2" t="s">
        <v>156</v>
      </c>
      <c r="E7636" s="4">
        <v>-32323</v>
      </c>
      <c r="F7636" s="3" t="s">
        <v>322</v>
      </c>
      <c r="G7636" s="3" t="s">
        <v>19553</v>
      </c>
      <c r="H7636" s="2" t="s">
        <v>148</v>
      </c>
      <c r="I7636" s="2" t="s">
        <v>19554</v>
      </c>
      <c r="J7636" s="3" t="str">
        <f>HYPERLINK("https://www.boe.es/gazeta/dias/1811/07/02/pdfs/GEI-1811-87.pdf#page=6","Abrir facsímil")</f>
        <v>Abrir facsímil</v>
      </c>
      <c r="K7636" s="3" t="s">
        <v>150</v>
      </c>
    </row>
    <row r="7637" spans="1:11" ht="42" customHeight="1">
      <c r="A7637" s="2" t="s">
        <v>19539</v>
      </c>
      <c r="B7637" s="2" t="s">
        <v>19540</v>
      </c>
      <c r="C7637" s="2" t="s">
        <v>26</v>
      </c>
      <c r="D7637" s="2" t="s">
        <v>18</v>
      </c>
      <c r="E7637" s="4">
        <v>-32281</v>
      </c>
      <c r="F7637" s="3" t="s">
        <v>982</v>
      </c>
      <c r="G7637" s="3" t="s">
        <v>2751</v>
      </c>
      <c r="H7637" s="2" t="s">
        <v>148</v>
      </c>
      <c r="I7637" s="2" t="s">
        <v>19555</v>
      </c>
      <c r="J7637" s="3" t="str">
        <f>HYPERLINK("https://www.boe.es/gazeta/dias/1811/08/13/pdfs/GEI-1811-105.pdf#page=1","Abrir facsímil")</f>
        <v>Abrir facsímil</v>
      </c>
      <c r="K7637" s="3" t="s">
        <v>150</v>
      </c>
    </row>
    <row r="7638" spans="1:11" ht="42" customHeight="1">
      <c r="A7638" s="2" t="s">
        <v>19539</v>
      </c>
      <c r="B7638" s="2" t="s">
        <v>19540</v>
      </c>
      <c r="C7638" s="2" t="s">
        <v>26</v>
      </c>
      <c r="D7638" s="2" t="s">
        <v>18</v>
      </c>
      <c r="E7638" s="4">
        <v>-32263</v>
      </c>
      <c r="F7638" s="3" t="s">
        <v>128</v>
      </c>
      <c r="G7638" s="3" t="s">
        <v>1206</v>
      </c>
      <c r="H7638" s="2" t="s">
        <v>148</v>
      </c>
      <c r="I7638" s="2" t="s">
        <v>19556</v>
      </c>
      <c r="J7638" s="3" t="str">
        <f>HYPERLINK("https://www.boe.es/gazeta/dias/1811/08/31/pdfs/GEI-1811-113.pdf#page=3","Abrir facsímil")</f>
        <v>Abrir facsímil</v>
      </c>
      <c r="K7638" s="3" t="s">
        <v>150</v>
      </c>
    </row>
    <row r="7639" spans="1:11" ht="42" customHeight="1">
      <c r="A7639" s="2" t="s">
        <v>19539</v>
      </c>
      <c r="B7639" s="2" t="s">
        <v>19540</v>
      </c>
      <c r="C7639" s="2" t="s">
        <v>17</v>
      </c>
      <c r="D7639" s="2" t="s">
        <v>156</v>
      </c>
      <c r="E7639" s="4">
        <v>-32256</v>
      </c>
      <c r="F7639" s="3" t="s">
        <v>161</v>
      </c>
      <c r="G7639" s="3" t="s">
        <v>282</v>
      </c>
      <c r="H7639" s="2" t="s">
        <v>148</v>
      </c>
      <c r="I7639" s="2" t="s">
        <v>19557</v>
      </c>
      <c r="J7639" s="3" t="str">
        <f>HYPERLINK("https://www.boe.es/gazeta/dias/1811/09/07/pdfs/GEI-1811-116.pdf#page=4","Abrir facsímil")</f>
        <v>Abrir facsímil</v>
      </c>
      <c r="K7639" s="3" t="s">
        <v>150</v>
      </c>
    </row>
    <row r="7640" spans="1:11" ht="42" customHeight="1">
      <c r="A7640" s="2" t="s">
        <v>19539</v>
      </c>
      <c r="B7640" s="2" t="s">
        <v>19540</v>
      </c>
      <c r="C7640" s="2" t="s">
        <v>17</v>
      </c>
      <c r="D7640" s="2" t="s">
        <v>156</v>
      </c>
      <c r="E7640" s="4">
        <v>-32235</v>
      </c>
      <c r="F7640" s="3" t="s">
        <v>190</v>
      </c>
      <c r="G7640" s="3" t="s">
        <v>2002</v>
      </c>
      <c r="H7640" s="2" t="s">
        <v>148</v>
      </c>
      <c r="I7640" s="2" t="s">
        <v>19558</v>
      </c>
      <c r="J7640" s="3" t="str">
        <f>HYPERLINK("https://www.boe.es/gazeta/dias/1811/09/28/pdfs/GEI-1811-125.pdf#page=2","Abrir facsímil")</f>
        <v>Abrir facsímil</v>
      </c>
      <c r="K7640" s="3" t="s">
        <v>150</v>
      </c>
    </row>
    <row r="7641" spans="1:11" ht="42" customHeight="1">
      <c r="A7641" s="2" t="s">
        <v>19539</v>
      </c>
      <c r="B7641" s="2" t="s">
        <v>19540</v>
      </c>
      <c r="C7641" s="2" t="s">
        <v>17</v>
      </c>
      <c r="D7641" s="2" t="s">
        <v>18</v>
      </c>
      <c r="E7641" s="4">
        <v>-32207</v>
      </c>
      <c r="F7641" s="3" t="s">
        <v>152</v>
      </c>
      <c r="G7641" s="3" t="s">
        <v>153</v>
      </c>
      <c r="H7641" s="2" t="s">
        <v>148</v>
      </c>
      <c r="I7641" s="2" t="s">
        <v>19559</v>
      </c>
      <c r="J7641" s="3" t="str">
        <f>HYPERLINK("https://www.boe.es/gazeta/dias/1811/10/26/pdfs/GEI-1811-138.pdf#page=2","Abrir facsímil")</f>
        <v>Abrir facsímil</v>
      </c>
      <c r="K7641" s="3" t="s">
        <v>150</v>
      </c>
    </row>
    <row r="7642" spans="1:11" ht="42" customHeight="1">
      <c r="A7642" s="2" t="s">
        <v>19539</v>
      </c>
      <c r="B7642" s="2" t="s">
        <v>19540</v>
      </c>
      <c r="C7642" s="2" t="s">
        <v>26</v>
      </c>
      <c r="D7642" s="2" t="s">
        <v>18</v>
      </c>
      <c r="E7642" s="4">
        <v>-32207</v>
      </c>
      <c r="F7642" s="3" t="s">
        <v>152</v>
      </c>
      <c r="G7642" s="3" t="s">
        <v>607</v>
      </c>
      <c r="H7642" s="2" t="s">
        <v>148</v>
      </c>
      <c r="I7642" s="2" t="s">
        <v>19560</v>
      </c>
      <c r="J7642" s="3" t="str">
        <f>HYPERLINK("https://www.boe.es/gazeta/dias/1811/10/26/pdfs/GEI-1811-138.pdf#page=4","Abrir facsímil")</f>
        <v>Abrir facsímil</v>
      </c>
      <c r="K7642" s="3" t="s">
        <v>150</v>
      </c>
    </row>
    <row r="7643" spans="1:11" ht="42" customHeight="1">
      <c r="A7643" s="2" t="s">
        <v>19539</v>
      </c>
      <c r="B7643" s="2" t="s">
        <v>19540</v>
      </c>
      <c r="C7643" s="2" t="s">
        <v>17</v>
      </c>
      <c r="D7643" s="2" t="s">
        <v>156</v>
      </c>
      <c r="E7643" s="4">
        <v>-32193</v>
      </c>
      <c r="F7643" s="3" t="s">
        <v>1037</v>
      </c>
      <c r="G7643" s="3" t="s">
        <v>19484</v>
      </c>
      <c r="H7643" s="2" t="s">
        <v>148</v>
      </c>
      <c r="I7643" s="2" t="s">
        <v>19561</v>
      </c>
      <c r="J7643" s="3" t="str">
        <f>HYPERLINK("https://www.boe.es/gazeta/dias/1811/11/09/pdfs/GEI-1811-145.pdf#page=5","Abrir facsímil")</f>
        <v>Abrir facsímil</v>
      </c>
      <c r="K7643" s="3" t="s">
        <v>150</v>
      </c>
    </row>
    <row r="7644" spans="1:11" ht="42" customHeight="1">
      <c r="A7644" s="2" t="s">
        <v>19539</v>
      </c>
      <c r="B7644" s="2" t="s">
        <v>19540</v>
      </c>
      <c r="C7644" s="2" t="s">
        <v>17</v>
      </c>
      <c r="D7644" s="2" t="s">
        <v>18</v>
      </c>
      <c r="E7644" s="4">
        <v>-32193</v>
      </c>
      <c r="F7644" s="3" t="s">
        <v>1037</v>
      </c>
      <c r="G7644" s="3" t="s">
        <v>4294</v>
      </c>
      <c r="H7644" s="2" t="s">
        <v>148</v>
      </c>
      <c r="I7644" s="2" t="s">
        <v>19562</v>
      </c>
      <c r="J7644" s="3" t="str">
        <f>HYPERLINK("https://www.boe.es/gazeta/dias/1811/11/09/pdfs/GEI-1811-145.pdf#page=6","Abrir facsímil")</f>
        <v>Abrir facsímil</v>
      </c>
      <c r="K7644" s="3" t="s">
        <v>150</v>
      </c>
    </row>
    <row r="7645" spans="1:11" ht="42" customHeight="1">
      <c r="A7645" s="2" t="s">
        <v>19539</v>
      </c>
      <c r="B7645" s="2" t="s">
        <v>19540</v>
      </c>
      <c r="C7645" s="2" t="s">
        <v>26</v>
      </c>
      <c r="D7645" s="2" t="s">
        <v>18</v>
      </c>
      <c r="E7645" s="4">
        <v>-32151</v>
      </c>
      <c r="F7645" s="3" t="s">
        <v>313</v>
      </c>
      <c r="G7645" s="3" t="s">
        <v>515</v>
      </c>
      <c r="H7645" s="2" t="s">
        <v>148</v>
      </c>
      <c r="I7645" s="2" t="s">
        <v>19563</v>
      </c>
      <c r="J7645" s="3" t="str">
        <f>HYPERLINK("https://www.boe.es/gazeta/dias/1811/12/21/pdfs/GEI-1811-165.pdf#page=3","Abrir facsímil")</f>
        <v>Abrir facsímil</v>
      </c>
      <c r="K7645" s="3" t="s">
        <v>150</v>
      </c>
    </row>
    <row r="7646" spans="1:11" ht="42" customHeight="1">
      <c r="A7646" s="2" t="s">
        <v>19564</v>
      </c>
      <c r="B7646" s="2" t="s">
        <v>19565</v>
      </c>
      <c r="C7646" s="2" t="s">
        <v>84</v>
      </c>
      <c r="D7646" s="2" t="s">
        <v>204</v>
      </c>
      <c r="E7646" s="4">
        <v>-32314</v>
      </c>
      <c r="F7646" s="3" t="s">
        <v>2051</v>
      </c>
      <c r="G7646" s="3" t="s">
        <v>44</v>
      </c>
      <c r="H7646" s="2" t="s">
        <v>148</v>
      </c>
      <c r="I7646" s="2" t="s">
        <v>19566</v>
      </c>
      <c r="J7646" s="3" t="str">
        <f>HYPERLINK("https://www.boe.es/gazeta/dias/1811/07/11/pdfs/GMD-C-1811-192.pdf#page=2","Abrir facsímil")</f>
        <v>Abrir facsímil</v>
      </c>
      <c r="K7646" s="3" t="s">
        <v>150</v>
      </c>
    </row>
    <row r="7647" spans="1:11" ht="42" customHeight="1">
      <c r="A7647" s="2" t="s">
        <v>19567</v>
      </c>
      <c r="B7647" s="2" t="s">
        <v>19568</v>
      </c>
      <c r="C7647" s="2" t="s">
        <v>26</v>
      </c>
      <c r="D7647" s="2" t="s">
        <v>18</v>
      </c>
      <c r="E7647" s="4">
        <v>-32384</v>
      </c>
      <c r="F7647" s="3" t="s">
        <v>338</v>
      </c>
      <c r="G7647" s="3" t="s">
        <v>339</v>
      </c>
      <c r="H7647" s="2" t="s">
        <v>148</v>
      </c>
      <c r="I7647" s="2" t="s">
        <v>19569</v>
      </c>
      <c r="J7647" s="3" t="str">
        <f>HYPERLINK("https://www.boe.es/gazeta/dias/1811/05/02/pdfs/GEI-1811-58.pdf#page=8","Abrir facsímil")</f>
        <v>Abrir facsímil</v>
      </c>
      <c r="K7647" s="3" t="s">
        <v>150</v>
      </c>
    </row>
    <row r="7648" spans="1:11" ht="42" customHeight="1">
      <c r="A7648" s="2" t="s">
        <v>19567</v>
      </c>
      <c r="B7648" s="2" t="s">
        <v>19568</v>
      </c>
      <c r="C7648" s="2" t="s">
        <v>26</v>
      </c>
      <c r="D7648" s="2" t="s">
        <v>18</v>
      </c>
      <c r="E7648" s="4">
        <v>-32242</v>
      </c>
      <c r="F7648" s="3" t="s">
        <v>1295</v>
      </c>
      <c r="G7648" s="3" t="s">
        <v>1296</v>
      </c>
      <c r="H7648" s="2" t="s">
        <v>148</v>
      </c>
      <c r="I7648" s="2" t="s">
        <v>19570</v>
      </c>
      <c r="J7648" s="3" t="str">
        <f>HYPERLINK("https://www.boe.es/gazeta/dias/1811/09/21/pdfs/GEI-1811-122.pdf#page=8","Abrir facsímil")</f>
        <v>Abrir facsímil</v>
      </c>
      <c r="K7648" s="3" t="s">
        <v>150</v>
      </c>
    </row>
    <row r="7649" spans="1:11" ht="42" customHeight="1">
      <c r="A7649" s="2" t="s">
        <v>19571</v>
      </c>
      <c r="B7649" s="2" t="s">
        <v>19572</v>
      </c>
      <c r="C7649" s="2" t="s">
        <v>26</v>
      </c>
      <c r="D7649" s="2" t="s">
        <v>18</v>
      </c>
      <c r="E7649" s="4">
        <v>-32286</v>
      </c>
      <c r="F7649" s="3" t="s">
        <v>754</v>
      </c>
      <c r="G7649" s="3" t="s">
        <v>1728</v>
      </c>
      <c r="H7649" s="2" t="s">
        <v>148</v>
      </c>
      <c r="I7649" s="2" t="s">
        <v>19573</v>
      </c>
      <c r="J7649" s="3" t="str">
        <f>HYPERLINK("https://www.boe.es/gazeta/dias/1811/08/08/pdfs/GEI-1811-103.pdf#page=8","Abrir facsímil")</f>
        <v>Abrir facsímil</v>
      </c>
      <c r="K7649" s="3" t="s">
        <v>150</v>
      </c>
    </row>
    <row r="7650" spans="1:11" ht="42" customHeight="1">
      <c r="A7650" s="2" t="s">
        <v>19574</v>
      </c>
      <c r="B7650" s="2" t="s">
        <v>19575</v>
      </c>
      <c r="C7650" s="2" t="s">
        <v>37</v>
      </c>
      <c r="D7650" s="2" t="s">
        <v>156</v>
      </c>
      <c r="E7650" s="4">
        <v>-32494</v>
      </c>
      <c r="F7650" s="3" t="s">
        <v>3050</v>
      </c>
      <c r="G7650" s="3" t="s">
        <v>3619</v>
      </c>
      <c r="H7650" s="2" t="s">
        <v>148</v>
      </c>
      <c r="I7650" s="2" t="s">
        <v>19576</v>
      </c>
      <c r="J7650" s="3" t="str">
        <f>HYPERLINK("https://www.boe.es/gazeta/dias/1811/01/12/pdfs/GEI-1811-6.pdf#page=8","Abrir facsímil")</f>
        <v>Abrir facsímil</v>
      </c>
      <c r="K7650" s="3" t="s">
        <v>150</v>
      </c>
    </row>
    <row r="7651" spans="1:11" ht="42" customHeight="1">
      <c r="A7651" s="2" t="s">
        <v>19574</v>
      </c>
      <c r="B7651" s="2" t="s">
        <v>19575</v>
      </c>
      <c r="C7651" s="2" t="s">
        <v>26</v>
      </c>
      <c r="D7651" s="2" t="s">
        <v>18</v>
      </c>
      <c r="E7651" s="4">
        <v>-32172</v>
      </c>
      <c r="F7651" s="3" t="s">
        <v>300</v>
      </c>
      <c r="G7651" s="3" t="s">
        <v>301</v>
      </c>
      <c r="H7651" s="2" t="s">
        <v>148</v>
      </c>
      <c r="I7651" s="2" t="s">
        <v>19577</v>
      </c>
      <c r="J7651" s="3" t="str">
        <f>HYPERLINK("https://www.boe.es/gazeta/dias/1811/11/30/pdfs/GMD-1811-334.pdf#page=4","Abrir facsímil")</f>
        <v>Abrir facsímil</v>
      </c>
      <c r="K7651" s="3" t="s">
        <v>150</v>
      </c>
    </row>
    <row r="7652" spans="1:11" ht="42" customHeight="1">
      <c r="A7652" s="2" t="s">
        <v>19578</v>
      </c>
      <c r="B7652" s="2" t="s">
        <v>19579</v>
      </c>
      <c r="C7652" s="2" t="s">
        <v>104</v>
      </c>
      <c r="D7652" s="2" t="s">
        <v>528</v>
      </c>
      <c r="E7652" s="4">
        <v>-32219</v>
      </c>
      <c r="F7652" s="3" t="s">
        <v>529</v>
      </c>
      <c r="G7652" s="3" t="s">
        <v>530</v>
      </c>
      <c r="H7652" s="2" t="s">
        <v>148</v>
      </c>
      <c r="I7652" s="2" t="s">
        <v>19580</v>
      </c>
      <c r="J7652" s="3" t="str">
        <f>HYPERLINK("https://www.boe.es/gazeta/dias/1811/10/14/pdfs/GEI-1811-132E.pdf#page=4","Abrir facsímil")</f>
        <v>Abrir facsímil</v>
      </c>
      <c r="K7652" s="3" t="s">
        <v>150</v>
      </c>
    </row>
    <row r="7653" spans="1:11" ht="42" customHeight="1">
      <c r="A7653" s="2" t="s">
        <v>19581</v>
      </c>
      <c r="B7653" s="2" t="s">
        <v>19582</v>
      </c>
      <c r="C7653" s="2" t="s">
        <v>17</v>
      </c>
      <c r="D7653" s="2" t="s">
        <v>18</v>
      </c>
      <c r="E7653" s="4">
        <v>-32470</v>
      </c>
      <c r="F7653" s="3" t="s">
        <v>1432</v>
      </c>
      <c r="G7653" s="3" t="s">
        <v>1433</v>
      </c>
      <c r="H7653" s="2" t="s">
        <v>148</v>
      </c>
      <c r="I7653" s="2" t="s">
        <v>19583</v>
      </c>
      <c r="J7653" s="3" t="str">
        <f>HYPERLINK("https://www.boe.es/gazeta/dias/1811/02/05/pdfs/GEI-1811-16.pdf#page=4","Abrir facsímil")</f>
        <v>Abrir facsímil</v>
      </c>
      <c r="K7653" s="3" t="s">
        <v>150</v>
      </c>
    </row>
    <row r="7654" spans="1:11" ht="42" customHeight="1">
      <c r="A7654" s="2" t="s">
        <v>19584</v>
      </c>
      <c r="B7654" s="2" t="s">
        <v>19585</v>
      </c>
      <c r="C7654" s="2" t="s">
        <v>122</v>
      </c>
      <c r="D7654" s="2" t="s">
        <v>18</v>
      </c>
      <c r="E7654" s="4">
        <v>-32394</v>
      </c>
      <c r="F7654" s="3" t="s">
        <v>1709</v>
      </c>
      <c r="G7654" s="3" t="s">
        <v>115</v>
      </c>
      <c r="H7654" s="2" t="s">
        <v>148</v>
      </c>
      <c r="I7654" s="2" t="s">
        <v>19586</v>
      </c>
      <c r="J7654" s="3" t="str">
        <f>HYPERLINK("https://www.boe.es/gazeta/dias/1811/04/22/pdfs/GMD-1811-112.pdf#page=3","Abrir facsímil")</f>
        <v>Abrir facsímil</v>
      </c>
      <c r="K7654" s="3" t="s">
        <v>150</v>
      </c>
    </row>
    <row r="7655" spans="1:11" ht="42" customHeight="1">
      <c r="A7655" s="2" t="s">
        <v>19587</v>
      </c>
      <c r="B7655" s="2" t="s">
        <v>19588</v>
      </c>
      <c r="C7655" s="2" t="s">
        <v>26</v>
      </c>
      <c r="D7655" s="2" t="s">
        <v>18</v>
      </c>
      <c r="E7655" s="4">
        <v>-32288</v>
      </c>
      <c r="F7655" s="3" t="s">
        <v>95</v>
      </c>
      <c r="G7655" s="3" t="s">
        <v>2615</v>
      </c>
      <c r="H7655" s="2" t="s">
        <v>148</v>
      </c>
      <c r="I7655" s="2" t="s">
        <v>19589</v>
      </c>
      <c r="J7655" s="3" t="str">
        <f>HYPERLINK("https://www.boe.es/gazeta/dias/1811/08/06/pdfs/GEI-1811-102.pdf#page=1","Abrir facsímil")</f>
        <v>Abrir facsímil</v>
      </c>
      <c r="K7655" s="3" t="s">
        <v>150</v>
      </c>
    </row>
    <row r="7656" spans="1:11" ht="42" customHeight="1">
      <c r="A7656" s="2" t="s">
        <v>19587</v>
      </c>
      <c r="B7656" s="2" t="s">
        <v>19588</v>
      </c>
      <c r="C7656" s="2" t="s">
        <v>17</v>
      </c>
      <c r="D7656" s="2" t="s">
        <v>18</v>
      </c>
      <c r="E7656" s="4">
        <v>-32288</v>
      </c>
      <c r="F7656" s="3" t="s">
        <v>95</v>
      </c>
      <c r="G7656" s="3" t="s">
        <v>846</v>
      </c>
      <c r="H7656" s="2" t="s">
        <v>148</v>
      </c>
      <c r="I7656" s="2" t="s">
        <v>19590</v>
      </c>
      <c r="J7656" s="3" t="str">
        <f>HYPERLINK("https://www.boe.es/gazeta/dias/1811/08/06/pdfs/GEI-1811-102.pdf#page=2","Abrir facsímil")</f>
        <v>Abrir facsímil</v>
      </c>
      <c r="K7656" s="3" t="s">
        <v>150</v>
      </c>
    </row>
    <row r="7657" spans="1:11" ht="42" customHeight="1">
      <c r="A7657" s="2" t="s">
        <v>19591</v>
      </c>
      <c r="B7657" s="2" t="s">
        <v>19592</v>
      </c>
      <c r="C7657" s="2" t="s">
        <v>26</v>
      </c>
      <c r="D7657" s="2" t="s">
        <v>204</v>
      </c>
      <c r="E7657" s="4">
        <v>-32416</v>
      </c>
      <c r="F7657" s="3" t="s">
        <v>954</v>
      </c>
      <c r="G7657" s="3" t="s">
        <v>47</v>
      </c>
      <c r="H7657" s="2" t="s">
        <v>148</v>
      </c>
      <c r="I7657" s="2" t="s">
        <v>19593</v>
      </c>
      <c r="J7657" s="3" t="str">
        <f>HYPERLINK("https://www.boe.es/gazeta/dias/1811/03/31/pdfs/GMD-1811-90.pdf#page=3","Abrir facsímil")</f>
        <v>Abrir facsímil</v>
      </c>
      <c r="K7657" s="3" t="s">
        <v>150</v>
      </c>
    </row>
    <row r="7658" spans="1:11" ht="42" customHeight="1">
      <c r="A7658" s="2" t="s">
        <v>19594</v>
      </c>
      <c r="B7658" s="2" t="s">
        <v>19595</v>
      </c>
      <c r="C7658" s="2" t="s">
        <v>17</v>
      </c>
      <c r="D7658" s="2" t="s">
        <v>18</v>
      </c>
      <c r="E7658" s="4">
        <v>-32421</v>
      </c>
      <c r="F7658" s="3" t="s">
        <v>79</v>
      </c>
      <c r="G7658" s="3" t="s">
        <v>80</v>
      </c>
      <c r="H7658" s="2" t="s">
        <v>148</v>
      </c>
      <c r="I7658" s="2" t="s">
        <v>19596</v>
      </c>
      <c r="J7658" s="3" t="str">
        <f>HYPERLINK("https://www.boe.es/gazeta/dias/1811/03/26/pdfs/GEI-1811-42.pdf#page=7","Abrir facsímil")</f>
        <v>Abrir facsímil</v>
      </c>
      <c r="K7658" s="3" t="s">
        <v>150</v>
      </c>
    </row>
    <row r="7659" spans="1:11" ht="42" customHeight="1">
      <c r="A7659" s="2" t="s">
        <v>19594</v>
      </c>
      <c r="B7659" s="2" t="s">
        <v>19595</v>
      </c>
      <c r="C7659" s="2" t="s">
        <v>17</v>
      </c>
      <c r="D7659" s="2" t="s">
        <v>18</v>
      </c>
      <c r="E7659" s="4">
        <v>-32144</v>
      </c>
      <c r="F7659" s="3" t="s">
        <v>1097</v>
      </c>
      <c r="G7659" s="3" t="s">
        <v>561</v>
      </c>
      <c r="H7659" s="2" t="s">
        <v>148</v>
      </c>
      <c r="I7659" s="2" t="s">
        <v>19597</v>
      </c>
      <c r="J7659" s="3" t="str">
        <f>HYPERLINK("https://www.boe.es/gazeta/dias/1811/12/28/pdfs/GEI-1811-168.pdf#page=5","Abrir facsímil")</f>
        <v>Abrir facsímil</v>
      </c>
      <c r="K7659" s="3" t="s">
        <v>150</v>
      </c>
    </row>
    <row r="7660" spans="1:11" ht="42" customHeight="1">
      <c r="A7660" s="2" t="s">
        <v>19598</v>
      </c>
      <c r="B7660" s="2" t="s">
        <v>19598</v>
      </c>
      <c r="C7660" s="2" t="s">
        <v>122</v>
      </c>
      <c r="D7660" s="2" t="s">
        <v>18</v>
      </c>
      <c r="E7660" s="4">
        <v>-32339</v>
      </c>
      <c r="F7660" s="3" t="s">
        <v>1853</v>
      </c>
      <c r="G7660" s="3" t="s">
        <v>91</v>
      </c>
      <c r="H7660" s="2" t="s">
        <v>148</v>
      </c>
      <c r="I7660" s="2" t="s">
        <v>19599</v>
      </c>
      <c r="J7660" s="3" t="str">
        <f>HYPERLINK("https://www.boe.es/gazeta/dias/1811/06/16/pdfs/GMD-1811-167.pdf#page=4","Abrir facsímil")</f>
        <v>Abrir facsímil</v>
      </c>
      <c r="K7660" s="3" t="s">
        <v>150</v>
      </c>
    </row>
    <row r="7661" spans="1:11" ht="42" customHeight="1">
      <c r="A7661" s="2" t="s">
        <v>19600</v>
      </c>
      <c r="B7661" s="2" t="s">
        <v>19601</v>
      </c>
      <c r="C7661" s="2" t="s">
        <v>26</v>
      </c>
      <c r="D7661" s="2" t="s">
        <v>105</v>
      </c>
      <c r="E7661" s="4">
        <v>-32155</v>
      </c>
      <c r="F7661" s="3" t="s">
        <v>99</v>
      </c>
      <c r="G7661" s="3" t="s">
        <v>100</v>
      </c>
      <c r="H7661" s="2" t="s">
        <v>148</v>
      </c>
      <c r="I7661" s="2" t="s">
        <v>19602</v>
      </c>
      <c r="J7661" s="3" t="str">
        <f>HYPERLINK("https://www.boe.es/gazeta/dias/1811/12/17/pdfs/GMD-1811-351.pdf#page=4","Abrir facsímil")</f>
        <v>Abrir facsímil</v>
      </c>
      <c r="K7661" s="3" t="s">
        <v>150</v>
      </c>
    </row>
    <row r="7662" spans="1:11" ht="42" customHeight="1">
      <c r="A7662" s="2" t="s">
        <v>19600</v>
      </c>
      <c r="B7662" s="2" t="s">
        <v>19601</v>
      </c>
      <c r="C7662" s="2" t="s">
        <v>26</v>
      </c>
      <c r="D7662" s="2" t="s">
        <v>18</v>
      </c>
      <c r="E7662" s="4">
        <v>-32153</v>
      </c>
      <c r="F7662" s="3" t="s">
        <v>123</v>
      </c>
      <c r="G7662" s="3" t="s">
        <v>1067</v>
      </c>
      <c r="H7662" s="2" t="s">
        <v>148</v>
      </c>
      <c r="I7662" s="2" t="s">
        <v>19603</v>
      </c>
      <c r="J7662" s="3" t="str">
        <f>HYPERLINK("https://www.boe.es/gazeta/dias/1811/12/19/pdfs/GMD-1811-353.pdf#page=5","Abrir facsímil")</f>
        <v>Abrir facsímil</v>
      </c>
      <c r="K7662" s="3" t="s">
        <v>150</v>
      </c>
    </row>
    <row r="7663" spans="1:11" ht="42" customHeight="1">
      <c r="A7663" s="2" t="s">
        <v>19604</v>
      </c>
      <c r="B7663" s="2" t="s">
        <v>19605</v>
      </c>
      <c r="C7663" s="2" t="s">
        <v>17</v>
      </c>
      <c r="D7663" s="2" t="s">
        <v>156</v>
      </c>
      <c r="E7663" s="4">
        <v>-32155</v>
      </c>
      <c r="F7663" s="3" t="s">
        <v>263</v>
      </c>
      <c r="G7663" s="3" t="s">
        <v>1800</v>
      </c>
      <c r="H7663" s="2" t="s">
        <v>148</v>
      </c>
      <c r="I7663" s="2" t="s">
        <v>19606</v>
      </c>
      <c r="J7663" s="3" t="str">
        <f>HYPERLINK("https://www.boe.es/gazeta/dias/1811/12/17/pdfs/GEI-1811-163.pdf#page=7","Abrir facsímil")</f>
        <v>Abrir facsímil</v>
      </c>
      <c r="K7663" s="3" t="s">
        <v>150</v>
      </c>
    </row>
    <row r="7664" spans="1:11" ht="42" customHeight="1">
      <c r="A7664" s="2" t="s">
        <v>19607</v>
      </c>
      <c r="B7664" s="2" t="s">
        <v>19608</v>
      </c>
      <c r="C7664" s="2" t="s">
        <v>26</v>
      </c>
      <c r="D7664" s="2" t="s">
        <v>18</v>
      </c>
      <c r="E7664" s="4">
        <v>-32410</v>
      </c>
      <c r="F7664" s="3" t="s">
        <v>2678</v>
      </c>
      <c r="G7664" s="3" t="s">
        <v>4024</v>
      </c>
      <c r="H7664" s="2" t="s">
        <v>148</v>
      </c>
      <c r="I7664" s="2" t="s">
        <v>19609</v>
      </c>
      <c r="J7664" s="3" t="str">
        <f>HYPERLINK("https://www.boe.es/gazeta/dias/1811/04/06/pdfs/GEI-1811-47.pdf#page=7","Abrir facsímil")</f>
        <v>Abrir facsímil</v>
      </c>
      <c r="K7664" s="3" t="s">
        <v>150</v>
      </c>
    </row>
    <row r="7665" spans="1:11" ht="42" customHeight="1">
      <c r="A7665" s="2" t="s">
        <v>19610</v>
      </c>
      <c r="B7665" s="2" t="s">
        <v>19611</v>
      </c>
      <c r="C7665" s="2" t="s">
        <v>26</v>
      </c>
      <c r="D7665" s="2" t="s">
        <v>18</v>
      </c>
      <c r="E7665" s="4">
        <v>-32447</v>
      </c>
      <c r="F7665" s="3" t="s">
        <v>3655</v>
      </c>
      <c r="G7665" s="3" t="s">
        <v>476</v>
      </c>
      <c r="H7665" s="2" t="s">
        <v>148</v>
      </c>
      <c r="I7665" s="2" t="s">
        <v>19612</v>
      </c>
      <c r="J7665" s="3" t="str">
        <f>HYPERLINK("https://www.boe.es/gazeta/dias/1811/02/28/pdfs/GEI-1811-26.pdf#page=7","Abrir facsímil")</f>
        <v>Abrir facsímil</v>
      </c>
      <c r="K7665" s="3" t="s">
        <v>150</v>
      </c>
    </row>
    <row r="7666" spans="1:11" ht="42" customHeight="1">
      <c r="A7666" s="2" t="s">
        <v>19613</v>
      </c>
      <c r="B7666" s="2" t="s">
        <v>19614</v>
      </c>
      <c r="C7666" s="2" t="s">
        <v>26</v>
      </c>
      <c r="D7666" s="2" t="s">
        <v>18</v>
      </c>
      <c r="E7666" s="4">
        <v>-32337</v>
      </c>
      <c r="F7666" s="3" t="s">
        <v>5266</v>
      </c>
      <c r="G7666" s="3" t="s">
        <v>115</v>
      </c>
      <c r="H7666" s="2" t="s">
        <v>148</v>
      </c>
      <c r="I7666" s="2" t="s">
        <v>19615</v>
      </c>
      <c r="J7666" s="3" t="str">
        <f>HYPERLINK("https://www.boe.es/gazeta/dias/1811/06/18/pdfs/GEI-1811-81.pdf#page=3","Abrir facsímil")</f>
        <v>Abrir facsímil</v>
      </c>
      <c r="K7666" s="3" t="s">
        <v>150</v>
      </c>
    </row>
    <row r="7667" spans="1:11" ht="42" customHeight="1">
      <c r="A7667" s="2" t="s">
        <v>19616</v>
      </c>
      <c r="B7667" s="2" t="s">
        <v>19617</v>
      </c>
      <c r="C7667" s="2" t="s">
        <v>17</v>
      </c>
      <c r="D7667" s="2" t="s">
        <v>18</v>
      </c>
      <c r="E7667" s="4">
        <v>-32202</v>
      </c>
      <c r="F7667" s="3" t="s">
        <v>1634</v>
      </c>
      <c r="G7667" s="3" t="s">
        <v>178</v>
      </c>
      <c r="H7667" s="2" t="s">
        <v>148</v>
      </c>
      <c r="I7667" s="2" t="s">
        <v>19618</v>
      </c>
      <c r="J7667" s="3" t="str">
        <f>HYPERLINK("https://www.boe.es/gazeta/dias/1811/10/31/pdfs/GMD-1811-304.pdf#page=4","Abrir facsímil")</f>
        <v>Abrir facsímil</v>
      </c>
      <c r="K7667" s="3" t="s">
        <v>150</v>
      </c>
    </row>
    <row r="7668" spans="1:11" ht="42" customHeight="1">
      <c r="A7668" s="2" t="s">
        <v>19619</v>
      </c>
      <c r="B7668" s="2" t="s">
        <v>19619</v>
      </c>
      <c r="C7668" s="2" t="s">
        <v>26</v>
      </c>
      <c r="D7668" s="2" t="s">
        <v>18</v>
      </c>
      <c r="E7668" s="4">
        <v>-32413</v>
      </c>
      <c r="F7668" s="3" t="s">
        <v>5311</v>
      </c>
      <c r="G7668" s="3" t="s">
        <v>19620</v>
      </c>
      <c r="H7668" s="2" t="s">
        <v>148</v>
      </c>
      <c r="I7668" s="2" t="s">
        <v>19621</v>
      </c>
      <c r="J7668" s="3" t="str">
        <f>HYPERLINK("https://www.boe.es/gazeta/dias/1811/04/03/pdfs/GMD-1811-93.pdf#page=1","Abrir facsímil")</f>
        <v>Abrir facsímil</v>
      </c>
      <c r="K7668" s="3" t="s">
        <v>150</v>
      </c>
    </row>
    <row r="7669" spans="1:11" ht="42" customHeight="1">
      <c r="A7669" s="2" t="s">
        <v>19622</v>
      </c>
      <c r="B7669" s="2" t="s">
        <v>19623</v>
      </c>
      <c r="C7669" s="2" t="s">
        <v>26</v>
      </c>
      <c r="D7669" s="2" t="s">
        <v>141</v>
      </c>
      <c r="E7669" s="4">
        <v>-32396</v>
      </c>
      <c r="F7669" s="3" t="s">
        <v>804</v>
      </c>
      <c r="G7669" s="3" t="s">
        <v>805</v>
      </c>
      <c r="H7669" s="2" t="s">
        <v>148</v>
      </c>
      <c r="I7669" s="2" t="s">
        <v>19624</v>
      </c>
      <c r="J7669" s="3" t="str">
        <f>HYPERLINK("https://www.boe.es/gazeta/dias/1811/04/20/pdfs/GEI-D-1811-53.pdf#page=4","Abrir facsímil")</f>
        <v>Abrir facsímil</v>
      </c>
      <c r="K7669" s="3" t="s">
        <v>150</v>
      </c>
    </row>
    <row r="7670" spans="1:11" ht="42" customHeight="1">
      <c r="A7670" s="2" t="s">
        <v>19625</v>
      </c>
      <c r="B7670" s="2" t="s">
        <v>19626</v>
      </c>
      <c r="C7670" s="2" t="s">
        <v>37</v>
      </c>
      <c r="D7670" s="2" t="s">
        <v>18</v>
      </c>
      <c r="E7670" s="4">
        <v>-32256</v>
      </c>
      <c r="F7670" s="3" t="s">
        <v>161</v>
      </c>
      <c r="G7670" s="3" t="s">
        <v>47</v>
      </c>
      <c r="H7670" s="2" t="s">
        <v>148</v>
      </c>
      <c r="I7670" s="2" t="s">
        <v>19627</v>
      </c>
      <c r="J7670" s="3" t="str">
        <f>HYPERLINK("https://www.boe.es/gazeta/dias/1811/09/07/pdfs/GEI-1811-116.pdf#page=7","Abrir facsímil")</f>
        <v>Abrir facsímil</v>
      </c>
      <c r="K7670" s="3" t="s">
        <v>150</v>
      </c>
    </row>
    <row r="7671" spans="1:11" ht="42" customHeight="1">
      <c r="A7671" s="2" t="s">
        <v>19628</v>
      </c>
      <c r="B7671" s="2" t="s">
        <v>19629</v>
      </c>
      <c r="C7671" s="2" t="s">
        <v>26</v>
      </c>
      <c r="D7671" s="2" t="s">
        <v>105</v>
      </c>
      <c r="E7671" s="4">
        <v>-32276</v>
      </c>
      <c r="F7671" s="3" t="s">
        <v>1361</v>
      </c>
      <c r="G7671" s="3" t="s">
        <v>183</v>
      </c>
      <c r="H7671" s="2" t="s">
        <v>148</v>
      </c>
      <c r="I7671" s="2" t="s">
        <v>19630</v>
      </c>
      <c r="J7671" s="3" t="str">
        <f>HYPERLINK("https://www.boe.es/gazeta/dias/1811/08/18/pdfs/GMD-1811-230.pdf#page=4","Abrir facsímil")</f>
        <v>Abrir facsímil</v>
      </c>
      <c r="K7671" s="3" t="s">
        <v>150</v>
      </c>
    </row>
    <row r="7672" spans="1:11" ht="42" customHeight="1">
      <c r="A7672" s="2" t="s">
        <v>19631</v>
      </c>
      <c r="B7672" s="2" t="s">
        <v>19632</v>
      </c>
      <c r="C7672" s="2" t="s">
        <v>26</v>
      </c>
      <c r="D7672" s="2" t="s">
        <v>18</v>
      </c>
      <c r="E7672" s="4">
        <v>-32412</v>
      </c>
      <c r="F7672" s="3" t="s">
        <v>998</v>
      </c>
      <c r="G7672" s="3" t="s">
        <v>16214</v>
      </c>
      <c r="H7672" s="2" t="s">
        <v>148</v>
      </c>
      <c r="I7672" s="2" t="s">
        <v>19633</v>
      </c>
      <c r="J7672" s="3" t="str">
        <f>HYPERLINK("https://www.boe.es/gazeta/dias/1811/04/04/pdfs/GEI-1811-46.pdf#page=6","Abrir facsímil")</f>
        <v>Abrir facsímil</v>
      </c>
      <c r="K7672" s="3" t="s">
        <v>150</v>
      </c>
    </row>
    <row r="7673" spans="1:11" ht="42" customHeight="1">
      <c r="A7673" s="2" t="s">
        <v>19634</v>
      </c>
      <c r="B7673" s="2" t="s">
        <v>19635</v>
      </c>
      <c r="C7673" s="2" t="s">
        <v>17</v>
      </c>
      <c r="D7673" s="2" t="s">
        <v>18</v>
      </c>
      <c r="E7673" s="4">
        <v>-32463</v>
      </c>
      <c r="F7673" s="3" t="s">
        <v>734</v>
      </c>
      <c r="G7673" s="3" t="s">
        <v>735</v>
      </c>
      <c r="H7673" s="2" t="s">
        <v>148</v>
      </c>
      <c r="I7673" s="2" t="s">
        <v>19636</v>
      </c>
      <c r="J7673" s="3" t="str">
        <f>HYPERLINK("https://www.boe.es/gazeta/dias/1811/02/12/pdfs/GEI-1811-19.pdf#page=8","Abrir facsímil")</f>
        <v>Abrir facsímil</v>
      </c>
      <c r="K7673" s="3" t="s">
        <v>150</v>
      </c>
    </row>
    <row r="7674" spans="1:11" ht="42" customHeight="1">
      <c r="A7674" s="2" t="s">
        <v>19637</v>
      </c>
      <c r="B7674" s="2" t="s">
        <v>19638</v>
      </c>
      <c r="C7674" s="2" t="s">
        <v>26</v>
      </c>
      <c r="D7674" s="2" t="s">
        <v>18</v>
      </c>
      <c r="E7674" s="4">
        <v>-32237</v>
      </c>
      <c r="F7674" s="3" t="s">
        <v>717</v>
      </c>
      <c r="G7674" s="3" t="s">
        <v>47</v>
      </c>
      <c r="H7674" s="2" t="s">
        <v>148</v>
      </c>
      <c r="I7674" s="2" t="s">
        <v>19639</v>
      </c>
      <c r="J7674" s="3" t="str">
        <f>HYPERLINK("https://www.boe.es/gazeta/dias/1811/09/26/pdfs/GEI-1811-124.pdf#page=4","Abrir facsímil")</f>
        <v>Abrir facsímil</v>
      </c>
      <c r="K7674" s="3" t="s">
        <v>150</v>
      </c>
    </row>
    <row r="7675" spans="1:11" ht="42" customHeight="1">
      <c r="A7675" s="2" t="s">
        <v>19640</v>
      </c>
      <c r="B7675" s="2" t="s">
        <v>19641</v>
      </c>
      <c r="C7675" s="2" t="s">
        <v>17</v>
      </c>
      <c r="D7675" s="2" t="s">
        <v>18</v>
      </c>
      <c r="E7675" s="4">
        <v>-32197</v>
      </c>
      <c r="F7675" s="3" t="s">
        <v>687</v>
      </c>
      <c r="G7675" s="3" t="s">
        <v>178</v>
      </c>
      <c r="H7675" s="2" t="s">
        <v>148</v>
      </c>
      <c r="I7675" s="2" t="s">
        <v>19642</v>
      </c>
      <c r="J7675" s="3" t="str">
        <f>HYPERLINK("https://www.boe.es/gazeta/dias/1811/11/05/pdfs/GEI-1811-143.pdf#page=6","Abrir facsímil")</f>
        <v>Abrir facsímil</v>
      </c>
      <c r="K7675" s="3" t="s">
        <v>150</v>
      </c>
    </row>
    <row r="7676" spans="1:11" ht="42" customHeight="1">
      <c r="A7676" s="2" t="s">
        <v>19643</v>
      </c>
      <c r="B7676" s="2" t="s">
        <v>19643</v>
      </c>
      <c r="C7676" s="2" t="s">
        <v>17</v>
      </c>
      <c r="D7676" s="2" t="s">
        <v>156</v>
      </c>
      <c r="E7676" s="4">
        <v>-32494</v>
      </c>
      <c r="F7676" s="3" t="s">
        <v>3050</v>
      </c>
      <c r="G7676" s="3" t="s">
        <v>3619</v>
      </c>
      <c r="H7676" s="2" t="s">
        <v>148</v>
      </c>
      <c r="I7676" s="2" t="s">
        <v>19644</v>
      </c>
      <c r="J7676" s="3" t="str">
        <f>HYPERLINK("https://www.boe.es/gazeta/dias/1811/01/12/pdfs/GEI-1811-6.pdf#page=8","Abrir facsímil")</f>
        <v>Abrir facsímil</v>
      </c>
      <c r="K7676" s="3" t="s">
        <v>150</v>
      </c>
    </row>
    <row r="7677" spans="1:11" ht="42" customHeight="1">
      <c r="A7677" s="2" t="s">
        <v>19643</v>
      </c>
      <c r="B7677" s="2" t="s">
        <v>19643</v>
      </c>
      <c r="C7677" s="2" t="s">
        <v>26</v>
      </c>
      <c r="D7677" s="2" t="s">
        <v>18</v>
      </c>
      <c r="E7677" s="4">
        <v>-32428</v>
      </c>
      <c r="F7677" s="3" t="s">
        <v>351</v>
      </c>
      <c r="G7677" s="3" t="s">
        <v>57</v>
      </c>
      <c r="H7677" s="2" t="s">
        <v>148</v>
      </c>
      <c r="I7677" s="2" t="s">
        <v>19645</v>
      </c>
      <c r="J7677" s="3" t="str">
        <f>HYPERLINK("https://www.boe.es/gazeta/dias/1811/03/19/pdfs/GMD-1811-78.pdf#page=2","Abrir facsímil")</f>
        <v>Abrir facsímil</v>
      </c>
      <c r="K7677" s="3" t="s">
        <v>150</v>
      </c>
    </row>
    <row r="7678" spans="1:11" ht="42" customHeight="1">
      <c r="A7678" s="2" t="s">
        <v>19643</v>
      </c>
      <c r="B7678" s="2" t="s">
        <v>19643</v>
      </c>
      <c r="C7678" s="2" t="s">
        <v>26</v>
      </c>
      <c r="D7678" s="2" t="s">
        <v>18</v>
      </c>
      <c r="E7678" s="4">
        <v>-32428</v>
      </c>
      <c r="F7678" s="3" t="s">
        <v>351</v>
      </c>
      <c r="G7678" s="3" t="s">
        <v>115</v>
      </c>
      <c r="H7678" s="2" t="s">
        <v>148</v>
      </c>
      <c r="I7678" s="2" t="s">
        <v>19646</v>
      </c>
      <c r="J7678" s="3" t="str">
        <f>HYPERLINK("https://www.boe.es/gazeta/dias/1811/03/19/pdfs/GMD-1811-78.pdf#page=3","Abrir facsímil")</f>
        <v>Abrir facsímil</v>
      </c>
      <c r="K7678" s="3" t="s">
        <v>150</v>
      </c>
    </row>
    <row r="7679" spans="1:11" ht="42" customHeight="1">
      <c r="A7679" s="2" t="s">
        <v>19643</v>
      </c>
      <c r="B7679" s="2" t="s">
        <v>19643</v>
      </c>
      <c r="C7679" s="2" t="s">
        <v>122</v>
      </c>
      <c r="D7679" s="2" t="s">
        <v>18</v>
      </c>
      <c r="E7679" s="4">
        <v>-32292</v>
      </c>
      <c r="F7679" s="3" t="s">
        <v>408</v>
      </c>
      <c r="G7679" s="3" t="s">
        <v>409</v>
      </c>
      <c r="H7679" s="2" t="s">
        <v>148</v>
      </c>
      <c r="I7679" s="2" t="s">
        <v>19647</v>
      </c>
      <c r="J7679" s="3" t="str">
        <f>HYPERLINK("https://www.boe.es/gazeta/dias/1811/08/02/pdfs/GMD-1811-214.pdf#page=4","Abrir facsímil")</f>
        <v>Abrir facsímil</v>
      </c>
      <c r="K7679" s="3" t="s">
        <v>150</v>
      </c>
    </row>
    <row r="7680" spans="1:11" ht="42" customHeight="1">
      <c r="A7680" s="2" t="s">
        <v>19643</v>
      </c>
      <c r="B7680" s="2" t="s">
        <v>19643</v>
      </c>
      <c r="C7680" s="2" t="s">
        <v>17</v>
      </c>
      <c r="D7680" s="2" t="s">
        <v>156</v>
      </c>
      <c r="E7680" s="4">
        <v>-32235</v>
      </c>
      <c r="F7680" s="3" t="s">
        <v>190</v>
      </c>
      <c r="G7680" s="3" t="s">
        <v>188</v>
      </c>
      <c r="H7680" s="2" t="s">
        <v>148</v>
      </c>
      <c r="I7680" s="2" t="s">
        <v>19648</v>
      </c>
      <c r="J7680" s="3" t="str">
        <f>HYPERLINK("https://www.boe.es/gazeta/dias/1811/09/28/pdfs/GEI-1811-125.pdf#page=8","Abrir facsímil")</f>
        <v>Abrir facsímil</v>
      </c>
      <c r="K7680" s="3" t="s">
        <v>150</v>
      </c>
    </row>
    <row r="7681" spans="1:11" ht="42" customHeight="1">
      <c r="A7681" s="2" t="s">
        <v>19649</v>
      </c>
      <c r="B7681" s="2" t="s">
        <v>19650</v>
      </c>
      <c r="C7681" s="2" t="s">
        <v>17</v>
      </c>
      <c r="D7681" s="2" t="s">
        <v>156</v>
      </c>
      <c r="E7681" s="4">
        <v>-32428</v>
      </c>
      <c r="F7681" s="3" t="s">
        <v>351</v>
      </c>
      <c r="G7681" s="3" t="s">
        <v>57</v>
      </c>
      <c r="H7681" s="2" t="s">
        <v>148</v>
      </c>
      <c r="I7681" s="2" t="s">
        <v>19651</v>
      </c>
      <c r="J7681" s="3" t="str">
        <f>HYPERLINK("https://www.boe.es/gazeta/dias/1811/03/19/pdfs/GMD-1811-78.pdf#page=2","Abrir facsímil")</f>
        <v>Abrir facsímil</v>
      </c>
      <c r="K7681" s="3" t="s">
        <v>150</v>
      </c>
    </row>
    <row r="7682" spans="1:11" ht="42" customHeight="1">
      <c r="A7682" s="2" t="s">
        <v>19652</v>
      </c>
      <c r="B7682" s="2" t="s">
        <v>19653</v>
      </c>
      <c r="C7682" s="2" t="s">
        <v>104</v>
      </c>
      <c r="D7682" s="2" t="s">
        <v>528</v>
      </c>
      <c r="E7682" s="4">
        <v>-32219</v>
      </c>
      <c r="F7682" s="3" t="s">
        <v>529</v>
      </c>
      <c r="G7682" s="3" t="s">
        <v>530</v>
      </c>
      <c r="H7682" s="2" t="s">
        <v>148</v>
      </c>
      <c r="I7682" s="2" t="s">
        <v>19654</v>
      </c>
      <c r="J7682" s="3" t="str">
        <f>HYPERLINK("https://www.boe.es/gazeta/dias/1811/10/14/pdfs/GEI-1811-132E.pdf#page=4","Abrir facsímil")</f>
        <v>Abrir facsímil</v>
      </c>
      <c r="K7682" s="3" t="s">
        <v>150</v>
      </c>
    </row>
    <row r="7683" spans="1:11" ht="42" customHeight="1">
      <c r="A7683" s="2" t="s">
        <v>19655</v>
      </c>
      <c r="B7683" s="2" t="s">
        <v>19656</v>
      </c>
      <c r="C7683" s="2" t="s">
        <v>17</v>
      </c>
      <c r="D7683" s="2" t="s">
        <v>156</v>
      </c>
      <c r="E7683" s="4">
        <v>-32235</v>
      </c>
      <c r="F7683" s="3" t="s">
        <v>190</v>
      </c>
      <c r="G7683" s="3" t="s">
        <v>188</v>
      </c>
      <c r="H7683" s="2" t="s">
        <v>148</v>
      </c>
      <c r="I7683" s="2" t="s">
        <v>19657</v>
      </c>
      <c r="J7683" s="3" t="str">
        <f>HYPERLINK("https://www.boe.es/gazeta/dias/1811/09/28/pdfs/GEI-1811-125.pdf#page=8","Abrir facsímil")</f>
        <v>Abrir facsímil</v>
      </c>
      <c r="K7683" s="3" t="s">
        <v>150</v>
      </c>
    </row>
    <row r="7684" spans="1:11" ht="42" customHeight="1">
      <c r="A7684" s="2" t="s">
        <v>19658</v>
      </c>
      <c r="B7684" s="2" t="s">
        <v>19659</v>
      </c>
      <c r="C7684" s="2" t="s">
        <v>17</v>
      </c>
      <c r="D7684" s="2" t="s">
        <v>141</v>
      </c>
      <c r="E7684" s="4">
        <v>-32167</v>
      </c>
      <c r="F7684" s="3" t="s">
        <v>347</v>
      </c>
      <c r="G7684" s="3" t="s">
        <v>183</v>
      </c>
      <c r="H7684" s="2" t="s">
        <v>148</v>
      </c>
      <c r="I7684" s="2" t="s">
        <v>19660</v>
      </c>
      <c r="J7684" s="3" t="str">
        <f>HYPERLINK("https://www.boe.es/gazeta/dias/1811/12/05/pdfs/GEI-D-1811-158.pdf#page=4","Abrir facsímil")</f>
        <v>Abrir facsímil</v>
      </c>
      <c r="K7684" s="3" t="s">
        <v>150</v>
      </c>
    </row>
    <row r="7685" spans="1:11" ht="42" customHeight="1">
      <c r="A7685" s="2" t="s">
        <v>19661</v>
      </c>
      <c r="B7685" s="2" t="s">
        <v>19661</v>
      </c>
      <c r="C7685" s="2" t="s">
        <v>17</v>
      </c>
      <c r="D7685" s="2" t="s">
        <v>156</v>
      </c>
      <c r="E7685" s="4">
        <v>-32256</v>
      </c>
      <c r="F7685" s="3" t="s">
        <v>161</v>
      </c>
      <c r="G7685" s="3" t="s">
        <v>47</v>
      </c>
      <c r="H7685" s="2" t="s">
        <v>148</v>
      </c>
      <c r="I7685" s="2" t="s">
        <v>19662</v>
      </c>
      <c r="J7685" s="3" t="str">
        <f>HYPERLINK("https://www.boe.es/gazeta/dias/1811/09/07/pdfs/GEI-1811-116.pdf#page=7","Abrir facsímil")</f>
        <v>Abrir facsímil</v>
      </c>
      <c r="K7685" s="3" t="s">
        <v>150</v>
      </c>
    </row>
    <row r="7686" spans="1:11" ht="42" customHeight="1">
      <c r="A7686" s="2" t="s">
        <v>19663</v>
      </c>
      <c r="B7686" s="2" t="s">
        <v>19663</v>
      </c>
      <c r="C7686" s="2" t="s">
        <v>17</v>
      </c>
      <c r="D7686" s="2" t="s">
        <v>156</v>
      </c>
      <c r="E7686" s="4">
        <v>-32263</v>
      </c>
      <c r="F7686" s="3" t="s">
        <v>128</v>
      </c>
      <c r="G7686" s="3" t="s">
        <v>1206</v>
      </c>
      <c r="H7686" s="2" t="s">
        <v>148</v>
      </c>
      <c r="I7686" s="2" t="s">
        <v>19664</v>
      </c>
      <c r="J7686" s="3" t="str">
        <f>HYPERLINK("https://www.boe.es/gazeta/dias/1811/08/31/pdfs/GEI-1811-113.pdf#page=3","Abrir facsímil")</f>
        <v>Abrir facsímil</v>
      </c>
      <c r="K7686" s="3" t="s">
        <v>150</v>
      </c>
    </row>
    <row r="7687" spans="1:11" ht="42" customHeight="1">
      <c r="A7687" s="2" t="s">
        <v>19665</v>
      </c>
      <c r="B7687" s="2" t="s">
        <v>19665</v>
      </c>
      <c r="C7687" s="2" t="s">
        <v>17</v>
      </c>
      <c r="D7687" s="2" t="s">
        <v>105</v>
      </c>
      <c r="E7687" s="4">
        <v>-32326</v>
      </c>
      <c r="F7687" s="3" t="s">
        <v>43</v>
      </c>
      <c r="G7687" s="3" t="s">
        <v>4791</v>
      </c>
      <c r="H7687" s="2" t="s">
        <v>148</v>
      </c>
      <c r="I7687" s="2" t="s">
        <v>19666</v>
      </c>
      <c r="J7687" s="3" t="str">
        <f>HYPERLINK("https://www.boe.es/gazeta/dias/1811/06/29/pdfs/GEI-1811-86.pdf#page=8","Abrir facsímil")</f>
        <v>Abrir facsímil</v>
      </c>
      <c r="K7687" s="3" t="s">
        <v>150</v>
      </c>
    </row>
    <row r="7688" spans="1:11" ht="42" customHeight="1">
      <c r="A7688" s="2" t="s">
        <v>19665</v>
      </c>
      <c r="B7688" s="2" t="s">
        <v>19665</v>
      </c>
      <c r="C7688" s="2" t="s">
        <v>17</v>
      </c>
      <c r="D7688" s="2" t="s">
        <v>156</v>
      </c>
      <c r="E7688" s="4">
        <v>-32293</v>
      </c>
      <c r="F7688" s="3" t="s">
        <v>3064</v>
      </c>
      <c r="G7688" s="3" t="s">
        <v>6081</v>
      </c>
      <c r="H7688" s="2" t="s">
        <v>148</v>
      </c>
      <c r="I7688" s="2" t="s">
        <v>19667</v>
      </c>
      <c r="J7688" s="3" t="str">
        <f>HYPERLINK("https://www.boe.es/gazeta/dias/1811/08/01/pdfs/GEI-1811-100.pdf#page=4","Abrir facsímil")</f>
        <v>Abrir facsímil</v>
      </c>
      <c r="K7688" s="3" t="s">
        <v>150</v>
      </c>
    </row>
    <row r="7689" spans="1:11" ht="42" customHeight="1">
      <c r="A7689" s="2" t="s">
        <v>19665</v>
      </c>
      <c r="B7689" s="2" t="s">
        <v>19665</v>
      </c>
      <c r="C7689" s="2" t="s">
        <v>17</v>
      </c>
      <c r="D7689" s="2" t="s">
        <v>18</v>
      </c>
      <c r="E7689" s="4">
        <v>-32284</v>
      </c>
      <c r="F7689" s="3" t="s">
        <v>170</v>
      </c>
      <c r="G7689" s="3" t="s">
        <v>47</v>
      </c>
      <c r="H7689" s="2" t="s">
        <v>148</v>
      </c>
      <c r="I7689" s="2" t="s">
        <v>19668</v>
      </c>
      <c r="J7689" s="3" t="str">
        <f>HYPERLINK("https://www.boe.es/gazeta/dias/1811/08/10/pdfs/GEI-1811-104.pdf#page=2","Abrir facsímil")</f>
        <v>Abrir facsímil</v>
      </c>
      <c r="K7689" s="3" t="s">
        <v>150</v>
      </c>
    </row>
    <row r="7690" spans="1:11" ht="42" customHeight="1">
      <c r="A7690" s="2" t="s">
        <v>19669</v>
      </c>
      <c r="B7690" s="2" t="s">
        <v>19670</v>
      </c>
      <c r="C7690" s="2" t="s">
        <v>17</v>
      </c>
      <c r="D7690" s="2" t="s">
        <v>156</v>
      </c>
      <c r="E7690" s="4">
        <v>-32263</v>
      </c>
      <c r="F7690" s="3" t="s">
        <v>128</v>
      </c>
      <c r="G7690" s="3" t="s">
        <v>925</v>
      </c>
      <c r="H7690" s="2" t="s">
        <v>148</v>
      </c>
      <c r="I7690" s="2" t="s">
        <v>19671</v>
      </c>
      <c r="J7690" s="3" t="str">
        <f>HYPERLINK("https://www.boe.es/gazeta/dias/1811/08/31/pdfs/GEI-1811-113.pdf#page=7","Abrir facsímil")</f>
        <v>Abrir facsímil</v>
      </c>
      <c r="K7690" s="3" t="s">
        <v>150</v>
      </c>
    </row>
    <row r="7691" spans="1:11" ht="42" customHeight="1">
      <c r="A7691" s="2" t="s">
        <v>19672</v>
      </c>
      <c r="B7691" s="2" t="s">
        <v>19672</v>
      </c>
      <c r="C7691" s="2" t="s">
        <v>26</v>
      </c>
      <c r="D7691" s="2" t="s">
        <v>18</v>
      </c>
      <c r="E7691" s="4">
        <v>-32172</v>
      </c>
      <c r="F7691" s="3" t="s">
        <v>300</v>
      </c>
      <c r="G7691" s="3" t="s">
        <v>301</v>
      </c>
      <c r="H7691" s="2" t="s">
        <v>148</v>
      </c>
      <c r="I7691" s="2" t="s">
        <v>19673</v>
      </c>
      <c r="J7691" s="3" t="str">
        <f>HYPERLINK("https://www.boe.es/gazeta/dias/1811/11/30/pdfs/GMD-1811-334.pdf#page=4","Abrir facsímil")</f>
        <v>Abrir facsímil</v>
      </c>
      <c r="K7691" s="3" t="s">
        <v>150</v>
      </c>
    </row>
    <row r="7692" spans="1:11" ht="42" customHeight="1">
      <c r="A7692" s="2" t="s">
        <v>19674</v>
      </c>
      <c r="B7692" s="2" t="s">
        <v>19675</v>
      </c>
      <c r="C7692" s="2" t="s">
        <v>37</v>
      </c>
      <c r="D7692" s="2" t="s">
        <v>18</v>
      </c>
      <c r="E7692" s="4">
        <v>-32241</v>
      </c>
      <c r="F7692" s="3" t="s">
        <v>514</v>
      </c>
      <c r="G7692" s="3" t="s">
        <v>515</v>
      </c>
      <c r="H7692" s="2" t="s">
        <v>148</v>
      </c>
      <c r="I7692" s="2" t="s">
        <v>19676</v>
      </c>
      <c r="J7692" s="3" t="str">
        <f>HYPERLINK("https://www.boe.es/gazeta/dias/1811/09/22/pdfs/GMD-1811-265.pdf#page=4","Abrir facsímil")</f>
        <v>Abrir facsímil</v>
      </c>
      <c r="K7692" s="3" t="s">
        <v>150</v>
      </c>
    </row>
    <row r="7693" spans="1:11" ht="42" customHeight="1">
      <c r="A7693" s="2" t="s">
        <v>19677</v>
      </c>
      <c r="B7693" s="2" t="s">
        <v>19678</v>
      </c>
      <c r="C7693" s="2" t="s">
        <v>26</v>
      </c>
      <c r="D7693" s="2" t="s">
        <v>18</v>
      </c>
      <c r="E7693" s="4">
        <v>-32452</v>
      </c>
      <c r="F7693" s="3" t="s">
        <v>106</v>
      </c>
      <c r="G7693" s="3" t="s">
        <v>20</v>
      </c>
      <c r="H7693" s="2" t="s">
        <v>148</v>
      </c>
      <c r="I7693" s="2" t="s">
        <v>19679</v>
      </c>
      <c r="J7693" s="3" t="str">
        <f>HYPERLINK("https://www.boe.es/gazeta/dias/1811/02/23/pdfs/GEI-1811-24.pdf#page=8","Abrir facsímil")</f>
        <v>Abrir facsímil</v>
      </c>
      <c r="K7693" s="3" t="s">
        <v>150</v>
      </c>
    </row>
    <row r="7694" spans="1:11" ht="42" customHeight="1">
      <c r="A7694" s="2" t="s">
        <v>19680</v>
      </c>
      <c r="B7694" s="2" t="s">
        <v>19680</v>
      </c>
      <c r="C7694" s="2" t="s">
        <v>26</v>
      </c>
      <c r="D7694" s="2" t="s">
        <v>18</v>
      </c>
      <c r="E7694" s="4">
        <v>-32246</v>
      </c>
      <c r="F7694" s="3" t="s">
        <v>19</v>
      </c>
      <c r="G7694" s="3" t="s">
        <v>2821</v>
      </c>
      <c r="H7694" s="2" t="s">
        <v>148</v>
      </c>
      <c r="I7694" s="2" t="s">
        <v>19681</v>
      </c>
      <c r="J7694" s="3" t="str">
        <f>HYPERLINK("https://www.boe.es/gazeta/dias/1811/09/17/pdfs/GEI-1811-120.pdf#page=7","Abrir facsímil")</f>
        <v>Abrir facsímil</v>
      </c>
      <c r="K7694" s="3" t="s">
        <v>150</v>
      </c>
    </row>
    <row r="7695" spans="1:11" ht="42" customHeight="1">
      <c r="A7695" s="2" t="s">
        <v>19682</v>
      </c>
      <c r="B7695" s="2" t="s">
        <v>19683</v>
      </c>
      <c r="C7695" s="2" t="s">
        <v>26</v>
      </c>
      <c r="D7695" s="2" t="s">
        <v>18</v>
      </c>
      <c r="E7695" s="4">
        <v>-32172</v>
      </c>
      <c r="F7695" s="3" t="s">
        <v>300</v>
      </c>
      <c r="G7695" s="3" t="s">
        <v>301</v>
      </c>
      <c r="H7695" s="2" t="s">
        <v>148</v>
      </c>
      <c r="I7695" s="2" t="s">
        <v>19684</v>
      </c>
      <c r="J7695" s="3" t="str">
        <f>HYPERLINK("https://www.boe.es/gazeta/dias/1811/11/30/pdfs/GMD-1811-334.pdf#page=4","Abrir facsímil")</f>
        <v>Abrir facsímil</v>
      </c>
      <c r="K7695" s="3" t="s">
        <v>150</v>
      </c>
    </row>
    <row r="7696" spans="1:11" ht="42" customHeight="1">
      <c r="A7696" s="2" t="s">
        <v>19685</v>
      </c>
      <c r="B7696" s="2" t="s">
        <v>19686</v>
      </c>
      <c r="C7696" s="2" t="s">
        <v>37</v>
      </c>
      <c r="D7696" s="2" t="s">
        <v>156</v>
      </c>
      <c r="E7696" s="4">
        <v>-32249</v>
      </c>
      <c r="F7696" s="3" t="s">
        <v>824</v>
      </c>
      <c r="G7696" s="3" t="s">
        <v>900</v>
      </c>
      <c r="H7696" s="2" t="s">
        <v>148</v>
      </c>
      <c r="I7696" s="2" t="s">
        <v>19687</v>
      </c>
      <c r="J7696" s="3" t="str">
        <f>HYPERLINK("https://www.boe.es/gazeta/dias/1811/09/14/pdfs/GEI-1811-119.pdf#page=8","Abrir facsímil")</f>
        <v>Abrir facsímil</v>
      </c>
      <c r="K7696" s="3" t="s">
        <v>150</v>
      </c>
    </row>
    <row r="7697" spans="1:11" ht="42" customHeight="1">
      <c r="A7697" s="2" t="s">
        <v>19688</v>
      </c>
      <c r="B7697" s="2" t="s">
        <v>19689</v>
      </c>
      <c r="C7697" s="2" t="s">
        <v>17</v>
      </c>
      <c r="D7697" s="2" t="s">
        <v>156</v>
      </c>
      <c r="E7697" s="4">
        <v>-32394</v>
      </c>
      <c r="F7697" s="3" t="s">
        <v>1709</v>
      </c>
      <c r="G7697" s="3" t="s">
        <v>115</v>
      </c>
      <c r="H7697" s="2" t="s">
        <v>148</v>
      </c>
      <c r="I7697" s="2" t="s">
        <v>19690</v>
      </c>
      <c r="J7697" s="3" t="str">
        <f>HYPERLINK("https://www.boe.es/gazeta/dias/1811/04/22/pdfs/GMD-1811-112.pdf#page=3","Abrir facsímil")</f>
        <v>Abrir facsímil</v>
      </c>
      <c r="K7697" s="3" t="s">
        <v>150</v>
      </c>
    </row>
    <row r="7698" spans="1:11" ht="42" customHeight="1">
      <c r="A7698" s="2" t="s">
        <v>19691</v>
      </c>
      <c r="B7698" s="2" t="s">
        <v>19692</v>
      </c>
      <c r="C7698" s="2" t="s">
        <v>26</v>
      </c>
      <c r="D7698" s="2" t="s">
        <v>18</v>
      </c>
      <c r="E7698" s="4">
        <v>-32197</v>
      </c>
      <c r="F7698" s="3" t="s">
        <v>687</v>
      </c>
      <c r="G7698" s="3" t="s">
        <v>1240</v>
      </c>
      <c r="H7698" s="2" t="s">
        <v>148</v>
      </c>
      <c r="I7698" s="2" t="s">
        <v>19693</v>
      </c>
      <c r="J7698" s="3" t="str">
        <f>HYPERLINK("https://www.boe.es/gazeta/dias/1811/11/05/pdfs/GEI-1811-143.pdf#page=8","Abrir facsímil")</f>
        <v>Abrir facsímil</v>
      </c>
      <c r="K7698" s="3" t="s">
        <v>150</v>
      </c>
    </row>
    <row r="7699" spans="1:11" ht="42" customHeight="1">
      <c r="A7699" s="2" t="s">
        <v>19691</v>
      </c>
      <c r="B7699" s="2" t="s">
        <v>19692</v>
      </c>
      <c r="C7699" s="2" t="s">
        <v>37</v>
      </c>
      <c r="D7699" s="2" t="s">
        <v>18</v>
      </c>
      <c r="E7699" s="4">
        <v>-32172</v>
      </c>
      <c r="F7699" s="3" t="s">
        <v>300</v>
      </c>
      <c r="G7699" s="3" t="s">
        <v>301</v>
      </c>
      <c r="H7699" s="2" t="s">
        <v>148</v>
      </c>
      <c r="I7699" s="2" t="s">
        <v>19694</v>
      </c>
      <c r="J7699" s="3" t="str">
        <f>HYPERLINK("https://www.boe.es/gazeta/dias/1811/11/30/pdfs/GMD-1811-334.pdf#page=4","Abrir facsímil")</f>
        <v>Abrir facsímil</v>
      </c>
      <c r="K7699" s="3" t="s">
        <v>150</v>
      </c>
    </row>
    <row r="7700" spans="1:11" ht="42" customHeight="1">
      <c r="A7700" s="2" t="s">
        <v>19695</v>
      </c>
      <c r="B7700" s="2" t="s">
        <v>19696</v>
      </c>
      <c r="C7700" s="2" t="s">
        <v>17</v>
      </c>
      <c r="D7700" s="2" t="s">
        <v>18</v>
      </c>
      <c r="E7700" s="4">
        <v>-32284</v>
      </c>
      <c r="F7700" s="3" t="s">
        <v>170</v>
      </c>
      <c r="G7700" s="3" t="s">
        <v>386</v>
      </c>
      <c r="H7700" s="2" t="s">
        <v>148</v>
      </c>
      <c r="I7700" s="2" t="s">
        <v>19697</v>
      </c>
      <c r="J7700" s="3" t="str">
        <f>HYPERLINK("https://www.boe.es/gazeta/dias/1811/08/10/pdfs/GEI-1811-104.pdf#page=3","Abrir facsímil")</f>
        <v>Abrir facsímil</v>
      </c>
      <c r="K7700" s="3" t="s">
        <v>150</v>
      </c>
    </row>
    <row r="7701" spans="1:11" ht="42" customHeight="1">
      <c r="A7701" s="2" t="s">
        <v>19698</v>
      </c>
      <c r="B7701" s="2" t="s">
        <v>19699</v>
      </c>
      <c r="C7701" s="2" t="s">
        <v>26</v>
      </c>
      <c r="D7701" s="2" t="s">
        <v>18</v>
      </c>
      <c r="E7701" s="4">
        <v>-32295</v>
      </c>
      <c r="F7701" s="3" t="s">
        <v>279</v>
      </c>
      <c r="G7701" s="3" t="s">
        <v>44</v>
      </c>
      <c r="H7701" s="2" t="s">
        <v>148</v>
      </c>
      <c r="I7701" s="2" t="s">
        <v>19700</v>
      </c>
      <c r="J7701" s="3" t="str">
        <f>HYPERLINK("https://www.boe.es/gazeta/dias/1811/07/30/pdfs/GEI-1811-99.pdf#page=8","Abrir facsímil")</f>
        <v>Abrir facsímil</v>
      </c>
      <c r="K7701" s="3" t="s">
        <v>150</v>
      </c>
    </row>
    <row r="7702" spans="1:11" ht="42" customHeight="1">
      <c r="A7702" s="2" t="s">
        <v>19701</v>
      </c>
      <c r="B7702" s="2" t="s">
        <v>19701</v>
      </c>
      <c r="C7702" s="2" t="s">
        <v>17</v>
      </c>
      <c r="D7702" s="2" t="s">
        <v>18</v>
      </c>
      <c r="E7702" s="4">
        <v>-32401</v>
      </c>
      <c r="F7702" s="3" t="s">
        <v>1084</v>
      </c>
      <c r="G7702" s="3" t="s">
        <v>44</v>
      </c>
      <c r="H7702" s="2" t="s">
        <v>148</v>
      </c>
      <c r="I7702" s="2" t="s">
        <v>19702</v>
      </c>
      <c r="J7702" s="3" t="str">
        <f>HYPERLINK("https://www.boe.es/gazeta/dias/1811/04/15/pdfs/GMD-1811-105.pdf#page=3","Abrir facsímil")</f>
        <v>Abrir facsímil</v>
      </c>
      <c r="K7702" s="3" t="s">
        <v>150</v>
      </c>
    </row>
    <row r="7703" spans="1:11" ht="42" customHeight="1">
      <c r="A7703" s="2" t="s">
        <v>19701</v>
      </c>
      <c r="B7703" s="2" t="s">
        <v>19701</v>
      </c>
      <c r="C7703" s="2" t="s">
        <v>26</v>
      </c>
      <c r="D7703" s="2" t="s">
        <v>18</v>
      </c>
      <c r="E7703" s="4">
        <v>-32223</v>
      </c>
      <c r="F7703" s="3" t="s">
        <v>1788</v>
      </c>
      <c r="G7703" s="3" t="s">
        <v>1984</v>
      </c>
      <c r="H7703" s="2" t="s">
        <v>148</v>
      </c>
      <c r="I7703" s="2" t="s">
        <v>19703</v>
      </c>
      <c r="J7703" s="3" t="str">
        <f>HYPERLINK("https://www.boe.es/gazeta/dias/1811/10/10/pdfs/GEI-1811-130.pdf#page=2","Abrir facsímil")</f>
        <v>Abrir facsímil</v>
      </c>
      <c r="K7703" s="3" t="s">
        <v>150</v>
      </c>
    </row>
    <row r="7704" spans="1:11" ht="42" customHeight="1">
      <c r="A7704" s="2" t="s">
        <v>19704</v>
      </c>
      <c r="B7704" s="2" t="s">
        <v>19705</v>
      </c>
      <c r="C7704" s="2" t="s">
        <v>26</v>
      </c>
      <c r="D7704" s="2" t="s">
        <v>18</v>
      </c>
      <c r="E7704" s="4">
        <v>-32412</v>
      </c>
      <c r="F7704" s="3" t="s">
        <v>998</v>
      </c>
      <c r="G7704" s="3" t="s">
        <v>16214</v>
      </c>
      <c r="H7704" s="2" t="s">
        <v>148</v>
      </c>
      <c r="I7704" s="2" t="s">
        <v>19706</v>
      </c>
      <c r="J7704" s="3" t="str">
        <f>HYPERLINK("https://www.boe.es/gazeta/dias/1811/04/04/pdfs/GEI-1811-46.pdf#page=6","Abrir facsímil")</f>
        <v>Abrir facsímil</v>
      </c>
      <c r="K7704" s="3" t="s">
        <v>150</v>
      </c>
    </row>
    <row r="7705" spans="1:11" ht="42" customHeight="1">
      <c r="A7705" s="2" t="s">
        <v>19707</v>
      </c>
      <c r="B7705" s="2" t="s">
        <v>19708</v>
      </c>
      <c r="C7705" s="2" t="s">
        <v>17</v>
      </c>
      <c r="D7705" s="2" t="s">
        <v>18</v>
      </c>
      <c r="E7705" s="4">
        <v>-32204</v>
      </c>
      <c r="F7705" s="3" t="s">
        <v>1053</v>
      </c>
      <c r="G7705" s="3" t="s">
        <v>1963</v>
      </c>
      <c r="H7705" s="2" t="s">
        <v>148</v>
      </c>
      <c r="I7705" s="2" t="s">
        <v>19709</v>
      </c>
      <c r="J7705" s="3" t="str">
        <f>HYPERLINK("https://www.boe.es/gazeta/dias/1811/10/29/pdfs/GEI-1811-139.pdf#page=6","Abrir facsímil")</f>
        <v>Abrir facsímil</v>
      </c>
      <c r="K7705" s="3" t="s">
        <v>150</v>
      </c>
    </row>
    <row r="7706" spans="1:11" ht="42" customHeight="1">
      <c r="A7706" s="2" t="s">
        <v>19710</v>
      </c>
      <c r="B7706" s="2" t="s">
        <v>19711</v>
      </c>
      <c r="C7706" s="2" t="s">
        <v>17</v>
      </c>
      <c r="D7706" s="2" t="s">
        <v>18</v>
      </c>
      <c r="E7706" s="4">
        <v>-32298</v>
      </c>
      <c r="F7706" s="3" t="s">
        <v>133</v>
      </c>
      <c r="G7706" s="3" t="s">
        <v>91</v>
      </c>
      <c r="H7706" s="2" t="s">
        <v>148</v>
      </c>
      <c r="I7706" s="2" t="s">
        <v>19712</v>
      </c>
      <c r="J7706" s="3" t="str">
        <f>HYPERLINK("https://www.boe.es/gazeta/dias/1811/07/27/pdfs/GEI-1811-98.pdf#page=1","Abrir facsímil")</f>
        <v>Abrir facsímil</v>
      </c>
      <c r="K7706" s="3" t="s">
        <v>150</v>
      </c>
    </row>
    <row r="7707" spans="1:11" ht="42" customHeight="1">
      <c r="A7707" s="2" t="s">
        <v>19713</v>
      </c>
      <c r="B7707" s="2" t="s">
        <v>19714</v>
      </c>
      <c r="C7707" s="2" t="s">
        <v>26</v>
      </c>
      <c r="D7707" s="2" t="s">
        <v>18</v>
      </c>
      <c r="E7707" s="4">
        <v>-32433</v>
      </c>
      <c r="F7707" s="3" t="s">
        <v>209</v>
      </c>
      <c r="G7707" s="3" t="s">
        <v>488</v>
      </c>
      <c r="H7707" s="2" t="s">
        <v>148</v>
      </c>
      <c r="I7707" s="2" t="s">
        <v>19715</v>
      </c>
      <c r="J7707" s="3" t="str">
        <f>HYPERLINK("https://www.boe.es/gazeta/dias/1811/03/14/pdfs/GMD-1811-73.pdf#page=2","Abrir facsímil")</f>
        <v>Abrir facsímil</v>
      </c>
      <c r="K7707" s="3" t="s">
        <v>150</v>
      </c>
    </row>
    <row r="7708" spans="1:11" ht="42" customHeight="1">
      <c r="A7708" s="2" t="s">
        <v>19716</v>
      </c>
      <c r="B7708" s="2" t="s">
        <v>19717</v>
      </c>
      <c r="C7708" s="2" t="s">
        <v>17</v>
      </c>
      <c r="D7708" s="2" t="s">
        <v>18</v>
      </c>
      <c r="E7708" s="4">
        <v>-32421</v>
      </c>
      <c r="F7708" s="3" t="s">
        <v>79</v>
      </c>
      <c r="G7708" s="3" t="s">
        <v>12177</v>
      </c>
      <c r="H7708" s="2" t="s">
        <v>148</v>
      </c>
      <c r="I7708" s="2" t="s">
        <v>19718</v>
      </c>
      <c r="J7708" s="3" t="str">
        <f>HYPERLINK("https://www.boe.es/gazeta/dias/1811/03/26/pdfs/GEI-1811-42.pdf#page=6","Abrir facsímil")</f>
        <v>Abrir facsímil</v>
      </c>
      <c r="K7708" s="3" t="s">
        <v>150</v>
      </c>
    </row>
    <row r="7709" spans="1:11" ht="42" customHeight="1">
      <c r="A7709" s="2" t="s">
        <v>19719</v>
      </c>
      <c r="B7709" s="2" t="s">
        <v>19720</v>
      </c>
      <c r="C7709" s="2" t="s">
        <v>26</v>
      </c>
      <c r="D7709" s="2" t="s">
        <v>18</v>
      </c>
      <c r="E7709" s="4">
        <v>-32188</v>
      </c>
      <c r="F7709" s="3" t="s">
        <v>356</v>
      </c>
      <c r="G7709" s="3" t="s">
        <v>248</v>
      </c>
      <c r="H7709" s="2" t="s">
        <v>148</v>
      </c>
      <c r="I7709" s="2" t="s">
        <v>19721</v>
      </c>
      <c r="J7709" s="3" t="str">
        <f>HYPERLINK("https://www.boe.es/gazeta/dias/1811/11/14/pdfs/GMD-1811-318.pdf#page=5","Abrir facsímil")</f>
        <v>Abrir facsímil</v>
      </c>
      <c r="K7709" s="3" t="s">
        <v>150</v>
      </c>
    </row>
    <row r="7710" spans="1:11" ht="42" customHeight="1">
      <c r="A7710" s="2" t="s">
        <v>19722</v>
      </c>
      <c r="B7710" s="2" t="s">
        <v>19722</v>
      </c>
      <c r="C7710" s="2" t="s">
        <v>17</v>
      </c>
      <c r="D7710" s="2" t="s">
        <v>18</v>
      </c>
      <c r="E7710" s="4">
        <v>-32328</v>
      </c>
      <c r="F7710" s="3" t="s">
        <v>1653</v>
      </c>
      <c r="G7710" s="3" t="s">
        <v>2555</v>
      </c>
      <c r="H7710" s="2" t="s">
        <v>148</v>
      </c>
      <c r="I7710" s="2" t="s">
        <v>19723</v>
      </c>
      <c r="J7710" s="3" t="str">
        <f>HYPERLINK("https://www.boe.es/gazeta/dias/1811/06/27/pdfs/GEI-1811-85.pdf#page=7","Abrir facsímil")</f>
        <v>Abrir facsímil</v>
      </c>
      <c r="K7710" s="3" t="s">
        <v>150</v>
      </c>
    </row>
    <row r="7711" spans="1:11" ht="42" customHeight="1">
      <c r="A7711" s="2" t="s">
        <v>19724</v>
      </c>
      <c r="B7711" s="2" t="s">
        <v>19725</v>
      </c>
      <c r="C7711" s="2" t="s">
        <v>26</v>
      </c>
      <c r="D7711" s="2" t="s">
        <v>18</v>
      </c>
      <c r="E7711" s="4">
        <v>-32153</v>
      </c>
      <c r="F7711" s="3" t="s">
        <v>123</v>
      </c>
      <c r="G7711" s="3" t="s">
        <v>1067</v>
      </c>
      <c r="H7711" s="2" t="s">
        <v>148</v>
      </c>
      <c r="I7711" s="2" t="s">
        <v>19726</v>
      </c>
      <c r="J7711" s="3" t="str">
        <f>HYPERLINK("https://www.boe.es/gazeta/dias/1811/12/19/pdfs/GMD-1811-353.pdf#page=5","Abrir facsímil")</f>
        <v>Abrir facsímil</v>
      </c>
      <c r="K7711" s="3" t="s">
        <v>150</v>
      </c>
    </row>
    <row r="7712" spans="1:11" ht="42" customHeight="1">
      <c r="A7712" s="2" t="s">
        <v>19727</v>
      </c>
      <c r="B7712" s="2" t="s">
        <v>19728</v>
      </c>
      <c r="C7712" s="2" t="s">
        <v>26</v>
      </c>
      <c r="D7712" s="2" t="s">
        <v>18</v>
      </c>
      <c r="E7712" s="4">
        <v>-32233</v>
      </c>
      <c r="F7712" s="3" t="s">
        <v>3504</v>
      </c>
      <c r="G7712" s="3" t="s">
        <v>19729</v>
      </c>
      <c r="H7712" s="2" t="s">
        <v>148</v>
      </c>
      <c r="I7712" s="2" t="s">
        <v>19730</v>
      </c>
      <c r="J7712" s="3" t="str">
        <f>HYPERLINK("https://www.boe.es/gazeta/dias/1811/09/30/pdfs/GMD-1811-273.pdf#page=2","Abrir facsímil")</f>
        <v>Abrir facsímil</v>
      </c>
      <c r="K7712" s="3" t="s">
        <v>150</v>
      </c>
    </row>
    <row r="7713" spans="1:11" ht="42" customHeight="1">
      <c r="A7713" s="2" t="s">
        <v>19731</v>
      </c>
      <c r="B7713" s="2" t="s">
        <v>19732</v>
      </c>
      <c r="C7713" s="2" t="s">
        <v>26</v>
      </c>
      <c r="D7713" s="2" t="s">
        <v>18</v>
      </c>
      <c r="E7713" s="4">
        <v>-32144</v>
      </c>
      <c r="F7713" s="3" t="s">
        <v>1097</v>
      </c>
      <c r="G7713" s="3" t="s">
        <v>1098</v>
      </c>
      <c r="H7713" s="2" t="s">
        <v>148</v>
      </c>
      <c r="I7713" s="2" t="s">
        <v>19733</v>
      </c>
      <c r="J7713" s="3" t="str">
        <f>HYPERLINK("https://www.boe.es/gazeta/dias/1811/12/28/pdfs/GEI-1811-168.pdf#page=8","Abrir facsímil")</f>
        <v>Abrir facsímil</v>
      </c>
      <c r="K7713" s="3" t="s">
        <v>150</v>
      </c>
    </row>
    <row r="7714" spans="1:11" ht="42" customHeight="1">
      <c r="A7714" s="2" t="s">
        <v>19734</v>
      </c>
      <c r="B7714" s="2" t="s">
        <v>19735</v>
      </c>
      <c r="C7714" s="2" t="s">
        <v>26</v>
      </c>
      <c r="D7714" s="2" t="s">
        <v>18</v>
      </c>
      <c r="E7714" s="4">
        <v>-32248</v>
      </c>
      <c r="F7714" s="3" t="s">
        <v>622</v>
      </c>
      <c r="G7714" s="3" t="s">
        <v>115</v>
      </c>
      <c r="H7714" s="2" t="s">
        <v>148</v>
      </c>
      <c r="I7714" s="2" t="s">
        <v>19736</v>
      </c>
      <c r="J7714" s="3" t="str">
        <f>HYPERLINK("https://www.boe.es/gazeta/dias/1811/09/15/pdfs/GMD-1811-258.pdf#page=3","Abrir facsímil")</f>
        <v>Abrir facsímil</v>
      </c>
      <c r="K7714" s="3" t="s">
        <v>150</v>
      </c>
    </row>
    <row r="7715" spans="1:11" ht="42" customHeight="1">
      <c r="A7715" s="2" t="s">
        <v>19737</v>
      </c>
      <c r="B7715" s="2" t="s">
        <v>19738</v>
      </c>
      <c r="C7715" s="2" t="s">
        <v>122</v>
      </c>
      <c r="D7715" s="2" t="s">
        <v>18</v>
      </c>
      <c r="E7715" s="4">
        <v>-32192</v>
      </c>
      <c r="F7715" s="3" t="s">
        <v>673</v>
      </c>
      <c r="G7715" s="3" t="s">
        <v>305</v>
      </c>
      <c r="H7715" s="2" t="s">
        <v>148</v>
      </c>
      <c r="I7715" s="2" t="s">
        <v>19739</v>
      </c>
      <c r="J7715" s="3" t="str">
        <f>HYPERLINK("https://www.boe.es/gazeta/dias/1811/11/10/pdfs/GMD-1811-314.pdf#page=4","Abrir facsímil")</f>
        <v>Abrir facsímil</v>
      </c>
      <c r="K7715" s="3" t="s">
        <v>150</v>
      </c>
    </row>
    <row r="7716" spans="1:11" ht="42" customHeight="1">
      <c r="A7716" s="2" t="s">
        <v>19740</v>
      </c>
      <c r="B7716" s="2" t="s">
        <v>19740</v>
      </c>
      <c r="C7716" s="2" t="s">
        <v>17</v>
      </c>
      <c r="D7716" s="2" t="s">
        <v>18</v>
      </c>
      <c r="E7716" s="4">
        <v>-32355</v>
      </c>
      <c r="F7716" s="3" t="s">
        <v>2342</v>
      </c>
      <c r="G7716" s="3" t="s">
        <v>178</v>
      </c>
      <c r="H7716" s="2" t="s">
        <v>148</v>
      </c>
      <c r="I7716" s="2" t="s">
        <v>19741</v>
      </c>
      <c r="J7716" s="3" t="str">
        <f>HYPERLINK("https://www.boe.es/gazeta/dias/1811/05/31/pdfs/GMD-1811-151.pdf#page=3","Abrir facsímil")</f>
        <v>Abrir facsímil</v>
      </c>
      <c r="K7716" s="3" t="s">
        <v>150</v>
      </c>
    </row>
    <row r="7717" spans="1:11" ht="42" customHeight="1">
      <c r="A7717" s="2" t="s">
        <v>19742</v>
      </c>
      <c r="B7717" s="2" t="s">
        <v>19742</v>
      </c>
      <c r="C7717" s="2" t="s">
        <v>84</v>
      </c>
      <c r="D7717" s="2" t="s">
        <v>18</v>
      </c>
      <c r="E7717" s="4">
        <v>-32351</v>
      </c>
      <c r="F7717" s="3" t="s">
        <v>2163</v>
      </c>
      <c r="G7717" s="3" t="s">
        <v>47</v>
      </c>
      <c r="H7717" s="2" t="s">
        <v>148</v>
      </c>
      <c r="I7717" s="2" t="s">
        <v>19743</v>
      </c>
      <c r="J7717" s="3" t="str">
        <f>HYPERLINK("https://www.boe.es/gazeta/dias/1811/06/04/pdfs/GEI-1811-75.pdf#page=5","Abrir facsímil")</f>
        <v>Abrir facsímil</v>
      </c>
      <c r="K7717" s="3" t="s">
        <v>150</v>
      </c>
    </row>
    <row r="7718" spans="1:11" ht="42" customHeight="1">
      <c r="A7718" s="2" t="s">
        <v>19744</v>
      </c>
      <c r="B7718" s="2" t="s">
        <v>19745</v>
      </c>
      <c r="C7718" s="2" t="s">
        <v>17</v>
      </c>
      <c r="D7718" s="2" t="s">
        <v>156</v>
      </c>
      <c r="E7718" s="4">
        <v>-32477</v>
      </c>
      <c r="F7718" s="3" t="s">
        <v>6777</v>
      </c>
      <c r="G7718" s="3" t="s">
        <v>488</v>
      </c>
      <c r="H7718" s="2" t="s">
        <v>148</v>
      </c>
      <c r="I7718" s="2" t="s">
        <v>19746</v>
      </c>
      <c r="J7718" s="3" t="str">
        <f>HYPERLINK("https://www.boe.es/gazeta/dias/1811/01/29/pdfs/GEI-1811-13.pdf#page=7","Abrir facsímil")</f>
        <v>Abrir facsímil</v>
      </c>
      <c r="K7718" s="3" t="s">
        <v>150</v>
      </c>
    </row>
    <row r="7719" spans="1:11" ht="42" customHeight="1">
      <c r="A7719" s="2" t="s">
        <v>19747</v>
      </c>
      <c r="B7719" s="2" t="s">
        <v>19747</v>
      </c>
      <c r="C7719" s="2" t="s">
        <v>17</v>
      </c>
      <c r="D7719" s="2" t="s">
        <v>156</v>
      </c>
      <c r="E7719" s="4">
        <v>-32494</v>
      </c>
      <c r="F7719" s="3" t="s">
        <v>3050</v>
      </c>
      <c r="G7719" s="3" t="s">
        <v>1710</v>
      </c>
      <c r="H7719" s="2" t="s">
        <v>148</v>
      </c>
      <c r="I7719" s="2" t="s">
        <v>19748</v>
      </c>
      <c r="J7719" s="3" t="str">
        <f>HYPERLINK("https://www.boe.es/gazeta/dias/1811/01/12/pdfs/GEI-1811-6.pdf#page=4","Abrir facsímil")</f>
        <v>Abrir facsímil</v>
      </c>
      <c r="K7719" s="3" t="s">
        <v>150</v>
      </c>
    </row>
    <row r="7720" spans="1:11" ht="42" customHeight="1">
      <c r="A7720" s="2" t="s">
        <v>19747</v>
      </c>
      <c r="B7720" s="2" t="s">
        <v>19747</v>
      </c>
      <c r="C7720" s="2" t="s">
        <v>17</v>
      </c>
      <c r="D7720" s="2" t="s">
        <v>18</v>
      </c>
      <c r="E7720" s="4">
        <v>-32494</v>
      </c>
      <c r="F7720" s="3" t="s">
        <v>3050</v>
      </c>
      <c r="G7720" s="3" t="s">
        <v>62</v>
      </c>
      <c r="H7720" s="2" t="s">
        <v>148</v>
      </c>
      <c r="I7720" s="2" t="s">
        <v>19749</v>
      </c>
      <c r="J7720" s="3" t="str">
        <f>HYPERLINK("https://www.boe.es/gazeta/dias/1811/01/12/pdfs/GEI-1811-6.pdf#page=5","Abrir facsímil")</f>
        <v>Abrir facsímil</v>
      </c>
      <c r="K7720" s="3" t="s">
        <v>150</v>
      </c>
    </row>
    <row r="7721" spans="1:11" ht="42" customHeight="1">
      <c r="A7721" s="2" t="s">
        <v>19747</v>
      </c>
      <c r="B7721" s="2" t="s">
        <v>19747</v>
      </c>
      <c r="C7721" s="2" t="s">
        <v>17</v>
      </c>
      <c r="D7721" s="2" t="s">
        <v>18</v>
      </c>
      <c r="E7721" s="4">
        <v>-32377</v>
      </c>
      <c r="F7721" s="3" t="s">
        <v>6097</v>
      </c>
      <c r="G7721" s="3" t="s">
        <v>15349</v>
      </c>
      <c r="H7721" s="2" t="s">
        <v>148</v>
      </c>
      <c r="I7721" s="2" t="s">
        <v>19750</v>
      </c>
      <c r="J7721" s="3" t="str">
        <f>HYPERLINK("https://www.boe.es/gazeta/dias/1811/05/09/pdfs/GEI-1811-61.pdf#page=6","Abrir facsímil")</f>
        <v>Abrir facsímil</v>
      </c>
      <c r="K7721" s="3" t="s">
        <v>150</v>
      </c>
    </row>
    <row r="7722" spans="1:11" ht="42" customHeight="1">
      <c r="A7722" s="2" t="s">
        <v>19747</v>
      </c>
      <c r="B7722" s="2" t="s">
        <v>19747</v>
      </c>
      <c r="C7722" s="2" t="s">
        <v>17</v>
      </c>
      <c r="D7722" s="2" t="s">
        <v>156</v>
      </c>
      <c r="E7722" s="4">
        <v>-32249</v>
      </c>
      <c r="F7722" s="3" t="s">
        <v>5222</v>
      </c>
      <c r="G7722" s="3" t="s">
        <v>561</v>
      </c>
      <c r="H7722" s="2" t="s">
        <v>148</v>
      </c>
      <c r="I7722" s="2" t="s">
        <v>19751</v>
      </c>
      <c r="J7722" s="3" t="str">
        <f>HYPERLINK("https://www.boe.es/gazeta/dias/1811/09/14/pdfs/GEI-D-1811-119.pdf#page=4","Abrir facsímil")</f>
        <v>Abrir facsímil</v>
      </c>
      <c r="K7722" s="3" t="s">
        <v>150</v>
      </c>
    </row>
    <row r="7723" spans="1:11" ht="42" customHeight="1">
      <c r="A7723" s="2" t="s">
        <v>19752</v>
      </c>
      <c r="B7723" s="2" t="s">
        <v>19753</v>
      </c>
      <c r="C7723" s="2" t="s">
        <v>17</v>
      </c>
      <c r="D7723" s="2" t="s">
        <v>18</v>
      </c>
      <c r="E7723" s="4">
        <v>-32447</v>
      </c>
      <c r="F7723" s="3" t="s">
        <v>3655</v>
      </c>
      <c r="G7723" s="3" t="s">
        <v>476</v>
      </c>
      <c r="H7723" s="2" t="s">
        <v>21</v>
      </c>
      <c r="I7723" s="2" t="s">
        <v>19754</v>
      </c>
      <c r="J7723" s="3" t="str">
        <f>HYPERLINK("https://www.boe.es/gazeta/dias/1811/02/28/pdfs/GEI-1811-26.pdf#page=7","Abrir facsímil")</f>
        <v>Abrir facsímil</v>
      </c>
      <c r="K7723" s="3" t="s">
        <v>23</v>
      </c>
    </row>
    <row r="7724" spans="1:11" ht="42" customHeight="1">
      <c r="A7724" s="2" t="s">
        <v>19755</v>
      </c>
      <c r="B7724" s="2" t="s">
        <v>19756</v>
      </c>
      <c r="C7724" s="2" t="s">
        <v>17</v>
      </c>
      <c r="D7724" s="2" t="s">
        <v>18</v>
      </c>
      <c r="E7724" s="4">
        <v>-32477</v>
      </c>
      <c r="F7724" s="3" t="s">
        <v>6777</v>
      </c>
      <c r="G7724" s="3" t="s">
        <v>510</v>
      </c>
      <c r="H7724" s="2" t="s">
        <v>148</v>
      </c>
      <c r="I7724" s="2" t="s">
        <v>19757</v>
      </c>
      <c r="J7724" s="3" t="str">
        <f>HYPERLINK("https://www.boe.es/gazeta/dias/1811/01/29/pdfs/GEI-1811-13.pdf#page=8","Abrir facsímil")</f>
        <v>Abrir facsímil</v>
      </c>
      <c r="K7724" s="3" t="s">
        <v>150</v>
      </c>
    </row>
    <row r="7725" spans="1:11" ht="42" customHeight="1">
      <c r="A7725" s="2" t="s">
        <v>19758</v>
      </c>
      <c r="B7725" s="2" t="s">
        <v>19759</v>
      </c>
      <c r="C7725" s="2" t="s">
        <v>37</v>
      </c>
      <c r="D7725" s="2" t="s">
        <v>156</v>
      </c>
      <c r="E7725" s="4">
        <v>-32454</v>
      </c>
      <c r="F7725" s="3" t="s">
        <v>2268</v>
      </c>
      <c r="G7725" s="3" t="s">
        <v>5554</v>
      </c>
      <c r="H7725" s="2" t="s">
        <v>148</v>
      </c>
      <c r="I7725" s="2" t="s">
        <v>19760</v>
      </c>
      <c r="J7725" s="3" t="str">
        <f>HYPERLINK("https://www.boe.es/gazeta/dias/1811/02/21/pdfs/GEI-1811-23.pdf#page=3","Abrir facsímil")</f>
        <v>Abrir facsímil</v>
      </c>
      <c r="K7725" s="3" t="s">
        <v>150</v>
      </c>
    </row>
    <row r="7726" spans="1:11" ht="42" customHeight="1">
      <c r="A7726" s="2" t="s">
        <v>19761</v>
      </c>
      <c r="B7726" s="2" t="s">
        <v>19761</v>
      </c>
      <c r="C7726" s="2" t="s">
        <v>17</v>
      </c>
      <c r="D7726" s="2" t="s">
        <v>18</v>
      </c>
      <c r="E7726" s="4">
        <v>-32418</v>
      </c>
      <c r="F7726" s="3" t="s">
        <v>9181</v>
      </c>
      <c r="G7726" s="3" t="s">
        <v>468</v>
      </c>
      <c r="H7726" s="2" t="s">
        <v>148</v>
      </c>
      <c r="I7726" s="2" t="s">
        <v>19762</v>
      </c>
      <c r="J7726" s="3" t="str">
        <f>HYPERLINK("https://www.boe.es/gazeta/dias/1811/03/29/pdfs/GMD-1811-88.pdf#page=1","Abrir facsímil")</f>
        <v>Abrir facsímil</v>
      </c>
      <c r="K7726" s="3" t="s">
        <v>150</v>
      </c>
    </row>
    <row r="7727" spans="1:11" ht="42" customHeight="1">
      <c r="A7727" s="2" t="s">
        <v>19761</v>
      </c>
      <c r="B7727" s="2" t="s">
        <v>19761</v>
      </c>
      <c r="C7727" s="2" t="s">
        <v>17</v>
      </c>
      <c r="D7727" s="2" t="s">
        <v>18</v>
      </c>
      <c r="E7727" s="4">
        <v>-32226</v>
      </c>
      <c r="F7727" s="3" t="s">
        <v>618</v>
      </c>
      <c r="G7727" s="3" t="s">
        <v>248</v>
      </c>
      <c r="H7727" s="2" t="s">
        <v>148</v>
      </c>
      <c r="I7727" s="2" t="s">
        <v>19763</v>
      </c>
      <c r="J7727" s="3" t="str">
        <f>HYPERLINK("https://www.boe.es/gazeta/dias/1811/10/07/pdfs/GMD-1811-280.pdf#page=1","Abrir facsímil")</f>
        <v>Abrir facsímil</v>
      </c>
      <c r="K7727" s="3" t="s">
        <v>150</v>
      </c>
    </row>
    <row r="7728" spans="1:11" ht="42" customHeight="1">
      <c r="A7728" s="2" t="s">
        <v>19764</v>
      </c>
      <c r="B7728" s="2" t="s">
        <v>19764</v>
      </c>
      <c r="C7728" s="2" t="s">
        <v>17</v>
      </c>
      <c r="D7728" s="2" t="s">
        <v>18</v>
      </c>
      <c r="E7728" s="4">
        <v>-32242</v>
      </c>
      <c r="F7728" s="3" t="s">
        <v>3015</v>
      </c>
      <c r="G7728" s="3" t="s">
        <v>3016</v>
      </c>
      <c r="H7728" s="2" t="s">
        <v>148</v>
      </c>
      <c r="I7728" s="2" t="s">
        <v>19765</v>
      </c>
      <c r="J7728" s="3" t="str">
        <f>HYPERLINK("https://www.boe.es/gazeta/dias/1811/09/21/pdfs/GMD-1811-264.pdf#page=2","Abrir facsímil")</f>
        <v>Abrir facsímil</v>
      </c>
      <c r="K7728" s="3" t="s">
        <v>150</v>
      </c>
    </row>
    <row r="7729" spans="1:11" ht="42" customHeight="1">
      <c r="A7729" s="2" t="s">
        <v>19766</v>
      </c>
      <c r="B7729" s="2" t="s">
        <v>19766</v>
      </c>
      <c r="C7729" s="2" t="s">
        <v>17</v>
      </c>
      <c r="D7729" s="2" t="s">
        <v>18</v>
      </c>
      <c r="E7729" s="4">
        <v>-32495</v>
      </c>
      <c r="F7729" s="3" t="s">
        <v>1681</v>
      </c>
      <c r="G7729" s="3" t="s">
        <v>39</v>
      </c>
      <c r="H7729" s="2" t="s">
        <v>148</v>
      </c>
      <c r="I7729" s="2" t="s">
        <v>19767</v>
      </c>
      <c r="J7729" s="3" t="str">
        <f>HYPERLINK("https://www.boe.es/gazeta/dias/1811/01/11/pdfs/GMD-1811-11.pdf#page=1","Abrir facsímil")</f>
        <v>Abrir facsímil</v>
      </c>
      <c r="K7729" s="3" t="s">
        <v>150</v>
      </c>
    </row>
    <row r="7730" spans="1:11" ht="42" customHeight="1">
      <c r="A7730" s="2" t="s">
        <v>19766</v>
      </c>
      <c r="B7730" s="2" t="s">
        <v>19766</v>
      </c>
      <c r="C7730" s="2" t="s">
        <v>17</v>
      </c>
      <c r="D7730" s="2" t="s">
        <v>18</v>
      </c>
      <c r="E7730" s="4">
        <v>-32494</v>
      </c>
      <c r="F7730" s="3" t="s">
        <v>585</v>
      </c>
      <c r="G7730" s="3" t="s">
        <v>6444</v>
      </c>
      <c r="H7730" s="2" t="s">
        <v>148</v>
      </c>
      <c r="I7730" s="2" t="s">
        <v>19768</v>
      </c>
      <c r="J7730" s="3" t="str">
        <f>HYPERLINK("https://www.boe.es/gazeta/dias/1811/01/12/pdfs/GMD-1811-12.pdf#page=1","Abrir facsímil")</f>
        <v>Abrir facsímil</v>
      </c>
      <c r="K7730" s="3" t="s">
        <v>150</v>
      </c>
    </row>
    <row r="7731" spans="1:11" ht="42" customHeight="1">
      <c r="A7731" s="2" t="s">
        <v>19766</v>
      </c>
      <c r="B7731" s="2" t="s">
        <v>19766</v>
      </c>
      <c r="C7731" s="2" t="s">
        <v>17</v>
      </c>
      <c r="D7731" s="2" t="s">
        <v>18</v>
      </c>
      <c r="E7731" s="4">
        <v>-32465</v>
      </c>
      <c r="F7731" s="3" t="s">
        <v>4414</v>
      </c>
      <c r="G7731" s="3" t="s">
        <v>515</v>
      </c>
      <c r="H7731" s="2" t="s">
        <v>148</v>
      </c>
      <c r="I7731" s="2" t="s">
        <v>19769</v>
      </c>
      <c r="J7731" s="3" t="str">
        <f>HYPERLINK("https://www.boe.es/gazeta/dias/1811/02/10/pdfs/GMD-1811-41.pdf#page=1","Abrir facsímil")</f>
        <v>Abrir facsímil</v>
      </c>
      <c r="K7731" s="3" t="s">
        <v>150</v>
      </c>
    </row>
    <row r="7732" spans="1:11" ht="42" customHeight="1">
      <c r="A7732" s="2" t="s">
        <v>19766</v>
      </c>
      <c r="B7732" s="2" t="s">
        <v>19766</v>
      </c>
      <c r="C7732" s="2" t="s">
        <v>17</v>
      </c>
      <c r="D7732" s="2" t="s">
        <v>204</v>
      </c>
      <c r="E7732" s="4">
        <v>-32437</v>
      </c>
      <c r="F7732" s="3" t="s">
        <v>4063</v>
      </c>
      <c r="G7732" s="3" t="s">
        <v>20</v>
      </c>
      <c r="H7732" s="2" t="s">
        <v>148</v>
      </c>
      <c r="I7732" s="2" t="s">
        <v>19770</v>
      </c>
      <c r="J7732" s="3" t="str">
        <f>HYPERLINK("https://www.boe.es/gazeta/dias/1811/03/10/pdfs/GMD-1811-69.pdf#page=2","Abrir facsímil")</f>
        <v>Abrir facsímil</v>
      </c>
      <c r="K7732" s="3" t="s">
        <v>150</v>
      </c>
    </row>
    <row r="7733" spans="1:11" ht="42" customHeight="1">
      <c r="A7733" s="2" t="s">
        <v>19766</v>
      </c>
      <c r="B7733" s="2" t="s">
        <v>19766</v>
      </c>
      <c r="C7733" s="2" t="s">
        <v>17</v>
      </c>
      <c r="D7733" s="2" t="s">
        <v>156</v>
      </c>
      <c r="E7733" s="4">
        <v>-32434</v>
      </c>
      <c r="F7733" s="3" t="s">
        <v>1932</v>
      </c>
      <c r="G7733" s="3" t="s">
        <v>305</v>
      </c>
      <c r="H7733" s="2" t="s">
        <v>148</v>
      </c>
      <c r="I7733" s="2" t="s">
        <v>19771</v>
      </c>
      <c r="J7733" s="3" t="str">
        <f>HYPERLINK("https://www.boe.es/gazeta/dias/1811/03/13/pdfs/GMD-1811-72.pdf#page=1","Abrir facsímil")</f>
        <v>Abrir facsímil</v>
      </c>
      <c r="K7733" s="3" t="s">
        <v>150</v>
      </c>
    </row>
    <row r="7734" spans="1:11" ht="42" customHeight="1">
      <c r="A7734" s="2" t="s">
        <v>19766</v>
      </c>
      <c r="B7734" s="2" t="s">
        <v>19766</v>
      </c>
      <c r="C7734" s="2" t="s">
        <v>17</v>
      </c>
      <c r="D7734" s="2" t="s">
        <v>18</v>
      </c>
      <c r="E7734" s="4">
        <v>-32419</v>
      </c>
      <c r="F7734" s="3" t="s">
        <v>5133</v>
      </c>
      <c r="G7734" s="3" t="s">
        <v>582</v>
      </c>
      <c r="H7734" s="2" t="s">
        <v>148</v>
      </c>
      <c r="I7734" s="2" t="s">
        <v>19772</v>
      </c>
      <c r="J7734" s="3" t="str">
        <f>HYPERLINK("https://www.boe.es/gazeta/dias/1811/03/28/pdfs/GMD-1811-87.pdf#page=1","Abrir facsímil")</f>
        <v>Abrir facsímil</v>
      </c>
      <c r="K7734" s="3" t="s">
        <v>150</v>
      </c>
    </row>
    <row r="7735" spans="1:11" ht="42" customHeight="1">
      <c r="A7735" s="2" t="s">
        <v>19766</v>
      </c>
      <c r="B7735" s="2" t="s">
        <v>19766</v>
      </c>
      <c r="C7735" s="2" t="s">
        <v>17</v>
      </c>
      <c r="D7735" s="2" t="s">
        <v>156</v>
      </c>
      <c r="E7735" s="4">
        <v>-32381</v>
      </c>
      <c r="F7735" s="3" t="s">
        <v>1698</v>
      </c>
      <c r="G7735" s="3" t="s">
        <v>12649</v>
      </c>
      <c r="H7735" s="2" t="s">
        <v>148</v>
      </c>
      <c r="I7735" s="2" t="s">
        <v>19773</v>
      </c>
      <c r="J7735" s="3" t="str">
        <f>HYPERLINK("https://www.boe.es/gazeta/dias/1811/05/05/pdfs/GMD-1811-125.pdf#page=1","Abrir facsímil")</f>
        <v>Abrir facsímil</v>
      </c>
      <c r="K7735" s="3" t="s">
        <v>150</v>
      </c>
    </row>
    <row r="7736" spans="1:11" ht="42" customHeight="1">
      <c r="A7736" s="2" t="s">
        <v>19766</v>
      </c>
      <c r="B7736" s="2" t="s">
        <v>19766</v>
      </c>
      <c r="C7736" s="2" t="s">
        <v>17</v>
      </c>
      <c r="D7736" s="2" t="s">
        <v>18</v>
      </c>
      <c r="E7736" s="4">
        <v>-32337</v>
      </c>
      <c r="F7736" s="3" t="s">
        <v>786</v>
      </c>
      <c r="G7736" s="3" t="s">
        <v>787</v>
      </c>
      <c r="H7736" s="2" t="s">
        <v>148</v>
      </c>
      <c r="I7736" s="2" t="s">
        <v>19774</v>
      </c>
      <c r="J7736" s="3" t="str">
        <f>HYPERLINK("https://www.boe.es/gazeta/dias/1811/06/18/pdfs/GMD-1811-169.pdf#page=1","Abrir facsímil")</f>
        <v>Abrir facsímil</v>
      </c>
      <c r="K7736" s="3" t="s">
        <v>150</v>
      </c>
    </row>
    <row r="7737" spans="1:11" ht="42" customHeight="1">
      <c r="A7737" s="2" t="s">
        <v>19766</v>
      </c>
      <c r="B7737" s="2" t="s">
        <v>19766</v>
      </c>
      <c r="C7737" s="2" t="s">
        <v>17</v>
      </c>
      <c r="D7737" s="2" t="s">
        <v>18</v>
      </c>
      <c r="E7737" s="4">
        <v>-32305</v>
      </c>
      <c r="F7737" s="3" t="s">
        <v>12656</v>
      </c>
      <c r="G7737" s="3" t="s">
        <v>12772</v>
      </c>
      <c r="H7737" s="2" t="s">
        <v>148</v>
      </c>
      <c r="I7737" s="2" t="s">
        <v>19775</v>
      </c>
      <c r="J7737" s="3" t="str">
        <f>HYPERLINK("https://www.boe.es/gazeta/dias/1811/07/20/pdfs/GMD-1811-201.pdf#page=1","Abrir facsímil")</f>
        <v>Abrir facsímil</v>
      </c>
      <c r="K7737" s="3" t="s">
        <v>150</v>
      </c>
    </row>
    <row r="7738" spans="1:11" ht="42" customHeight="1">
      <c r="A7738" s="2" t="s">
        <v>19766</v>
      </c>
      <c r="B7738" s="2" t="s">
        <v>19766</v>
      </c>
      <c r="C7738" s="2" t="s">
        <v>17</v>
      </c>
      <c r="D7738" s="2" t="s">
        <v>18</v>
      </c>
      <c r="E7738" s="4">
        <v>-32245</v>
      </c>
      <c r="F7738" s="3" t="s">
        <v>6296</v>
      </c>
      <c r="G7738" s="3" t="s">
        <v>1384</v>
      </c>
      <c r="H7738" s="2" t="s">
        <v>148</v>
      </c>
      <c r="I7738" s="2" t="s">
        <v>19776</v>
      </c>
      <c r="J7738" s="3" t="str">
        <f>HYPERLINK("https://www.boe.es/gazeta/dias/1811/09/18/pdfs/GMD-1811-261.pdf#page=1","Abrir facsímil")</f>
        <v>Abrir facsímil</v>
      </c>
      <c r="K7738" s="3" t="s">
        <v>150</v>
      </c>
    </row>
    <row r="7739" spans="1:11" ht="42" customHeight="1">
      <c r="A7739" s="2" t="s">
        <v>19766</v>
      </c>
      <c r="B7739" s="2" t="s">
        <v>19766</v>
      </c>
      <c r="C7739" s="2" t="s">
        <v>17</v>
      </c>
      <c r="D7739" s="2" t="s">
        <v>156</v>
      </c>
      <c r="E7739" s="4">
        <v>-32240</v>
      </c>
      <c r="F7739" s="3" t="s">
        <v>2753</v>
      </c>
      <c r="G7739" s="3" t="s">
        <v>669</v>
      </c>
      <c r="H7739" s="2" t="s">
        <v>148</v>
      </c>
      <c r="I7739" s="2" t="s">
        <v>19777</v>
      </c>
      <c r="J7739" s="3" t="str">
        <f>HYPERLINK("https://www.boe.es/gazeta/dias/1811/09/23/pdfs/GMD-1811-266.pdf#page=1","Abrir facsímil")</f>
        <v>Abrir facsímil</v>
      </c>
      <c r="K7739" s="3" t="s">
        <v>150</v>
      </c>
    </row>
    <row r="7740" spans="1:11" ht="42" customHeight="1">
      <c r="A7740" s="2" t="s">
        <v>19766</v>
      </c>
      <c r="B7740" s="2" t="s">
        <v>19766</v>
      </c>
      <c r="C7740" s="2" t="s">
        <v>17</v>
      </c>
      <c r="D7740" s="2" t="s">
        <v>18</v>
      </c>
      <c r="E7740" s="4">
        <v>-32240</v>
      </c>
      <c r="F7740" s="3" t="s">
        <v>2753</v>
      </c>
      <c r="G7740" s="3" t="s">
        <v>778</v>
      </c>
      <c r="H7740" s="2" t="s">
        <v>148</v>
      </c>
      <c r="I7740" s="2" t="s">
        <v>19778</v>
      </c>
      <c r="J7740" s="3" t="str">
        <f>HYPERLINK("https://www.boe.es/gazeta/dias/1811/09/23/pdfs/GMD-1811-266.pdf#page=2","Abrir facsímil")</f>
        <v>Abrir facsímil</v>
      </c>
      <c r="K7740" s="3" t="s">
        <v>150</v>
      </c>
    </row>
    <row r="7741" spans="1:11" ht="42" customHeight="1">
      <c r="A7741" s="2" t="s">
        <v>19766</v>
      </c>
      <c r="B7741" s="2" t="s">
        <v>19766</v>
      </c>
      <c r="C7741" s="2" t="s">
        <v>17</v>
      </c>
      <c r="D7741" s="2" t="s">
        <v>156</v>
      </c>
      <c r="E7741" s="4">
        <v>-32229</v>
      </c>
      <c r="F7741" s="3" t="s">
        <v>2523</v>
      </c>
      <c r="G7741" s="3" t="s">
        <v>3891</v>
      </c>
      <c r="H7741" s="2" t="s">
        <v>148</v>
      </c>
      <c r="I7741" s="2" t="s">
        <v>19779</v>
      </c>
      <c r="J7741" s="3" t="str">
        <f>HYPERLINK("https://www.boe.es/gazeta/dias/1811/10/04/pdfs/GMD-1811-277.pdf#page=1","Abrir facsímil")</f>
        <v>Abrir facsímil</v>
      </c>
      <c r="K7741" s="3" t="s">
        <v>150</v>
      </c>
    </row>
    <row r="7742" spans="1:11" ht="42" customHeight="1">
      <c r="A7742" s="2" t="s">
        <v>19766</v>
      </c>
      <c r="B7742" s="2" t="s">
        <v>19766</v>
      </c>
      <c r="C7742" s="2" t="s">
        <v>17</v>
      </c>
      <c r="D7742" s="2" t="s">
        <v>156</v>
      </c>
      <c r="E7742" s="4">
        <v>-32225</v>
      </c>
      <c r="F7742" s="3" t="s">
        <v>2347</v>
      </c>
      <c r="G7742" s="3" t="s">
        <v>44</v>
      </c>
      <c r="H7742" s="2" t="s">
        <v>148</v>
      </c>
      <c r="I7742" s="2" t="s">
        <v>19780</v>
      </c>
      <c r="J7742" s="3" t="str">
        <f>HYPERLINK("https://www.boe.es/gazeta/dias/1811/10/08/pdfs/GMD-1811-281.pdf#page=1","Abrir facsímil")</f>
        <v>Abrir facsímil</v>
      </c>
      <c r="K7742" s="3" t="s">
        <v>150</v>
      </c>
    </row>
    <row r="7743" spans="1:11" ht="42" customHeight="1">
      <c r="A7743" s="2" t="s">
        <v>19766</v>
      </c>
      <c r="B7743" s="2" t="s">
        <v>19766</v>
      </c>
      <c r="C7743" s="2" t="s">
        <v>37</v>
      </c>
      <c r="D7743" s="2" t="s">
        <v>156</v>
      </c>
      <c r="E7743" s="4">
        <v>-32219</v>
      </c>
      <c r="F7743" s="3" t="s">
        <v>2681</v>
      </c>
      <c r="G7743" s="3" t="s">
        <v>12783</v>
      </c>
      <c r="H7743" s="2" t="s">
        <v>148</v>
      </c>
      <c r="I7743" s="2" t="s">
        <v>19781</v>
      </c>
      <c r="J7743" s="3" t="str">
        <f>HYPERLINK("https://www.boe.es/gazeta/dias/1811/10/14/pdfs/GMD-1811-287.pdf#page=1","Abrir facsímil")</f>
        <v>Abrir facsímil</v>
      </c>
      <c r="K7743" s="3" t="s">
        <v>150</v>
      </c>
    </row>
    <row r="7744" spans="1:11" ht="42" customHeight="1">
      <c r="A7744" s="2" t="s">
        <v>19766</v>
      </c>
      <c r="B7744" s="2" t="s">
        <v>19766</v>
      </c>
      <c r="C7744" s="2" t="s">
        <v>17</v>
      </c>
      <c r="D7744" s="2" t="s">
        <v>156</v>
      </c>
      <c r="E7744" s="4">
        <v>-32211</v>
      </c>
      <c r="F7744" s="3" t="s">
        <v>1230</v>
      </c>
      <c r="G7744" s="3" t="s">
        <v>4628</v>
      </c>
      <c r="H7744" s="2" t="s">
        <v>148</v>
      </c>
      <c r="I7744" s="2" t="s">
        <v>19782</v>
      </c>
      <c r="J7744" s="3" t="str">
        <f>HYPERLINK("https://www.boe.es/gazeta/dias/1811/10/22/pdfs/GMD-1811-295.pdf#page=1","Abrir facsímil")</f>
        <v>Abrir facsímil</v>
      </c>
      <c r="K7744" s="3" t="s">
        <v>150</v>
      </c>
    </row>
    <row r="7745" spans="1:11" ht="42" customHeight="1">
      <c r="A7745" s="2" t="s">
        <v>19766</v>
      </c>
      <c r="B7745" s="2" t="s">
        <v>19766</v>
      </c>
      <c r="C7745" s="2" t="s">
        <v>17</v>
      </c>
      <c r="D7745" s="2" t="s">
        <v>18</v>
      </c>
      <c r="E7745" s="4">
        <v>-32203</v>
      </c>
      <c r="F7745" s="3" t="s">
        <v>8645</v>
      </c>
      <c r="G7745" s="3" t="s">
        <v>47</v>
      </c>
      <c r="H7745" s="2" t="s">
        <v>148</v>
      </c>
      <c r="I7745" s="2" t="s">
        <v>19783</v>
      </c>
      <c r="J7745" s="3" t="str">
        <f>HYPERLINK("https://www.boe.es/gazeta/dias/1811/10/30/pdfs/GMD-1811-303.pdf#page=1","Abrir facsímil")</f>
        <v>Abrir facsímil</v>
      </c>
      <c r="K7745" s="3" t="s">
        <v>150</v>
      </c>
    </row>
    <row r="7746" spans="1:11" ht="42" customHeight="1">
      <c r="A7746" s="2" t="s">
        <v>19766</v>
      </c>
      <c r="B7746" s="2" t="s">
        <v>19766</v>
      </c>
      <c r="C7746" s="2" t="s">
        <v>37</v>
      </c>
      <c r="D7746" s="2" t="s">
        <v>156</v>
      </c>
      <c r="E7746" s="4">
        <v>-32183</v>
      </c>
      <c r="F7746" s="3" t="s">
        <v>5972</v>
      </c>
      <c r="G7746" s="3" t="s">
        <v>47</v>
      </c>
      <c r="H7746" s="2" t="s">
        <v>148</v>
      </c>
      <c r="I7746" s="2" t="s">
        <v>19784</v>
      </c>
      <c r="J7746" s="3" t="str">
        <f>HYPERLINK("https://www.boe.es/gazeta/dias/1811/11/19/pdfs/GMD-1811-323.pdf#page=1","Abrir facsímil")</f>
        <v>Abrir facsímil</v>
      </c>
      <c r="K7746" s="3" t="s">
        <v>150</v>
      </c>
    </row>
    <row r="7747" spans="1:11" ht="42" customHeight="1">
      <c r="A7747" s="2" t="s">
        <v>19766</v>
      </c>
      <c r="B7747" s="2" t="s">
        <v>19766</v>
      </c>
      <c r="C7747" s="2" t="s">
        <v>17</v>
      </c>
      <c r="D7747" s="2" t="s">
        <v>18</v>
      </c>
      <c r="E7747" s="4">
        <v>-32180</v>
      </c>
      <c r="F7747" s="3" t="s">
        <v>9096</v>
      </c>
      <c r="G7747" s="3" t="s">
        <v>875</v>
      </c>
      <c r="H7747" s="2" t="s">
        <v>148</v>
      </c>
      <c r="I7747" s="2" t="s">
        <v>19785</v>
      </c>
      <c r="J7747" s="3" t="str">
        <f>HYPERLINK("https://www.boe.es/gazeta/dias/1811/11/22/pdfs/GMD-1811-326.pdf#page=2","Abrir facsímil")</f>
        <v>Abrir facsímil</v>
      </c>
      <c r="K7747" s="3" t="s">
        <v>150</v>
      </c>
    </row>
    <row r="7748" spans="1:11" ht="42" customHeight="1">
      <c r="A7748" s="2" t="s">
        <v>19766</v>
      </c>
      <c r="B7748" s="2" t="s">
        <v>19766</v>
      </c>
      <c r="C7748" s="2" t="s">
        <v>17</v>
      </c>
      <c r="D7748" s="2" t="s">
        <v>156</v>
      </c>
      <c r="E7748" s="4">
        <v>-32176</v>
      </c>
      <c r="F7748" s="3" t="s">
        <v>333</v>
      </c>
      <c r="G7748" s="3" t="s">
        <v>67</v>
      </c>
      <c r="H7748" s="2" t="s">
        <v>148</v>
      </c>
      <c r="I7748" s="2" t="s">
        <v>19786</v>
      </c>
      <c r="J7748" s="3" t="str">
        <f>HYPERLINK("https://www.boe.es/gazeta/dias/1811/11/26/pdfs/GMD-1811-330.pdf#page=2","Abrir facsímil")</f>
        <v>Abrir facsímil</v>
      </c>
      <c r="K7748" s="3" t="s">
        <v>150</v>
      </c>
    </row>
    <row r="7749" spans="1:11" ht="42" customHeight="1">
      <c r="A7749" s="2" t="s">
        <v>19766</v>
      </c>
      <c r="B7749" s="2" t="s">
        <v>19766</v>
      </c>
      <c r="C7749" s="2" t="s">
        <v>17</v>
      </c>
      <c r="D7749" s="2" t="s">
        <v>18</v>
      </c>
      <c r="E7749" s="4">
        <v>-32153</v>
      </c>
      <c r="F7749" s="3" t="s">
        <v>123</v>
      </c>
      <c r="G7749" s="3" t="s">
        <v>12768</v>
      </c>
      <c r="H7749" s="2" t="s">
        <v>148</v>
      </c>
      <c r="I7749" s="2" t="s">
        <v>19787</v>
      </c>
      <c r="J7749" s="3" t="str">
        <f>HYPERLINK("https://www.boe.es/gazeta/dias/1811/12/19/pdfs/GMD-1811-353.pdf#page=1","Abrir facsímil")</f>
        <v>Abrir facsímil</v>
      </c>
      <c r="K7749" s="3" t="s">
        <v>150</v>
      </c>
    </row>
    <row r="7750" spans="1:11" ht="42" customHeight="1">
      <c r="A7750" s="2" t="s">
        <v>19788</v>
      </c>
      <c r="B7750" s="2" t="s">
        <v>19789</v>
      </c>
      <c r="C7750" s="2" t="s">
        <v>104</v>
      </c>
      <c r="D7750" s="2" t="s">
        <v>18</v>
      </c>
      <c r="E7750" s="4">
        <v>-32447</v>
      </c>
      <c r="F7750" s="3" t="s">
        <v>665</v>
      </c>
      <c r="G7750" s="3" t="s">
        <v>57</v>
      </c>
      <c r="H7750" s="2" t="s">
        <v>148</v>
      </c>
      <c r="I7750" s="2" t="s">
        <v>19790</v>
      </c>
      <c r="J7750" s="3" t="str">
        <f>HYPERLINK("https://www.boe.es/gazeta/dias/1811/02/28/pdfs/GMD-1811-59.pdf#page=2","Abrir facsímil")</f>
        <v>Abrir facsímil</v>
      </c>
      <c r="K7750" s="3" t="s">
        <v>150</v>
      </c>
    </row>
    <row r="7751" spans="1:11" ht="42" customHeight="1">
      <c r="A7751" s="2" t="s">
        <v>19791</v>
      </c>
      <c r="B7751" s="2" t="s">
        <v>19792</v>
      </c>
      <c r="C7751" s="2" t="s">
        <v>26</v>
      </c>
      <c r="D7751" s="2" t="s">
        <v>141</v>
      </c>
      <c r="E7751" s="4">
        <v>-32396</v>
      </c>
      <c r="F7751" s="3" t="s">
        <v>804</v>
      </c>
      <c r="G7751" s="3" t="s">
        <v>805</v>
      </c>
      <c r="H7751" s="2" t="s">
        <v>148</v>
      </c>
      <c r="I7751" s="2" t="s">
        <v>19793</v>
      </c>
      <c r="J7751" s="3" t="str">
        <f>HYPERLINK("https://www.boe.es/gazeta/dias/1811/04/20/pdfs/GEI-D-1811-53.pdf#page=4","Abrir facsímil")</f>
        <v>Abrir facsímil</v>
      </c>
      <c r="K7751" s="3" t="s">
        <v>150</v>
      </c>
    </row>
    <row r="7752" spans="1:11" ht="42" customHeight="1">
      <c r="A7752" s="2" t="s">
        <v>19794</v>
      </c>
      <c r="B7752" s="2" t="s">
        <v>19795</v>
      </c>
      <c r="C7752" s="2" t="s">
        <v>26</v>
      </c>
      <c r="D7752" s="2" t="s">
        <v>18</v>
      </c>
      <c r="E7752" s="4">
        <v>-32449</v>
      </c>
      <c r="F7752" s="3" t="s">
        <v>381</v>
      </c>
      <c r="G7752" s="3" t="s">
        <v>382</v>
      </c>
      <c r="H7752" s="2" t="s">
        <v>148</v>
      </c>
      <c r="I7752" s="2" t="s">
        <v>19796</v>
      </c>
      <c r="J7752" s="3" t="str">
        <f>HYPERLINK("https://www.boe.es/gazeta/dias/1811/02/26/pdfs/GEI-1811-25.pdf#page=8","Abrir facsímil")</f>
        <v>Abrir facsímil</v>
      </c>
      <c r="K7752" s="3" t="s">
        <v>150</v>
      </c>
    </row>
    <row r="7753" spans="1:11" ht="42" customHeight="1">
      <c r="A7753" s="2" t="s">
        <v>19797</v>
      </c>
      <c r="B7753" s="2" t="s">
        <v>19797</v>
      </c>
      <c r="C7753" s="2" t="s">
        <v>17</v>
      </c>
      <c r="D7753" s="2" t="s">
        <v>18</v>
      </c>
      <c r="E7753" s="4">
        <v>-32428</v>
      </c>
      <c r="F7753" s="3" t="s">
        <v>351</v>
      </c>
      <c r="G7753" s="3" t="s">
        <v>115</v>
      </c>
      <c r="H7753" s="2" t="s">
        <v>148</v>
      </c>
      <c r="I7753" s="2" t="s">
        <v>19798</v>
      </c>
      <c r="J7753" s="3" t="str">
        <f>HYPERLINK("https://www.boe.es/gazeta/dias/1811/03/19/pdfs/GMD-1811-78.pdf#page=3","Abrir facsímil")</f>
        <v>Abrir facsímil</v>
      </c>
      <c r="K7753" s="3" t="s">
        <v>150</v>
      </c>
    </row>
    <row r="7754" spans="1:11" ht="42" customHeight="1">
      <c r="A7754" s="2" t="s">
        <v>19799</v>
      </c>
      <c r="B7754" s="2" t="s">
        <v>19800</v>
      </c>
      <c r="C7754" s="2" t="s">
        <v>26</v>
      </c>
      <c r="D7754" s="2" t="s">
        <v>18</v>
      </c>
      <c r="E7754" s="4">
        <v>-32489</v>
      </c>
      <c r="F7754" s="3" t="s">
        <v>2073</v>
      </c>
      <c r="G7754" s="3" t="s">
        <v>44</v>
      </c>
      <c r="H7754" s="2" t="s">
        <v>148</v>
      </c>
      <c r="I7754" s="2" t="s">
        <v>19801</v>
      </c>
      <c r="J7754" s="3" t="str">
        <f>HYPERLINK("https://www.boe.es/gazeta/dias/1811/01/17/pdfs/GEI-1811-8.pdf#page=8","Abrir facsímil")</f>
        <v>Abrir facsímil</v>
      </c>
      <c r="K7754" s="3" t="s">
        <v>150</v>
      </c>
    </row>
    <row r="7755" spans="1:11" ht="42" customHeight="1">
      <c r="A7755" s="2" t="s">
        <v>19802</v>
      </c>
      <c r="B7755" s="2" t="s">
        <v>19803</v>
      </c>
      <c r="C7755" s="2" t="s">
        <v>17</v>
      </c>
      <c r="D7755" s="2" t="s">
        <v>156</v>
      </c>
      <c r="E7755" s="4">
        <v>-32293</v>
      </c>
      <c r="F7755" s="3" t="s">
        <v>3064</v>
      </c>
      <c r="G7755" s="3" t="s">
        <v>6081</v>
      </c>
      <c r="H7755" s="2" t="s">
        <v>148</v>
      </c>
      <c r="I7755" s="2" t="s">
        <v>19804</v>
      </c>
      <c r="J7755" s="3" t="str">
        <f>HYPERLINK("https://www.boe.es/gazeta/dias/1811/08/01/pdfs/GEI-1811-100.pdf#page=4","Abrir facsímil")</f>
        <v>Abrir facsímil</v>
      </c>
      <c r="K7755" s="3" t="s">
        <v>150</v>
      </c>
    </row>
    <row r="7756" spans="1:11" ht="42" customHeight="1">
      <c r="A7756" s="2" t="s">
        <v>19805</v>
      </c>
      <c r="B7756" s="2" t="s">
        <v>19806</v>
      </c>
      <c r="C7756" s="2" t="s">
        <v>26</v>
      </c>
      <c r="D7756" s="2" t="s">
        <v>141</v>
      </c>
      <c r="E7756" s="4">
        <v>-32396</v>
      </c>
      <c r="F7756" s="3" t="s">
        <v>804</v>
      </c>
      <c r="G7756" s="3" t="s">
        <v>805</v>
      </c>
      <c r="H7756" s="2" t="s">
        <v>148</v>
      </c>
      <c r="I7756" s="2" t="s">
        <v>19807</v>
      </c>
      <c r="J7756" s="3" t="str">
        <f>HYPERLINK("https://www.boe.es/gazeta/dias/1811/04/20/pdfs/GEI-D-1811-53.pdf#page=4","Abrir facsímil")</f>
        <v>Abrir facsímil</v>
      </c>
      <c r="K7756" s="3" t="s">
        <v>150</v>
      </c>
    </row>
    <row r="7757" spans="1:11" ht="42" customHeight="1">
      <c r="A7757" s="2" t="s">
        <v>19808</v>
      </c>
      <c r="B7757" s="2" t="s">
        <v>19808</v>
      </c>
      <c r="C7757" s="2" t="s">
        <v>17</v>
      </c>
      <c r="D7757" s="2" t="s">
        <v>18</v>
      </c>
      <c r="E7757" s="4">
        <v>-32314</v>
      </c>
      <c r="F7757" s="3" t="s">
        <v>570</v>
      </c>
      <c r="G7757" s="3" t="s">
        <v>571</v>
      </c>
      <c r="H7757" s="2" t="s">
        <v>148</v>
      </c>
      <c r="I7757" s="2" t="s">
        <v>19809</v>
      </c>
      <c r="J7757" s="3" t="str">
        <f>HYPERLINK("https://www.boe.es/gazeta/dias/1811/07/11/pdfs/GEI-1811-91.pdf#page=7","Abrir facsímil")</f>
        <v>Abrir facsímil</v>
      </c>
      <c r="K7757" s="3" t="s">
        <v>150</v>
      </c>
    </row>
    <row r="7758" spans="1:11" ht="42" customHeight="1">
      <c r="A7758" s="2" t="s">
        <v>19810</v>
      </c>
      <c r="B7758" s="2" t="s">
        <v>19811</v>
      </c>
      <c r="C7758" s="2" t="s">
        <v>26</v>
      </c>
      <c r="D7758" s="2" t="s">
        <v>18</v>
      </c>
      <c r="E7758" s="4">
        <v>-32307</v>
      </c>
      <c r="F7758" s="3" t="s">
        <v>1112</v>
      </c>
      <c r="G7758" s="3" t="s">
        <v>1113</v>
      </c>
      <c r="H7758" s="2" t="s">
        <v>148</v>
      </c>
      <c r="I7758" s="2" t="s">
        <v>19812</v>
      </c>
      <c r="J7758" s="3" t="str">
        <f>HYPERLINK("https://www.boe.es/gazeta/dias/1811/07/18/pdfs/GEI-1811-94.pdf#page=8","Abrir facsímil")</f>
        <v>Abrir facsímil</v>
      </c>
      <c r="K7758" s="3" t="s">
        <v>150</v>
      </c>
    </row>
    <row r="7759" spans="1:11" ht="42" customHeight="1">
      <c r="A7759" s="2" t="s">
        <v>19813</v>
      </c>
      <c r="B7759" s="2" t="s">
        <v>19813</v>
      </c>
      <c r="C7759" s="2" t="s">
        <v>17</v>
      </c>
      <c r="D7759" s="2" t="s">
        <v>18</v>
      </c>
      <c r="E7759" s="4">
        <v>-32328</v>
      </c>
      <c r="F7759" s="3" t="s">
        <v>2055</v>
      </c>
      <c r="G7759" s="3" t="s">
        <v>4049</v>
      </c>
      <c r="H7759" s="2" t="s">
        <v>148</v>
      </c>
      <c r="I7759" s="2" t="s">
        <v>19814</v>
      </c>
      <c r="J7759" s="3" t="str">
        <f>HYPERLINK("https://www.boe.es/gazeta/dias/1811/06/27/pdfs/GMD-1811-178.pdf#page=2","Abrir facsímil")</f>
        <v>Abrir facsímil</v>
      </c>
      <c r="K7759" s="3" t="s">
        <v>150</v>
      </c>
    </row>
    <row r="7760" spans="1:11" ht="42" customHeight="1">
      <c r="A7760" s="2" t="s">
        <v>19815</v>
      </c>
      <c r="B7760" s="2" t="s">
        <v>19816</v>
      </c>
      <c r="C7760" s="2" t="s">
        <v>17</v>
      </c>
      <c r="D7760" s="2" t="s">
        <v>18</v>
      </c>
      <c r="E7760" s="4">
        <v>-32462</v>
      </c>
      <c r="F7760" s="3" t="s">
        <v>8217</v>
      </c>
      <c r="G7760" s="3" t="s">
        <v>3105</v>
      </c>
      <c r="H7760" s="2" t="s">
        <v>21</v>
      </c>
      <c r="I7760" s="2" t="s">
        <v>19817</v>
      </c>
      <c r="J7760" s="3" t="str">
        <f>HYPERLINK("https://www.boe.es/gazeta/dias/1811/02/13/pdfs/GMD-1811-44.pdf#page=1","Abrir facsímil")</f>
        <v>Abrir facsímil</v>
      </c>
      <c r="K7760" s="3" t="s">
        <v>23</v>
      </c>
    </row>
    <row r="7761" spans="1:11" ht="42" customHeight="1">
      <c r="A7761" s="2" t="s">
        <v>19818</v>
      </c>
      <c r="B7761" s="2" t="s">
        <v>19819</v>
      </c>
      <c r="C7761" s="2" t="s">
        <v>26</v>
      </c>
      <c r="D7761" s="2" t="s">
        <v>18</v>
      </c>
      <c r="E7761" s="4">
        <v>-32230</v>
      </c>
      <c r="F7761" s="3" t="s">
        <v>625</v>
      </c>
      <c r="G7761" s="3" t="s">
        <v>2005</v>
      </c>
      <c r="H7761" s="2" t="s">
        <v>148</v>
      </c>
      <c r="I7761" s="2" t="s">
        <v>19820</v>
      </c>
      <c r="J7761" s="3" t="str">
        <f>HYPERLINK("https://www.boe.es/gazeta/dias/1811/10/03/pdfs/GEI-1811-127.pdf#page=6","Abrir facsímil")</f>
        <v>Abrir facsímil</v>
      </c>
      <c r="K7761" s="3" t="s">
        <v>150</v>
      </c>
    </row>
    <row r="7762" spans="1:11" ht="42" customHeight="1">
      <c r="A7762" s="2" t="s">
        <v>19821</v>
      </c>
      <c r="B7762" s="2" t="s">
        <v>19822</v>
      </c>
      <c r="C7762" s="2" t="s">
        <v>17</v>
      </c>
      <c r="D7762" s="2" t="s">
        <v>156</v>
      </c>
      <c r="E7762" s="4">
        <v>-32155</v>
      </c>
      <c r="F7762" s="3" t="s">
        <v>263</v>
      </c>
      <c r="G7762" s="3" t="s">
        <v>1800</v>
      </c>
      <c r="H7762" s="2" t="s">
        <v>148</v>
      </c>
      <c r="I7762" s="2" t="s">
        <v>19823</v>
      </c>
      <c r="J7762" s="3" t="str">
        <f>HYPERLINK("https://www.boe.es/gazeta/dias/1811/12/17/pdfs/GEI-1811-163.pdf#page=7","Abrir facsímil")</f>
        <v>Abrir facsímil</v>
      </c>
      <c r="K7762" s="3" t="s">
        <v>150</v>
      </c>
    </row>
    <row r="7763" spans="1:11" ht="42" customHeight="1">
      <c r="A7763" s="2" t="s">
        <v>19824</v>
      </c>
      <c r="B7763" s="2" t="s">
        <v>19824</v>
      </c>
      <c r="C7763" s="2" t="s">
        <v>17</v>
      </c>
      <c r="D7763" s="2" t="s">
        <v>105</v>
      </c>
      <c r="E7763" s="4">
        <v>-32314</v>
      </c>
      <c r="F7763" s="3" t="s">
        <v>570</v>
      </c>
      <c r="G7763" s="3" t="s">
        <v>19825</v>
      </c>
      <c r="H7763" s="2" t="s">
        <v>148</v>
      </c>
      <c r="I7763" s="2" t="s">
        <v>19826</v>
      </c>
      <c r="J7763" s="3" t="str">
        <f>HYPERLINK("https://www.boe.es/gazeta/dias/1811/07/11/pdfs/GEI-1811-91.pdf#page=2","Abrir facsímil")</f>
        <v>Abrir facsímil</v>
      </c>
      <c r="K7763" s="3" t="s">
        <v>150</v>
      </c>
    </row>
    <row r="7764" spans="1:11" ht="42" customHeight="1">
      <c r="A7764" s="2" t="s">
        <v>19827</v>
      </c>
      <c r="B7764" s="2" t="s">
        <v>19827</v>
      </c>
      <c r="C7764" s="2" t="s">
        <v>17</v>
      </c>
      <c r="D7764" s="2" t="s">
        <v>18</v>
      </c>
      <c r="E7764" s="4">
        <v>-32293</v>
      </c>
      <c r="F7764" s="3" t="s">
        <v>2815</v>
      </c>
      <c r="G7764" s="3" t="s">
        <v>3665</v>
      </c>
      <c r="H7764" s="2" t="s">
        <v>148</v>
      </c>
      <c r="I7764" s="2" t="s">
        <v>19828</v>
      </c>
      <c r="J7764" s="3" t="str">
        <f>HYPERLINK("https://www.boe.es/gazeta/dias/1811/08/01/pdfs/GMD-1811-213.pdf#page=3","Abrir facsímil")</f>
        <v>Abrir facsímil</v>
      </c>
      <c r="K7764" s="3" t="s">
        <v>150</v>
      </c>
    </row>
    <row r="7765" spans="1:11" ht="42" customHeight="1">
      <c r="A7765" s="2" t="s">
        <v>19829</v>
      </c>
      <c r="B7765" s="2" t="s">
        <v>19829</v>
      </c>
      <c r="C7765" s="2" t="s">
        <v>26</v>
      </c>
      <c r="D7765" s="2" t="s">
        <v>18</v>
      </c>
      <c r="E7765" s="4">
        <v>-32446</v>
      </c>
      <c r="F7765" s="3" t="s">
        <v>13275</v>
      </c>
      <c r="G7765" s="3" t="s">
        <v>57</v>
      </c>
      <c r="H7765" s="2" t="s">
        <v>148</v>
      </c>
      <c r="I7765" s="2" t="s">
        <v>19830</v>
      </c>
      <c r="J7765" s="3" t="str">
        <f>HYPERLINK("https://www.boe.es/gazeta/dias/1811/03/01/pdfs/GMD-1811-60.pdf#page=2","Abrir facsímil")</f>
        <v>Abrir facsímil</v>
      </c>
      <c r="K7765" s="3" t="s">
        <v>150</v>
      </c>
    </row>
    <row r="7766" spans="1:11" ht="42" customHeight="1">
      <c r="A7766" s="2" t="s">
        <v>19831</v>
      </c>
      <c r="B7766" s="2" t="s">
        <v>19831</v>
      </c>
      <c r="C7766" s="2" t="s">
        <v>17</v>
      </c>
      <c r="D7766" s="2" t="s">
        <v>18</v>
      </c>
      <c r="E7766" s="4">
        <v>-32434</v>
      </c>
      <c r="F7766" s="3" t="s">
        <v>1932</v>
      </c>
      <c r="G7766" s="3" t="s">
        <v>1784</v>
      </c>
      <c r="H7766" s="2" t="s">
        <v>148</v>
      </c>
      <c r="I7766" s="2" t="s">
        <v>19832</v>
      </c>
      <c r="J7766" s="3" t="str">
        <f>HYPERLINK("https://www.boe.es/gazeta/dias/1811/03/13/pdfs/GMD-1811-72.pdf#page=3","Abrir facsímil")</f>
        <v>Abrir facsímil</v>
      </c>
      <c r="K7766" s="3" t="s">
        <v>150</v>
      </c>
    </row>
    <row r="7767" spans="1:11" ht="42" customHeight="1">
      <c r="A7767" s="2" t="s">
        <v>19831</v>
      </c>
      <c r="B7767" s="2" t="s">
        <v>19831</v>
      </c>
      <c r="C7767" s="2" t="s">
        <v>104</v>
      </c>
      <c r="D7767" s="2" t="s">
        <v>18</v>
      </c>
      <c r="E7767" s="4">
        <v>-32324</v>
      </c>
      <c r="F7767" s="3" t="s">
        <v>730</v>
      </c>
      <c r="G7767" s="3" t="s">
        <v>3086</v>
      </c>
      <c r="H7767" s="2" t="s">
        <v>148</v>
      </c>
      <c r="I7767" s="2" t="s">
        <v>19833</v>
      </c>
      <c r="J7767" s="3" t="str">
        <f>HYPERLINK("https://www.boe.es/gazeta/dias/1811/07/01/pdfs/GMD-1811-182.pdf#page=3","Abrir facsímil")</f>
        <v>Abrir facsímil</v>
      </c>
      <c r="K7767" s="3" t="s">
        <v>150</v>
      </c>
    </row>
    <row r="7768" spans="1:11" ht="42" customHeight="1">
      <c r="A7768" s="2" t="s">
        <v>19834</v>
      </c>
      <c r="B7768" s="2" t="s">
        <v>19834</v>
      </c>
      <c r="C7768" s="2" t="s">
        <v>17</v>
      </c>
      <c r="D7768" s="2" t="s">
        <v>156</v>
      </c>
      <c r="E7768" s="4">
        <v>-32495</v>
      </c>
      <c r="F7768" s="3" t="s">
        <v>1681</v>
      </c>
      <c r="G7768" s="3" t="s">
        <v>553</v>
      </c>
      <c r="H7768" s="2" t="s">
        <v>148</v>
      </c>
      <c r="I7768" s="2" t="s">
        <v>19835</v>
      </c>
      <c r="J7768" s="3" t="str">
        <f>HYPERLINK("https://www.boe.es/gazeta/dias/1811/01/11/pdfs/GMD-1811-11.pdf#page=2","Abrir facsímil")</f>
        <v>Abrir facsímil</v>
      </c>
      <c r="K7768" s="3" t="s">
        <v>150</v>
      </c>
    </row>
    <row r="7769" spans="1:11" ht="42" customHeight="1">
      <c r="A7769" s="2" t="s">
        <v>19836</v>
      </c>
      <c r="B7769" s="2" t="s">
        <v>19837</v>
      </c>
      <c r="C7769" s="2" t="s">
        <v>26</v>
      </c>
      <c r="D7769" s="2" t="s">
        <v>18</v>
      </c>
      <c r="E7769" s="4">
        <v>-32292</v>
      </c>
      <c r="F7769" s="3" t="s">
        <v>408</v>
      </c>
      <c r="G7769" s="3" t="s">
        <v>468</v>
      </c>
      <c r="H7769" s="2" t="s">
        <v>148</v>
      </c>
      <c r="I7769" s="2" t="s">
        <v>19838</v>
      </c>
      <c r="J7769" s="3" t="str">
        <f>HYPERLINK("https://www.boe.es/gazeta/dias/1811/08/02/pdfs/GMD-1811-214.pdf#page=1","Abrir facsímil")</f>
        <v>Abrir facsímil</v>
      </c>
      <c r="K7769" s="3" t="s">
        <v>150</v>
      </c>
    </row>
    <row r="7770" spans="1:11" ht="42" customHeight="1">
      <c r="A7770" s="2" t="s">
        <v>19839</v>
      </c>
      <c r="B7770" s="2" t="s">
        <v>19839</v>
      </c>
      <c r="C7770" s="2" t="s">
        <v>367</v>
      </c>
      <c r="D7770" s="2" t="s">
        <v>18</v>
      </c>
      <c r="E7770" s="4">
        <v>-32367</v>
      </c>
      <c r="F7770" s="3" t="s">
        <v>4693</v>
      </c>
      <c r="G7770" s="3" t="s">
        <v>115</v>
      </c>
      <c r="H7770" s="2" t="s">
        <v>148</v>
      </c>
      <c r="I7770" s="2" t="s">
        <v>19840</v>
      </c>
      <c r="J7770" s="3" t="str">
        <f>HYPERLINK("https://www.boe.es/gazeta/dias/1811/05/19/pdfs/GMD-1811-139.pdf#page=3","Abrir facsímil")</f>
        <v>Abrir facsímil</v>
      </c>
      <c r="K7770" s="3" t="s">
        <v>150</v>
      </c>
    </row>
    <row r="7771" spans="1:11" ht="42" customHeight="1">
      <c r="A7771" s="2" t="s">
        <v>19841</v>
      </c>
      <c r="B7771" s="2" t="s">
        <v>19841</v>
      </c>
      <c r="C7771" s="2" t="s">
        <v>104</v>
      </c>
      <c r="D7771" s="2" t="s">
        <v>18</v>
      </c>
      <c r="E7771" s="4">
        <v>-32367</v>
      </c>
      <c r="F7771" s="3" t="s">
        <v>4693</v>
      </c>
      <c r="G7771" s="3" t="s">
        <v>20</v>
      </c>
      <c r="H7771" s="2" t="s">
        <v>148</v>
      </c>
      <c r="I7771" s="2" t="s">
        <v>19842</v>
      </c>
      <c r="J7771" s="3" t="str">
        <f>HYPERLINK("https://www.boe.es/gazeta/dias/1811/05/19/pdfs/GMD-1811-139.pdf#page=2","Abrir facsímil")</f>
        <v>Abrir facsímil</v>
      </c>
      <c r="K7771" s="3" t="s">
        <v>150</v>
      </c>
    </row>
    <row r="7772" spans="1:11" ht="42" customHeight="1">
      <c r="A7772" s="2" t="s">
        <v>19841</v>
      </c>
      <c r="B7772" s="2" t="s">
        <v>19841</v>
      </c>
      <c r="C7772" s="2" t="s">
        <v>26</v>
      </c>
      <c r="D7772" s="2" t="s">
        <v>18</v>
      </c>
      <c r="E7772" s="4">
        <v>-32367</v>
      </c>
      <c r="F7772" s="3" t="s">
        <v>4693</v>
      </c>
      <c r="G7772" s="3" t="s">
        <v>115</v>
      </c>
      <c r="H7772" s="2" t="s">
        <v>148</v>
      </c>
      <c r="I7772" s="2" t="s">
        <v>19843</v>
      </c>
      <c r="J7772" s="3" t="str">
        <f>HYPERLINK("https://www.boe.es/gazeta/dias/1811/05/19/pdfs/GMD-1811-139.pdf#page=3","Abrir facsímil")</f>
        <v>Abrir facsímil</v>
      </c>
      <c r="K7772" s="3" t="s">
        <v>150</v>
      </c>
    </row>
    <row r="7773" spans="1:11" ht="42" customHeight="1">
      <c r="A7773" s="2" t="s">
        <v>19844</v>
      </c>
      <c r="B7773" s="2" t="s">
        <v>19844</v>
      </c>
      <c r="C7773" s="2" t="s">
        <v>17</v>
      </c>
      <c r="D7773" s="2" t="s">
        <v>18</v>
      </c>
      <c r="E7773" s="4">
        <v>-32383</v>
      </c>
      <c r="F7773" s="3" t="s">
        <v>4500</v>
      </c>
      <c r="G7773" s="3" t="s">
        <v>331</v>
      </c>
      <c r="H7773" s="2" t="s">
        <v>148</v>
      </c>
      <c r="I7773" s="2" t="s">
        <v>19845</v>
      </c>
      <c r="J7773" s="3" t="str">
        <f>HYPERLINK("https://www.boe.es/gazeta/dias/1811/05/03/pdfs/GMD-1811-123.pdf#page=3","Abrir facsímil")</f>
        <v>Abrir facsímil</v>
      </c>
      <c r="K7773" s="3" t="s">
        <v>150</v>
      </c>
    </row>
    <row r="7774" spans="1:11" ht="42" customHeight="1">
      <c r="A7774" s="2" t="s">
        <v>19846</v>
      </c>
      <c r="B7774" s="2" t="s">
        <v>19847</v>
      </c>
      <c r="C7774" s="2" t="s">
        <v>26</v>
      </c>
      <c r="D7774" s="2" t="s">
        <v>141</v>
      </c>
      <c r="E7774" s="4">
        <v>-32188</v>
      </c>
      <c r="F7774" s="3" t="s">
        <v>505</v>
      </c>
      <c r="G7774" s="3" t="s">
        <v>47</v>
      </c>
      <c r="H7774" s="2" t="s">
        <v>148</v>
      </c>
      <c r="I7774" s="2" t="s">
        <v>19848</v>
      </c>
      <c r="J7774" s="3" t="str">
        <f>HYPERLINK("https://www.boe.es/gazeta/dias/1811/11/14/pdfs/GEI-D-1811-149.pdf#page=3","Abrir facsímil")</f>
        <v>Abrir facsímil</v>
      </c>
      <c r="K7774" s="3" t="s">
        <v>150</v>
      </c>
    </row>
    <row r="7775" spans="1:11" ht="42" customHeight="1">
      <c r="A7775" s="2" t="s">
        <v>19849</v>
      </c>
      <c r="B7775" s="2" t="s">
        <v>19850</v>
      </c>
      <c r="C7775" s="2" t="s">
        <v>17</v>
      </c>
      <c r="D7775" s="2" t="s">
        <v>204</v>
      </c>
      <c r="E7775" s="4">
        <v>-32264</v>
      </c>
      <c r="F7775" s="3" t="s">
        <v>3038</v>
      </c>
      <c r="G7775" s="3" t="s">
        <v>178</v>
      </c>
      <c r="H7775" s="2" t="s">
        <v>148</v>
      </c>
      <c r="I7775" s="2" t="s">
        <v>19851</v>
      </c>
      <c r="J7775" s="3" t="str">
        <f>HYPERLINK("https://www.boe.es/gazeta/dias/1811/08/30/pdfs/GMD-1811-242.pdf#page=2","Abrir facsímil")</f>
        <v>Abrir facsímil</v>
      </c>
      <c r="K7775" s="3" t="s">
        <v>150</v>
      </c>
    </row>
    <row r="7776" spans="1:11" ht="42" customHeight="1">
      <c r="A7776" s="2" t="s">
        <v>19852</v>
      </c>
      <c r="B7776" s="2" t="s">
        <v>19853</v>
      </c>
      <c r="C7776" s="2" t="s">
        <v>26</v>
      </c>
      <c r="D7776" s="2" t="s">
        <v>18</v>
      </c>
      <c r="E7776" s="4">
        <v>-32143</v>
      </c>
      <c r="F7776" s="3" t="s">
        <v>1455</v>
      </c>
      <c r="G7776" s="3" t="s">
        <v>284</v>
      </c>
      <c r="H7776" s="2" t="s">
        <v>148</v>
      </c>
      <c r="I7776" s="2" t="s">
        <v>19854</v>
      </c>
      <c r="J7776" s="3" t="str">
        <f>HYPERLINK("https://www.boe.es/gazeta/dias/1811/12/29/pdfs/GMD-1811-363.pdf#page=3","Abrir facsímil")</f>
        <v>Abrir facsímil</v>
      </c>
      <c r="K7776" s="3" t="s">
        <v>150</v>
      </c>
    </row>
    <row r="7777" spans="1:11" ht="42" customHeight="1">
      <c r="A7777" s="2" t="s">
        <v>19855</v>
      </c>
      <c r="B7777" s="2" t="s">
        <v>19856</v>
      </c>
      <c r="C7777" s="2" t="s">
        <v>26</v>
      </c>
      <c r="D7777" s="2" t="s">
        <v>18</v>
      </c>
      <c r="E7777" s="4">
        <v>-32193</v>
      </c>
      <c r="F7777" s="3" t="s">
        <v>1037</v>
      </c>
      <c r="G7777" s="3" t="s">
        <v>44</v>
      </c>
      <c r="H7777" s="2" t="s">
        <v>21</v>
      </c>
      <c r="I7777" s="2" t="s">
        <v>19857</v>
      </c>
      <c r="J7777" s="3" t="str">
        <f>HYPERLINK("https://www.boe.es/gazeta/dias/1811/11/09/pdfs/GEI-1811-145.pdf#page=4","Abrir facsímil")</f>
        <v>Abrir facsímil</v>
      </c>
      <c r="K7777" s="3" t="s">
        <v>23</v>
      </c>
    </row>
    <row r="7778" spans="1:11" ht="42" customHeight="1">
      <c r="A7778" s="2" t="s">
        <v>19858</v>
      </c>
      <c r="B7778" s="2" t="s">
        <v>19858</v>
      </c>
      <c r="C7778" s="2" t="s">
        <v>17</v>
      </c>
      <c r="D7778" s="2" t="s">
        <v>18</v>
      </c>
      <c r="E7778" s="4">
        <v>-32421</v>
      </c>
      <c r="F7778" s="3" t="s">
        <v>79</v>
      </c>
      <c r="G7778" s="3" t="s">
        <v>80</v>
      </c>
      <c r="H7778" s="2" t="s">
        <v>148</v>
      </c>
      <c r="I7778" s="2" t="s">
        <v>19859</v>
      </c>
      <c r="J7778" s="3" t="str">
        <f>HYPERLINK("https://www.boe.es/gazeta/dias/1811/03/26/pdfs/GEI-1811-42.pdf#page=7","Abrir facsímil")</f>
        <v>Abrir facsímil</v>
      </c>
      <c r="K7778" s="3" t="s">
        <v>150</v>
      </c>
    </row>
    <row r="7779" spans="1:11" ht="42" customHeight="1">
      <c r="A7779" s="2" t="s">
        <v>19860</v>
      </c>
      <c r="B7779" s="2" t="s">
        <v>19860</v>
      </c>
      <c r="C7779" s="2" t="s">
        <v>17</v>
      </c>
      <c r="D7779" s="2" t="s">
        <v>156</v>
      </c>
      <c r="E7779" s="4">
        <v>-32293</v>
      </c>
      <c r="F7779" s="3" t="s">
        <v>2815</v>
      </c>
      <c r="G7779" s="3" t="s">
        <v>134</v>
      </c>
      <c r="H7779" s="2" t="s">
        <v>148</v>
      </c>
      <c r="I7779" s="2" t="s">
        <v>19861</v>
      </c>
      <c r="J7779" s="3" t="str">
        <f>HYPERLINK("https://www.boe.es/gazeta/dias/1811/08/01/pdfs/GMD-1811-213.pdf#page=2","Abrir facsímil")</f>
        <v>Abrir facsímil</v>
      </c>
      <c r="K7779" s="3" t="s">
        <v>150</v>
      </c>
    </row>
    <row r="7780" spans="1:11" ht="42" customHeight="1">
      <c r="A7780" s="2" t="s">
        <v>19862</v>
      </c>
      <c r="B7780" s="2" t="s">
        <v>19862</v>
      </c>
      <c r="C7780" s="2" t="s">
        <v>17</v>
      </c>
      <c r="D7780" s="2" t="s">
        <v>141</v>
      </c>
      <c r="E7780" s="4">
        <v>-32330</v>
      </c>
      <c r="F7780" s="3" t="s">
        <v>1713</v>
      </c>
      <c r="G7780" s="3" t="s">
        <v>91</v>
      </c>
      <c r="H7780" s="2" t="s">
        <v>148</v>
      </c>
      <c r="I7780" s="2" t="s">
        <v>19863</v>
      </c>
      <c r="J7780" s="3" t="str">
        <f>HYPERLINK("https://www.boe.es/gazeta/dias/1811/06/25/pdfs/GEI-D-1811-84.pdf#page=8","Abrir facsímil")</f>
        <v>Abrir facsímil</v>
      </c>
      <c r="K7780" s="3" t="s">
        <v>150</v>
      </c>
    </row>
    <row r="7781" spans="1:11" ht="42" customHeight="1">
      <c r="A7781" s="2" t="s">
        <v>19864</v>
      </c>
      <c r="B7781" s="2" t="s">
        <v>19864</v>
      </c>
      <c r="C7781" s="2" t="s">
        <v>17</v>
      </c>
      <c r="D7781" s="2" t="s">
        <v>156</v>
      </c>
      <c r="E7781" s="4">
        <v>-32394</v>
      </c>
      <c r="F7781" s="3" t="s">
        <v>1709</v>
      </c>
      <c r="G7781" s="3" t="s">
        <v>1710</v>
      </c>
      <c r="H7781" s="2" t="s">
        <v>148</v>
      </c>
      <c r="I7781" s="2" t="s">
        <v>19865</v>
      </c>
      <c r="J7781" s="3" t="str">
        <f>HYPERLINK("https://www.boe.es/gazeta/dias/1811/04/22/pdfs/GMD-1811-112.pdf#page=1","Abrir facsímil")</f>
        <v>Abrir facsímil</v>
      </c>
      <c r="K7781" s="3" t="s">
        <v>150</v>
      </c>
    </row>
    <row r="7782" spans="1:11" ht="42" customHeight="1">
      <c r="A7782" s="2" t="s">
        <v>19864</v>
      </c>
      <c r="B7782" s="2" t="s">
        <v>19864</v>
      </c>
      <c r="C7782" s="2" t="s">
        <v>17</v>
      </c>
      <c r="D7782" s="2" t="s">
        <v>156</v>
      </c>
      <c r="E7782" s="4">
        <v>-32389</v>
      </c>
      <c r="F7782" s="3" t="s">
        <v>5683</v>
      </c>
      <c r="G7782" s="3" t="s">
        <v>468</v>
      </c>
      <c r="H7782" s="2" t="s">
        <v>148</v>
      </c>
      <c r="I7782" s="2" t="s">
        <v>19866</v>
      </c>
      <c r="J7782" s="3" t="str">
        <f>HYPERLINK("https://www.boe.es/gazeta/dias/1811/04/27/pdfs/GMD-1811-117.pdf#page=4","Abrir facsímil")</f>
        <v>Abrir facsímil</v>
      </c>
      <c r="K7782" s="3" t="s">
        <v>150</v>
      </c>
    </row>
    <row r="7783" spans="1:11" ht="42" customHeight="1">
      <c r="A7783" s="2" t="s">
        <v>19864</v>
      </c>
      <c r="B7783" s="2" t="s">
        <v>19864</v>
      </c>
      <c r="C7783" s="2" t="s">
        <v>17</v>
      </c>
      <c r="D7783" s="2" t="s">
        <v>18</v>
      </c>
      <c r="E7783" s="4">
        <v>-32293</v>
      </c>
      <c r="F7783" s="3" t="s">
        <v>2815</v>
      </c>
      <c r="G7783" s="3" t="s">
        <v>3665</v>
      </c>
      <c r="H7783" s="2" t="s">
        <v>148</v>
      </c>
      <c r="I7783" s="2" t="s">
        <v>19867</v>
      </c>
      <c r="J7783" s="3" t="str">
        <f>HYPERLINK("https://www.boe.es/gazeta/dias/1811/08/01/pdfs/GMD-1811-213.pdf#page=3","Abrir facsímil")</f>
        <v>Abrir facsímil</v>
      </c>
      <c r="K7783" s="3" t="s">
        <v>150</v>
      </c>
    </row>
    <row r="7784" spans="1:11" ht="42" customHeight="1">
      <c r="A7784" s="2" t="s">
        <v>19864</v>
      </c>
      <c r="B7784" s="2" t="s">
        <v>19864</v>
      </c>
      <c r="C7784" s="2" t="s">
        <v>17</v>
      </c>
      <c r="D7784" s="2" t="s">
        <v>18</v>
      </c>
      <c r="E7784" s="4">
        <v>-32153</v>
      </c>
      <c r="F7784" s="3" t="s">
        <v>235</v>
      </c>
      <c r="G7784" s="3" t="s">
        <v>236</v>
      </c>
      <c r="H7784" s="2" t="s">
        <v>148</v>
      </c>
      <c r="I7784" s="2" t="s">
        <v>19868</v>
      </c>
      <c r="J7784" s="3" t="str">
        <f>HYPERLINK("https://www.boe.es/gazeta/dias/1811/12/19/pdfs/GEI-1811-164.pdf#page=7","Abrir facsímil")</f>
        <v>Abrir facsímil</v>
      </c>
      <c r="K7784" s="3" t="s">
        <v>150</v>
      </c>
    </row>
    <row r="7785" spans="1:11" ht="42" customHeight="1">
      <c r="A7785" s="2" t="s">
        <v>19869</v>
      </c>
      <c r="B7785" s="2" t="s">
        <v>19870</v>
      </c>
      <c r="C7785" s="2" t="s">
        <v>104</v>
      </c>
      <c r="D7785" s="2" t="s">
        <v>18</v>
      </c>
      <c r="E7785" s="4">
        <v>-32172</v>
      </c>
      <c r="F7785" s="3" t="s">
        <v>300</v>
      </c>
      <c r="G7785" s="3" t="s">
        <v>301</v>
      </c>
      <c r="H7785" s="2" t="s">
        <v>148</v>
      </c>
      <c r="I7785" s="2" t="s">
        <v>19871</v>
      </c>
      <c r="J7785" s="3" t="str">
        <f>HYPERLINK("https://www.boe.es/gazeta/dias/1811/11/30/pdfs/GMD-1811-334.pdf#page=4","Abrir facsímil")</f>
        <v>Abrir facsímil</v>
      </c>
      <c r="K7785" s="3" t="s">
        <v>150</v>
      </c>
    </row>
    <row r="7786" spans="1:11" ht="42" customHeight="1">
      <c r="A7786" s="2" t="s">
        <v>19872</v>
      </c>
      <c r="B7786" s="2" t="s">
        <v>19872</v>
      </c>
      <c r="C7786" s="2" t="s">
        <v>17</v>
      </c>
      <c r="D7786" s="2" t="s">
        <v>18</v>
      </c>
      <c r="E7786" s="4">
        <v>-32494</v>
      </c>
      <c r="F7786" s="3" t="s">
        <v>3050</v>
      </c>
      <c r="G7786" s="3" t="s">
        <v>1646</v>
      </c>
      <c r="H7786" s="2" t="s">
        <v>148</v>
      </c>
      <c r="I7786" s="2" t="s">
        <v>19873</v>
      </c>
      <c r="J7786" s="3" t="str">
        <f>HYPERLINK("https://www.boe.es/gazeta/dias/1811/01/12/pdfs/GEI-1811-6.pdf#page=6","Abrir facsímil")</f>
        <v>Abrir facsímil</v>
      </c>
      <c r="K7786" s="3" t="s">
        <v>150</v>
      </c>
    </row>
    <row r="7787" spans="1:11" ht="42" customHeight="1">
      <c r="A7787" s="2" t="s">
        <v>19872</v>
      </c>
      <c r="B7787" s="2" t="s">
        <v>19872</v>
      </c>
      <c r="C7787" s="2" t="s">
        <v>17</v>
      </c>
      <c r="D7787" s="2" t="s">
        <v>156</v>
      </c>
      <c r="E7787" s="4">
        <v>-32484</v>
      </c>
      <c r="F7787" s="3" t="s">
        <v>467</v>
      </c>
      <c r="G7787" s="3" t="s">
        <v>44</v>
      </c>
      <c r="H7787" s="2" t="s">
        <v>148</v>
      </c>
      <c r="I7787" s="2" t="s">
        <v>19874</v>
      </c>
      <c r="J7787" s="3" t="str">
        <f>HYPERLINK("https://www.boe.es/gazeta/dias/1811/01/22/pdfs/GEI-1811-10.pdf#page=3","Abrir facsímil")</f>
        <v>Abrir facsímil</v>
      </c>
      <c r="K7787" s="3" t="s">
        <v>150</v>
      </c>
    </row>
    <row r="7788" spans="1:11" ht="42" customHeight="1">
      <c r="A7788" s="2" t="s">
        <v>19872</v>
      </c>
      <c r="B7788" s="2" t="s">
        <v>19872</v>
      </c>
      <c r="C7788" s="2" t="s">
        <v>17</v>
      </c>
      <c r="D7788" s="2" t="s">
        <v>156</v>
      </c>
      <c r="E7788" s="4">
        <v>-32476</v>
      </c>
      <c r="F7788" s="3" t="s">
        <v>1896</v>
      </c>
      <c r="G7788" s="3" t="s">
        <v>1897</v>
      </c>
      <c r="H7788" s="2" t="s">
        <v>148</v>
      </c>
      <c r="I7788" s="2" t="s">
        <v>19875</v>
      </c>
      <c r="J7788" s="3" t="str">
        <f>HYPERLINK("https://www.boe.es/gazeta/dias/1811/01/30/pdfs/GMD-1811-30.pdf#page=2","Abrir facsímil")</f>
        <v>Abrir facsímil</v>
      </c>
      <c r="K7788" s="3" t="s">
        <v>150</v>
      </c>
    </row>
    <row r="7789" spans="1:11" ht="42" customHeight="1">
      <c r="A7789" s="2" t="s">
        <v>19872</v>
      </c>
      <c r="B7789" s="2" t="s">
        <v>19872</v>
      </c>
      <c r="C7789" s="2" t="s">
        <v>17</v>
      </c>
      <c r="D7789" s="2" t="s">
        <v>18</v>
      </c>
      <c r="E7789" s="4">
        <v>-32461</v>
      </c>
      <c r="F7789" s="3" t="s">
        <v>2429</v>
      </c>
      <c r="G7789" s="3" t="s">
        <v>162</v>
      </c>
      <c r="H7789" s="2" t="s">
        <v>148</v>
      </c>
      <c r="I7789" s="2" t="s">
        <v>19876</v>
      </c>
      <c r="J7789" s="3" t="str">
        <f>HYPERLINK("https://www.boe.es/gazeta/dias/1811/02/14/pdfs/GEI-1811-20.pdf#page=3","Abrir facsímil")</f>
        <v>Abrir facsímil</v>
      </c>
      <c r="K7789" s="3" t="s">
        <v>150</v>
      </c>
    </row>
    <row r="7790" spans="1:11" ht="42" customHeight="1">
      <c r="A7790" s="2" t="s">
        <v>19872</v>
      </c>
      <c r="B7790" s="2" t="s">
        <v>19872</v>
      </c>
      <c r="C7790" s="2" t="s">
        <v>17</v>
      </c>
      <c r="D7790" s="2" t="s">
        <v>141</v>
      </c>
      <c r="E7790" s="4">
        <v>-32365</v>
      </c>
      <c r="F7790" s="3" t="s">
        <v>1304</v>
      </c>
      <c r="G7790" s="3" t="s">
        <v>47</v>
      </c>
      <c r="H7790" s="2" t="s">
        <v>148</v>
      </c>
      <c r="I7790" s="2" t="s">
        <v>19877</v>
      </c>
      <c r="J7790" s="3" t="str">
        <f>HYPERLINK("https://www.boe.es/gazeta/dias/1811/05/21/pdfs/GEI-D-1811-67.pdf#page=3","Abrir facsímil")</f>
        <v>Abrir facsímil</v>
      </c>
      <c r="K7790" s="3" t="s">
        <v>150</v>
      </c>
    </row>
    <row r="7791" spans="1:11" ht="42" customHeight="1">
      <c r="A7791" s="2" t="s">
        <v>19878</v>
      </c>
      <c r="B7791" s="2" t="s">
        <v>19879</v>
      </c>
      <c r="C7791" s="2" t="s">
        <v>26</v>
      </c>
      <c r="D7791" s="2" t="s">
        <v>18</v>
      </c>
      <c r="E7791" s="4">
        <v>-32505</v>
      </c>
      <c r="F7791" s="3" t="s">
        <v>475</v>
      </c>
      <c r="G7791" s="3" t="s">
        <v>755</v>
      </c>
      <c r="H7791" s="2" t="s">
        <v>148</v>
      </c>
      <c r="I7791" s="2" t="s">
        <v>19880</v>
      </c>
      <c r="J7791" s="3" t="str">
        <f>HYPERLINK("https://www.boe.es/gazeta/dias/1811/01/01/pdfs/GEI-1811-1.pdf#page=8","Abrir facsímil")</f>
        <v>Abrir facsímil</v>
      </c>
      <c r="K7791" s="3" t="s">
        <v>150</v>
      </c>
    </row>
    <row r="7792" spans="1:11" ht="42" customHeight="1">
      <c r="A7792" s="2" t="s">
        <v>19881</v>
      </c>
      <c r="B7792" s="2" t="s">
        <v>19882</v>
      </c>
      <c r="C7792" s="2" t="s">
        <v>26</v>
      </c>
      <c r="D7792" s="2" t="s">
        <v>18</v>
      </c>
      <c r="E7792" s="4">
        <v>-32300</v>
      </c>
      <c r="F7792" s="3" t="s">
        <v>492</v>
      </c>
      <c r="G7792" s="3" t="s">
        <v>493</v>
      </c>
      <c r="H7792" s="2" t="s">
        <v>148</v>
      </c>
      <c r="I7792" s="2" t="s">
        <v>19883</v>
      </c>
      <c r="J7792" s="3" t="str">
        <f>HYPERLINK("https://www.boe.es/gazeta/dias/1811/07/25/pdfs/GMD-1811-206.pdf#page=4","Abrir facsímil")</f>
        <v>Abrir facsímil</v>
      </c>
      <c r="K7792" s="3" t="s">
        <v>150</v>
      </c>
    </row>
    <row r="7793" spans="1:11" ht="42" customHeight="1">
      <c r="A7793" s="2" t="s">
        <v>19884</v>
      </c>
      <c r="B7793" s="2" t="s">
        <v>19885</v>
      </c>
      <c r="C7793" s="2" t="s">
        <v>26</v>
      </c>
      <c r="D7793" s="2" t="s">
        <v>141</v>
      </c>
      <c r="E7793" s="4">
        <v>-32249</v>
      </c>
      <c r="F7793" s="3" t="s">
        <v>743</v>
      </c>
      <c r="G7793" s="3" t="s">
        <v>1021</v>
      </c>
      <c r="H7793" s="2" t="s">
        <v>148</v>
      </c>
      <c r="I7793" s="2" t="s">
        <v>19886</v>
      </c>
      <c r="J7793" s="3" t="str">
        <f>HYPERLINK("https://www.boe.es/gazeta/dias/1811/09/14/pdfs/GMD-C-1811-257.pdf#page=2","Abrir facsímil")</f>
        <v>Abrir facsímil</v>
      </c>
      <c r="K7793" s="3" t="s">
        <v>150</v>
      </c>
    </row>
    <row r="7794" spans="1:11" ht="42" customHeight="1">
      <c r="A7794" s="2" t="s">
        <v>19887</v>
      </c>
      <c r="B7794" s="2" t="s">
        <v>19888</v>
      </c>
      <c r="C7794" s="2" t="s">
        <v>17</v>
      </c>
      <c r="D7794" s="2" t="s">
        <v>156</v>
      </c>
      <c r="E7794" s="4">
        <v>-32292</v>
      </c>
      <c r="F7794" s="3" t="s">
        <v>408</v>
      </c>
      <c r="G7794" s="3" t="s">
        <v>409</v>
      </c>
      <c r="H7794" s="2" t="s">
        <v>21</v>
      </c>
      <c r="I7794" s="2" t="s">
        <v>19889</v>
      </c>
      <c r="J7794" s="3" t="str">
        <f>HYPERLINK("https://www.boe.es/gazeta/dias/1811/08/02/pdfs/GMD-1811-214.pdf#page=4","Abrir facsímil")</f>
        <v>Abrir facsímil</v>
      </c>
      <c r="K7794" s="3" t="s">
        <v>23</v>
      </c>
    </row>
    <row r="7795" spans="1:11" ht="42" customHeight="1">
      <c r="A7795" s="2" t="s">
        <v>19890</v>
      </c>
      <c r="B7795" s="2" t="s">
        <v>19891</v>
      </c>
      <c r="C7795" s="2" t="s">
        <v>17</v>
      </c>
      <c r="D7795" s="2" t="s">
        <v>18</v>
      </c>
      <c r="E7795" s="4">
        <v>-32421</v>
      </c>
      <c r="F7795" s="3" t="s">
        <v>79</v>
      </c>
      <c r="G7795" s="3" t="s">
        <v>80</v>
      </c>
      <c r="H7795" s="2" t="s">
        <v>148</v>
      </c>
      <c r="I7795" s="2" t="s">
        <v>19892</v>
      </c>
      <c r="J7795" s="3" t="str">
        <f>HYPERLINK("https://www.boe.es/gazeta/dias/1811/03/26/pdfs/GEI-1811-42.pdf#page=7","Abrir facsímil")</f>
        <v>Abrir facsímil</v>
      </c>
      <c r="K7795" s="3" t="s">
        <v>150</v>
      </c>
    </row>
    <row r="7796" spans="1:11" ht="42" customHeight="1">
      <c r="A7796" s="2" t="s">
        <v>19893</v>
      </c>
      <c r="B7796" s="2" t="s">
        <v>19893</v>
      </c>
      <c r="C7796" s="2" t="s">
        <v>37</v>
      </c>
      <c r="D7796" s="2" t="s">
        <v>18</v>
      </c>
      <c r="E7796" s="4">
        <v>-32266</v>
      </c>
      <c r="F7796" s="3" t="s">
        <v>1234</v>
      </c>
      <c r="G7796" s="3" t="s">
        <v>1235</v>
      </c>
      <c r="H7796" s="2" t="s">
        <v>148</v>
      </c>
      <c r="I7796" s="2" t="s">
        <v>19894</v>
      </c>
      <c r="J7796" s="3" t="str">
        <f>HYPERLINK("https://www.boe.es/gazeta/dias/1811/08/28/pdfs/GMD-1811-240.pdf#page=4","Abrir facsímil")</f>
        <v>Abrir facsímil</v>
      </c>
      <c r="K7796" s="3" t="s">
        <v>150</v>
      </c>
    </row>
    <row r="7797" spans="1:11" ht="42" customHeight="1">
      <c r="A7797" s="2" t="s">
        <v>19895</v>
      </c>
      <c r="B7797" s="2" t="s">
        <v>19895</v>
      </c>
      <c r="C7797" s="2" t="s">
        <v>26</v>
      </c>
      <c r="D7797" s="2" t="s">
        <v>18</v>
      </c>
      <c r="E7797" s="4">
        <v>-32343</v>
      </c>
      <c r="F7797" s="3" t="s">
        <v>6073</v>
      </c>
      <c r="G7797" s="3" t="s">
        <v>9615</v>
      </c>
      <c r="H7797" s="2" t="s">
        <v>148</v>
      </c>
      <c r="I7797" s="2" t="s">
        <v>19896</v>
      </c>
      <c r="J7797" s="3" t="str">
        <f>HYPERLINK("https://www.boe.es/gazeta/dias/1811/06/12/pdfs/GMD-1811-163.pdf#page=3","Abrir facsímil")</f>
        <v>Abrir facsímil</v>
      </c>
      <c r="K7797" s="3" t="s">
        <v>150</v>
      </c>
    </row>
    <row r="7798" spans="1:11" ht="42" customHeight="1">
      <c r="A7798" s="2" t="s">
        <v>19897</v>
      </c>
      <c r="B7798" s="2" t="s">
        <v>19898</v>
      </c>
      <c r="C7798" s="2" t="s">
        <v>17</v>
      </c>
      <c r="D7798" s="2" t="s">
        <v>18</v>
      </c>
      <c r="E7798" s="4">
        <v>-32300</v>
      </c>
      <c r="F7798" s="3" t="s">
        <v>61</v>
      </c>
      <c r="G7798" s="3" t="s">
        <v>62</v>
      </c>
      <c r="H7798" s="2" t="s">
        <v>148</v>
      </c>
      <c r="I7798" s="2" t="s">
        <v>19899</v>
      </c>
      <c r="J7798" s="3" t="str">
        <f>HYPERLINK("https://www.boe.es/gazeta/dias/1811/07/25/pdfs/GEI-1811-97.pdf#page=5","Abrir facsímil")</f>
        <v>Abrir facsímil</v>
      </c>
      <c r="K7798" s="3" t="s">
        <v>150</v>
      </c>
    </row>
    <row r="7799" spans="1:11" ht="42" customHeight="1">
      <c r="A7799" s="2" t="s">
        <v>19900</v>
      </c>
      <c r="B7799" s="2" t="s">
        <v>19901</v>
      </c>
      <c r="C7799" s="2" t="s">
        <v>84</v>
      </c>
      <c r="D7799" s="2" t="s">
        <v>18</v>
      </c>
      <c r="E7799" s="4">
        <v>-32396</v>
      </c>
      <c r="F7799" s="3" t="s">
        <v>1267</v>
      </c>
      <c r="G7799" s="3" t="s">
        <v>382</v>
      </c>
      <c r="H7799" s="2" t="s">
        <v>148</v>
      </c>
      <c r="I7799" s="2" t="s">
        <v>19902</v>
      </c>
      <c r="J7799" s="3" t="str">
        <f>HYPERLINK("https://www.boe.es/gazeta/dias/1811/04/20/pdfs/GMD-1811-110.pdf#page=2","Abrir facsímil")</f>
        <v>Abrir facsímil</v>
      </c>
      <c r="K7799" s="3" t="s">
        <v>150</v>
      </c>
    </row>
    <row r="7800" spans="1:11" ht="42" customHeight="1">
      <c r="A7800" s="2" t="s">
        <v>19903</v>
      </c>
      <c r="B7800" s="2" t="s">
        <v>19903</v>
      </c>
      <c r="C7800" s="2" t="s">
        <v>26</v>
      </c>
      <c r="D7800" s="2" t="s">
        <v>18</v>
      </c>
      <c r="E7800" s="4">
        <v>-32403</v>
      </c>
      <c r="F7800" s="3" t="s">
        <v>4861</v>
      </c>
      <c r="G7800" s="3" t="s">
        <v>91</v>
      </c>
      <c r="H7800" s="2" t="s">
        <v>148</v>
      </c>
      <c r="I7800" s="2" t="s">
        <v>19904</v>
      </c>
      <c r="J7800" s="3" t="str">
        <f>HYPERLINK("https://www.boe.es/gazeta/dias/1811/04/13/pdfs/GMD-1811-103.pdf#page=4","Abrir facsímil")</f>
        <v>Abrir facsímil</v>
      </c>
      <c r="K7800" s="3" t="s">
        <v>150</v>
      </c>
    </row>
    <row r="7801" spans="1:11" ht="42" customHeight="1">
      <c r="A7801" s="2" t="s">
        <v>19905</v>
      </c>
      <c r="B7801" s="2" t="s">
        <v>19906</v>
      </c>
      <c r="C7801" s="2" t="s">
        <v>104</v>
      </c>
      <c r="D7801" s="2" t="s">
        <v>141</v>
      </c>
      <c r="E7801" s="4">
        <v>-32249</v>
      </c>
      <c r="F7801" s="3" t="s">
        <v>743</v>
      </c>
      <c r="G7801" s="3" t="s">
        <v>468</v>
      </c>
      <c r="H7801" s="2" t="s">
        <v>148</v>
      </c>
      <c r="I7801" s="2" t="s">
        <v>19907</v>
      </c>
      <c r="J7801" s="3" t="str">
        <f>HYPERLINK("https://www.boe.es/gazeta/dias/1811/09/14/pdfs/GMD-C-1811-257.pdf#page=1","Abrir facsímil")</f>
        <v>Abrir facsímil</v>
      </c>
      <c r="K7801" s="3" t="s">
        <v>150</v>
      </c>
    </row>
    <row r="7802" spans="1:11" ht="42" customHeight="1">
      <c r="A7802" s="2" t="s">
        <v>19905</v>
      </c>
      <c r="B7802" s="2" t="s">
        <v>19906</v>
      </c>
      <c r="C7802" s="2" t="s">
        <v>26</v>
      </c>
      <c r="D7802" s="2" t="s">
        <v>18</v>
      </c>
      <c r="E7802" s="4">
        <v>-32188</v>
      </c>
      <c r="F7802" s="3" t="s">
        <v>356</v>
      </c>
      <c r="G7802" s="3" t="s">
        <v>248</v>
      </c>
      <c r="H7802" s="2" t="s">
        <v>148</v>
      </c>
      <c r="I7802" s="2" t="s">
        <v>19908</v>
      </c>
      <c r="J7802" s="3" t="str">
        <f>HYPERLINK("https://www.boe.es/gazeta/dias/1811/11/14/pdfs/GMD-1811-318.pdf#page=5","Abrir facsímil")</f>
        <v>Abrir facsímil</v>
      </c>
      <c r="K7802" s="3" t="s">
        <v>150</v>
      </c>
    </row>
    <row r="7803" spans="1:11" ht="42" customHeight="1">
      <c r="A7803" s="2" t="s">
        <v>19909</v>
      </c>
      <c r="B7803" s="2" t="s">
        <v>19909</v>
      </c>
      <c r="C7803" s="2" t="s">
        <v>17</v>
      </c>
      <c r="D7803" s="2" t="s">
        <v>156</v>
      </c>
      <c r="E7803" s="4">
        <v>-32141</v>
      </c>
      <c r="F7803" s="3" t="s">
        <v>308</v>
      </c>
      <c r="G7803" s="3" t="s">
        <v>91</v>
      </c>
      <c r="H7803" s="2" t="s">
        <v>148</v>
      </c>
      <c r="I7803" s="2" t="s">
        <v>19910</v>
      </c>
      <c r="J7803" s="3" t="str">
        <f>HYPERLINK("https://www.boe.es/gazeta/dias/1811/12/31/pdfs/GEI-1811-169.pdf#page=7","Abrir facsímil")</f>
        <v>Abrir facsímil</v>
      </c>
      <c r="K7803" s="3" t="s">
        <v>150</v>
      </c>
    </row>
    <row r="7804" spans="1:11" ht="42" customHeight="1">
      <c r="A7804" s="2" t="s">
        <v>19911</v>
      </c>
      <c r="B7804" s="2" t="s">
        <v>19912</v>
      </c>
      <c r="C7804" s="2" t="s">
        <v>26</v>
      </c>
      <c r="D7804" s="2" t="s">
        <v>18</v>
      </c>
      <c r="E7804" s="4">
        <v>-32153</v>
      </c>
      <c r="F7804" s="3" t="s">
        <v>123</v>
      </c>
      <c r="G7804" s="3" t="s">
        <v>1067</v>
      </c>
      <c r="H7804" s="2" t="s">
        <v>148</v>
      </c>
      <c r="I7804" s="2" t="s">
        <v>19913</v>
      </c>
      <c r="J7804" s="3" t="str">
        <f>HYPERLINK("https://www.boe.es/gazeta/dias/1811/12/19/pdfs/GMD-1811-353.pdf#page=5","Abrir facsímil")</f>
        <v>Abrir facsímil</v>
      </c>
      <c r="K7804" s="3" t="s">
        <v>150</v>
      </c>
    </row>
    <row r="7805" spans="1:11" ht="42" customHeight="1">
      <c r="A7805" s="2" t="s">
        <v>19914</v>
      </c>
      <c r="B7805" s="2" t="s">
        <v>19915</v>
      </c>
      <c r="C7805" s="2" t="s">
        <v>26</v>
      </c>
      <c r="D7805" s="2" t="s">
        <v>18</v>
      </c>
      <c r="E7805" s="4">
        <v>-32155</v>
      </c>
      <c r="F7805" s="3" t="s">
        <v>263</v>
      </c>
      <c r="G7805" s="3" t="s">
        <v>264</v>
      </c>
      <c r="H7805" s="2" t="s">
        <v>148</v>
      </c>
      <c r="I7805" s="2" t="s">
        <v>19916</v>
      </c>
      <c r="J7805" s="3" t="str">
        <f>HYPERLINK("https://www.boe.es/gazeta/dias/1811/12/17/pdfs/GEI-1811-163.pdf#page=8","Abrir facsímil")</f>
        <v>Abrir facsímil</v>
      </c>
      <c r="K7805" s="3" t="s">
        <v>150</v>
      </c>
    </row>
    <row r="7806" spans="1:11" ht="42" customHeight="1">
      <c r="A7806" s="2" t="s">
        <v>19917</v>
      </c>
      <c r="B7806" s="2" t="s">
        <v>19917</v>
      </c>
      <c r="C7806" s="2" t="s">
        <v>17</v>
      </c>
      <c r="D7806" s="2" t="s">
        <v>18</v>
      </c>
      <c r="E7806" s="4">
        <v>-32367</v>
      </c>
      <c r="F7806" s="3" t="s">
        <v>4693</v>
      </c>
      <c r="G7806" s="3" t="s">
        <v>20</v>
      </c>
      <c r="H7806" s="2" t="s">
        <v>148</v>
      </c>
      <c r="I7806" s="2" t="s">
        <v>19918</v>
      </c>
      <c r="J7806" s="3" t="str">
        <f>HYPERLINK("https://www.boe.es/gazeta/dias/1811/05/19/pdfs/GMD-1811-139.pdf#page=2","Abrir facsímil")</f>
        <v>Abrir facsímil</v>
      </c>
      <c r="K7806" s="3" t="s">
        <v>150</v>
      </c>
    </row>
    <row r="7807" spans="1:11" ht="42" customHeight="1">
      <c r="A7807" s="2" t="s">
        <v>19919</v>
      </c>
      <c r="B7807" s="2" t="s">
        <v>19919</v>
      </c>
      <c r="C7807" s="2" t="s">
        <v>26</v>
      </c>
      <c r="D7807" s="2" t="s">
        <v>18</v>
      </c>
      <c r="E7807" s="4">
        <v>-32269</v>
      </c>
      <c r="F7807" s="3" t="s">
        <v>56</v>
      </c>
      <c r="G7807" s="3" t="s">
        <v>669</v>
      </c>
      <c r="H7807" s="2" t="s">
        <v>148</v>
      </c>
      <c r="I7807" s="2" t="s">
        <v>19920</v>
      </c>
      <c r="J7807" s="3" t="str">
        <f>HYPERLINK("https://www.boe.es/gazeta/dias/1811/08/25/pdfs/GMD-1811-237.pdf#page=4","Abrir facsímil")</f>
        <v>Abrir facsímil</v>
      </c>
      <c r="K7807" s="3" t="s">
        <v>150</v>
      </c>
    </row>
    <row r="7808" spans="1:11" ht="42" customHeight="1">
      <c r="A7808" s="2" t="s">
        <v>19921</v>
      </c>
      <c r="B7808" s="2" t="s">
        <v>19922</v>
      </c>
      <c r="C7808" s="2" t="s">
        <v>367</v>
      </c>
      <c r="D7808" s="2" t="s">
        <v>18</v>
      </c>
      <c r="E7808" s="4">
        <v>-32153</v>
      </c>
      <c r="F7808" s="3" t="s">
        <v>123</v>
      </c>
      <c r="G7808" s="3" t="s">
        <v>1067</v>
      </c>
      <c r="H7808" s="2" t="s">
        <v>148</v>
      </c>
      <c r="I7808" s="2" t="s">
        <v>19923</v>
      </c>
      <c r="J7808" s="3" t="str">
        <f>HYPERLINK("https://www.boe.es/gazeta/dias/1811/12/19/pdfs/GMD-1811-353.pdf#page=5","Abrir facsímil")</f>
        <v>Abrir facsímil</v>
      </c>
      <c r="K7808" s="3" t="s">
        <v>150</v>
      </c>
    </row>
    <row r="7809" spans="1:11" ht="42" customHeight="1">
      <c r="A7809" s="2" t="s">
        <v>19924</v>
      </c>
      <c r="B7809" s="2" t="s">
        <v>19924</v>
      </c>
      <c r="C7809" s="2" t="s">
        <v>26</v>
      </c>
      <c r="D7809" s="2" t="s">
        <v>18</v>
      </c>
      <c r="E7809" s="4">
        <v>-32436</v>
      </c>
      <c r="F7809" s="3" t="s">
        <v>1972</v>
      </c>
      <c r="G7809" s="3" t="s">
        <v>698</v>
      </c>
      <c r="H7809" s="2" t="s">
        <v>148</v>
      </c>
      <c r="I7809" s="2" t="s">
        <v>19925</v>
      </c>
      <c r="J7809" s="3" t="str">
        <f>HYPERLINK("https://www.boe.es/gazeta/dias/1811/03/11/pdfs/GMD-1811-70.pdf#page=1","Abrir facsímil")</f>
        <v>Abrir facsímil</v>
      </c>
      <c r="K7809" s="3" t="s">
        <v>150</v>
      </c>
    </row>
    <row r="7810" spans="1:11" ht="42" customHeight="1">
      <c r="A7810" s="2" t="s">
        <v>19926</v>
      </c>
      <c r="B7810" s="2" t="s">
        <v>19927</v>
      </c>
      <c r="C7810" s="2" t="s">
        <v>17</v>
      </c>
      <c r="D7810" s="2" t="s">
        <v>156</v>
      </c>
      <c r="E7810" s="4">
        <v>-32165</v>
      </c>
      <c r="F7810" s="3" t="s">
        <v>1462</v>
      </c>
      <c r="G7810" s="3" t="s">
        <v>1463</v>
      </c>
      <c r="H7810" s="2" t="s">
        <v>148</v>
      </c>
      <c r="I7810" s="2" t="s">
        <v>19928</v>
      </c>
      <c r="J7810" s="3" t="str">
        <f>HYPERLINK("https://www.boe.es/gazeta/dias/1811/12/07/pdfs/GMD-1811-341.pdf#page=3","Abrir facsímil")</f>
        <v>Abrir facsímil</v>
      </c>
      <c r="K7810" s="3" t="s">
        <v>150</v>
      </c>
    </row>
    <row r="7811" spans="1:11" ht="42" customHeight="1">
      <c r="A7811" s="2" t="s">
        <v>19929</v>
      </c>
      <c r="B7811" s="2" t="s">
        <v>19929</v>
      </c>
      <c r="C7811" s="2" t="s">
        <v>17</v>
      </c>
      <c r="D7811" s="2" t="s">
        <v>18</v>
      </c>
      <c r="E7811" s="4">
        <v>-32379</v>
      </c>
      <c r="F7811" s="3" t="s">
        <v>2357</v>
      </c>
      <c r="G7811" s="3" t="s">
        <v>468</v>
      </c>
      <c r="H7811" s="2" t="s">
        <v>148</v>
      </c>
      <c r="I7811" s="2" t="s">
        <v>19930</v>
      </c>
      <c r="J7811" s="3" t="str">
        <f>HYPERLINK("https://www.boe.es/gazeta/dias/1811/05/07/pdfs/GMD-1811-127.pdf#page=4","Abrir facsímil")</f>
        <v>Abrir facsímil</v>
      </c>
      <c r="K7811" s="3" t="s">
        <v>150</v>
      </c>
    </row>
    <row r="7812" spans="1:11" ht="42" customHeight="1">
      <c r="A7812" s="2" t="s">
        <v>19931</v>
      </c>
      <c r="B7812" s="2" t="s">
        <v>19931</v>
      </c>
      <c r="C7812" s="2" t="s">
        <v>17</v>
      </c>
      <c r="D7812" s="2" t="s">
        <v>18</v>
      </c>
      <c r="E7812" s="4">
        <v>-32370</v>
      </c>
      <c r="F7812" s="3" t="s">
        <v>11369</v>
      </c>
      <c r="G7812" s="3" t="s">
        <v>91</v>
      </c>
      <c r="H7812" s="2" t="s">
        <v>148</v>
      </c>
      <c r="I7812" s="2" t="s">
        <v>19932</v>
      </c>
      <c r="J7812" s="3" t="str">
        <f>HYPERLINK("https://www.boe.es/gazeta/dias/1811/05/16/pdfs/GMD-1811-136.pdf#page=4","Abrir facsímil")</f>
        <v>Abrir facsímil</v>
      </c>
      <c r="K7812" s="3" t="s">
        <v>150</v>
      </c>
    </row>
    <row r="7813" spans="1:11" ht="42" customHeight="1">
      <c r="A7813" s="2" t="s">
        <v>19933</v>
      </c>
      <c r="B7813" s="2" t="s">
        <v>19933</v>
      </c>
      <c r="C7813" s="2" t="s">
        <v>17</v>
      </c>
      <c r="D7813" s="2" t="s">
        <v>156</v>
      </c>
      <c r="E7813" s="4">
        <v>-32428</v>
      </c>
      <c r="F7813" s="3" t="s">
        <v>351</v>
      </c>
      <c r="G7813" s="3" t="s">
        <v>57</v>
      </c>
      <c r="H7813" s="2" t="s">
        <v>148</v>
      </c>
      <c r="I7813" s="2" t="s">
        <v>19934</v>
      </c>
      <c r="J7813" s="3" t="str">
        <f>HYPERLINK("https://www.boe.es/gazeta/dias/1811/03/19/pdfs/GMD-1811-78.pdf#page=2","Abrir facsímil")</f>
        <v>Abrir facsímil</v>
      </c>
      <c r="K7813" s="3" t="s">
        <v>150</v>
      </c>
    </row>
    <row r="7814" spans="1:11" ht="42" customHeight="1">
      <c r="A7814" s="2" t="s">
        <v>19935</v>
      </c>
      <c r="B7814" s="2" t="s">
        <v>19935</v>
      </c>
      <c r="C7814" s="2" t="s">
        <v>17</v>
      </c>
      <c r="D7814" s="2" t="s">
        <v>105</v>
      </c>
      <c r="E7814" s="4">
        <v>-32363</v>
      </c>
      <c r="F7814" s="3" t="s">
        <v>1645</v>
      </c>
      <c r="G7814" s="3" t="s">
        <v>20</v>
      </c>
      <c r="H7814" s="2" t="s">
        <v>148</v>
      </c>
      <c r="I7814" s="2" t="s">
        <v>19936</v>
      </c>
      <c r="J7814" s="3" t="str">
        <f>HYPERLINK("https://www.boe.es/gazeta/dias/1811/05/23/pdfs/GEI-1811-68.pdf#page=4","Abrir facsímil")</f>
        <v>Abrir facsímil</v>
      </c>
      <c r="K7814" s="3" t="s">
        <v>150</v>
      </c>
    </row>
    <row r="7815" spans="1:11" ht="42" customHeight="1">
      <c r="A7815" s="2" t="s">
        <v>19935</v>
      </c>
      <c r="B7815" s="2" t="s">
        <v>19935</v>
      </c>
      <c r="C7815" s="2" t="s">
        <v>17</v>
      </c>
      <c r="D7815" s="2" t="s">
        <v>204</v>
      </c>
      <c r="E7815" s="4">
        <v>-32291</v>
      </c>
      <c r="F7815" s="3" t="s">
        <v>712</v>
      </c>
      <c r="G7815" s="3" t="s">
        <v>248</v>
      </c>
      <c r="H7815" s="2" t="s">
        <v>148</v>
      </c>
      <c r="I7815" s="2" t="s">
        <v>19937</v>
      </c>
      <c r="J7815" s="3" t="str">
        <f>HYPERLINK("https://www.boe.es/gazeta/dias/1811/08/03/pdfs/GEI-1811-101.pdf#page=3","Abrir facsímil")</f>
        <v>Abrir facsímil</v>
      </c>
      <c r="K7815" s="3" t="s">
        <v>150</v>
      </c>
    </row>
    <row r="7816" spans="1:11" ht="42" customHeight="1">
      <c r="A7816" s="2" t="s">
        <v>19938</v>
      </c>
      <c r="B7816" s="2" t="s">
        <v>19939</v>
      </c>
      <c r="C7816" s="2" t="s">
        <v>17</v>
      </c>
      <c r="D7816" s="2" t="s">
        <v>156</v>
      </c>
      <c r="E7816" s="4">
        <v>-32309</v>
      </c>
      <c r="F7816" s="3" t="s">
        <v>2496</v>
      </c>
      <c r="G7816" s="3" t="s">
        <v>178</v>
      </c>
      <c r="H7816" s="2" t="s">
        <v>148</v>
      </c>
      <c r="I7816" s="2" t="s">
        <v>19940</v>
      </c>
      <c r="J7816" s="3" t="str">
        <f>HYPERLINK("https://www.boe.es/gazeta/dias/1811/07/16/pdfs/GEI-1811-93.pdf#page=6","Abrir facsímil")</f>
        <v>Abrir facsímil</v>
      </c>
      <c r="K7816" s="3" t="s">
        <v>150</v>
      </c>
    </row>
    <row r="7817" spans="1:11" ht="42" customHeight="1">
      <c r="A7817" s="2" t="s">
        <v>19941</v>
      </c>
      <c r="B7817" s="2" t="s">
        <v>19942</v>
      </c>
      <c r="C7817" s="2" t="s">
        <v>26</v>
      </c>
      <c r="D7817" s="2" t="s">
        <v>18</v>
      </c>
      <c r="E7817" s="4">
        <v>-32407</v>
      </c>
      <c r="F7817" s="3" t="s">
        <v>38</v>
      </c>
      <c r="G7817" s="3" t="s">
        <v>480</v>
      </c>
      <c r="H7817" s="2" t="s">
        <v>148</v>
      </c>
      <c r="I7817" s="2" t="s">
        <v>19943</v>
      </c>
      <c r="J7817" s="3" t="str">
        <f>HYPERLINK("https://www.boe.es/gazeta/dias/1811/04/09/pdfs/GEI-1811-48.pdf#page=4","Abrir facsímil")</f>
        <v>Abrir facsímil</v>
      </c>
      <c r="K7817" s="3" t="s">
        <v>150</v>
      </c>
    </row>
    <row r="7818" spans="1:11" ht="42" customHeight="1">
      <c r="A7818" s="2" t="s">
        <v>19944</v>
      </c>
      <c r="B7818" s="2" t="s">
        <v>19944</v>
      </c>
      <c r="C7818" s="2" t="s">
        <v>17</v>
      </c>
      <c r="D7818" s="2" t="s">
        <v>18</v>
      </c>
      <c r="E7818" s="4">
        <v>-32366</v>
      </c>
      <c r="F7818" s="3" t="s">
        <v>5468</v>
      </c>
      <c r="G7818" s="3" t="s">
        <v>248</v>
      </c>
      <c r="H7818" s="2" t="s">
        <v>148</v>
      </c>
      <c r="I7818" s="2" t="s">
        <v>19945</v>
      </c>
      <c r="J7818" s="3" t="str">
        <f>HYPERLINK("https://www.boe.es/gazeta/dias/1811/05/20/pdfs/GMD-1811-140.pdf#page=1","Abrir facsímil")</f>
        <v>Abrir facsímil</v>
      </c>
      <c r="K7818" s="3" t="s">
        <v>150</v>
      </c>
    </row>
    <row r="7819" spans="1:11" ht="42" customHeight="1">
      <c r="A7819" s="2" t="s">
        <v>19946</v>
      </c>
      <c r="B7819" s="2" t="s">
        <v>19946</v>
      </c>
      <c r="C7819" s="2" t="s">
        <v>17</v>
      </c>
      <c r="D7819" s="2" t="s">
        <v>105</v>
      </c>
      <c r="E7819" s="4">
        <v>-32146</v>
      </c>
      <c r="F7819" s="3" t="s">
        <v>3210</v>
      </c>
      <c r="G7819" s="3" t="s">
        <v>3211</v>
      </c>
      <c r="H7819" s="2" t="s">
        <v>148</v>
      </c>
      <c r="I7819" s="2" t="s">
        <v>19947</v>
      </c>
      <c r="J7819" s="3" t="str">
        <f>HYPERLINK("https://www.boe.es/gazeta/dias/1811/12/26/pdfs/GMD-1811-360.pdf#page=4","Abrir facsímil")</f>
        <v>Abrir facsímil</v>
      </c>
      <c r="K7819" s="3" t="s">
        <v>150</v>
      </c>
    </row>
    <row r="7820" spans="1:11" ht="42" customHeight="1">
      <c r="A7820" s="2" t="s">
        <v>19948</v>
      </c>
      <c r="B7820" s="2" t="s">
        <v>19949</v>
      </c>
      <c r="C7820" s="2" t="s">
        <v>17</v>
      </c>
      <c r="D7820" s="2" t="s">
        <v>18</v>
      </c>
      <c r="E7820" s="4">
        <v>-32503</v>
      </c>
      <c r="F7820" s="3" t="s">
        <v>487</v>
      </c>
      <c r="G7820" s="3" t="s">
        <v>846</v>
      </c>
      <c r="H7820" s="2" t="s">
        <v>148</v>
      </c>
      <c r="I7820" s="2" t="s">
        <v>19950</v>
      </c>
      <c r="J7820" s="3" t="str">
        <f>HYPERLINK("https://www.boe.es/gazeta/dias/1811/01/03/pdfs/GEI-1811-2.pdf#page=6","Abrir facsímil")</f>
        <v>Abrir facsímil</v>
      </c>
      <c r="K7820" s="3" t="s">
        <v>150</v>
      </c>
    </row>
    <row r="7821" spans="1:11" ht="42" customHeight="1">
      <c r="A7821" s="2" t="s">
        <v>19951</v>
      </c>
      <c r="B7821" s="2" t="s">
        <v>19952</v>
      </c>
      <c r="C7821" s="2" t="s">
        <v>26</v>
      </c>
      <c r="D7821" s="2" t="s">
        <v>18</v>
      </c>
      <c r="E7821" s="4">
        <v>-32295</v>
      </c>
      <c r="F7821" s="3" t="s">
        <v>279</v>
      </c>
      <c r="G7821" s="3" t="s">
        <v>44</v>
      </c>
      <c r="H7821" s="2" t="s">
        <v>148</v>
      </c>
      <c r="I7821" s="2" t="s">
        <v>19953</v>
      </c>
      <c r="J7821" s="3" t="str">
        <f>HYPERLINK("https://www.boe.es/gazeta/dias/1811/07/30/pdfs/GEI-1811-99.pdf#page=8","Abrir facsímil")</f>
        <v>Abrir facsímil</v>
      </c>
      <c r="K7821" s="3" t="s">
        <v>150</v>
      </c>
    </row>
    <row r="7822" spans="1:11" ht="42" customHeight="1">
      <c r="A7822" s="2" t="s">
        <v>19954</v>
      </c>
      <c r="B7822" s="2" t="s">
        <v>19955</v>
      </c>
      <c r="C7822" s="2" t="s">
        <v>37</v>
      </c>
      <c r="D7822" s="2" t="s">
        <v>18</v>
      </c>
      <c r="E7822" s="4">
        <v>-32192</v>
      </c>
      <c r="F7822" s="3" t="s">
        <v>673</v>
      </c>
      <c r="G7822" s="3" t="s">
        <v>305</v>
      </c>
      <c r="H7822" s="2" t="s">
        <v>148</v>
      </c>
      <c r="I7822" s="2" t="s">
        <v>19956</v>
      </c>
      <c r="J7822" s="3" t="str">
        <f>HYPERLINK("https://www.boe.es/gazeta/dias/1811/11/10/pdfs/GMD-1811-314.pdf#page=4","Abrir facsímil")</f>
        <v>Abrir facsímil</v>
      </c>
      <c r="K7822" s="3" t="s">
        <v>150</v>
      </c>
    </row>
    <row r="7823" spans="1:11" ht="42" customHeight="1">
      <c r="A7823" s="2" t="s">
        <v>19957</v>
      </c>
      <c r="B7823" s="2" t="s">
        <v>19958</v>
      </c>
      <c r="C7823" s="2" t="s">
        <v>841</v>
      </c>
      <c r="D7823" s="2" t="s">
        <v>18</v>
      </c>
      <c r="E7823" s="4">
        <v>-32251</v>
      </c>
      <c r="F7823" s="3" t="s">
        <v>726</v>
      </c>
      <c r="G7823" s="3" t="s">
        <v>44</v>
      </c>
      <c r="H7823" s="2" t="s">
        <v>148</v>
      </c>
      <c r="I7823" s="2" t="s">
        <v>19959</v>
      </c>
      <c r="J7823" s="3" t="str">
        <f>HYPERLINK("https://www.boe.es/gazeta/dias/1811/09/12/pdfs/GEI-1811-118.pdf#page=7","Abrir facsímil")</f>
        <v>Abrir facsímil</v>
      </c>
      <c r="K7823" s="3" t="s">
        <v>150</v>
      </c>
    </row>
    <row r="7824" spans="1:11" ht="42" customHeight="1">
      <c r="A7824" s="2" t="s">
        <v>19960</v>
      </c>
      <c r="B7824" s="2" t="s">
        <v>19961</v>
      </c>
      <c r="C7824" s="2" t="s">
        <v>37</v>
      </c>
      <c r="D7824" s="2" t="s">
        <v>156</v>
      </c>
      <c r="E7824" s="4">
        <v>-32279</v>
      </c>
      <c r="F7824" s="3" t="s">
        <v>444</v>
      </c>
      <c r="G7824" s="3" t="s">
        <v>445</v>
      </c>
      <c r="H7824" s="2" t="s">
        <v>148</v>
      </c>
      <c r="I7824" s="2" t="s">
        <v>19962</v>
      </c>
      <c r="J7824" s="3" t="str">
        <f>HYPERLINK("https://www.boe.es/gazeta/dias/1811/08/15/pdfs/GEI-1811-106.pdf#page=8","Abrir facsímil")</f>
        <v>Abrir facsímil</v>
      </c>
      <c r="K7824" s="3" t="s">
        <v>150</v>
      </c>
    </row>
    <row r="7825" spans="1:11" ht="42" customHeight="1">
      <c r="A7825" s="2" t="s">
        <v>19960</v>
      </c>
      <c r="B7825" s="2" t="s">
        <v>19961</v>
      </c>
      <c r="C7825" s="2" t="s">
        <v>26</v>
      </c>
      <c r="D7825" s="2" t="s">
        <v>18</v>
      </c>
      <c r="E7825" s="4">
        <v>-32155</v>
      </c>
      <c r="F7825" s="3" t="s">
        <v>263</v>
      </c>
      <c r="G7825" s="3" t="s">
        <v>264</v>
      </c>
      <c r="H7825" s="2" t="s">
        <v>148</v>
      </c>
      <c r="I7825" s="2" t="s">
        <v>19963</v>
      </c>
      <c r="J7825" s="3" t="str">
        <f>HYPERLINK("https://www.boe.es/gazeta/dias/1811/12/17/pdfs/GEI-1811-163.pdf#page=8","Abrir facsímil")</f>
        <v>Abrir facsímil</v>
      </c>
      <c r="K7825" s="3" t="s">
        <v>150</v>
      </c>
    </row>
    <row r="7826" spans="1:11" ht="42" customHeight="1">
      <c r="A7826" s="2" t="s">
        <v>19964</v>
      </c>
      <c r="B7826" s="2" t="s">
        <v>19965</v>
      </c>
      <c r="C7826" s="2" t="s">
        <v>17</v>
      </c>
      <c r="D7826" s="2" t="s">
        <v>156</v>
      </c>
      <c r="E7826" s="4">
        <v>-32394</v>
      </c>
      <c r="F7826" s="3" t="s">
        <v>1709</v>
      </c>
      <c r="G7826" s="3" t="s">
        <v>115</v>
      </c>
      <c r="H7826" s="2" t="s">
        <v>148</v>
      </c>
      <c r="I7826" s="2" t="s">
        <v>19966</v>
      </c>
      <c r="J7826" s="3" t="str">
        <f>HYPERLINK("https://www.boe.es/gazeta/dias/1811/04/22/pdfs/GMD-1811-112.pdf#page=3","Abrir facsímil")</f>
        <v>Abrir facsímil</v>
      </c>
      <c r="K7826" s="3" t="s">
        <v>150</v>
      </c>
    </row>
    <row r="7827" spans="1:11" ht="42" customHeight="1">
      <c r="A7827" s="2" t="s">
        <v>19967</v>
      </c>
      <c r="B7827" s="2" t="s">
        <v>19968</v>
      </c>
      <c r="C7827" s="2" t="s">
        <v>26</v>
      </c>
      <c r="D7827" s="2" t="s">
        <v>18</v>
      </c>
      <c r="E7827" s="4">
        <v>-32505</v>
      </c>
      <c r="F7827" s="3" t="s">
        <v>475</v>
      </c>
      <c r="G7827" s="3" t="s">
        <v>755</v>
      </c>
      <c r="H7827" s="2" t="s">
        <v>148</v>
      </c>
      <c r="I7827" s="2" t="s">
        <v>19969</v>
      </c>
      <c r="J7827" s="3" t="str">
        <f>HYPERLINK("https://www.boe.es/gazeta/dias/1811/01/01/pdfs/GEI-1811-1.pdf#page=8","Abrir facsímil")</f>
        <v>Abrir facsímil</v>
      </c>
      <c r="K7827" s="3" t="s">
        <v>150</v>
      </c>
    </row>
    <row r="7828" spans="1:11" ht="42" customHeight="1">
      <c r="A7828" s="2" t="s">
        <v>19970</v>
      </c>
      <c r="B7828" s="2" t="s">
        <v>19971</v>
      </c>
      <c r="C7828" s="2" t="s">
        <v>26</v>
      </c>
      <c r="D7828" s="2" t="s">
        <v>141</v>
      </c>
      <c r="E7828" s="4">
        <v>-32249</v>
      </c>
      <c r="F7828" s="3" t="s">
        <v>743</v>
      </c>
      <c r="G7828" s="3" t="s">
        <v>1021</v>
      </c>
      <c r="H7828" s="2" t="s">
        <v>148</v>
      </c>
      <c r="I7828" s="2" t="s">
        <v>19972</v>
      </c>
      <c r="J7828" s="3" t="str">
        <f>HYPERLINK("https://www.boe.es/gazeta/dias/1811/09/14/pdfs/GMD-C-1811-257.pdf#page=2","Abrir facsímil")</f>
        <v>Abrir facsímil</v>
      </c>
      <c r="K7828" s="3" t="s">
        <v>150</v>
      </c>
    </row>
    <row r="7829" spans="1:11" ht="42" customHeight="1">
      <c r="A7829" s="2" t="s">
        <v>19973</v>
      </c>
      <c r="B7829" s="2" t="s">
        <v>19974</v>
      </c>
      <c r="C7829" s="2" t="s">
        <v>17</v>
      </c>
      <c r="D7829" s="2" t="s">
        <v>18</v>
      </c>
      <c r="E7829" s="4">
        <v>-32344</v>
      </c>
      <c r="F7829" s="3" t="s">
        <v>761</v>
      </c>
      <c r="G7829" s="3" t="s">
        <v>44</v>
      </c>
      <c r="H7829" s="2" t="s">
        <v>148</v>
      </c>
      <c r="I7829" s="2" t="s">
        <v>19975</v>
      </c>
      <c r="J7829" s="3" t="str">
        <f>HYPERLINK("https://www.boe.es/gazeta/dias/1811/06/11/pdfs/GEI-1811-78.pdf#page=7","Abrir facsímil")</f>
        <v>Abrir facsímil</v>
      </c>
      <c r="K7829" s="3" t="s">
        <v>150</v>
      </c>
    </row>
    <row r="7830" spans="1:11" ht="42" customHeight="1">
      <c r="A7830" s="2" t="s">
        <v>19976</v>
      </c>
      <c r="B7830" s="2" t="s">
        <v>19977</v>
      </c>
      <c r="C7830" s="2" t="s">
        <v>17</v>
      </c>
      <c r="D7830" s="2" t="s">
        <v>105</v>
      </c>
      <c r="E7830" s="4">
        <v>-32276</v>
      </c>
      <c r="F7830" s="3" t="s">
        <v>1361</v>
      </c>
      <c r="G7830" s="3" t="s">
        <v>183</v>
      </c>
      <c r="H7830" s="2" t="s">
        <v>148</v>
      </c>
      <c r="I7830" s="2" t="s">
        <v>19978</v>
      </c>
      <c r="J7830" s="3" t="str">
        <f>HYPERLINK("https://www.boe.es/gazeta/dias/1811/08/18/pdfs/GMD-1811-230.pdf#page=4","Abrir facsímil")</f>
        <v>Abrir facsímil</v>
      </c>
      <c r="K7830" s="3" t="s">
        <v>150</v>
      </c>
    </row>
    <row r="7831" spans="1:11" ht="42" customHeight="1">
      <c r="A7831" s="2" t="s">
        <v>19979</v>
      </c>
      <c r="B7831" s="2" t="s">
        <v>19980</v>
      </c>
      <c r="C7831" s="2" t="s">
        <v>104</v>
      </c>
      <c r="D7831" s="2" t="s">
        <v>105</v>
      </c>
      <c r="E7831" s="4">
        <v>-32263</v>
      </c>
      <c r="F7831" s="3" t="s">
        <v>3780</v>
      </c>
      <c r="G7831" s="3" t="s">
        <v>3781</v>
      </c>
      <c r="H7831" s="2" t="s">
        <v>148</v>
      </c>
      <c r="I7831" s="2" t="s">
        <v>19981</v>
      </c>
      <c r="J7831" s="3" t="str">
        <f>HYPERLINK("https://www.boe.es/gazeta/dias/1811/08/31/pdfs/GMD-1811-243.pdf#page=4","Abrir facsímil")</f>
        <v>Abrir facsímil</v>
      </c>
      <c r="K7831" s="3" t="s">
        <v>150</v>
      </c>
    </row>
    <row r="7832" spans="1:11" ht="42" customHeight="1">
      <c r="A7832" s="2" t="s">
        <v>19982</v>
      </c>
      <c r="B7832" s="2" t="s">
        <v>19983</v>
      </c>
      <c r="C7832" s="2" t="s">
        <v>17</v>
      </c>
      <c r="D7832" s="2" t="s">
        <v>18</v>
      </c>
      <c r="E7832" s="4">
        <v>-32421</v>
      </c>
      <c r="F7832" s="3" t="s">
        <v>79</v>
      </c>
      <c r="G7832" s="3" t="s">
        <v>488</v>
      </c>
      <c r="H7832" s="2" t="s">
        <v>148</v>
      </c>
      <c r="I7832" s="2" t="s">
        <v>19984</v>
      </c>
      <c r="J7832" s="3" t="str">
        <f>HYPERLINK("https://www.boe.es/gazeta/dias/1811/03/26/pdfs/GEI-1811-42.pdf#page=8","Abrir facsímil")</f>
        <v>Abrir facsímil</v>
      </c>
      <c r="K7832" s="3" t="s">
        <v>150</v>
      </c>
    </row>
    <row r="7833" spans="1:11" ht="42" customHeight="1">
      <c r="A7833" s="2" t="s">
        <v>19985</v>
      </c>
      <c r="B7833" s="2" t="s">
        <v>19986</v>
      </c>
      <c r="C7833" s="2" t="s">
        <v>17</v>
      </c>
      <c r="D7833" s="2" t="s">
        <v>105</v>
      </c>
      <c r="E7833" s="4">
        <v>-32454</v>
      </c>
      <c r="F7833" s="3" t="s">
        <v>2268</v>
      </c>
      <c r="G7833" s="3" t="s">
        <v>44</v>
      </c>
      <c r="H7833" s="2" t="s">
        <v>148</v>
      </c>
      <c r="I7833" s="2" t="s">
        <v>19987</v>
      </c>
      <c r="J7833" s="3" t="str">
        <f>HYPERLINK("https://www.boe.es/gazeta/dias/1811/02/21/pdfs/GEI-1811-23.pdf#page=4","Abrir facsímil")</f>
        <v>Abrir facsímil</v>
      </c>
      <c r="K7833" s="3" t="s">
        <v>150</v>
      </c>
    </row>
    <row r="7834" spans="1:11" ht="42" customHeight="1">
      <c r="A7834" s="2" t="s">
        <v>19988</v>
      </c>
      <c r="B7834" s="2" t="s">
        <v>19989</v>
      </c>
      <c r="C7834" s="2" t="s">
        <v>26</v>
      </c>
      <c r="D7834" s="2" t="s">
        <v>18</v>
      </c>
      <c r="E7834" s="4">
        <v>-32193</v>
      </c>
      <c r="F7834" s="3" t="s">
        <v>1037</v>
      </c>
      <c r="G7834" s="3" t="s">
        <v>44</v>
      </c>
      <c r="H7834" s="2" t="s">
        <v>148</v>
      </c>
      <c r="I7834" s="2" t="s">
        <v>19990</v>
      </c>
      <c r="J7834" s="3" t="str">
        <f>HYPERLINK("https://www.boe.es/gazeta/dias/1811/11/09/pdfs/GEI-1811-145.pdf#page=4","Abrir facsímil")</f>
        <v>Abrir facsímil</v>
      </c>
      <c r="K7834" s="3" t="s">
        <v>150</v>
      </c>
    </row>
    <row r="7835" spans="1:11" ht="42" customHeight="1">
      <c r="A7835" s="2" t="s">
        <v>19991</v>
      </c>
      <c r="B7835" s="2" t="s">
        <v>19991</v>
      </c>
      <c r="C7835" s="2" t="s">
        <v>17</v>
      </c>
      <c r="D7835" s="2" t="s">
        <v>18</v>
      </c>
      <c r="E7835" s="4">
        <v>-32349</v>
      </c>
      <c r="F7835" s="3" t="s">
        <v>239</v>
      </c>
      <c r="G7835" s="3" t="s">
        <v>561</v>
      </c>
      <c r="H7835" s="2" t="s">
        <v>148</v>
      </c>
      <c r="I7835" s="2" t="s">
        <v>19992</v>
      </c>
      <c r="J7835" s="3" t="str">
        <f>HYPERLINK("https://www.boe.es/gazeta/dias/1811/06/06/pdfs/GEI-1811-76.pdf#page=4","Abrir facsímil")</f>
        <v>Abrir facsímil</v>
      </c>
      <c r="K7835" s="3" t="s">
        <v>150</v>
      </c>
    </row>
    <row r="7836" spans="1:11" ht="42" customHeight="1">
      <c r="A7836" s="2" t="s">
        <v>19993</v>
      </c>
      <c r="B7836" s="2" t="s">
        <v>19993</v>
      </c>
      <c r="C7836" s="2" t="s">
        <v>26</v>
      </c>
      <c r="D7836" s="2" t="s">
        <v>18</v>
      </c>
      <c r="E7836" s="4">
        <v>-32144</v>
      </c>
      <c r="F7836" s="3" t="s">
        <v>10241</v>
      </c>
      <c r="G7836" s="3" t="s">
        <v>12758</v>
      </c>
      <c r="H7836" s="2" t="s">
        <v>148</v>
      </c>
      <c r="I7836" s="2" t="s">
        <v>19994</v>
      </c>
      <c r="J7836" s="3" t="str">
        <f>HYPERLINK("https://www.boe.es/gazeta/dias/1811/12/28/pdfs/GMD-1811-362.pdf#page=2","Abrir facsímil")</f>
        <v>Abrir facsímil</v>
      </c>
      <c r="K7836" s="3" t="s">
        <v>150</v>
      </c>
    </row>
    <row r="7837" spans="1:11" ht="42" customHeight="1">
      <c r="A7837" s="2" t="s">
        <v>19995</v>
      </c>
      <c r="B7837" s="2" t="s">
        <v>19995</v>
      </c>
      <c r="C7837" s="2" t="s">
        <v>17</v>
      </c>
      <c r="D7837" s="2" t="s">
        <v>18</v>
      </c>
      <c r="E7837" s="4">
        <v>-32144</v>
      </c>
      <c r="F7837" s="3" t="s">
        <v>10241</v>
      </c>
      <c r="G7837" s="3" t="s">
        <v>1384</v>
      </c>
      <c r="H7837" s="2" t="s">
        <v>148</v>
      </c>
      <c r="I7837" s="2" t="s">
        <v>19996</v>
      </c>
      <c r="J7837" s="3" t="str">
        <f>HYPERLINK("https://www.boe.es/gazeta/dias/1811/12/28/pdfs/GMD-1811-362.pdf#page=3","Abrir facsímil")</f>
        <v>Abrir facsímil</v>
      </c>
      <c r="K7837" s="3" t="s">
        <v>150</v>
      </c>
    </row>
    <row r="7838" spans="1:11" ht="42" customHeight="1">
      <c r="A7838" s="2" t="s">
        <v>19995</v>
      </c>
      <c r="B7838" s="2" t="s">
        <v>19995</v>
      </c>
      <c r="C7838" s="2" t="s">
        <v>26</v>
      </c>
      <c r="D7838" s="2" t="s">
        <v>18</v>
      </c>
      <c r="E7838" s="4">
        <v>-32143</v>
      </c>
      <c r="F7838" s="3" t="s">
        <v>1455</v>
      </c>
      <c r="G7838" s="3" t="s">
        <v>8226</v>
      </c>
      <c r="H7838" s="2" t="s">
        <v>148</v>
      </c>
      <c r="I7838" s="2" t="s">
        <v>19997</v>
      </c>
      <c r="J7838" s="3" t="str">
        <f>HYPERLINK("https://www.boe.es/gazeta/dias/1811/12/29/pdfs/GMD-1811-363.pdf#page=1","Abrir facsímil")</f>
        <v>Abrir facsímil</v>
      </c>
      <c r="K7838" s="3" t="s">
        <v>150</v>
      </c>
    </row>
    <row r="7839" spans="1:11" ht="42" customHeight="1">
      <c r="A7839" s="2" t="s">
        <v>19998</v>
      </c>
      <c r="B7839" s="2" t="s">
        <v>19999</v>
      </c>
      <c r="C7839" s="2" t="s">
        <v>26</v>
      </c>
      <c r="D7839" s="2" t="s">
        <v>18</v>
      </c>
      <c r="E7839" s="4">
        <v>-32188</v>
      </c>
      <c r="F7839" s="3" t="s">
        <v>356</v>
      </c>
      <c r="G7839" s="3" t="s">
        <v>468</v>
      </c>
      <c r="H7839" s="2" t="s">
        <v>148</v>
      </c>
      <c r="I7839" s="2" t="s">
        <v>20000</v>
      </c>
      <c r="J7839" s="3" t="str">
        <f>HYPERLINK("https://www.boe.es/gazeta/dias/1811/11/14/pdfs/GMD-1811-318.pdf#page=6","Abrir facsímil")</f>
        <v>Abrir facsímil</v>
      </c>
      <c r="K7839" s="3" t="s">
        <v>150</v>
      </c>
    </row>
    <row r="7840" spans="1:11" ht="42" customHeight="1">
      <c r="A7840" s="2" t="s">
        <v>20001</v>
      </c>
      <c r="B7840" s="2" t="s">
        <v>20002</v>
      </c>
      <c r="C7840" s="2" t="s">
        <v>26</v>
      </c>
      <c r="D7840" s="2" t="s">
        <v>18</v>
      </c>
      <c r="E7840" s="4">
        <v>-32281</v>
      </c>
      <c r="F7840" s="3" t="s">
        <v>1041</v>
      </c>
      <c r="G7840" s="3" t="s">
        <v>115</v>
      </c>
      <c r="H7840" s="2" t="s">
        <v>21</v>
      </c>
      <c r="I7840" s="2" t="s">
        <v>20003</v>
      </c>
      <c r="J7840" s="3" t="str">
        <f>HYPERLINK("https://www.boe.es/gazeta/dias/1811/08/13/pdfs/GMD-1811-225.pdf#page=3","Abrir facsímil")</f>
        <v>Abrir facsímil</v>
      </c>
      <c r="K7840" s="3" t="s">
        <v>23</v>
      </c>
    </row>
    <row r="7841" spans="1:11" ht="42" customHeight="1">
      <c r="A7841" s="2" t="s">
        <v>20004</v>
      </c>
      <c r="B7841" s="2" t="s">
        <v>20004</v>
      </c>
      <c r="C7841" s="2" t="s">
        <v>17</v>
      </c>
      <c r="D7841" s="2" t="s">
        <v>18</v>
      </c>
      <c r="E7841" s="4">
        <v>-32153</v>
      </c>
      <c r="F7841" s="3" t="s">
        <v>235</v>
      </c>
      <c r="G7841" s="3" t="s">
        <v>3296</v>
      </c>
      <c r="H7841" s="2" t="s">
        <v>148</v>
      </c>
      <c r="I7841" s="2" t="s">
        <v>20005</v>
      </c>
      <c r="J7841" s="3" t="str">
        <f>HYPERLINK("https://www.boe.es/gazeta/dias/1811/12/19/pdfs/GEI-1811-164.pdf#page=1","Abrir facsímil")</f>
        <v>Abrir facsímil</v>
      </c>
      <c r="K7841" s="3" t="s">
        <v>150</v>
      </c>
    </row>
    <row r="7842" spans="1:11" ht="42" customHeight="1">
      <c r="A7842" s="2" t="s">
        <v>20006</v>
      </c>
      <c r="B7842" s="2" t="s">
        <v>20007</v>
      </c>
      <c r="C7842" s="2" t="s">
        <v>17</v>
      </c>
      <c r="D7842" s="2" t="s">
        <v>18</v>
      </c>
      <c r="E7842" s="4">
        <v>-32246</v>
      </c>
      <c r="F7842" s="3" t="s">
        <v>19</v>
      </c>
      <c r="G7842" s="3" t="s">
        <v>20</v>
      </c>
      <c r="H7842" s="2" t="s">
        <v>148</v>
      </c>
      <c r="I7842" s="2" t="s">
        <v>20008</v>
      </c>
      <c r="J7842" s="3" t="str">
        <f>HYPERLINK("https://www.boe.es/gazeta/dias/1811/09/17/pdfs/GEI-1811-120.pdf#page=24","Abrir facsímil")</f>
        <v>Abrir facsímil</v>
      </c>
      <c r="K7842" s="3" t="s">
        <v>150</v>
      </c>
    </row>
    <row r="7843" spans="1:11" ht="42" customHeight="1">
      <c r="A7843" s="2" t="s">
        <v>20009</v>
      </c>
      <c r="B7843" s="2" t="s">
        <v>20010</v>
      </c>
      <c r="C7843" s="2" t="s">
        <v>104</v>
      </c>
      <c r="D7843" s="2" t="s">
        <v>18</v>
      </c>
      <c r="E7843" s="4">
        <v>-32452</v>
      </c>
      <c r="F7843" s="3" t="s">
        <v>106</v>
      </c>
      <c r="G7843" s="3" t="s">
        <v>20</v>
      </c>
      <c r="H7843" s="2" t="s">
        <v>148</v>
      </c>
      <c r="I7843" s="2" t="s">
        <v>20011</v>
      </c>
      <c r="J7843" s="3" t="str">
        <f>HYPERLINK("https://www.boe.es/gazeta/dias/1811/02/23/pdfs/GEI-1811-24.pdf#page=8","Abrir facsímil")</f>
        <v>Abrir facsímil</v>
      </c>
      <c r="K7843" s="3" t="s">
        <v>150</v>
      </c>
    </row>
    <row r="7844" spans="1:11" ht="42" customHeight="1">
      <c r="A7844" s="2" t="s">
        <v>20012</v>
      </c>
      <c r="B7844" s="2" t="s">
        <v>20013</v>
      </c>
      <c r="C7844" s="2" t="s">
        <v>26</v>
      </c>
      <c r="D7844" s="2" t="s">
        <v>18</v>
      </c>
      <c r="E7844" s="4">
        <v>-32379</v>
      </c>
      <c r="F7844" s="3" t="s">
        <v>462</v>
      </c>
      <c r="G7844" s="3" t="s">
        <v>463</v>
      </c>
      <c r="H7844" s="2" t="s">
        <v>148</v>
      </c>
      <c r="I7844" s="2" t="s">
        <v>20014</v>
      </c>
      <c r="J7844" s="3" t="str">
        <f>HYPERLINK("https://www.boe.es/gazeta/dias/1811/05/07/pdfs/GEI-1811-60.pdf#page=8","Abrir facsímil")</f>
        <v>Abrir facsímil</v>
      </c>
      <c r="K7844" s="3" t="s">
        <v>150</v>
      </c>
    </row>
    <row r="7845" spans="1:11" ht="42" customHeight="1">
      <c r="A7845" s="2" t="s">
        <v>20015</v>
      </c>
      <c r="B7845" s="2" t="s">
        <v>20015</v>
      </c>
      <c r="C7845" s="2" t="s">
        <v>17</v>
      </c>
      <c r="D7845" s="2" t="s">
        <v>18</v>
      </c>
      <c r="E7845" s="4">
        <v>-32494</v>
      </c>
      <c r="F7845" s="3" t="s">
        <v>585</v>
      </c>
      <c r="G7845" s="3" t="s">
        <v>586</v>
      </c>
      <c r="H7845" s="2" t="s">
        <v>148</v>
      </c>
      <c r="I7845" s="2" t="s">
        <v>20016</v>
      </c>
      <c r="J7845" s="3" t="str">
        <f>HYPERLINK("https://www.boe.es/gazeta/dias/1811/01/12/pdfs/GMD-1811-12.pdf#page=4","Abrir facsímil")</f>
        <v>Abrir facsímil</v>
      </c>
      <c r="K7845" s="3" t="s">
        <v>150</v>
      </c>
    </row>
    <row r="7846" spans="1:11" ht="42" customHeight="1">
      <c r="A7846" s="2" t="s">
        <v>20017</v>
      </c>
      <c r="B7846" s="2" t="s">
        <v>20018</v>
      </c>
      <c r="C7846" s="2" t="s">
        <v>26</v>
      </c>
      <c r="D7846" s="2" t="s">
        <v>18</v>
      </c>
      <c r="E7846" s="4">
        <v>-32384</v>
      </c>
      <c r="F7846" s="3" t="s">
        <v>338</v>
      </c>
      <c r="G7846" s="3" t="s">
        <v>339</v>
      </c>
      <c r="H7846" s="2" t="s">
        <v>148</v>
      </c>
      <c r="I7846" s="2" t="s">
        <v>20019</v>
      </c>
      <c r="J7846" s="3" t="str">
        <f>HYPERLINK("https://www.boe.es/gazeta/dias/1811/05/02/pdfs/GEI-1811-58.pdf#page=8","Abrir facsímil")</f>
        <v>Abrir facsímil</v>
      </c>
      <c r="K7846" s="3" t="s">
        <v>150</v>
      </c>
    </row>
    <row r="7847" spans="1:11" ht="42" customHeight="1">
      <c r="A7847" s="2" t="s">
        <v>20020</v>
      </c>
      <c r="B7847" s="2" t="s">
        <v>20020</v>
      </c>
      <c r="C7847" s="2" t="s">
        <v>17</v>
      </c>
      <c r="D7847" s="2" t="s">
        <v>156</v>
      </c>
      <c r="E7847" s="4">
        <v>-32489</v>
      </c>
      <c r="F7847" s="3" t="s">
        <v>2073</v>
      </c>
      <c r="G7847" s="3" t="s">
        <v>6098</v>
      </c>
      <c r="H7847" s="2" t="s">
        <v>148</v>
      </c>
      <c r="I7847" s="2" t="s">
        <v>20021</v>
      </c>
      <c r="J7847" s="3" t="str">
        <f>HYPERLINK("https://www.boe.es/gazeta/dias/1811/01/17/pdfs/GEI-1811-8.pdf#page=1","Abrir facsímil")</f>
        <v>Abrir facsímil</v>
      </c>
      <c r="K7847" s="3" t="s">
        <v>150</v>
      </c>
    </row>
    <row r="7848" spans="1:11" ht="42" customHeight="1">
      <c r="A7848" s="2" t="s">
        <v>20022</v>
      </c>
      <c r="B7848" s="2" t="s">
        <v>20022</v>
      </c>
      <c r="C7848" s="2" t="s">
        <v>17</v>
      </c>
      <c r="D7848" s="2" t="s">
        <v>18</v>
      </c>
      <c r="E7848" s="4">
        <v>-32374</v>
      </c>
      <c r="F7848" s="3" t="s">
        <v>10021</v>
      </c>
      <c r="G7848" s="3" t="s">
        <v>468</v>
      </c>
      <c r="H7848" s="2" t="s">
        <v>148</v>
      </c>
      <c r="I7848" s="2" t="s">
        <v>20023</v>
      </c>
      <c r="J7848" s="3" t="str">
        <f>HYPERLINK("https://www.boe.es/gazeta/dias/1811/05/12/pdfs/GMD-1811-132.pdf#page=1","Abrir facsímil")</f>
        <v>Abrir facsímil</v>
      </c>
      <c r="K7848" s="3" t="s">
        <v>150</v>
      </c>
    </row>
    <row r="7849" spans="1:11" ht="42" customHeight="1">
      <c r="A7849" s="2" t="s">
        <v>20024</v>
      </c>
      <c r="B7849" s="2" t="s">
        <v>20024</v>
      </c>
      <c r="C7849" s="2" t="s">
        <v>26</v>
      </c>
      <c r="D7849" s="2" t="s">
        <v>18</v>
      </c>
      <c r="E7849" s="4">
        <v>-32376</v>
      </c>
      <c r="F7849" s="3" t="s">
        <v>5460</v>
      </c>
      <c r="G7849" s="3" t="s">
        <v>57</v>
      </c>
      <c r="H7849" s="2" t="s">
        <v>148</v>
      </c>
      <c r="I7849" s="2" t="s">
        <v>20025</v>
      </c>
      <c r="J7849" s="3" t="str">
        <f>HYPERLINK("https://www.boe.es/gazeta/dias/1811/05/10/pdfs/GMD-1811-130.pdf#page=2","Abrir facsímil")</f>
        <v>Abrir facsímil</v>
      </c>
      <c r="K7849" s="3" t="s">
        <v>150</v>
      </c>
    </row>
    <row r="7850" spans="1:11" ht="42" customHeight="1">
      <c r="A7850" s="2" t="s">
        <v>20026</v>
      </c>
      <c r="B7850" s="2" t="s">
        <v>20026</v>
      </c>
      <c r="C7850" s="2" t="s">
        <v>17</v>
      </c>
      <c r="D7850" s="2" t="s">
        <v>18</v>
      </c>
      <c r="E7850" s="4">
        <v>-32430</v>
      </c>
      <c r="F7850" s="3" t="s">
        <v>4714</v>
      </c>
      <c r="G7850" s="3" t="s">
        <v>4715</v>
      </c>
      <c r="H7850" s="2" t="s">
        <v>148</v>
      </c>
      <c r="I7850" s="2" t="s">
        <v>20027</v>
      </c>
      <c r="J7850" s="3" t="str">
        <f>HYPERLINK("https://www.boe.es/gazeta/dias/1811/03/17/pdfs/GMD-1811-76.pdf#page=1","Abrir facsímil")</f>
        <v>Abrir facsímil</v>
      </c>
      <c r="K7850" s="3" t="s">
        <v>150</v>
      </c>
    </row>
    <row r="7851" spans="1:11" ht="42" customHeight="1">
      <c r="A7851" s="2" t="s">
        <v>20028</v>
      </c>
      <c r="B7851" s="2" t="s">
        <v>20028</v>
      </c>
      <c r="C7851" s="2" t="s">
        <v>17</v>
      </c>
      <c r="D7851" s="2" t="s">
        <v>18</v>
      </c>
      <c r="E7851" s="4">
        <v>-32430</v>
      </c>
      <c r="F7851" s="3" t="s">
        <v>4714</v>
      </c>
      <c r="G7851" s="3" t="s">
        <v>1143</v>
      </c>
      <c r="H7851" s="2" t="s">
        <v>148</v>
      </c>
      <c r="I7851" s="2" t="s">
        <v>20029</v>
      </c>
      <c r="J7851" s="3" t="str">
        <f>HYPERLINK("https://www.boe.es/gazeta/dias/1811/03/17/pdfs/GMD-1811-76.pdf#page=2","Abrir facsímil")</f>
        <v>Abrir facsímil</v>
      </c>
      <c r="K7851" s="3" t="s">
        <v>150</v>
      </c>
    </row>
    <row r="7852" spans="1:11" ht="42" customHeight="1">
      <c r="A7852" s="2" t="s">
        <v>20030</v>
      </c>
      <c r="B7852" s="2" t="s">
        <v>20030</v>
      </c>
      <c r="C7852" s="2" t="s">
        <v>17</v>
      </c>
      <c r="D7852" s="2" t="s">
        <v>18</v>
      </c>
      <c r="E7852" s="4">
        <v>-32424</v>
      </c>
      <c r="F7852" s="3" t="s">
        <v>1028</v>
      </c>
      <c r="G7852" s="3" t="s">
        <v>343</v>
      </c>
      <c r="H7852" s="2" t="s">
        <v>148</v>
      </c>
      <c r="I7852" s="2" t="s">
        <v>20031</v>
      </c>
      <c r="J7852" s="3" t="str">
        <f>HYPERLINK("https://www.boe.es/gazeta/dias/1811/03/23/pdfs/GEI-1811-41.pdf#page=3","Abrir facsímil")</f>
        <v>Abrir facsímil</v>
      </c>
      <c r="K7852" s="3" t="s">
        <v>150</v>
      </c>
    </row>
    <row r="7853" spans="1:11" ht="42" customHeight="1">
      <c r="A7853" s="2" t="s">
        <v>20032</v>
      </c>
      <c r="B7853" s="2" t="s">
        <v>20033</v>
      </c>
      <c r="C7853" s="2" t="s">
        <v>17</v>
      </c>
      <c r="D7853" s="2" t="s">
        <v>18</v>
      </c>
      <c r="E7853" s="4">
        <v>-32300</v>
      </c>
      <c r="F7853" s="3" t="s">
        <v>61</v>
      </c>
      <c r="G7853" s="3" t="s">
        <v>62</v>
      </c>
      <c r="H7853" s="2" t="s">
        <v>148</v>
      </c>
      <c r="I7853" s="2" t="s">
        <v>20034</v>
      </c>
      <c r="J7853" s="3" t="str">
        <f>HYPERLINK("https://www.boe.es/gazeta/dias/1811/07/25/pdfs/GEI-1811-97.pdf#page=5","Abrir facsímil")</f>
        <v>Abrir facsímil</v>
      </c>
      <c r="K7853" s="3" t="s">
        <v>150</v>
      </c>
    </row>
    <row r="7854" spans="1:11" ht="42" customHeight="1">
      <c r="A7854" s="2" t="s">
        <v>20035</v>
      </c>
      <c r="B7854" s="2" t="s">
        <v>20036</v>
      </c>
      <c r="C7854" s="2" t="s">
        <v>26</v>
      </c>
      <c r="D7854" s="2" t="s">
        <v>18</v>
      </c>
      <c r="E7854" s="4">
        <v>-32188</v>
      </c>
      <c r="F7854" s="3" t="s">
        <v>356</v>
      </c>
      <c r="G7854" s="3" t="s">
        <v>248</v>
      </c>
      <c r="H7854" s="2" t="s">
        <v>148</v>
      </c>
      <c r="I7854" s="2" t="s">
        <v>20037</v>
      </c>
      <c r="J7854" s="3" t="str">
        <f>HYPERLINK("https://www.boe.es/gazeta/dias/1811/11/14/pdfs/GMD-1811-318.pdf#page=5","Abrir facsímil")</f>
        <v>Abrir facsímil</v>
      </c>
      <c r="K7854" s="3" t="s">
        <v>150</v>
      </c>
    </row>
    <row r="7855" spans="1:11" ht="42" customHeight="1">
      <c r="A7855" s="2" t="s">
        <v>20038</v>
      </c>
      <c r="B7855" s="2" t="s">
        <v>20039</v>
      </c>
      <c r="C7855" s="2" t="s">
        <v>26</v>
      </c>
      <c r="D7855" s="2" t="s">
        <v>18</v>
      </c>
      <c r="E7855" s="4">
        <v>-32153</v>
      </c>
      <c r="F7855" s="3" t="s">
        <v>123</v>
      </c>
      <c r="G7855" s="3" t="s">
        <v>1067</v>
      </c>
      <c r="H7855" s="2" t="s">
        <v>148</v>
      </c>
      <c r="I7855" s="2" t="s">
        <v>20040</v>
      </c>
      <c r="J7855" s="3" t="str">
        <f>HYPERLINK("https://www.boe.es/gazeta/dias/1811/12/19/pdfs/GMD-1811-353.pdf#page=5","Abrir facsímil")</f>
        <v>Abrir facsímil</v>
      </c>
      <c r="K7855" s="3" t="s">
        <v>150</v>
      </c>
    </row>
    <row r="7856" spans="1:11" ht="42" customHeight="1">
      <c r="A7856" s="2" t="s">
        <v>20041</v>
      </c>
      <c r="B7856" s="2" t="s">
        <v>20042</v>
      </c>
      <c r="C7856" s="2" t="s">
        <v>26</v>
      </c>
      <c r="D7856" s="2" t="s">
        <v>18</v>
      </c>
      <c r="E7856" s="4">
        <v>-32452</v>
      </c>
      <c r="F7856" s="3" t="s">
        <v>106</v>
      </c>
      <c r="G7856" s="3" t="s">
        <v>20</v>
      </c>
      <c r="H7856" s="2" t="s">
        <v>21</v>
      </c>
      <c r="I7856" s="2" t="s">
        <v>20043</v>
      </c>
      <c r="J7856" s="3" t="str">
        <f>HYPERLINK("https://www.boe.es/gazeta/dias/1811/02/23/pdfs/GEI-1811-24.pdf#page=8","Abrir facsímil")</f>
        <v>Abrir facsímil</v>
      </c>
      <c r="K7856" s="3" t="s">
        <v>23</v>
      </c>
    </row>
    <row r="7857" spans="1:11" ht="42" customHeight="1">
      <c r="A7857" s="2" t="s">
        <v>20044</v>
      </c>
      <c r="B7857" s="2" t="s">
        <v>20045</v>
      </c>
      <c r="C7857" s="2" t="s">
        <v>26</v>
      </c>
      <c r="D7857" s="2" t="s">
        <v>18</v>
      </c>
      <c r="E7857" s="4">
        <v>-32193</v>
      </c>
      <c r="F7857" s="3" t="s">
        <v>1037</v>
      </c>
      <c r="G7857" s="3" t="s">
        <v>44</v>
      </c>
      <c r="H7857" s="2" t="s">
        <v>148</v>
      </c>
      <c r="I7857" s="2" t="s">
        <v>20046</v>
      </c>
      <c r="J7857" s="3" t="str">
        <f>HYPERLINK("https://www.boe.es/gazeta/dias/1811/11/09/pdfs/GEI-1811-145.pdf#page=4","Abrir facsímil")</f>
        <v>Abrir facsímil</v>
      </c>
      <c r="K7857" s="3" t="s">
        <v>150</v>
      </c>
    </row>
    <row r="7858" spans="1:11" ht="42" customHeight="1">
      <c r="A7858" s="2" t="s">
        <v>20047</v>
      </c>
      <c r="B7858" s="2" t="s">
        <v>20047</v>
      </c>
      <c r="C7858" s="2" t="s">
        <v>17</v>
      </c>
      <c r="D7858" s="2" t="s">
        <v>156</v>
      </c>
      <c r="E7858" s="4">
        <v>-32204</v>
      </c>
      <c r="F7858" s="3" t="s">
        <v>1053</v>
      </c>
      <c r="G7858" s="3" t="s">
        <v>8549</v>
      </c>
      <c r="H7858" s="2" t="s">
        <v>148</v>
      </c>
      <c r="I7858" s="2" t="s">
        <v>20048</v>
      </c>
      <c r="J7858" s="3" t="str">
        <f>HYPERLINK("https://www.boe.es/gazeta/dias/1811/10/29/pdfs/GEI-1811-139.pdf#page=1","Abrir facsímil")</f>
        <v>Abrir facsímil</v>
      </c>
      <c r="K7858" s="3" t="s">
        <v>150</v>
      </c>
    </row>
    <row r="7859" spans="1:11" ht="42" customHeight="1">
      <c r="A7859" s="2" t="s">
        <v>20049</v>
      </c>
      <c r="B7859" s="2" t="s">
        <v>20049</v>
      </c>
      <c r="C7859" s="2" t="s">
        <v>17</v>
      </c>
      <c r="D7859" s="2" t="s">
        <v>18</v>
      </c>
      <c r="E7859" s="4">
        <v>-32489</v>
      </c>
      <c r="F7859" s="3" t="s">
        <v>2073</v>
      </c>
      <c r="G7859" s="3" t="s">
        <v>2408</v>
      </c>
      <c r="H7859" s="2" t="s">
        <v>148</v>
      </c>
      <c r="I7859" s="2" t="s">
        <v>20050</v>
      </c>
      <c r="J7859" s="3" t="str">
        <f>HYPERLINK("https://www.boe.es/gazeta/dias/1811/01/17/pdfs/GEI-1811-8.pdf#page=2","Abrir facsímil")</f>
        <v>Abrir facsímil</v>
      </c>
      <c r="K7859" s="3" t="s">
        <v>150</v>
      </c>
    </row>
    <row r="7860" spans="1:11" ht="42" customHeight="1">
      <c r="A7860" s="2" t="s">
        <v>20049</v>
      </c>
      <c r="B7860" s="2" t="s">
        <v>20049</v>
      </c>
      <c r="C7860" s="2" t="s">
        <v>17</v>
      </c>
      <c r="D7860" s="2" t="s">
        <v>204</v>
      </c>
      <c r="E7860" s="4">
        <v>-32467</v>
      </c>
      <c r="F7860" s="3" t="s">
        <v>768</v>
      </c>
      <c r="G7860" s="3" t="s">
        <v>178</v>
      </c>
      <c r="H7860" s="2" t="s">
        <v>148</v>
      </c>
      <c r="I7860" s="2" t="s">
        <v>20051</v>
      </c>
      <c r="J7860" s="3" t="str">
        <f>HYPERLINK("https://www.boe.es/gazeta/dias/1811/02/08/pdfs/GMD-1811-39.pdf#page=4","Abrir facsímil")</f>
        <v>Abrir facsímil</v>
      </c>
      <c r="K7860" s="3" t="s">
        <v>150</v>
      </c>
    </row>
    <row r="7861" spans="1:11" ht="42" customHeight="1">
      <c r="A7861" s="2" t="s">
        <v>20049</v>
      </c>
      <c r="B7861" s="2" t="s">
        <v>20049</v>
      </c>
      <c r="C7861" s="2" t="s">
        <v>17</v>
      </c>
      <c r="D7861" s="2" t="s">
        <v>156</v>
      </c>
      <c r="E7861" s="4">
        <v>-32438</v>
      </c>
      <c r="F7861" s="3" t="s">
        <v>4284</v>
      </c>
      <c r="G7861" s="3" t="s">
        <v>2379</v>
      </c>
      <c r="H7861" s="2" t="s">
        <v>148</v>
      </c>
      <c r="I7861" s="2" t="s">
        <v>20052</v>
      </c>
      <c r="J7861" s="3" t="str">
        <f>HYPERLINK("https://www.boe.es/gazeta/dias/1811/03/09/pdfs/GMD-1811-68.pdf#page=2","Abrir facsímil")</f>
        <v>Abrir facsímil</v>
      </c>
      <c r="K7861" s="3" t="s">
        <v>150</v>
      </c>
    </row>
    <row r="7862" spans="1:11" ht="42" customHeight="1">
      <c r="A7862" s="2" t="s">
        <v>20049</v>
      </c>
      <c r="B7862" s="2" t="s">
        <v>20049</v>
      </c>
      <c r="C7862" s="2" t="s">
        <v>367</v>
      </c>
      <c r="D7862" s="2" t="s">
        <v>156</v>
      </c>
      <c r="E7862" s="4">
        <v>-32431</v>
      </c>
      <c r="F7862" s="3" t="s">
        <v>668</v>
      </c>
      <c r="G7862" s="3" t="s">
        <v>669</v>
      </c>
      <c r="H7862" s="2" t="s">
        <v>148</v>
      </c>
      <c r="I7862" s="2" t="s">
        <v>20053</v>
      </c>
      <c r="J7862" s="3" t="str">
        <f>HYPERLINK("https://www.boe.es/gazeta/dias/1811/03/16/pdfs/GMD-1811-75.pdf#page=1","Abrir facsímil")</f>
        <v>Abrir facsímil</v>
      </c>
      <c r="K7862" s="3" t="s">
        <v>150</v>
      </c>
    </row>
    <row r="7863" spans="1:11" ht="42" customHeight="1">
      <c r="A7863" s="2" t="s">
        <v>20049</v>
      </c>
      <c r="B7863" s="2" t="s">
        <v>20049</v>
      </c>
      <c r="C7863" s="2" t="s">
        <v>17</v>
      </c>
      <c r="D7863" s="2" t="s">
        <v>18</v>
      </c>
      <c r="E7863" s="4">
        <v>-32431</v>
      </c>
      <c r="F7863" s="3" t="s">
        <v>668</v>
      </c>
      <c r="G7863" s="3" t="s">
        <v>1930</v>
      </c>
      <c r="H7863" s="2" t="s">
        <v>148</v>
      </c>
      <c r="I7863" s="2" t="s">
        <v>20054</v>
      </c>
      <c r="J7863" s="3" t="str">
        <f>HYPERLINK("https://www.boe.es/gazeta/dias/1811/03/16/pdfs/GMD-1811-75.pdf#page=2","Abrir facsímil")</f>
        <v>Abrir facsímil</v>
      </c>
      <c r="K7863" s="3" t="s">
        <v>150</v>
      </c>
    </row>
    <row r="7864" spans="1:11" ht="42" customHeight="1">
      <c r="A7864" s="2" t="s">
        <v>20049</v>
      </c>
      <c r="B7864" s="2" t="s">
        <v>20049</v>
      </c>
      <c r="C7864" s="2" t="s">
        <v>17</v>
      </c>
      <c r="D7864" s="2" t="s">
        <v>18</v>
      </c>
      <c r="E7864" s="4">
        <v>-32430</v>
      </c>
      <c r="F7864" s="3" t="s">
        <v>4714</v>
      </c>
      <c r="G7864" s="3" t="s">
        <v>4715</v>
      </c>
      <c r="H7864" s="2" t="s">
        <v>148</v>
      </c>
      <c r="I7864" s="2" t="s">
        <v>20055</v>
      </c>
      <c r="J7864" s="3" t="str">
        <f>HYPERLINK("https://www.boe.es/gazeta/dias/1811/03/17/pdfs/GMD-1811-76.pdf#page=1","Abrir facsímil")</f>
        <v>Abrir facsímil</v>
      </c>
      <c r="K7864" s="3" t="s">
        <v>150</v>
      </c>
    </row>
    <row r="7865" spans="1:11" ht="42" customHeight="1">
      <c r="A7865" s="2" t="s">
        <v>20056</v>
      </c>
      <c r="B7865" s="2" t="s">
        <v>20056</v>
      </c>
      <c r="C7865" s="2" t="s">
        <v>26</v>
      </c>
      <c r="D7865" s="2" t="s">
        <v>18</v>
      </c>
      <c r="E7865" s="4">
        <v>-32484</v>
      </c>
      <c r="F7865" s="3" t="s">
        <v>467</v>
      </c>
      <c r="G7865" s="3" t="s">
        <v>1957</v>
      </c>
      <c r="H7865" s="2" t="s">
        <v>148</v>
      </c>
      <c r="I7865" s="2" t="s">
        <v>20057</v>
      </c>
      <c r="J7865" s="3" t="str">
        <f>HYPERLINK("https://www.boe.es/gazeta/dias/1811/01/22/pdfs/GEI-1811-10.pdf#page=6","Abrir facsímil")</f>
        <v>Abrir facsímil</v>
      </c>
      <c r="K7865" s="3" t="s">
        <v>150</v>
      </c>
    </row>
    <row r="7866" spans="1:11" ht="42" customHeight="1">
      <c r="A7866" s="2" t="s">
        <v>20056</v>
      </c>
      <c r="B7866" s="2" t="s">
        <v>20056</v>
      </c>
      <c r="C7866" s="2" t="s">
        <v>26</v>
      </c>
      <c r="D7866" s="2" t="s">
        <v>18</v>
      </c>
      <c r="E7866" s="4">
        <v>-32377</v>
      </c>
      <c r="F7866" s="3" t="s">
        <v>2461</v>
      </c>
      <c r="G7866" s="3" t="s">
        <v>183</v>
      </c>
      <c r="H7866" s="2" t="s">
        <v>148</v>
      </c>
      <c r="I7866" s="2" t="s">
        <v>20058</v>
      </c>
      <c r="J7866" s="3" t="str">
        <f>HYPERLINK("https://www.boe.es/gazeta/dias/1811/05/09/pdfs/GMD-1811-129.pdf#page=4","Abrir facsímil")</f>
        <v>Abrir facsímil</v>
      </c>
      <c r="K7866" s="3" t="s">
        <v>150</v>
      </c>
    </row>
    <row r="7867" spans="1:11" ht="42" customHeight="1">
      <c r="A7867" s="2" t="s">
        <v>20059</v>
      </c>
      <c r="B7867" s="2" t="s">
        <v>20059</v>
      </c>
      <c r="C7867" s="2" t="s">
        <v>17</v>
      </c>
      <c r="D7867" s="2" t="s">
        <v>18</v>
      </c>
      <c r="E7867" s="4">
        <v>-32484</v>
      </c>
      <c r="F7867" s="3" t="s">
        <v>467</v>
      </c>
      <c r="G7867" s="3" t="s">
        <v>1384</v>
      </c>
      <c r="H7867" s="2" t="s">
        <v>148</v>
      </c>
      <c r="I7867" s="2" t="s">
        <v>20060</v>
      </c>
      <c r="J7867" s="3" t="str">
        <f>HYPERLINK("https://www.boe.es/gazeta/dias/1811/01/22/pdfs/GEI-1811-10.pdf#page=1","Abrir facsímil")</f>
        <v>Abrir facsímil</v>
      </c>
      <c r="K7867" s="3" t="s">
        <v>150</v>
      </c>
    </row>
    <row r="7868" spans="1:11" ht="42" customHeight="1">
      <c r="A7868" s="2" t="s">
        <v>20059</v>
      </c>
      <c r="B7868" s="2" t="s">
        <v>20059</v>
      </c>
      <c r="C7868" s="2" t="s">
        <v>17</v>
      </c>
      <c r="D7868" s="2" t="s">
        <v>18</v>
      </c>
      <c r="E7868" s="4">
        <v>-32396</v>
      </c>
      <c r="F7868" s="3" t="s">
        <v>2393</v>
      </c>
      <c r="G7868" s="3" t="s">
        <v>9018</v>
      </c>
      <c r="H7868" s="2" t="s">
        <v>148</v>
      </c>
      <c r="I7868" s="2" t="s">
        <v>20061</v>
      </c>
      <c r="J7868" s="3" t="str">
        <f>HYPERLINK("https://www.boe.es/gazeta/dias/1811/04/20/pdfs/GEI-1811-53.pdf#page=3","Abrir facsímil")</f>
        <v>Abrir facsímil</v>
      </c>
      <c r="K7868" s="3" t="s">
        <v>150</v>
      </c>
    </row>
    <row r="7869" spans="1:11" ht="42" customHeight="1">
      <c r="A7869" s="2" t="s">
        <v>20059</v>
      </c>
      <c r="B7869" s="2" t="s">
        <v>20059</v>
      </c>
      <c r="C7869" s="2" t="s">
        <v>17</v>
      </c>
      <c r="D7869" s="2" t="s">
        <v>18</v>
      </c>
      <c r="E7869" s="4">
        <v>-32293</v>
      </c>
      <c r="F7869" s="3" t="s">
        <v>3064</v>
      </c>
      <c r="G7869" s="3" t="s">
        <v>178</v>
      </c>
      <c r="H7869" s="2" t="s">
        <v>148</v>
      </c>
      <c r="I7869" s="2" t="s">
        <v>20062</v>
      </c>
      <c r="J7869" s="3" t="str">
        <f>HYPERLINK("https://www.boe.es/gazeta/dias/1811/08/01/pdfs/GEI-1811-100.pdf#page=6","Abrir facsímil")</f>
        <v>Abrir facsímil</v>
      </c>
      <c r="K7869" s="3" t="s">
        <v>150</v>
      </c>
    </row>
    <row r="7870" spans="1:11" ht="42" customHeight="1">
      <c r="A7870" s="2" t="s">
        <v>20059</v>
      </c>
      <c r="B7870" s="2" t="s">
        <v>20059</v>
      </c>
      <c r="C7870" s="2" t="s">
        <v>17</v>
      </c>
      <c r="D7870" s="2" t="s">
        <v>204</v>
      </c>
      <c r="E7870" s="4">
        <v>-32251</v>
      </c>
      <c r="F7870" s="3" t="s">
        <v>726</v>
      </c>
      <c r="G7870" s="3" t="s">
        <v>39</v>
      </c>
      <c r="H7870" s="2" t="s">
        <v>148</v>
      </c>
      <c r="I7870" s="2" t="s">
        <v>20063</v>
      </c>
      <c r="J7870" s="3" t="str">
        <f>HYPERLINK("https://www.boe.es/gazeta/dias/1811/09/12/pdfs/GEI-1811-118.pdf#page=1","Abrir facsímil")</f>
        <v>Abrir facsímil</v>
      </c>
      <c r="K7870" s="3" t="s">
        <v>150</v>
      </c>
    </row>
    <row r="7871" spans="1:11" ht="42" customHeight="1">
      <c r="A7871" s="2" t="s">
        <v>20064</v>
      </c>
      <c r="B7871" s="2" t="s">
        <v>20064</v>
      </c>
      <c r="C7871" s="2" t="s">
        <v>17</v>
      </c>
      <c r="D7871" s="2" t="s">
        <v>18</v>
      </c>
      <c r="E7871" s="4">
        <v>-32146</v>
      </c>
      <c r="F7871" s="3" t="s">
        <v>777</v>
      </c>
      <c r="G7871" s="3" t="s">
        <v>14039</v>
      </c>
      <c r="H7871" s="2" t="s">
        <v>148</v>
      </c>
      <c r="I7871" s="2" t="s">
        <v>20065</v>
      </c>
      <c r="J7871" s="3" t="str">
        <f>HYPERLINK("https://www.boe.es/gazeta/dias/1811/12/26/pdfs/GEI-1811-167.pdf#page=5","Abrir facsímil")</f>
        <v>Abrir facsímil</v>
      </c>
      <c r="K7871" s="3" t="s">
        <v>150</v>
      </c>
    </row>
    <row r="7872" spans="1:11" ht="42" customHeight="1">
      <c r="A7872" s="2" t="s">
        <v>20066</v>
      </c>
      <c r="B7872" s="2" t="s">
        <v>20066</v>
      </c>
      <c r="C7872" s="2" t="s">
        <v>17</v>
      </c>
      <c r="D7872" s="2" t="s">
        <v>18</v>
      </c>
      <c r="E7872" s="4">
        <v>-32365</v>
      </c>
      <c r="F7872" s="3" t="s">
        <v>119</v>
      </c>
      <c r="G7872" s="3" t="s">
        <v>3741</v>
      </c>
      <c r="H7872" s="2" t="s">
        <v>148</v>
      </c>
      <c r="I7872" s="2" t="s">
        <v>20067</v>
      </c>
      <c r="J7872" s="3" t="str">
        <f>HYPERLINK("https://www.boe.es/gazeta/dias/1811/05/21/pdfs/GEI-1811-67.pdf#page=2","Abrir facsímil")</f>
        <v>Abrir facsímil</v>
      </c>
      <c r="K7872" s="3" t="s">
        <v>150</v>
      </c>
    </row>
    <row r="7873" spans="1:11" ht="42" customHeight="1">
      <c r="A7873" s="2" t="s">
        <v>20068</v>
      </c>
      <c r="B7873" s="2" t="s">
        <v>20069</v>
      </c>
      <c r="C7873" s="2" t="s">
        <v>26</v>
      </c>
      <c r="D7873" s="2" t="s">
        <v>18</v>
      </c>
      <c r="E7873" s="4">
        <v>-32487</v>
      </c>
      <c r="F7873" s="3" t="s">
        <v>842</v>
      </c>
      <c r="G7873" s="3" t="s">
        <v>440</v>
      </c>
      <c r="H7873" s="2" t="s">
        <v>148</v>
      </c>
      <c r="I7873" s="2" t="s">
        <v>20070</v>
      </c>
      <c r="J7873" s="3" t="str">
        <f>HYPERLINK("https://www.boe.es/gazeta/dias/1811/01/19/pdfs/GEI-1811-9.pdf#page=2","Abrir facsímil")</f>
        <v>Abrir facsímil</v>
      </c>
      <c r="K7873" s="3" t="s">
        <v>150</v>
      </c>
    </row>
    <row r="7874" spans="1:11" ht="42" customHeight="1">
      <c r="A7874" s="2" t="s">
        <v>20071</v>
      </c>
      <c r="B7874" s="2" t="s">
        <v>20071</v>
      </c>
      <c r="C7874" s="2" t="s">
        <v>17</v>
      </c>
      <c r="D7874" s="2" t="s">
        <v>156</v>
      </c>
      <c r="E7874" s="4">
        <v>-32206</v>
      </c>
      <c r="F7874" s="3" t="s">
        <v>9976</v>
      </c>
      <c r="G7874" s="3" t="s">
        <v>20072</v>
      </c>
      <c r="H7874" s="2" t="s">
        <v>148</v>
      </c>
      <c r="I7874" s="2" t="s">
        <v>20073</v>
      </c>
      <c r="J7874" s="3" t="str">
        <f>HYPERLINK("https://www.boe.es/gazeta/dias/1811/10/27/pdfs/GMD-1811-300.pdf#page=1","Abrir facsímil")</f>
        <v>Abrir facsímil</v>
      </c>
      <c r="K7874" s="3" t="s">
        <v>150</v>
      </c>
    </row>
    <row r="7875" spans="1:11" ht="42" customHeight="1">
      <c r="A7875" s="2" t="s">
        <v>20074</v>
      </c>
      <c r="B7875" s="2" t="s">
        <v>20075</v>
      </c>
      <c r="C7875" s="2" t="s">
        <v>17</v>
      </c>
      <c r="D7875" s="2" t="s">
        <v>18</v>
      </c>
      <c r="E7875" s="4">
        <v>-32300</v>
      </c>
      <c r="F7875" s="3" t="s">
        <v>61</v>
      </c>
      <c r="G7875" s="3" t="s">
        <v>9808</v>
      </c>
      <c r="H7875" s="2" t="s">
        <v>148</v>
      </c>
      <c r="I7875" s="2" t="s">
        <v>20076</v>
      </c>
      <c r="J7875" s="3" t="str">
        <f>HYPERLINK("https://www.boe.es/gazeta/dias/1811/07/25/pdfs/GEI-1811-97.pdf#page=6","Abrir facsímil")</f>
        <v>Abrir facsímil</v>
      </c>
      <c r="K7875" s="3" t="s">
        <v>150</v>
      </c>
    </row>
    <row r="7876" spans="1:11" ht="42" customHeight="1">
      <c r="A7876" s="2" t="s">
        <v>20077</v>
      </c>
      <c r="B7876" s="2" t="s">
        <v>20077</v>
      </c>
      <c r="C7876" s="2" t="s">
        <v>17</v>
      </c>
      <c r="D7876" s="2" t="s">
        <v>156</v>
      </c>
      <c r="E7876" s="4">
        <v>-32428</v>
      </c>
      <c r="F7876" s="3" t="s">
        <v>351</v>
      </c>
      <c r="G7876" s="3" t="s">
        <v>352</v>
      </c>
      <c r="H7876" s="2" t="s">
        <v>148</v>
      </c>
      <c r="I7876" s="2" t="s">
        <v>20078</v>
      </c>
      <c r="J7876" s="3" t="str">
        <f>HYPERLINK("https://www.boe.es/gazeta/dias/1811/03/19/pdfs/GMD-1811-78.pdf#page=4","Abrir facsímil")</f>
        <v>Abrir facsímil</v>
      </c>
      <c r="K7876" s="3" t="s">
        <v>150</v>
      </c>
    </row>
    <row r="7877" spans="1:11" ht="42" customHeight="1">
      <c r="A7877" s="2" t="s">
        <v>20079</v>
      </c>
      <c r="B7877" s="2" t="s">
        <v>20079</v>
      </c>
      <c r="C7877" s="2" t="s">
        <v>17</v>
      </c>
      <c r="D7877" s="2" t="s">
        <v>18</v>
      </c>
      <c r="E7877" s="4">
        <v>-32456</v>
      </c>
      <c r="F7877" s="3" t="s">
        <v>4785</v>
      </c>
      <c r="G7877" s="3" t="s">
        <v>468</v>
      </c>
      <c r="H7877" s="2" t="s">
        <v>148</v>
      </c>
      <c r="I7877" s="2" t="s">
        <v>20080</v>
      </c>
      <c r="J7877" s="3" t="str">
        <f>HYPERLINK("https://www.boe.es/gazeta/dias/1811/02/19/pdfs/GMD-1811-50.pdf#page=4","Abrir facsímil")</f>
        <v>Abrir facsímil</v>
      </c>
      <c r="K7877" s="3" t="s">
        <v>150</v>
      </c>
    </row>
    <row r="7878" spans="1:11" ht="42" customHeight="1">
      <c r="A7878" s="2" t="s">
        <v>20081</v>
      </c>
      <c r="B7878" s="2" t="s">
        <v>20081</v>
      </c>
      <c r="C7878" s="2" t="s">
        <v>17</v>
      </c>
      <c r="D7878" s="2" t="s">
        <v>204</v>
      </c>
      <c r="E7878" s="4">
        <v>-32414</v>
      </c>
      <c r="F7878" s="3" t="s">
        <v>2588</v>
      </c>
      <c r="G7878" s="3" t="s">
        <v>282</v>
      </c>
      <c r="H7878" s="2" t="s">
        <v>148</v>
      </c>
      <c r="I7878" s="2" t="s">
        <v>20082</v>
      </c>
      <c r="J7878" s="3" t="str">
        <f>HYPERLINK("https://www.boe.es/gazeta/dias/1811/04/02/pdfs/GMD-1811-92.pdf#page=3","Abrir facsímil")</f>
        <v>Abrir facsímil</v>
      </c>
      <c r="K7878" s="3" t="s">
        <v>150</v>
      </c>
    </row>
    <row r="7879" spans="1:11" ht="42" customHeight="1">
      <c r="A7879" s="2" t="s">
        <v>20083</v>
      </c>
      <c r="B7879" s="2" t="s">
        <v>20084</v>
      </c>
      <c r="C7879" s="2" t="s">
        <v>84</v>
      </c>
      <c r="D7879" s="2" t="s">
        <v>141</v>
      </c>
      <c r="E7879" s="4">
        <v>-32314</v>
      </c>
      <c r="F7879" s="3" t="s">
        <v>2051</v>
      </c>
      <c r="G7879" s="3" t="s">
        <v>44</v>
      </c>
      <c r="H7879" s="2" t="s">
        <v>148</v>
      </c>
      <c r="I7879" s="2" t="s">
        <v>20085</v>
      </c>
      <c r="J7879" s="3" t="str">
        <f>HYPERLINK("https://www.boe.es/gazeta/dias/1811/07/11/pdfs/GMD-C-1811-192.pdf#page=2","Abrir facsímil")</f>
        <v>Abrir facsímil</v>
      </c>
      <c r="K7879" s="3" t="s">
        <v>150</v>
      </c>
    </row>
    <row r="7880" spans="1:11" ht="42" customHeight="1">
      <c r="A7880" s="2" t="s">
        <v>20086</v>
      </c>
      <c r="B7880" s="2" t="s">
        <v>20086</v>
      </c>
      <c r="C7880" s="2" t="s">
        <v>17</v>
      </c>
      <c r="D7880" s="2" t="s">
        <v>18</v>
      </c>
      <c r="E7880" s="4">
        <v>-32285</v>
      </c>
      <c r="F7880" s="3" t="s">
        <v>3716</v>
      </c>
      <c r="G7880" s="3" t="s">
        <v>162</v>
      </c>
      <c r="H7880" s="2" t="s">
        <v>148</v>
      </c>
      <c r="I7880" s="2" t="s">
        <v>20087</v>
      </c>
      <c r="J7880" s="3" t="str">
        <f>HYPERLINK("https://www.boe.es/gazeta/dias/1811/08/09/pdfs/GMD-1811-221.pdf#page=2","Abrir facsímil")</f>
        <v>Abrir facsímil</v>
      </c>
      <c r="K7880" s="3" t="s">
        <v>150</v>
      </c>
    </row>
    <row r="7881" spans="1:11" ht="42" customHeight="1">
      <c r="A7881" s="2" t="s">
        <v>20088</v>
      </c>
      <c r="B7881" s="2" t="s">
        <v>20088</v>
      </c>
      <c r="C7881" s="2" t="s">
        <v>17</v>
      </c>
      <c r="D7881" s="2" t="s">
        <v>156</v>
      </c>
      <c r="E7881" s="4">
        <v>-32445</v>
      </c>
      <c r="F7881" s="3" t="s">
        <v>2032</v>
      </c>
      <c r="G7881" s="3" t="s">
        <v>1930</v>
      </c>
      <c r="H7881" s="2" t="s">
        <v>148</v>
      </c>
      <c r="I7881" s="2" t="s">
        <v>20089</v>
      </c>
      <c r="J7881" s="3" t="str">
        <f>HYPERLINK("https://www.boe.es/gazeta/dias/1811/03/02/pdfs/GEI-1811-27.pdf#page=2","Abrir facsímil")</f>
        <v>Abrir facsímil</v>
      </c>
      <c r="K7881" s="3" t="s">
        <v>150</v>
      </c>
    </row>
    <row r="7882" spans="1:11" ht="42" customHeight="1">
      <c r="A7882" s="2" t="s">
        <v>20090</v>
      </c>
      <c r="B7882" s="2" t="s">
        <v>20091</v>
      </c>
      <c r="C7882" s="2" t="s">
        <v>84</v>
      </c>
      <c r="D7882" s="2" t="s">
        <v>18</v>
      </c>
      <c r="E7882" s="4">
        <v>-32230</v>
      </c>
      <c r="F7882" s="3" t="s">
        <v>856</v>
      </c>
      <c r="G7882" s="3" t="s">
        <v>178</v>
      </c>
      <c r="H7882" s="2" t="s">
        <v>148</v>
      </c>
      <c r="I7882" s="2" t="s">
        <v>20092</v>
      </c>
      <c r="J7882" s="3" t="str">
        <f>HYPERLINK("https://www.boe.es/gazeta/dias/1811/10/03/pdfs/GMD-1811-276.pdf#page=4","Abrir facsímil")</f>
        <v>Abrir facsímil</v>
      </c>
      <c r="K7882" s="3" t="s">
        <v>150</v>
      </c>
    </row>
    <row r="7883" spans="1:11" ht="42" customHeight="1">
      <c r="A7883" s="2" t="s">
        <v>20093</v>
      </c>
      <c r="B7883" s="2" t="s">
        <v>20094</v>
      </c>
      <c r="C7883" s="2" t="s">
        <v>26</v>
      </c>
      <c r="D7883" s="2" t="s">
        <v>141</v>
      </c>
      <c r="E7883" s="4">
        <v>-32396</v>
      </c>
      <c r="F7883" s="3" t="s">
        <v>804</v>
      </c>
      <c r="G7883" s="3" t="s">
        <v>805</v>
      </c>
      <c r="H7883" s="2" t="s">
        <v>148</v>
      </c>
      <c r="I7883" s="2" t="s">
        <v>20095</v>
      </c>
      <c r="J7883" s="3" t="str">
        <f>HYPERLINK("https://www.boe.es/gazeta/dias/1811/04/20/pdfs/GEI-D-1811-53.pdf#page=4","Abrir facsímil")</f>
        <v>Abrir facsímil</v>
      </c>
      <c r="K7883" s="3" t="s">
        <v>150</v>
      </c>
    </row>
    <row r="7884" spans="1:11" ht="42" customHeight="1">
      <c r="A7884" s="2" t="s">
        <v>20096</v>
      </c>
      <c r="B7884" s="2" t="s">
        <v>20097</v>
      </c>
      <c r="C7884" s="2" t="s">
        <v>26</v>
      </c>
      <c r="D7884" s="2" t="s">
        <v>105</v>
      </c>
      <c r="E7884" s="4">
        <v>-32238</v>
      </c>
      <c r="F7884" s="3" t="s">
        <v>166</v>
      </c>
      <c r="G7884" s="3" t="s">
        <v>657</v>
      </c>
      <c r="H7884" s="2" t="s">
        <v>148</v>
      </c>
      <c r="I7884" s="2" t="s">
        <v>20098</v>
      </c>
      <c r="J7884" s="3" t="str">
        <f>HYPERLINK("https://www.boe.es/gazeta/dias/1811/09/25/pdfs/GMD-C-1811-268.pdf#page=3","Abrir facsímil")</f>
        <v>Abrir facsímil</v>
      </c>
      <c r="K7884" s="3" t="s">
        <v>150</v>
      </c>
    </row>
    <row r="7885" spans="1:11" ht="42" customHeight="1">
      <c r="A7885" s="2" t="s">
        <v>20099</v>
      </c>
      <c r="B7885" s="2" t="s">
        <v>20100</v>
      </c>
      <c r="C7885" s="2" t="s">
        <v>17</v>
      </c>
      <c r="D7885" s="2" t="s">
        <v>156</v>
      </c>
      <c r="E7885" s="4">
        <v>-32463</v>
      </c>
      <c r="F7885" s="3" t="s">
        <v>734</v>
      </c>
      <c r="G7885" s="3" t="s">
        <v>20</v>
      </c>
      <c r="H7885" s="2" t="s">
        <v>148</v>
      </c>
      <c r="I7885" s="2" t="s">
        <v>20101</v>
      </c>
      <c r="J7885" s="3" t="str">
        <f>HYPERLINK("https://www.boe.es/gazeta/dias/1811/02/12/pdfs/GEI-1811-19.pdf#page=6","Abrir facsímil")</f>
        <v>Abrir facsímil</v>
      </c>
      <c r="K7885" s="3" t="s">
        <v>150</v>
      </c>
    </row>
    <row r="7886" spans="1:11" ht="42" customHeight="1">
      <c r="A7886" s="2" t="s">
        <v>20102</v>
      </c>
      <c r="B7886" s="2" t="s">
        <v>20103</v>
      </c>
      <c r="C7886" s="2" t="s">
        <v>17</v>
      </c>
      <c r="D7886" s="2" t="s">
        <v>18</v>
      </c>
      <c r="E7886" s="4">
        <v>-32503</v>
      </c>
      <c r="F7886" s="3" t="s">
        <v>487</v>
      </c>
      <c r="G7886" s="3" t="s">
        <v>846</v>
      </c>
      <c r="H7886" s="2" t="s">
        <v>148</v>
      </c>
      <c r="I7886" s="2" t="s">
        <v>20104</v>
      </c>
      <c r="J7886" s="3" t="str">
        <f>HYPERLINK("https://www.boe.es/gazeta/dias/1811/01/03/pdfs/GEI-1811-2.pdf#page=6","Abrir facsímil")</f>
        <v>Abrir facsímil</v>
      </c>
      <c r="K7886" s="3" t="s">
        <v>150</v>
      </c>
    </row>
    <row r="7887" spans="1:11" ht="42" customHeight="1">
      <c r="A7887" s="2" t="s">
        <v>20105</v>
      </c>
      <c r="B7887" s="2" t="s">
        <v>20106</v>
      </c>
      <c r="C7887" s="2" t="s">
        <v>26</v>
      </c>
      <c r="D7887" s="2" t="s">
        <v>105</v>
      </c>
      <c r="E7887" s="4">
        <v>-32158</v>
      </c>
      <c r="F7887" s="3" t="s">
        <v>46</v>
      </c>
      <c r="G7887" s="3" t="s">
        <v>47</v>
      </c>
      <c r="H7887" s="2" t="s">
        <v>148</v>
      </c>
      <c r="I7887" s="2" t="s">
        <v>20107</v>
      </c>
      <c r="J7887" s="3" t="str">
        <f>HYPERLINK("https://www.boe.es/gazeta/dias/1811/12/14/pdfs/GEI-1811-162.pdf#page=7","Abrir facsímil")</f>
        <v>Abrir facsímil</v>
      </c>
      <c r="K7887" s="3" t="s">
        <v>150</v>
      </c>
    </row>
    <row r="7888" spans="1:11" ht="42" customHeight="1">
      <c r="A7888" s="2" t="s">
        <v>20108</v>
      </c>
      <c r="B7888" s="2" t="s">
        <v>20108</v>
      </c>
      <c r="C7888" s="2" t="s">
        <v>26</v>
      </c>
      <c r="D7888" s="2" t="s">
        <v>18</v>
      </c>
      <c r="E7888" s="4">
        <v>-32254</v>
      </c>
      <c r="F7888" s="3" t="s">
        <v>10748</v>
      </c>
      <c r="G7888" s="3" t="s">
        <v>10749</v>
      </c>
      <c r="H7888" s="2" t="s">
        <v>148</v>
      </c>
      <c r="I7888" s="2" t="s">
        <v>20109</v>
      </c>
      <c r="J7888" s="3" t="str">
        <f>HYPERLINK("https://www.boe.es/gazeta/dias/1811/09/09/pdfs/GMD-1811-252.pdf#page=3","Abrir facsímil")</f>
        <v>Abrir facsímil</v>
      </c>
      <c r="K7888" s="3" t="s">
        <v>150</v>
      </c>
    </row>
    <row r="7889" spans="1:11" ht="42" customHeight="1">
      <c r="A7889" s="2" t="s">
        <v>20110</v>
      </c>
      <c r="B7889" s="2" t="s">
        <v>20110</v>
      </c>
      <c r="C7889" s="2" t="s">
        <v>17</v>
      </c>
      <c r="D7889" s="2" t="s">
        <v>18</v>
      </c>
      <c r="E7889" s="4">
        <v>-32349</v>
      </c>
      <c r="F7889" s="3" t="s">
        <v>239</v>
      </c>
      <c r="G7889" s="3" t="s">
        <v>561</v>
      </c>
      <c r="H7889" s="2" t="s">
        <v>148</v>
      </c>
      <c r="I7889" s="2" t="s">
        <v>20111</v>
      </c>
      <c r="J7889" s="3" t="str">
        <f>HYPERLINK("https://www.boe.es/gazeta/dias/1811/06/06/pdfs/GEI-1811-76.pdf#page=4","Abrir facsímil")</f>
        <v>Abrir facsímil</v>
      </c>
      <c r="K7889" s="3" t="s">
        <v>150</v>
      </c>
    </row>
    <row r="7890" spans="1:11" ht="42" customHeight="1">
      <c r="A7890" s="2" t="s">
        <v>20112</v>
      </c>
      <c r="B7890" s="2" t="s">
        <v>20112</v>
      </c>
      <c r="C7890" s="2" t="s">
        <v>17</v>
      </c>
      <c r="D7890" s="2" t="s">
        <v>18</v>
      </c>
      <c r="E7890" s="4">
        <v>-32434</v>
      </c>
      <c r="F7890" s="3" t="s">
        <v>1932</v>
      </c>
      <c r="G7890" s="3" t="s">
        <v>1784</v>
      </c>
      <c r="H7890" s="2" t="s">
        <v>148</v>
      </c>
      <c r="I7890" s="2" t="s">
        <v>20113</v>
      </c>
      <c r="J7890" s="3" t="str">
        <f>HYPERLINK("https://www.boe.es/gazeta/dias/1811/03/13/pdfs/GMD-1811-72.pdf#page=3","Abrir facsímil")</f>
        <v>Abrir facsímil</v>
      </c>
      <c r="K7890" s="3" t="s">
        <v>150</v>
      </c>
    </row>
    <row r="7891" spans="1:11" ht="42" customHeight="1">
      <c r="A7891" s="2" t="s">
        <v>20114</v>
      </c>
      <c r="B7891" s="2" t="s">
        <v>20114</v>
      </c>
      <c r="C7891" s="2" t="s">
        <v>17</v>
      </c>
      <c r="D7891" s="2" t="s">
        <v>156</v>
      </c>
      <c r="E7891" s="4">
        <v>-32144</v>
      </c>
      <c r="F7891" s="3" t="s">
        <v>1097</v>
      </c>
      <c r="G7891" s="3" t="s">
        <v>3643</v>
      </c>
      <c r="H7891" s="2" t="s">
        <v>148</v>
      </c>
      <c r="I7891" s="2" t="s">
        <v>20115</v>
      </c>
      <c r="J7891" s="3" t="str">
        <f>HYPERLINK("https://www.boe.es/gazeta/dias/1811/12/28/pdfs/GEI-1811-168.pdf#page=6","Abrir facsímil")</f>
        <v>Abrir facsímil</v>
      </c>
      <c r="K7891" s="3" t="s">
        <v>150</v>
      </c>
    </row>
    <row r="7892" spans="1:11" ht="42" customHeight="1">
      <c r="A7892" s="2" t="s">
        <v>20116</v>
      </c>
      <c r="B7892" s="2" t="s">
        <v>20116</v>
      </c>
      <c r="C7892" s="2" t="s">
        <v>17</v>
      </c>
      <c r="D7892" s="2" t="s">
        <v>18</v>
      </c>
      <c r="E7892" s="4">
        <v>-32165</v>
      </c>
      <c r="F7892" s="3" t="s">
        <v>1462</v>
      </c>
      <c r="G7892" s="3" t="s">
        <v>20117</v>
      </c>
      <c r="H7892" s="2" t="s">
        <v>148</v>
      </c>
      <c r="I7892" s="2" t="s">
        <v>20118</v>
      </c>
      <c r="J7892" s="3" t="str">
        <f>HYPERLINK("https://www.boe.es/gazeta/dias/1811/12/07/pdfs/GMD-1811-341.pdf#page=1","Abrir facsímil")</f>
        <v>Abrir facsímil</v>
      </c>
      <c r="K7892" s="3" t="s">
        <v>150</v>
      </c>
    </row>
    <row r="7893" spans="1:11" ht="42" customHeight="1">
      <c r="A7893" s="2" t="s">
        <v>20119</v>
      </c>
      <c r="B7893" s="2" t="s">
        <v>20119</v>
      </c>
      <c r="C7893" s="2" t="s">
        <v>17</v>
      </c>
      <c r="D7893" s="2" t="s">
        <v>18</v>
      </c>
      <c r="E7893" s="4">
        <v>-32144</v>
      </c>
      <c r="F7893" s="3" t="s">
        <v>1097</v>
      </c>
      <c r="G7893" s="3" t="s">
        <v>476</v>
      </c>
      <c r="H7893" s="2" t="s">
        <v>148</v>
      </c>
      <c r="I7893" s="2" t="s">
        <v>20120</v>
      </c>
      <c r="J7893" s="3" t="str">
        <f>HYPERLINK("https://www.boe.es/gazeta/dias/1811/12/28/pdfs/GEI-1811-168.pdf#page=7","Abrir facsímil")</f>
        <v>Abrir facsímil</v>
      </c>
      <c r="K7893" s="3" t="s">
        <v>150</v>
      </c>
    </row>
    <row r="7894" spans="1:11" ht="42" customHeight="1">
      <c r="A7894" s="2" t="s">
        <v>20121</v>
      </c>
      <c r="B7894" s="2" t="s">
        <v>20121</v>
      </c>
      <c r="C7894" s="2" t="s">
        <v>17</v>
      </c>
      <c r="D7894" s="2" t="s">
        <v>18</v>
      </c>
      <c r="E7894" s="4">
        <v>-32232</v>
      </c>
      <c r="F7894" s="3" t="s">
        <v>1816</v>
      </c>
      <c r="G7894" s="3" t="s">
        <v>1143</v>
      </c>
      <c r="H7894" s="2" t="s">
        <v>148</v>
      </c>
      <c r="I7894" s="2" t="s">
        <v>20122</v>
      </c>
      <c r="J7894" s="3" t="str">
        <f>HYPERLINK("https://www.boe.es/gazeta/dias/1811/10/01/pdfs/GEI-1811-126.pdf#page=6","Abrir facsímil")</f>
        <v>Abrir facsímil</v>
      </c>
      <c r="K7894" s="3" t="s">
        <v>150</v>
      </c>
    </row>
    <row r="7895" spans="1:11" ht="42" customHeight="1">
      <c r="A7895" s="2" t="s">
        <v>20123</v>
      </c>
      <c r="B7895" s="2" t="s">
        <v>20123</v>
      </c>
      <c r="C7895" s="2" t="s">
        <v>37</v>
      </c>
      <c r="D7895" s="2" t="s">
        <v>156</v>
      </c>
      <c r="E7895" s="4">
        <v>-32283</v>
      </c>
      <c r="F7895" s="3" t="s">
        <v>90</v>
      </c>
      <c r="G7895" s="3" t="s">
        <v>515</v>
      </c>
      <c r="H7895" s="2" t="s">
        <v>148</v>
      </c>
      <c r="I7895" s="2" t="s">
        <v>20124</v>
      </c>
      <c r="J7895" s="3" t="str">
        <f>HYPERLINK("https://www.boe.es/gazeta/dias/1811/08/11/pdfs/GMD-1811-223.pdf#page=3","Abrir facsímil")</f>
        <v>Abrir facsímil</v>
      </c>
      <c r="K7895" s="3" t="s">
        <v>150</v>
      </c>
    </row>
    <row r="7896" spans="1:11" ht="42" customHeight="1">
      <c r="A7896" s="2" t="s">
        <v>20125</v>
      </c>
      <c r="B7896" s="2" t="s">
        <v>20125</v>
      </c>
      <c r="C7896" s="2" t="s">
        <v>17</v>
      </c>
      <c r="D7896" s="2" t="s">
        <v>156</v>
      </c>
      <c r="E7896" s="4">
        <v>-32232</v>
      </c>
      <c r="F7896" s="3" t="s">
        <v>1816</v>
      </c>
      <c r="G7896" s="3" t="s">
        <v>1143</v>
      </c>
      <c r="H7896" s="2" t="s">
        <v>148</v>
      </c>
      <c r="I7896" s="2" t="s">
        <v>20126</v>
      </c>
      <c r="J7896" s="3" t="str">
        <f>HYPERLINK("https://www.boe.es/gazeta/dias/1811/10/01/pdfs/GEI-1811-126.pdf#page=6","Abrir facsímil")</f>
        <v>Abrir facsímil</v>
      </c>
      <c r="K7896" s="3" t="s">
        <v>150</v>
      </c>
    </row>
    <row r="7897" spans="1:11" ht="42" customHeight="1">
      <c r="A7897" s="2" t="s">
        <v>20125</v>
      </c>
      <c r="B7897" s="2" t="s">
        <v>20125</v>
      </c>
      <c r="C7897" s="2" t="s">
        <v>17</v>
      </c>
      <c r="D7897" s="2" t="s">
        <v>156</v>
      </c>
      <c r="E7897" s="4">
        <v>-32232</v>
      </c>
      <c r="F7897" s="3" t="s">
        <v>1816</v>
      </c>
      <c r="G7897" s="3" t="s">
        <v>5083</v>
      </c>
      <c r="H7897" s="2" t="s">
        <v>148</v>
      </c>
      <c r="I7897" s="2" t="s">
        <v>20127</v>
      </c>
      <c r="J7897" s="3" t="str">
        <f>HYPERLINK("https://www.boe.es/gazeta/dias/1811/10/01/pdfs/GEI-1811-126.pdf#page=7","Abrir facsímil")</f>
        <v>Abrir facsímil</v>
      </c>
      <c r="K7897" s="3" t="s">
        <v>150</v>
      </c>
    </row>
    <row r="7898" spans="1:11" ht="42" customHeight="1">
      <c r="A7898" s="2" t="s">
        <v>20128</v>
      </c>
      <c r="B7898" s="2" t="s">
        <v>20128</v>
      </c>
      <c r="C7898" s="2" t="s">
        <v>17</v>
      </c>
      <c r="D7898" s="2" t="s">
        <v>18</v>
      </c>
      <c r="E7898" s="4">
        <v>-32245</v>
      </c>
      <c r="F7898" s="3" t="s">
        <v>6296</v>
      </c>
      <c r="G7898" s="3" t="s">
        <v>1384</v>
      </c>
      <c r="H7898" s="2" t="s">
        <v>148</v>
      </c>
      <c r="I7898" s="2" t="s">
        <v>20129</v>
      </c>
      <c r="J7898" s="3" t="str">
        <f>HYPERLINK("https://www.boe.es/gazeta/dias/1811/09/18/pdfs/GMD-1811-261.pdf#page=1","Abrir facsímil")</f>
        <v>Abrir facsímil</v>
      </c>
      <c r="K7898" s="3" t="s">
        <v>150</v>
      </c>
    </row>
    <row r="7899" spans="1:11" ht="42" customHeight="1">
      <c r="A7899" s="2" t="s">
        <v>20130</v>
      </c>
      <c r="B7899" s="2" t="s">
        <v>20130</v>
      </c>
      <c r="C7899" s="2" t="s">
        <v>17</v>
      </c>
      <c r="D7899" s="2" t="s">
        <v>18</v>
      </c>
      <c r="E7899" s="4">
        <v>-32264</v>
      </c>
      <c r="F7899" s="3" t="s">
        <v>3038</v>
      </c>
      <c r="G7899" s="3" t="s">
        <v>178</v>
      </c>
      <c r="H7899" s="2" t="s">
        <v>148</v>
      </c>
      <c r="I7899" s="2" t="s">
        <v>20131</v>
      </c>
      <c r="J7899" s="3" t="str">
        <f>HYPERLINK("https://www.boe.es/gazeta/dias/1811/08/30/pdfs/GMD-1811-242.pdf#page=2","Abrir facsímil")</f>
        <v>Abrir facsímil</v>
      </c>
      <c r="K7899" s="3" t="s">
        <v>150</v>
      </c>
    </row>
    <row r="7900" spans="1:11" ht="42" customHeight="1">
      <c r="A7900" s="2" t="s">
        <v>20132</v>
      </c>
      <c r="B7900" s="2" t="s">
        <v>20132</v>
      </c>
      <c r="C7900" s="2" t="s">
        <v>17</v>
      </c>
      <c r="D7900" s="2" t="s">
        <v>18</v>
      </c>
      <c r="E7900" s="4">
        <v>-32376</v>
      </c>
      <c r="F7900" s="3" t="s">
        <v>5460</v>
      </c>
      <c r="G7900" s="3" t="s">
        <v>57</v>
      </c>
      <c r="H7900" s="2" t="s">
        <v>148</v>
      </c>
      <c r="I7900" s="2" t="s">
        <v>20133</v>
      </c>
      <c r="J7900" s="3" t="str">
        <f>HYPERLINK("https://www.boe.es/gazeta/dias/1811/05/10/pdfs/GMD-1811-130.pdf#page=2","Abrir facsímil")</f>
        <v>Abrir facsímil</v>
      </c>
      <c r="K7900" s="3" t="s">
        <v>150</v>
      </c>
    </row>
    <row r="7901" spans="1:11" ht="42" customHeight="1">
      <c r="A7901" s="2" t="s">
        <v>20134</v>
      </c>
      <c r="B7901" s="2" t="s">
        <v>20134</v>
      </c>
      <c r="C7901" s="2" t="s">
        <v>17</v>
      </c>
      <c r="D7901" s="2" t="s">
        <v>18</v>
      </c>
      <c r="E7901" s="4">
        <v>-32232</v>
      </c>
      <c r="F7901" s="3" t="s">
        <v>1816</v>
      </c>
      <c r="G7901" s="3" t="s">
        <v>162</v>
      </c>
      <c r="H7901" s="2" t="s">
        <v>148</v>
      </c>
      <c r="I7901" s="2" t="s">
        <v>20135</v>
      </c>
      <c r="J7901" s="3" t="str">
        <f>HYPERLINK("https://www.boe.es/gazeta/dias/1811/10/01/pdfs/GEI-1811-126.pdf#page=5","Abrir facsímil")</f>
        <v>Abrir facsímil</v>
      </c>
      <c r="K7901" s="3" t="s">
        <v>150</v>
      </c>
    </row>
    <row r="7902" spans="1:11" ht="42" customHeight="1">
      <c r="A7902" s="2" t="s">
        <v>20136</v>
      </c>
      <c r="B7902" s="2" t="s">
        <v>20137</v>
      </c>
      <c r="C7902" s="2" t="s">
        <v>841</v>
      </c>
      <c r="D7902" s="2" t="s">
        <v>18</v>
      </c>
      <c r="E7902" s="4">
        <v>-32288</v>
      </c>
      <c r="F7902" s="3" t="s">
        <v>95</v>
      </c>
      <c r="G7902" s="3" t="s">
        <v>476</v>
      </c>
      <c r="H7902" s="2" t="s">
        <v>148</v>
      </c>
      <c r="I7902" s="2" t="s">
        <v>20138</v>
      </c>
      <c r="J7902" s="3" t="str">
        <f>HYPERLINK("https://www.boe.es/gazeta/dias/1811/08/06/pdfs/GEI-1811-102.pdf#page=7","Abrir facsímil")</f>
        <v>Abrir facsímil</v>
      </c>
      <c r="K7902" s="3" t="s">
        <v>150</v>
      </c>
    </row>
    <row r="7903" spans="1:11" ht="42" customHeight="1">
      <c r="A7903" s="2" t="s">
        <v>20139</v>
      </c>
      <c r="B7903" s="2" t="s">
        <v>20139</v>
      </c>
      <c r="C7903" s="2" t="s">
        <v>17</v>
      </c>
      <c r="D7903" s="2" t="s">
        <v>18</v>
      </c>
      <c r="E7903" s="4">
        <v>-32405</v>
      </c>
      <c r="F7903" s="3" t="s">
        <v>1413</v>
      </c>
      <c r="G7903" s="3" t="s">
        <v>3218</v>
      </c>
      <c r="H7903" s="2" t="s">
        <v>148</v>
      </c>
      <c r="I7903" s="2" t="s">
        <v>20140</v>
      </c>
      <c r="J7903" s="3" t="str">
        <f>HYPERLINK("https://www.boe.es/gazeta/dias/1811/04/11/pdfs/GEI-1811-49.pdf#page=2","Abrir facsímil")</f>
        <v>Abrir facsímil</v>
      </c>
      <c r="K7903" s="3" t="s">
        <v>150</v>
      </c>
    </row>
    <row r="7904" spans="1:11" ht="42" customHeight="1">
      <c r="A7904" s="2" t="s">
        <v>20139</v>
      </c>
      <c r="B7904" s="2" t="s">
        <v>20139</v>
      </c>
      <c r="C7904" s="2" t="s">
        <v>17</v>
      </c>
      <c r="D7904" s="2" t="s">
        <v>156</v>
      </c>
      <c r="E7904" s="4">
        <v>-32396</v>
      </c>
      <c r="F7904" s="3" t="s">
        <v>2393</v>
      </c>
      <c r="G7904" s="3" t="s">
        <v>3853</v>
      </c>
      <c r="H7904" s="2" t="s">
        <v>148</v>
      </c>
      <c r="I7904" s="2" t="s">
        <v>20141</v>
      </c>
      <c r="J7904" s="3" t="str">
        <f>HYPERLINK("https://www.boe.es/gazeta/dias/1811/04/20/pdfs/GEI-1811-53.pdf#page=4","Abrir facsímil")</f>
        <v>Abrir facsímil</v>
      </c>
      <c r="K7904" s="3" t="s">
        <v>150</v>
      </c>
    </row>
    <row r="7905" spans="1:11" ht="42" customHeight="1">
      <c r="A7905" s="2" t="s">
        <v>20139</v>
      </c>
      <c r="B7905" s="2" t="s">
        <v>20139</v>
      </c>
      <c r="C7905" s="2" t="s">
        <v>17</v>
      </c>
      <c r="D7905" s="2" t="s">
        <v>18</v>
      </c>
      <c r="E7905" s="4">
        <v>-32321</v>
      </c>
      <c r="F7905" s="3" t="s">
        <v>1829</v>
      </c>
      <c r="G7905" s="3" t="s">
        <v>8265</v>
      </c>
      <c r="H7905" s="2" t="s">
        <v>148</v>
      </c>
      <c r="I7905" s="2" t="s">
        <v>20142</v>
      </c>
      <c r="J7905" s="3" t="str">
        <f>HYPERLINK("https://www.boe.es/gazeta/dias/1811/07/04/pdfs/GEI-1811-88.pdf#page=5","Abrir facsímil")</f>
        <v>Abrir facsímil</v>
      </c>
      <c r="K7905" s="3" t="s">
        <v>150</v>
      </c>
    </row>
    <row r="7906" spans="1:11" ht="42" customHeight="1">
      <c r="A7906" s="2" t="s">
        <v>20139</v>
      </c>
      <c r="B7906" s="2" t="s">
        <v>20139</v>
      </c>
      <c r="C7906" s="2" t="s">
        <v>17</v>
      </c>
      <c r="D7906" s="2" t="s">
        <v>18</v>
      </c>
      <c r="E7906" s="4">
        <v>-32283</v>
      </c>
      <c r="F7906" s="3" t="s">
        <v>90</v>
      </c>
      <c r="G7906" s="3" t="s">
        <v>468</v>
      </c>
      <c r="H7906" s="2" t="s">
        <v>148</v>
      </c>
      <c r="I7906" s="2" t="s">
        <v>20143</v>
      </c>
      <c r="J7906" s="3" t="str">
        <f>HYPERLINK("https://www.boe.es/gazeta/dias/1811/08/11/pdfs/GMD-1811-223.pdf#page=2","Abrir facsímil")</f>
        <v>Abrir facsímil</v>
      </c>
      <c r="K7906" s="3" t="s">
        <v>150</v>
      </c>
    </row>
    <row r="7907" spans="1:11" ht="42" customHeight="1">
      <c r="A7907" s="2" t="s">
        <v>20139</v>
      </c>
      <c r="B7907" s="2" t="s">
        <v>20139</v>
      </c>
      <c r="C7907" s="2" t="s">
        <v>17</v>
      </c>
      <c r="D7907" s="2" t="s">
        <v>18</v>
      </c>
      <c r="E7907" s="4">
        <v>-32228</v>
      </c>
      <c r="F7907" s="3" t="s">
        <v>899</v>
      </c>
      <c r="G7907" s="3" t="s">
        <v>900</v>
      </c>
      <c r="H7907" s="2" t="s">
        <v>148</v>
      </c>
      <c r="I7907" s="2" t="s">
        <v>20144</v>
      </c>
      <c r="J7907" s="3" t="str">
        <f>HYPERLINK("https://www.boe.es/gazeta/dias/1811/10/05/pdfs/GMD-1811-278.pdf#page=2","Abrir facsímil")</f>
        <v>Abrir facsímil</v>
      </c>
      <c r="K7907" s="3" t="s">
        <v>150</v>
      </c>
    </row>
    <row r="7908" spans="1:11" ht="42" customHeight="1">
      <c r="A7908" s="2" t="s">
        <v>20145</v>
      </c>
      <c r="B7908" s="2" t="s">
        <v>20146</v>
      </c>
      <c r="C7908" s="2" t="s">
        <v>26</v>
      </c>
      <c r="D7908" s="2" t="s">
        <v>204</v>
      </c>
      <c r="E7908" s="4">
        <v>-32314</v>
      </c>
      <c r="F7908" s="3" t="s">
        <v>2051</v>
      </c>
      <c r="G7908" s="3" t="s">
        <v>44</v>
      </c>
      <c r="H7908" s="2" t="s">
        <v>148</v>
      </c>
      <c r="I7908" s="2" t="s">
        <v>20147</v>
      </c>
      <c r="J7908" s="3" t="str">
        <f>HYPERLINK("https://www.boe.es/gazeta/dias/1811/07/11/pdfs/GMD-C-1811-192.pdf#page=2","Abrir facsímil")</f>
        <v>Abrir facsímil</v>
      </c>
      <c r="K7908" s="3" t="s">
        <v>150</v>
      </c>
    </row>
    <row r="7909" spans="1:11" ht="42" customHeight="1">
      <c r="A7909" s="2" t="s">
        <v>20148</v>
      </c>
      <c r="B7909" s="2" t="s">
        <v>20148</v>
      </c>
      <c r="C7909" s="2" t="s">
        <v>26</v>
      </c>
      <c r="D7909" s="2" t="s">
        <v>18</v>
      </c>
      <c r="E7909" s="4">
        <v>-32247</v>
      </c>
      <c r="F7909" s="3" t="s">
        <v>12590</v>
      </c>
      <c r="G7909" s="3" t="s">
        <v>91</v>
      </c>
      <c r="H7909" s="2" t="s">
        <v>148</v>
      </c>
      <c r="I7909" s="2" t="s">
        <v>20149</v>
      </c>
      <c r="J7909" s="3" t="str">
        <f>HYPERLINK("https://www.boe.es/gazeta/dias/1811/09/16/pdfs/GMD-1811-259.pdf#page=1","Abrir facsímil")</f>
        <v>Abrir facsímil</v>
      </c>
      <c r="K7909" s="3" t="s">
        <v>150</v>
      </c>
    </row>
    <row r="7910" spans="1:11" ht="42" customHeight="1">
      <c r="A7910" s="2" t="s">
        <v>20150</v>
      </c>
      <c r="B7910" s="2" t="s">
        <v>20150</v>
      </c>
      <c r="C7910" s="2" t="s">
        <v>17</v>
      </c>
      <c r="D7910" s="2" t="s">
        <v>18</v>
      </c>
      <c r="E7910" s="4">
        <v>-32330</v>
      </c>
      <c r="F7910" s="3" t="s">
        <v>1997</v>
      </c>
      <c r="G7910" s="3" t="s">
        <v>1463</v>
      </c>
      <c r="H7910" s="2" t="s">
        <v>148</v>
      </c>
      <c r="I7910" s="2" t="s">
        <v>20151</v>
      </c>
      <c r="J7910" s="3" t="str">
        <f>HYPERLINK("https://www.boe.es/gazeta/dias/1811/06/25/pdfs/GMD-1811-176.pdf#page=3","Abrir facsímil")</f>
        <v>Abrir facsímil</v>
      </c>
      <c r="K7910" s="3" t="s">
        <v>150</v>
      </c>
    </row>
    <row r="7911" spans="1:11" ht="42" customHeight="1">
      <c r="A7911" s="2" t="s">
        <v>20150</v>
      </c>
      <c r="B7911" s="2" t="s">
        <v>20150</v>
      </c>
      <c r="C7911" s="2" t="s">
        <v>17</v>
      </c>
      <c r="D7911" s="2" t="s">
        <v>18</v>
      </c>
      <c r="E7911" s="4">
        <v>-32285</v>
      </c>
      <c r="F7911" s="3" t="s">
        <v>3716</v>
      </c>
      <c r="G7911" s="3" t="s">
        <v>162</v>
      </c>
      <c r="H7911" s="2" t="s">
        <v>148</v>
      </c>
      <c r="I7911" s="2" t="s">
        <v>20152</v>
      </c>
      <c r="J7911" s="3" t="str">
        <f>HYPERLINK("https://www.boe.es/gazeta/dias/1811/08/09/pdfs/GMD-1811-221.pdf#page=2","Abrir facsímil")</f>
        <v>Abrir facsímil</v>
      </c>
      <c r="K7911" s="3" t="s">
        <v>150</v>
      </c>
    </row>
    <row r="7912" spans="1:11" ht="42" customHeight="1">
      <c r="A7912" s="2" t="s">
        <v>20153</v>
      </c>
      <c r="B7912" s="2" t="s">
        <v>20153</v>
      </c>
      <c r="C7912" s="2" t="s">
        <v>17</v>
      </c>
      <c r="D7912" s="2" t="s">
        <v>18</v>
      </c>
      <c r="E7912" s="4">
        <v>-32391</v>
      </c>
      <c r="F7912" s="3" t="s">
        <v>252</v>
      </c>
      <c r="G7912" s="3" t="s">
        <v>657</v>
      </c>
      <c r="H7912" s="2" t="s">
        <v>148</v>
      </c>
      <c r="I7912" s="2" t="s">
        <v>20154</v>
      </c>
      <c r="J7912" s="3" t="str">
        <f>HYPERLINK("https://www.boe.es/gazeta/dias/1811/04/25/pdfs/GEI-1811-55.pdf#page=2","Abrir facsímil")</f>
        <v>Abrir facsímil</v>
      </c>
      <c r="K7912" s="3" t="s">
        <v>150</v>
      </c>
    </row>
    <row r="7913" spans="1:11" ht="42" customHeight="1">
      <c r="A7913" s="2" t="s">
        <v>20155</v>
      </c>
      <c r="B7913" s="2" t="s">
        <v>20155</v>
      </c>
      <c r="C7913" s="2" t="s">
        <v>17</v>
      </c>
      <c r="D7913" s="2" t="s">
        <v>18</v>
      </c>
      <c r="E7913" s="4">
        <v>-32423</v>
      </c>
      <c r="F7913" s="3" t="s">
        <v>6379</v>
      </c>
      <c r="G7913" s="3" t="s">
        <v>245</v>
      </c>
      <c r="H7913" s="2" t="s">
        <v>148</v>
      </c>
      <c r="I7913" s="2" t="s">
        <v>20156</v>
      </c>
      <c r="J7913" s="3" t="str">
        <f>HYPERLINK("https://www.boe.es/gazeta/dias/1811/03/24/pdfs/GMD-1811-83.pdf#page=3","Abrir facsímil")</f>
        <v>Abrir facsímil</v>
      </c>
      <c r="K7913" s="3" t="s">
        <v>150</v>
      </c>
    </row>
    <row r="7914" spans="1:11" ht="42" customHeight="1">
      <c r="A7914" s="2" t="s">
        <v>20157</v>
      </c>
      <c r="B7914" s="2" t="s">
        <v>20157</v>
      </c>
      <c r="C7914" s="2" t="s">
        <v>17</v>
      </c>
      <c r="D7914" s="2" t="s">
        <v>18</v>
      </c>
      <c r="E7914" s="4">
        <v>-32423</v>
      </c>
      <c r="F7914" s="3" t="s">
        <v>6379</v>
      </c>
      <c r="G7914" s="3" t="s">
        <v>245</v>
      </c>
      <c r="H7914" s="2" t="s">
        <v>148</v>
      </c>
      <c r="I7914" s="2" t="s">
        <v>20158</v>
      </c>
      <c r="J7914" s="3" t="str">
        <f>HYPERLINK("https://www.boe.es/gazeta/dias/1811/03/24/pdfs/GMD-1811-83.pdf#page=3","Abrir facsímil")</f>
        <v>Abrir facsímil</v>
      </c>
      <c r="K7914" s="3" t="s">
        <v>150</v>
      </c>
    </row>
    <row r="7915" spans="1:11" ht="42" customHeight="1">
      <c r="A7915" s="2" t="s">
        <v>20157</v>
      </c>
      <c r="B7915" s="2" t="s">
        <v>20157</v>
      </c>
      <c r="C7915" s="2" t="s">
        <v>17</v>
      </c>
      <c r="D7915" s="2" t="s">
        <v>156</v>
      </c>
      <c r="E7915" s="4">
        <v>-32318</v>
      </c>
      <c r="F7915" s="3" t="s">
        <v>1193</v>
      </c>
      <c r="G7915" s="3" t="s">
        <v>488</v>
      </c>
      <c r="H7915" s="2" t="s">
        <v>148</v>
      </c>
      <c r="I7915" s="2" t="s">
        <v>20159</v>
      </c>
      <c r="J7915" s="3" t="str">
        <f>HYPERLINK("https://www.boe.es/gazeta/dias/1811/07/07/pdfs/GMD-1811-188.pdf#page=3","Abrir facsímil")</f>
        <v>Abrir facsímil</v>
      </c>
      <c r="K7915" s="3" t="s">
        <v>150</v>
      </c>
    </row>
    <row r="7916" spans="1:11" ht="42" customHeight="1">
      <c r="A7916" s="2" t="s">
        <v>20160</v>
      </c>
      <c r="B7916" s="2" t="s">
        <v>20161</v>
      </c>
      <c r="C7916" s="2" t="s">
        <v>17</v>
      </c>
      <c r="D7916" s="2" t="s">
        <v>18</v>
      </c>
      <c r="E7916" s="4">
        <v>-32144</v>
      </c>
      <c r="F7916" s="3" t="s">
        <v>1097</v>
      </c>
      <c r="G7916" s="3" t="s">
        <v>91</v>
      </c>
      <c r="H7916" s="2" t="s">
        <v>148</v>
      </c>
      <c r="I7916" s="2" t="s">
        <v>20162</v>
      </c>
      <c r="J7916" s="3" t="str">
        <f>HYPERLINK("https://www.boe.es/gazeta/dias/1811/12/28/pdfs/GEI-1811-168.pdf#page=2","Abrir facsímil")</f>
        <v>Abrir facsímil</v>
      </c>
      <c r="K7916" s="3" t="s">
        <v>150</v>
      </c>
    </row>
    <row r="7917" spans="1:11" ht="42" customHeight="1">
      <c r="A7917" s="2" t="s">
        <v>20163</v>
      </c>
      <c r="B7917" s="2" t="s">
        <v>20164</v>
      </c>
      <c r="C7917" s="2" t="s">
        <v>26</v>
      </c>
      <c r="D7917" s="2" t="s">
        <v>18</v>
      </c>
      <c r="E7917" s="4">
        <v>-32356</v>
      </c>
      <c r="F7917" s="3" t="s">
        <v>648</v>
      </c>
      <c r="G7917" s="3" t="s">
        <v>115</v>
      </c>
      <c r="H7917" s="2" t="s">
        <v>21</v>
      </c>
      <c r="I7917" s="2" t="s">
        <v>20165</v>
      </c>
      <c r="J7917" s="3" t="str">
        <f>HYPERLINK("https://www.boe.es/gazeta/dias/1811/05/30/pdfs/GMD-1811-150.pdf#page=3","Abrir facsímil")</f>
        <v>Abrir facsímil</v>
      </c>
      <c r="K7917" s="3" t="s">
        <v>23</v>
      </c>
    </row>
    <row r="7918" spans="1:11" ht="42" customHeight="1">
      <c r="A7918" s="2" t="s">
        <v>20166</v>
      </c>
      <c r="B7918" s="2" t="s">
        <v>20167</v>
      </c>
      <c r="C7918" s="2" t="s">
        <v>26</v>
      </c>
      <c r="D7918" s="2" t="s">
        <v>18</v>
      </c>
      <c r="E7918" s="4">
        <v>-32242</v>
      </c>
      <c r="F7918" s="3" t="s">
        <v>1295</v>
      </c>
      <c r="G7918" s="3" t="s">
        <v>1296</v>
      </c>
      <c r="H7918" s="2" t="s">
        <v>148</v>
      </c>
      <c r="I7918" s="2" t="s">
        <v>20168</v>
      </c>
      <c r="J7918" s="3" t="str">
        <f>HYPERLINK("https://www.boe.es/gazeta/dias/1811/09/21/pdfs/GEI-1811-122.pdf#page=8","Abrir facsímil")</f>
        <v>Abrir facsímil</v>
      </c>
      <c r="K7918" s="3" t="s">
        <v>150</v>
      </c>
    </row>
    <row r="7919" spans="1:11" ht="42" customHeight="1">
      <c r="A7919" s="2" t="s">
        <v>20169</v>
      </c>
      <c r="B7919" s="2" t="s">
        <v>20170</v>
      </c>
      <c r="C7919" s="2" t="s">
        <v>84</v>
      </c>
      <c r="D7919" s="2" t="s">
        <v>18</v>
      </c>
      <c r="E7919" s="4">
        <v>-32204</v>
      </c>
      <c r="F7919" s="3" t="s">
        <v>177</v>
      </c>
      <c r="G7919" s="3" t="s">
        <v>178</v>
      </c>
      <c r="H7919" s="2" t="s">
        <v>148</v>
      </c>
      <c r="I7919" s="2" t="s">
        <v>20171</v>
      </c>
      <c r="J7919" s="3" t="str">
        <f>HYPERLINK("https://www.boe.es/gazeta/dias/1811/10/29/pdfs/GMD-1811-302.pdf#page=4","Abrir facsímil")</f>
        <v>Abrir facsímil</v>
      </c>
      <c r="K7919" s="3" t="s">
        <v>150</v>
      </c>
    </row>
    <row r="7920" spans="1:11" ht="42" customHeight="1">
      <c r="A7920" s="2" t="s">
        <v>20172</v>
      </c>
      <c r="B7920" s="2" t="s">
        <v>20173</v>
      </c>
      <c r="C7920" s="2" t="s">
        <v>17</v>
      </c>
      <c r="D7920" s="2" t="s">
        <v>156</v>
      </c>
      <c r="E7920" s="4">
        <v>-32440</v>
      </c>
      <c r="F7920" s="3" t="s">
        <v>1254</v>
      </c>
      <c r="G7920" s="3" t="s">
        <v>6444</v>
      </c>
      <c r="H7920" s="2" t="s">
        <v>148</v>
      </c>
      <c r="I7920" s="2" t="s">
        <v>20174</v>
      </c>
      <c r="J7920" s="3" t="str">
        <f>HYPERLINK("https://www.boe.es/gazeta/dias/1811/03/07/pdfs/GEI-1811-32.pdf#page=5","Abrir facsímil")</f>
        <v>Abrir facsímil</v>
      </c>
      <c r="K7920" s="3" t="s">
        <v>150</v>
      </c>
    </row>
    <row r="7921" spans="1:11" ht="42" customHeight="1">
      <c r="A7921" s="2" t="s">
        <v>20175</v>
      </c>
      <c r="B7921" s="2" t="s">
        <v>20175</v>
      </c>
      <c r="C7921" s="2" t="s">
        <v>37</v>
      </c>
      <c r="D7921" s="2" t="s">
        <v>18</v>
      </c>
      <c r="E7921" s="4">
        <v>-32475</v>
      </c>
      <c r="F7921" s="3" t="s">
        <v>259</v>
      </c>
      <c r="G7921" s="3" t="s">
        <v>20</v>
      </c>
      <c r="H7921" s="2" t="s">
        <v>148</v>
      </c>
      <c r="I7921" s="2" t="s">
        <v>20176</v>
      </c>
      <c r="J7921" s="3" t="str">
        <f>HYPERLINK("https://www.boe.es/gazeta/dias/1811/01/31/pdfs/GMD-1811-31.pdf#page=4","Abrir facsímil")</f>
        <v>Abrir facsímil</v>
      </c>
      <c r="K7921" s="3" t="s">
        <v>150</v>
      </c>
    </row>
    <row r="7922" spans="1:11" ht="42" customHeight="1">
      <c r="A7922" s="2" t="s">
        <v>20177</v>
      </c>
      <c r="B7922" s="2" t="s">
        <v>20177</v>
      </c>
      <c r="C7922" s="2" t="s">
        <v>37</v>
      </c>
      <c r="D7922" s="2" t="s">
        <v>18</v>
      </c>
      <c r="E7922" s="4">
        <v>-32142</v>
      </c>
      <c r="F7922" s="3" t="s">
        <v>3022</v>
      </c>
      <c r="G7922" s="3" t="s">
        <v>91</v>
      </c>
      <c r="H7922" s="2" t="s">
        <v>148</v>
      </c>
      <c r="I7922" s="2" t="s">
        <v>20178</v>
      </c>
      <c r="J7922" s="3" t="str">
        <f>HYPERLINK("https://www.boe.es/gazeta/dias/1811/12/30/pdfs/GMD-1811-364.pdf#page=1","Abrir facsímil")</f>
        <v>Abrir facsímil</v>
      </c>
      <c r="K7922" s="3" t="s">
        <v>150</v>
      </c>
    </row>
    <row r="7923" spans="1:11" ht="42" customHeight="1">
      <c r="A7923" s="2" t="s">
        <v>20179</v>
      </c>
      <c r="B7923" s="2" t="s">
        <v>20180</v>
      </c>
      <c r="C7923" s="2" t="s">
        <v>37</v>
      </c>
      <c r="D7923" s="2" t="s">
        <v>18</v>
      </c>
      <c r="E7923" s="4">
        <v>-32416</v>
      </c>
      <c r="F7923" s="3" t="s">
        <v>954</v>
      </c>
      <c r="G7923" s="3" t="s">
        <v>47</v>
      </c>
      <c r="H7923" s="2" t="s">
        <v>148</v>
      </c>
      <c r="I7923" s="2" t="s">
        <v>20181</v>
      </c>
      <c r="J7923" s="3" t="str">
        <f>HYPERLINK("https://www.boe.es/gazeta/dias/1811/03/31/pdfs/GMD-1811-90.pdf#page=3","Abrir facsímil")</f>
        <v>Abrir facsímil</v>
      </c>
      <c r="K7923" s="3" t="s">
        <v>150</v>
      </c>
    </row>
    <row r="7924" spans="1:11" ht="42" customHeight="1">
      <c r="A7924" s="2" t="s">
        <v>20182</v>
      </c>
      <c r="B7924" s="2" t="s">
        <v>20183</v>
      </c>
      <c r="C7924" s="2" t="s">
        <v>26</v>
      </c>
      <c r="D7924" s="2" t="s">
        <v>141</v>
      </c>
      <c r="E7924" s="4">
        <v>-32188</v>
      </c>
      <c r="F7924" s="3" t="s">
        <v>505</v>
      </c>
      <c r="G7924" s="3" t="s">
        <v>47</v>
      </c>
      <c r="H7924" s="2" t="s">
        <v>148</v>
      </c>
      <c r="I7924" s="2" t="s">
        <v>20184</v>
      </c>
      <c r="J7924" s="3" t="str">
        <f>HYPERLINK("https://www.boe.es/gazeta/dias/1811/11/14/pdfs/GEI-D-1811-149.pdf#page=3","Abrir facsímil")</f>
        <v>Abrir facsímil</v>
      </c>
      <c r="K7924" s="3" t="s">
        <v>150</v>
      </c>
    </row>
    <row r="7925" spans="1:11" ht="42" customHeight="1">
      <c r="A7925" s="2" t="s">
        <v>20185</v>
      </c>
      <c r="B7925" s="2" t="s">
        <v>20186</v>
      </c>
      <c r="C7925" s="2" t="s">
        <v>17</v>
      </c>
      <c r="D7925" s="2" t="s">
        <v>18</v>
      </c>
      <c r="E7925" s="4">
        <v>-32300</v>
      </c>
      <c r="F7925" s="3" t="s">
        <v>492</v>
      </c>
      <c r="G7925" s="3" t="s">
        <v>493</v>
      </c>
      <c r="H7925" s="2" t="s">
        <v>148</v>
      </c>
      <c r="I7925" s="2" t="s">
        <v>20187</v>
      </c>
      <c r="J7925" s="3" t="str">
        <f>HYPERLINK("https://www.boe.es/gazeta/dias/1811/07/25/pdfs/GMD-1811-206.pdf#page=4","Abrir facsímil")</f>
        <v>Abrir facsímil</v>
      </c>
      <c r="K7925" s="3" t="s">
        <v>150</v>
      </c>
    </row>
    <row r="7926" spans="1:11" ht="42" customHeight="1">
      <c r="A7926" s="2" t="s">
        <v>20188</v>
      </c>
      <c r="B7926" s="2" t="s">
        <v>20189</v>
      </c>
      <c r="C7926" s="2" t="s">
        <v>84</v>
      </c>
      <c r="D7926" s="2" t="s">
        <v>141</v>
      </c>
      <c r="E7926" s="4">
        <v>-32188</v>
      </c>
      <c r="F7926" s="3" t="s">
        <v>505</v>
      </c>
      <c r="G7926" s="3" t="s">
        <v>162</v>
      </c>
      <c r="H7926" s="2" t="s">
        <v>148</v>
      </c>
      <c r="I7926" s="2" t="s">
        <v>20190</v>
      </c>
      <c r="J7926" s="3" t="str">
        <f>HYPERLINK("https://www.boe.es/gazeta/dias/1811/11/14/pdfs/GEI-D-1811-149.pdf#page=4","Abrir facsímil")</f>
        <v>Abrir facsímil</v>
      </c>
      <c r="K7926" s="3" t="s">
        <v>150</v>
      </c>
    </row>
    <row r="7927" spans="1:11" ht="42" customHeight="1">
      <c r="A7927" s="2" t="s">
        <v>20191</v>
      </c>
      <c r="B7927" s="2" t="s">
        <v>20192</v>
      </c>
      <c r="C7927" s="2" t="s">
        <v>26</v>
      </c>
      <c r="D7927" s="2" t="s">
        <v>105</v>
      </c>
      <c r="E7927" s="4">
        <v>-32249</v>
      </c>
      <c r="F7927" s="3" t="s">
        <v>743</v>
      </c>
      <c r="G7927" s="3" t="s">
        <v>468</v>
      </c>
      <c r="H7927" s="2" t="s">
        <v>148</v>
      </c>
      <c r="I7927" s="2" t="s">
        <v>20193</v>
      </c>
      <c r="J7927" s="3" t="str">
        <f>HYPERLINK("https://www.boe.es/gazeta/dias/1811/09/14/pdfs/GMD-C-1811-257.pdf#page=1","Abrir facsímil")</f>
        <v>Abrir facsímil</v>
      </c>
      <c r="K7927" s="3" t="s">
        <v>150</v>
      </c>
    </row>
    <row r="7928" spans="1:11" ht="42" customHeight="1">
      <c r="A7928" s="2" t="s">
        <v>20194</v>
      </c>
      <c r="B7928" s="2" t="s">
        <v>20194</v>
      </c>
      <c r="C7928" s="2" t="s">
        <v>17</v>
      </c>
      <c r="D7928" s="2" t="s">
        <v>18</v>
      </c>
      <c r="E7928" s="4">
        <v>-32355</v>
      </c>
      <c r="F7928" s="3" t="s">
        <v>2342</v>
      </c>
      <c r="G7928" s="3" t="s">
        <v>20</v>
      </c>
      <c r="H7928" s="2" t="s">
        <v>148</v>
      </c>
      <c r="I7928" s="2" t="s">
        <v>20195</v>
      </c>
      <c r="J7928" s="3" t="str">
        <f>HYPERLINK("https://www.boe.es/gazeta/dias/1811/05/31/pdfs/GMD-1811-151.pdf#page=4","Abrir facsímil")</f>
        <v>Abrir facsímil</v>
      </c>
      <c r="K7928" s="3" t="s">
        <v>150</v>
      </c>
    </row>
    <row r="7929" spans="1:11" ht="42" customHeight="1">
      <c r="A7929" s="2" t="s">
        <v>20196</v>
      </c>
      <c r="B7929" s="2" t="s">
        <v>20197</v>
      </c>
      <c r="C7929" s="2" t="s">
        <v>26</v>
      </c>
      <c r="D7929" s="2" t="s">
        <v>18</v>
      </c>
      <c r="E7929" s="4">
        <v>-32173</v>
      </c>
      <c r="F7929" s="3" t="s">
        <v>2701</v>
      </c>
      <c r="G7929" s="3" t="s">
        <v>178</v>
      </c>
      <c r="H7929" s="2" t="s">
        <v>148</v>
      </c>
      <c r="I7929" s="2" t="s">
        <v>20198</v>
      </c>
      <c r="J7929" s="3" t="str">
        <f>HYPERLINK("https://www.boe.es/gazeta/dias/1811/11/29/pdfs/GMD-1811-333.pdf#page=4","Abrir facsímil")</f>
        <v>Abrir facsímil</v>
      </c>
      <c r="K7929" s="3" t="s">
        <v>150</v>
      </c>
    </row>
    <row r="7930" spans="1:11" ht="42" customHeight="1">
      <c r="A7930" s="2" t="s">
        <v>20199</v>
      </c>
      <c r="B7930" s="2" t="s">
        <v>20200</v>
      </c>
      <c r="C7930" s="2" t="s">
        <v>26</v>
      </c>
      <c r="D7930" s="2" t="s">
        <v>141</v>
      </c>
      <c r="E7930" s="4">
        <v>-32249</v>
      </c>
      <c r="F7930" s="3" t="s">
        <v>743</v>
      </c>
      <c r="G7930" s="3" t="s">
        <v>1021</v>
      </c>
      <c r="H7930" s="2" t="s">
        <v>148</v>
      </c>
      <c r="I7930" s="2" t="s">
        <v>20201</v>
      </c>
      <c r="J7930" s="3" t="str">
        <f>HYPERLINK("https://www.boe.es/gazeta/dias/1811/09/14/pdfs/GMD-C-1811-257.pdf#page=2","Abrir facsímil")</f>
        <v>Abrir facsímil</v>
      </c>
      <c r="K7930" s="3" t="s">
        <v>150</v>
      </c>
    </row>
    <row r="7931" spans="1:11" ht="42" customHeight="1">
      <c r="A7931" s="2" t="s">
        <v>20202</v>
      </c>
      <c r="B7931" s="2" t="s">
        <v>20203</v>
      </c>
      <c r="C7931" s="2" t="s">
        <v>26</v>
      </c>
      <c r="D7931" s="2" t="s">
        <v>18</v>
      </c>
      <c r="E7931" s="4">
        <v>-32360</v>
      </c>
      <c r="F7931" s="3" t="s">
        <v>5470</v>
      </c>
      <c r="G7931" s="3" t="s">
        <v>91</v>
      </c>
      <c r="H7931" s="2" t="s">
        <v>148</v>
      </c>
      <c r="I7931" s="2" t="s">
        <v>20204</v>
      </c>
      <c r="J7931" s="3" t="str">
        <f>HYPERLINK("https://www.boe.es/gazeta/dias/1811/05/26/pdfs/GMD-1811-146.pdf#page=2","Abrir facsímil")</f>
        <v>Abrir facsímil</v>
      </c>
      <c r="K7931" s="3" t="s">
        <v>150</v>
      </c>
    </row>
    <row r="7932" spans="1:11" ht="42" customHeight="1">
      <c r="A7932" s="2" t="s">
        <v>20205</v>
      </c>
      <c r="B7932" s="2" t="s">
        <v>20206</v>
      </c>
      <c r="C7932" s="2" t="s">
        <v>17</v>
      </c>
      <c r="D7932" s="2" t="s">
        <v>18</v>
      </c>
      <c r="E7932" s="4">
        <v>-32323</v>
      </c>
      <c r="F7932" s="3" t="s">
        <v>322</v>
      </c>
      <c r="G7932" s="3" t="s">
        <v>323</v>
      </c>
      <c r="H7932" s="2" t="s">
        <v>148</v>
      </c>
      <c r="I7932" s="2" t="s">
        <v>20207</v>
      </c>
      <c r="J7932" s="3" t="str">
        <f>HYPERLINK("https://www.boe.es/gazeta/dias/1811/07/02/pdfs/GEI-1811-87.pdf#page=8","Abrir facsímil")</f>
        <v>Abrir facsímil</v>
      </c>
      <c r="K7932" s="3" t="s">
        <v>150</v>
      </c>
    </row>
    <row r="7933" spans="1:11" ht="42" customHeight="1">
      <c r="A7933" s="2" t="s">
        <v>20205</v>
      </c>
      <c r="B7933" s="2" t="s">
        <v>20206</v>
      </c>
      <c r="C7933" s="2" t="s">
        <v>17</v>
      </c>
      <c r="D7933" s="2" t="s">
        <v>18</v>
      </c>
      <c r="E7933" s="4">
        <v>-32284</v>
      </c>
      <c r="F7933" s="3" t="s">
        <v>170</v>
      </c>
      <c r="G7933" s="3" t="s">
        <v>1388</v>
      </c>
      <c r="H7933" s="2" t="s">
        <v>148</v>
      </c>
      <c r="I7933" s="2" t="s">
        <v>20208</v>
      </c>
      <c r="J7933" s="3" t="str">
        <f>HYPERLINK("https://www.boe.es/gazeta/dias/1811/08/10/pdfs/GEI-1811-104.pdf#page=8","Abrir facsímil")</f>
        <v>Abrir facsímil</v>
      </c>
      <c r="K7933" s="3" t="s">
        <v>150</v>
      </c>
    </row>
    <row r="7934" spans="1:11" ht="42" customHeight="1">
      <c r="A7934" s="2" t="s">
        <v>20205</v>
      </c>
      <c r="B7934" s="2" t="s">
        <v>20206</v>
      </c>
      <c r="C7934" s="2" t="s">
        <v>17</v>
      </c>
      <c r="D7934" s="2" t="s">
        <v>18</v>
      </c>
      <c r="E7934" s="4">
        <v>-32251</v>
      </c>
      <c r="F7934" s="3" t="s">
        <v>726</v>
      </c>
      <c r="G7934" s="3" t="s">
        <v>727</v>
      </c>
      <c r="H7934" s="2" t="s">
        <v>148</v>
      </c>
      <c r="I7934" s="2" t="s">
        <v>20209</v>
      </c>
      <c r="J7934" s="3" t="str">
        <f>HYPERLINK("https://www.boe.es/gazeta/dias/1811/09/12/pdfs/GEI-1811-118.pdf#page=8","Abrir facsímil")</f>
        <v>Abrir facsímil</v>
      </c>
      <c r="K7934" s="3" t="s">
        <v>150</v>
      </c>
    </row>
    <row r="7935" spans="1:11" ht="42" customHeight="1">
      <c r="A7935" s="2" t="s">
        <v>20205</v>
      </c>
      <c r="B7935" s="2" t="s">
        <v>20206</v>
      </c>
      <c r="C7935" s="2" t="s">
        <v>17</v>
      </c>
      <c r="D7935" s="2" t="s">
        <v>18</v>
      </c>
      <c r="E7935" s="4">
        <v>-32200</v>
      </c>
      <c r="F7935" s="3" t="s">
        <v>109</v>
      </c>
      <c r="G7935" s="3" t="s">
        <v>586</v>
      </c>
      <c r="H7935" s="2" t="s">
        <v>148</v>
      </c>
      <c r="I7935" s="2" t="s">
        <v>20210</v>
      </c>
      <c r="J7935" s="3" t="str">
        <f>HYPERLINK("https://www.boe.es/gazeta/dias/1811/11/02/pdfs/GEI-1811-141.pdf#page=8","Abrir facsímil")</f>
        <v>Abrir facsímil</v>
      </c>
      <c r="K7935" s="3" t="s">
        <v>150</v>
      </c>
    </row>
    <row r="7936" spans="1:11" ht="42" customHeight="1">
      <c r="A7936" s="2" t="s">
        <v>20211</v>
      </c>
      <c r="B7936" s="2" t="s">
        <v>20212</v>
      </c>
      <c r="C7936" s="2" t="s">
        <v>26</v>
      </c>
      <c r="D7936" s="2" t="s">
        <v>18</v>
      </c>
      <c r="E7936" s="4">
        <v>-32179</v>
      </c>
      <c r="F7936" s="3" t="s">
        <v>614</v>
      </c>
      <c r="G7936" s="3" t="s">
        <v>47</v>
      </c>
      <c r="H7936" s="2" t="s">
        <v>148</v>
      </c>
      <c r="I7936" s="2" t="s">
        <v>20213</v>
      </c>
      <c r="J7936" s="3" t="str">
        <f>HYPERLINK("https://www.boe.es/gazeta/dias/1811/11/23/pdfs/GEI-1811-153.pdf#page=8","Abrir facsímil")</f>
        <v>Abrir facsímil</v>
      </c>
      <c r="K7936" s="3" t="s">
        <v>150</v>
      </c>
    </row>
    <row r="7937" spans="1:11" ht="42" customHeight="1">
      <c r="A7937" s="2" t="s">
        <v>20214</v>
      </c>
      <c r="B7937" s="2" t="s">
        <v>20215</v>
      </c>
      <c r="C7937" s="2" t="s">
        <v>26</v>
      </c>
      <c r="D7937" s="2" t="s">
        <v>141</v>
      </c>
      <c r="E7937" s="4">
        <v>-32396</v>
      </c>
      <c r="F7937" s="3" t="s">
        <v>804</v>
      </c>
      <c r="G7937" s="3" t="s">
        <v>805</v>
      </c>
      <c r="H7937" s="2" t="s">
        <v>148</v>
      </c>
      <c r="I7937" s="2" t="s">
        <v>20216</v>
      </c>
      <c r="J7937" s="3" t="str">
        <f>HYPERLINK("https://www.boe.es/gazeta/dias/1811/04/20/pdfs/GEI-D-1811-53.pdf#page=4","Abrir facsímil")</f>
        <v>Abrir facsímil</v>
      </c>
      <c r="K7937" s="3" t="s">
        <v>150</v>
      </c>
    </row>
    <row r="7938" spans="1:11" ht="42" customHeight="1">
      <c r="A7938" s="2" t="s">
        <v>20217</v>
      </c>
      <c r="B7938" s="2" t="s">
        <v>20218</v>
      </c>
      <c r="C7938" s="2" t="s">
        <v>17</v>
      </c>
      <c r="D7938" s="2" t="s">
        <v>18</v>
      </c>
      <c r="E7938" s="4">
        <v>-32249</v>
      </c>
      <c r="F7938" s="3" t="s">
        <v>182</v>
      </c>
      <c r="G7938" s="3" t="s">
        <v>183</v>
      </c>
      <c r="H7938" s="2" t="s">
        <v>148</v>
      </c>
      <c r="I7938" s="2" t="s">
        <v>20219</v>
      </c>
      <c r="J7938" s="3" t="str">
        <f>HYPERLINK("https://www.boe.es/gazeta/dias/1811/09/14/pdfs/GMD-1811-257.pdf#page=4","Abrir facsímil")</f>
        <v>Abrir facsímil</v>
      </c>
      <c r="K7938" s="3" t="s">
        <v>150</v>
      </c>
    </row>
    <row r="7939" spans="1:11" ht="42" customHeight="1">
      <c r="A7939" s="2" t="s">
        <v>20217</v>
      </c>
      <c r="B7939" s="2" t="s">
        <v>20218</v>
      </c>
      <c r="C7939" s="2" t="s">
        <v>26</v>
      </c>
      <c r="D7939" s="2" t="s">
        <v>18</v>
      </c>
      <c r="E7939" s="4">
        <v>-32179</v>
      </c>
      <c r="F7939" s="3" t="s">
        <v>614</v>
      </c>
      <c r="G7939" s="3" t="s">
        <v>47</v>
      </c>
      <c r="H7939" s="2" t="s">
        <v>148</v>
      </c>
      <c r="I7939" s="2" t="s">
        <v>20220</v>
      </c>
      <c r="J7939" s="3" t="str">
        <f>HYPERLINK("https://www.boe.es/gazeta/dias/1811/11/23/pdfs/GEI-1811-153.pdf#page=8","Abrir facsímil")</f>
        <v>Abrir facsímil</v>
      </c>
      <c r="K7939" s="3" t="s">
        <v>150</v>
      </c>
    </row>
    <row r="7940" spans="1:11" ht="42" customHeight="1">
      <c r="A7940" s="2" t="s">
        <v>20221</v>
      </c>
      <c r="B7940" s="2" t="s">
        <v>20222</v>
      </c>
      <c r="C7940" s="2" t="s">
        <v>26</v>
      </c>
      <c r="D7940" s="2" t="s">
        <v>18</v>
      </c>
      <c r="E7940" s="4">
        <v>-32286</v>
      </c>
      <c r="F7940" s="3" t="s">
        <v>754</v>
      </c>
      <c r="G7940" s="3" t="s">
        <v>1728</v>
      </c>
      <c r="H7940" s="2" t="s">
        <v>148</v>
      </c>
      <c r="I7940" s="2" t="s">
        <v>20223</v>
      </c>
      <c r="J7940" s="3" t="str">
        <f>HYPERLINK("https://www.boe.es/gazeta/dias/1811/08/08/pdfs/GEI-1811-103.pdf#page=8","Abrir facsímil")</f>
        <v>Abrir facsímil</v>
      </c>
      <c r="K7940" s="3" t="s">
        <v>150</v>
      </c>
    </row>
    <row r="7941" spans="1:11" ht="42" customHeight="1">
      <c r="A7941" s="2" t="s">
        <v>20224</v>
      </c>
      <c r="B7941" s="2" t="s">
        <v>20224</v>
      </c>
      <c r="C7941" s="2" t="s">
        <v>37</v>
      </c>
      <c r="D7941" s="2" t="s">
        <v>18</v>
      </c>
      <c r="E7941" s="4">
        <v>-32382</v>
      </c>
      <c r="F7941" s="3" t="s">
        <v>6451</v>
      </c>
      <c r="G7941" s="3" t="s">
        <v>178</v>
      </c>
      <c r="H7941" s="2" t="s">
        <v>148</v>
      </c>
      <c r="I7941" s="2" t="s">
        <v>20225</v>
      </c>
      <c r="J7941" s="3" t="str">
        <f>HYPERLINK("https://www.boe.es/gazeta/dias/1811/05/04/pdfs/GMD-1811-124.pdf#page=2","Abrir facsímil")</f>
        <v>Abrir facsímil</v>
      </c>
      <c r="K7941" s="3" t="s">
        <v>150</v>
      </c>
    </row>
    <row r="7942" spans="1:11" ht="42" customHeight="1">
      <c r="A7942" s="2" t="s">
        <v>20226</v>
      </c>
      <c r="B7942" s="2" t="s">
        <v>20227</v>
      </c>
      <c r="C7942" s="2" t="s">
        <v>26</v>
      </c>
      <c r="D7942" s="2" t="s">
        <v>18</v>
      </c>
      <c r="E7942" s="4">
        <v>-32237</v>
      </c>
      <c r="F7942" s="3" t="s">
        <v>717</v>
      </c>
      <c r="G7942" s="3" t="s">
        <v>47</v>
      </c>
      <c r="H7942" s="2" t="s">
        <v>148</v>
      </c>
      <c r="I7942" s="2" t="s">
        <v>20228</v>
      </c>
      <c r="J7942" s="3" t="str">
        <f>HYPERLINK("https://www.boe.es/gazeta/dias/1811/09/26/pdfs/GEI-1811-124.pdf#page=4","Abrir facsímil")</f>
        <v>Abrir facsímil</v>
      </c>
      <c r="K7942" s="3" t="s">
        <v>150</v>
      </c>
    </row>
    <row r="7943" spans="1:11" ht="42" customHeight="1">
      <c r="A7943" s="2" t="s">
        <v>20229</v>
      </c>
      <c r="B7943" s="2" t="s">
        <v>20230</v>
      </c>
      <c r="C7943" s="2" t="s">
        <v>26</v>
      </c>
      <c r="D7943" s="2" t="s">
        <v>141</v>
      </c>
      <c r="E7943" s="4">
        <v>-32280</v>
      </c>
      <c r="F7943" s="3" t="s">
        <v>142</v>
      </c>
      <c r="G7943" s="3" t="s">
        <v>47</v>
      </c>
      <c r="H7943" s="2" t="s">
        <v>148</v>
      </c>
      <c r="I7943" s="2" t="s">
        <v>20231</v>
      </c>
      <c r="J7943" s="3" t="str">
        <f>HYPERLINK("https://www.boe.es/gazeta/dias/1811/08/14/pdfs/GMD-C-1811-226.pdf#page=1","Abrir facsímil")</f>
        <v>Abrir facsímil</v>
      </c>
      <c r="K7943" s="3" t="s">
        <v>150</v>
      </c>
    </row>
    <row r="7944" spans="1:11" ht="42" customHeight="1">
      <c r="A7944" s="2" t="s">
        <v>20232</v>
      </c>
      <c r="B7944" s="2" t="s">
        <v>20233</v>
      </c>
      <c r="C7944" s="2" t="s">
        <v>17</v>
      </c>
      <c r="D7944" s="2" t="s">
        <v>18</v>
      </c>
      <c r="E7944" s="4">
        <v>-32192</v>
      </c>
      <c r="F7944" s="3" t="s">
        <v>673</v>
      </c>
      <c r="G7944" s="3" t="s">
        <v>8354</v>
      </c>
      <c r="H7944" s="2" t="s">
        <v>148</v>
      </c>
      <c r="I7944" s="2" t="s">
        <v>20234</v>
      </c>
      <c r="J7944" s="3" t="str">
        <f>HYPERLINK("https://www.boe.es/gazeta/dias/1811/11/10/pdfs/GMD-1811-314.pdf#page=3","Abrir facsímil")</f>
        <v>Abrir facsímil</v>
      </c>
      <c r="K7944" s="3" t="s">
        <v>150</v>
      </c>
    </row>
    <row r="7945" spans="1:11" ht="42" customHeight="1">
      <c r="A7945" s="2" t="s">
        <v>20235</v>
      </c>
      <c r="B7945" s="2" t="s">
        <v>20235</v>
      </c>
      <c r="C7945" s="2" t="s">
        <v>17</v>
      </c>
      <c r="D7945" s="2" t="s">
        <v>18</v>
      </c>
      <c r="E7945" s="4">
        <v>-32305</v>
      </c>
      <c r="F7945" s="3" t="s">
        <v>12656</v>
      </c>
      <c r="G7945" s="3" t="s">
        <v>12772</v>
      </c>
      <c r="H7945" s="2" t="s">
        <v>148</v>
      </c>
      <c r="I7945" s="2" t="s">
        <v>20236</v>
      </c>
      <c r="J7945" s="3" t="str">
        <f>HYPERLINK("https://www.boe.es/gazeta/dias/1811/07/20/pdfs/GMD-1811-201.pdf#page=1","Abrir facsímil")</f>
        <v>Abrir facsímil</v>
      </c>
      <c r="K7945" s="3" t="s">
        <v>150</v>
      </c>
    </row>
    <row r="7946" spans="1:11" ht="42" customHeight="1">
      <c r="A7946" s="2" t="s">
        <v>20237</v>
      </c>
      <c r="B7946" s="2" t="s">
        <v>20237</v>
      </c>
      <c r="C7946" s="2" t="s">
        <v>17</v>
      </c>
      <c r="D7946" s="2" t="s">
        <v>18</v>
      </c>
      <c r="E7946" s="4">
        <v>-32214</v>
      </c>
      <c r="F7946" s="3" t="s">
        <v>1753</v>
      </c>
      <c r="G7946" s="3" t="s">
        <v>91</v>
      </c>
      <c r="H7946" s="2" t="s">
        <v>148</v>
      </c>
      <c r="I7946" s="2" t="s">
        <v>20238</v>
      </c>
      <c r="J7946" s="3" t="str">
        <f>HYPERLINK("https://www.boe.es/gazeta/dias/1811/10/19/pdfs/GEI-1811-135.pdf#page=7","Abrir facsímil")</f>
        <v>Abrir facsímil</v>
      </c>
      <c r="K7946" s="3" t="s">
        <v>150</v>
      </c>
    </row>
    <row r="7947" spans="1:11" ht="42" customHeight="1">
      <c r="A7947" s="2" t="s">
        <v>20239</v>
      </c>
      <c r="B7947" s="2" t="s">
        <v>20240</v>
      </c>
      <c r="C7947" s="2" t="s">
        <v>26</v>
      </c>
      <c r="D7947" s="2" t="s">
        <v>105</v>
      </c>
      <c r="E7947" s="4">
        <v>-32280</v>
      </c>
      <c r="F7947" s="3" t="s">
        <v>142</v>
      </c>
      <c r="G7947" s="3" t="s">
        <v>47</v>
      </c>
      <c r="H7947" s="2" t="s">
        <v>148</v>
      </c>
      <c r="I7947" s="2" t="s">
        <v>20241</v>
      </c>
      <c r="J7947" s="3" t="str">
        <f>HYPERLINK("https://www.boe.es/gazeta/dias/1811/08/14/pdfs/GMD-C-1811-226.pdf#page=1","Abrir facsímil")</f>
        <v>Abrir facsímil</v>
      </c>
      <c r="K7947" s="3" t="s">
        <v>150</v>
      </c>
    </row>
    <row r="7948" spans="1:11" ht="42" customHeight="1">
      <c r="A7948" s="2" t="s">
        <v>20242</v>
      </c>
      <c r="B7948" s="2" t="s">
        <v>20243</v>
      </c>
      <c r="C7948" s="2" t="s">
        <v>26</v>
      </c>
      <c r="D7948" s="2" t="s">
        <v>18</v>
      </c>
      <c r="E7948" s="4">
        <v>-32249</v>
      </c>
      <c r="F7948" s="3" t="s">
        <v>182</v>
      </c>
      <c r="G7948" s="3" t="s">
        <v>183</v>
      </c>
      <c r="H7948" s="2" t="s">
        <v>148</v>
      </c>
      <c r="I7948" s="2" t="s">
        <v>20244</v>
      </c>
      <c r="J7948" s="3" t="str">
        <f>HYPERLINK("https://www.boe.es/gazeta/dias/1811/09/14/pdfs/GMD-1811-257.pdf#page=4","Abrir facsímil")</f>
        <v>Abrir facsímil</v>
      </c>
      <c r="K7948" s="3" t="s">
        <v>150</v>
      </c>
    </row>
    <row r="7949" spans="1:11" ht="42" customHeight="1">
      <c r="A7949" s="2" t="s">
        <v>20245</v>
      </c>
      <c r="B7949" s="2" t="s">
        <v>20245</v>
      </c>
      <c r="C7949" s="2" t="s">
        <v>17</v>
      </c>
      <c r="D7949" s="2" t="s">
        <v>156</v>
      </c>
      <c r="E7949" s="4">
        <v>-32362</v>
      </c>
      <c r="F7949" s="3" t="s">
        <v>1990</v>
      </c>
      <c r="G7949" s="3" t="s">
        <v>2576</v>
      </c>
      <c r="H7949" s="2" t="s">
        <v>148</v>
      </c>
      <c r="I7949" s="2" t="s">
        <v>20246</v>
      </c>
      <c r="J7949" s="3" t="str">
        <f>HYPERLINK("https://www.boe.es/gazeta/dias/1811/05/24/pdfs/GEI-1811-70E.pdf#page=2","Abrir facsímil")</f>
        <v>Abrir facsímil</v>
      </c>
      <c r="K7949" s="3" t="s">
        <v>150</v>
      </c>
    </row>
    <row r="7950" spans="1:11" ht="42" customHeight="1">
      <c r="A7950" s="2" t="s">
        <v>20245</v>
      </c>
      <c r="B7950" s="2" t="s">
        <v>20245</v>
      </c>
      <c r="C7950" s="2" t="s">
        <v>104</v>
      </c>
      <c r="D7950" s="2" t="s">
        <v>105</v>
      </c>
      <c r="E7950" s="4">
        <v>-32270</v>
      </c>
      <c r="F7950" s="3" t="s">
        <v>2617</v>
      </c>
      <c r="G7950" s="3" t="s">
        <v>846</v>
      </c>
      <c r="H7950" s="2" t="s">
        <v>148</v>
      </c>
      <c r="I7950" s="2" t="s">
        <v>20247</v>
      </c>
      <c r="J7950" s="3" t="str">
        <f>HYPERLINK("https://www.boe.es/gazeta/dias/1811/08/24/pdfs/GMD-1811-236.pdf#page=3","Abrir facsímil")</f>
        <v>Abrir facsímil</v>
      </c>
      <c r="K7950" s="3" t="s">
        <v>150</v>
      </c>
    </row>
    <row r="7951" spans="1:11" ht="42" customHeight="1">
      <c r="A7951" s="2" t="s">
        <v>20248</v>
      </c>
      <c r="B7951" s="2" t="s">
        <v>20248</v>
      </c>
      <c r="C7951" s="2" t="s">
        <v>17</v>
      </c>
      <c r="D7951" s="2" t="s">
        <v>204</v>
      </c>
      <c r="E7951" s="4">
        <v>-32501</v>
      </c>
      <c r="F7951" s="3" t="s">
        <v>509</v>
      </c>
      <c r="G7951" s="3" t="s">
        <v>468</v>
      </c>
      <c r="H7951" s="2" t="s">
        <v>148</v>
      </c>
      <c r="I7951" s="2" t="s">
        <v>20249</v>
      </c>
      <c r="J7951" s="3" t="str">
        <f>HYPERLINK("https://www.boe.es/gazeta/dias/1811/01/05/pdfs/GEI-1811-3.pdf#page=7","Abrir facsímil")</f>
        <v>Abrir facsímil</v>
      </c>
      <c r="K7951" s="3" t="s">
        <v>150</v>
      </c>
    </row>
    <row r="7952" spans="1:11" ht="42" customHeight="1">
      <c r="A7952" s="2" t="s">
        <v>20250</v>
      </c>
      <c r="B7952" s="2" t="s">
        <v>20250</v>
      </c>
      <c r="C7952" s="2" t="s">
        <v>26</v>
      </c>
      <c r="D7952" s="2" t="s">
        <v>18</v>
      </c>
      <c r="E7952" s="4">
        <v>-32184</v>
      </c>
      <c r="F7952" s="3" t="s">
        <v>275</v>
      </c>
      <c r="G7952" s="3" t="s">
        <v>47</v>
      </c>
      <c r="H7952" s="2" t="s">
        <v>148</v>
      </c>
      <c r="I7952" s="2" t="s">
        <v>20251</v>
      </c>
      <c r="J7952" s="3" t="str">
        <f>HYPERLINK("https://www.boe.es/gazeta/dias/1811/11/18/pdfs/GMD-1811-322.pdf#page=3","Abrir facsímil")</f>
        <v>Abrir facsímil</v>
      </c>
      <c r="K7952" s="3" t="s">
        <v>150</v>
      </c>
    </row>
    <row r="7953" spans="1:11" ht="42" customHeight="1">
      <c r="A7953" s="2" t="s">
        <v>20252</v>
      </c>
      <c r="B7953" s="2" t="s">
        <v>20253</v>
      </c>
      <c r="C7953" s="2" t="s">
        <v>26</v>
      </c>
      <c r="D7953" s="2" t="s">
        <v>18</v>
      </c>
      <c r="E7953" s="4">
        <v>-32295</v>
      </c>
      <c r="F7953" s="3" t="s">
        <v>279</v>
      </c>
      <c r="G7953" s="3" t="s">
        <v>44</v>
      </c>
      <c r="H7953" s="2" t="s">
        <v>148</v>
      </c>
      <c r="I7953" s="2" t="s">
        <v>20254</v>
      </c>
      <c r="J7953" s="3" t="str">
        <f>HYPERLINK("https://www.boe.es/gazeta/dias/1811/07/30/pdfs/GEI-1811-99.pdf#page=8","Abrir facsímil")</f>
        <v>Abrir facsímil</v>
      </c>
      <c r="K7953" s="3" t="s">
        <v>150</v>
      </c>
    </row>
    <row r="7954" spans="1:11" ht="42" customHeight="1">
      <c r="A7954" s="2" t="s">
        <v>20255</v>
      </c>
      <c r="B7954" s="2" t="s">
        <v>20256</v>
      </c>
      <c r="C7954" s="2" t="s">
        <v>26</v>
      </c>
      <c r="D7954" s="2" t="s">
        <v>18</v>
      </c>
      <c r="E7954" s="4">
        <v>-32277</v>
      </c>
      <c r="F7954" s="3" t="s">
        <v>1765</v>
      </c>
      <c r="G7954" s="3" t="s">
        <v>10232</v>
      </c>
      <c r="H7954" s="2" t="s">
        <v>148</v>
      </c>
      <c r="I7954" s="2" t="s">
        <v>20257</v>
      </c>
      <c r="J7954" s="3" t="str">
        <f>HYPERLINK("https://www.boe.es/gazeta/dias/1811/08/17/pdfs/GEI-1811-107.pdf#page=3","Abrir facsímil")</f>
        <v>Abrir facsímil</v>
      </c>
      <c r="K7954" s="3" t="s">
        <v>150</v>
      </c>
    </row>
    <row r="7955" spans="1:11" ht="42" customHeight="1">
      <c r="A7955" s="2" t="s">
        <v>20258</v>
      </c>
      <c r="B7955" s="2" t="s">
        <v>20259</v>
      </c>
      <c r="C7955" s="2" t="s">
        <v>26</v>
      </c>
      <c r="D7955" s="2" t="s">
        <v>18</v>
      </c>
      <c r="E7955" s="4">
        <v>-32225</v>
      </c>
      <c r="F7955" s="3" t="s">
        <v>390</v>
      </c>
      <c r="G7955" s="3" t="s">
        <v>391</v>
      </c>
      <c r="H7955" s="2" t="s">
        <v>148</v>
      </c>
      <c r="I7955" s="2" t="s">
        <v>20260</v>
      </c>
      <c r="J7955" s="3" t="str">
        <f>HYPERLINK("https://www.boe.es/gazeta/dias/1811/10/08/pdfs/GEI-1811-129.pdf#page=7","Abrir facsímil")</f>
        <v>Abrir facsímil</v>
      </c>
      <c r="K7955" s="3" t="s">
        <v>150</v>
      </c>
    </row>
    <row r="7956" spans="1:11" ht="42" customHeight="1">
      <c r="A7956" s="2" t="s">
        <v>20261</v>
      </c>
      <c r="B7956" s="2" t="s">
        <v>20262</v>
      </c>
      <c r="C7956" s="2" t="s">
        <v>26</v>
      </c>
      <c r="D7956" s="2" t="s">
        <v>18</v>
      </c>
      <c r="E7956" s="4">
        <v>-32288</v>
      </c>
      <c r="F7956" s="3" t="s">
        <v>95</v>
      </c>
      <c r="G7956" s="3" t="s">
        <v>47</v>
      </c>
      <c r="H7956" s="2" t="s">
        <v>148</v>
      </c>
      <c r="I7956" s="2" t="s">
        <v>20263</v>
      </c>
      <c r="J7956" s="3" t="str">
        <f>HYPERLINK("https://www.boe.es/gazeta/dias/1811/08/06/pdfs/GEI-1811-102.pdf#page=8","Abrir facsímil")</f>
        <v>Abrir facsímil</v>
      </c>
      <c r="K7956" s="3" t="s">
        <v>150</v>
      </c>
    </row>
    <row r="7957" spans="1:11" ht="42" customHeight="1">
      <c r="A7957" s="2" t="s">
        <v>20264</v>
      </c>
      <c r="B7957" s="2" t="s">
        <v>20265</v>
      </c>
      <c r="C7957" s="2" t="s">
        <v>17</v>
      </c>
      <c r="D7957" s="2" t="s">
        <v>18</v>
      </c>
      <c r="E7957" s="4">
        <v>-32389</v>
      </c>
      <c r="F7957" s="3" t="s">
        <v>5334</v>
      </c>
      <c r="G7957" s="3" t="s">
        <v>2384</v>
      </c>
      <c r="H7957" s="2" t="s">
        <v>148</v>
      </c>
      <c r="I7957" s="2" t="s">
        <v>20266</v>
      </c>
      <c r="J7957" s="3" t="str">
        <f>HYPERLINK("https://www.boe.es/gazeta/dias/1811/04/27/pdfs/GEI-1811-56.pdf#page=8","Abrir facsímil")</f>
        <v>Abrir facsímil</v>
      </c>
      <c r="K7957" s="3" t="s">
        <v>150</v>
      </c>
    </row>
    <row r="7958" spans="1:11" ht="42" customHeight="1">
      <c r="A7958" s="2" t="s">
        <v>20267</v>
      </c>
      <c r="B7958" s="2" t="s">
        <v>20268</v>
      </c>
      <c r="C7958" s="2" t="s">
        <v>26</v>
      </c>
      <c r="D7958" s="2" t="s">
        <v>18</v>
      </c>
      <c r="E7958" s="4">
        <v>-32286</v>
      </c>
      <c r="F7958" s="3" t="s">
        <v>754</v>
      </c>
      <c r="G7958" s="3" t="s">
        <v>1728</v>
      </c>
      <c r="H7958" s="2" t="s">
        <v>148</v>
      </c>
      <c r="I7958" s="2" t="s">
        <v>20269</v>
      </c>
      <c r="J7958" s="3" t="str">
        <f>HYPERLINK("https://www.boe.es/gazeta/dias/1811/08/08/pdfs/GEI-1811-103.pdf#page=8","Abrir facsímil")</f>
        <v>Abrir facsímil</v>
      </c>
      <c r="K7958" s="3" t="s">
        <v>150</v>
      </c>
    </row>
    <row r="7959" spans="1:11" ht="42" customHeight="1">
      <c r="A7959" s="2" t="s">
        <v>20270</v>
      </c>
      <c r="B7959" s="2" t="s">
        <v>20271</v>
      </c>
      <c r="C7959" s="2" t="s">
        <v>26</v>
      </c>
      <c r="D7959" s="2" t="s">
        <v>18</v>
      </c>
      <c r="E7959" s="4">
        <v>-32251</v>
      </c>
      <c r="F7959" s="3" t="s">
        <v>726</v>
      </c>
      <c r="G7959" s="3" t="s">
        <v>16856</v>
      </c>
      <c r="H7959" s="2" t="s">
        <v>148</v>
      </c>
      <c r="I7959" s="2" t="s">
        <v>20272</v>
      </c>
      <c r="J7959" s="3" t="str">
        <f>HYPERLINK("https://www.boe.es/gazeta/dias/1811/09/12/pdfs/GEI-1811-118.pdf#page=2","Abrir facsímil")</f>
        <v>Abrir facsímil</v>
      </c>
      <c r="K7959" s="3" t="s">
        <v>150</v>
      </c>
    </row>
    <row r="7960" spans="1:11" ht="42" customHeight="1">
      <c r="A7960" s="2" t="s">
        <v>20273</v>
      </c>
      <c r="B7960" s="2" t="s">
        <v>20274</v>
      </c>
      <c r="C7960" s="2" t="s">
        <v>17</v>
      </c>
      <c r="D7960" s="2" t="s">
        <v>18</v>
      </c>
      <c r="E7960" s="4">
        <v>-32417</v>
      </c>
      <c r="F7960" s="3" t="s">
        <v>604</v>
      </c>
      <c r="G7960" s="3" t="s">
        <v>178</v>
      </c>
      <c r="H7960" s="2" t="s">
        <v>148</v>
      </c>
      <c r="I7960" s="2" t="s">
        <v>20275</v>
      </c>
      <c r="J7960" s="3" t="str">
        <f>HYPERLINK("https://www.boe.es/gazeta/dias/1811/03/30/pdfs/GMD-1811-89.pdf#page=3","Abrir facsímil")</f>
        <v>Abrir facsímil</v>
      </c>
      <c r="K7960" s="3" t="s">
        <v>150</v>
      </c>
    </row>
    <row r="7961" spans="1:11" ht="42" customHeight="1">
      <c r="A7961" s="2" t="s">
        <v>20276</v>
      </c>
      <c r="B7961" s="2" t="s">
        <v>20277</v>
      </c>
      <c r="C7961" s="2" t="s">
        <v>26</v>
      </c>
      <c r="D7961" s="2" t="s">
        <v>141</v>
      </c>
      <c r="E7961" s="4">
        <v>-32396</v>
      </c>
      <c r="F7961" s="3" t="s">
        <v>804</v>
      </c>
      <c r="G7961" s="3" t="s">
        <v>805</v>
      </c>
      <c r="H7961" s="2" t="s">
        <v>148</v>
      </c>
      <c r="I7961" s="2" t="s">
        <v>20278</v>
      </c>
      <c r="J7961" s="3" t="str">
        <f>HYPERLINK("https://www.boe.es/gazeta/dias/1811/04/20/pdfs/GEI-D-1811-53.pdf#page=4","Abrir facsímil")</f>
        <v>Abrir facsímil</v>
      </c>
      <c r="K7961" s="3" t="s">
        <v>150</v>
      </c>
    </row>
    <row r="7962" spans="1:11" ht="42" customHeight="1">
      <c r="A7962" s="2" t="s">
        <v>20279</v>
      </c>
      <c r="B7962" s="2" t="s">
        <v>20280</v>
      </c>
      <c r="C7962" s="2" t="s">
        <v>17</v>
      </c>
      <c r="D7962" s="2" t="s">
        <v>18</v>
      </c>
      <c r="E7962" s="4">
        <v>-32368</v>
      </c>
      <c r="F7962" s="3" t="s">
        <v>1561</v>
      </c>
      <c r="G7962" s="3" t="s">
        <v>57</v>
      </c>
      <c r="H7962" s="2" t="s">
        <v>148</v>
      </c>
      <c r="I7962" s="2" t="s">
        <v>20281</v>
      </c>
      <c r="J7962" s="3" t="str">
        <f>HYPERLINK("https://www.boe.es/gazeta/dias/1811/05/18/pdfs/GMD-1811-138.pdf#page=2","Abrir facsímil")</f>
        <v>Abrir facsímil</v>
      </c>
      <c r="K7962" s="3" t="s">
        <v>150</v>
      </c>
    </row>
    <row r="7963" spans="1:11" ht="42" customHeight="1">
      <c r="A7963" s="2" t="s">
        <v>20282</v>
      </c>
      <c r="B7963" s="2" t="s">
        <v>20283</v>
      </c>
      <c r="C7963" s="2" t="s">
        <v>26</v>
      </c>
      <c r="D7963" s="2" t="s">
        <v>141</v>
      </c>
      <c r="E7963" s="4">
        <v>-32272</v>
      </c>
      <c r="F7963" s="3" t="s">
        <v>1150</v>
      </c>
      <c r="G7963" s="3" t="s">
        <v>468</v>
      </c>
      <c r="H7963" s="2" t="s">
        <v>148</v>
      </c>
      <c r="I7963" s="2" t="s">
        <v>20284</v>
      </c>
      <c r="J7963" s="3" t="str">
        <f>HYPERLINK("https://www.boe.es/gazeta/dias/1811/08/22/pdfs/GMD-C-1811-234.pdf#page=2","Abrir facsímil")</f>
        <v>Abrir facsímil</v>
      </c>
      <c r="K7963" s="3" t="s">
        <v>150</v>
      </c>
    </row>
    <row r="7964" spans="1:11" ht="42" customHeight="1">
      <c r="A7964" s="2" t="s">
        <v>20285</v>
      </c>
      <c r="B7964" s="2" t="s">
        <v>20286</v>
      </c>
      <c r="C7964" s="2" t="s">
        <v>26</v>
      </c>
      <c r="D7964" s="2" t="s">
        <v>18</v>
      </c>
      <c r="E7964" s="4">
        <v>-32153</v>
      </c>
      <c r="F7964" s="3" t="s">
        <v>123</v>
      </c>
      <c r="G7964" s="3" t="s">
        <v>288</v>
      </c>
      <c r="H7964" s="2" t="s">
        <v>148</v>
      </c>
      <c r="I7964" s="2" t="s">
        <v>20287</v>
      </c>
      <c r="J7964" s="3" t="str">
        <f>HYPERLINK("https://www.boe.es/gazeta/dias/1811/12/19/pdfs/GMD-1811-353.pdf#page=4","Abrir facsímil")</f>
        <v>Abrir facsímil</v>
      </c>
      <c r="K7964" s="3" t="s">
        <v>150</v>
      </c>
    </row>
    <row r="7965" spans="1:11" ht="42" customHeight="1">
      <c r="A7965" s="2" t="s">
        <v>20288</v>
      </c>
      <c r="B7965" s="2" t="s">
        <v>20289</v>
      </c>
      <c r="C7965" s="2" t="s">
        <v>26</v>
      </c>
      <c r="D7965" s="2" t="s">
        <v>18</v>
      </c>
      <c r="E7965" s="4">
        <v>-32225</v>
      </c>
      <c r="F7965" s="3" t="s">
        <v>390</v>
      </c>
      <c r="G7965" s="3" t="s">
        <v>391</v>
      </c>
      <c r="H7965" s="2" t="s">
        <v>148</v>
      </c>
      <c r="I7965" s="2" t="s">
        <v>20290</v>
      </c>
      <c r="J7965" s="3" t="str">
        <f>HYPERLINK("https://www.boe.es/gazeta/dias/1811/10/08/pdfs/GEI-1811-129.pdf#page=7","Abrir facsímil")</f>
        <v>Abrir facsímil</v>
      </c>
      <c r="K7965" s="3" t="s">
        <v>150</v>
      </c>
    </row>
    <row r="7966" spans="1:11" ht="42" customHeight="1">
      <c r="A7966" s="2" t="s">
        <v>20291</v>
      </c>
      <c r="B7966" s="2" t="s">
        <v>20292</v>
      </c>
      <c r="C7966" s="2" t="s">
        <v>17</v>
      </c>
      <c r="D7966" s="2" t="s">
        <v>18</v>
      </c>
      <c r="E7966" s="4">
        <v>-32438</v>
      </c>
      <c r="F7966" s="3" t="s">
        <v>114</v>
      </c>
      <c r="G7966" s="3" t="s">
        <v>115</v>
      </c>
      <c r="H7966" s="2" t="s">
        <v>148</v>
      </c>
      <c r="I7966" s="2" t="s">
        <v>20293</v>
      </c>
      <c r="J7966" s="3" t="str">
        <f>HYPERLINK("https://www.boe.es/gazeta/dias/1811/03/09/pdfs/GEI-1811-33.pdf#page=3","Abrir facsímil")</f>
        <v>Abrir facsímil</v>
      </c>
      <c r="K7966" s="3" t="s">
        <v>150</v>
      </c>
    </row>
    <row r="7967" spans="1:11" ht="42" customHeight="1">
      <c r="A7967" s="2" t="s">
        <v>20294</v>
      </c>
      <c r="B7967" s="2" t="s">
        <v>20295</v>
      </c>
      <c r="C7967" s="2" t="s">
        <v>26</v>
      </c>
      <c r="D7967" s="2" t="s">
        <v>18</v>
      </c>
      <c r="E7967" s="4">
        <v>-32487</v>
      </c>
      <c r="F7967" s="3" t="s">
        <v>842</v>
      </c>
      <c r="G7967" s="3" t="s">
        <v>488</v>
      </c>
      <c r="H7967" s="2" t="s">
        <v>148</v>
      </c>
      <c r="I7967" s="2" t="s">
        <v>20296</v>
      </c>
      <c r="J7967" s="3" t="str">
        <f>HYPERLINK("https://www.boe.es/gazeta/dias/1811/01/19/pdfs/GEI-1811-9.pdf#page=8","Abrir facsímil")</f>
        <v>Abrir facsímil</v>
      </c>
      <c r="K7967" s="3" t="s">
        <v>150</v>
      </c>
    </row>
    <row r="7968" spans="1:11" ht="42" customHeight="1">
      <c r="A7968" s="2" t="s">
        <v>20297</v>
      </c>
      <c r="B7968" s="2" t="s">
        <v>20298</v>
      </c>
      <c r="C7968" s="2" t="s">
        <v>37</v>
      </c>
      <c r="D7968" s="2" t="s">
        <v>18</v>
      </c>
      <c r="E7968" s="4">
        <v>-32417</v>
      </c>
      <c r="F7968" s="3" t="s">
        <v>604</v>
      </c>
      <c r="G7968" s="3" t="s">
        <v>178</v>
      </c>
      <c r="H7968" s="2" t="s">
        <v>148</v>
      </c>
      <c r="I7968" s="2" t="s">
        <v>20299</v>
      </c>
      <c r="J7968" s="3" t="str">
        <f>HYPERLINK("https://www.boe.es/gazeta/dias/1811/03/30/pdfs/GMD-1811-89.pdf#page=3","Abrir facsímil")</f>
        <v>Abrir facsímil</v>
      </c>
      <c r="K7968" s="3" t="s">
        <v>150</v>
      </c>
    </row>
    <row r="7969" spans="1:11" ht="42" customHeight="1">
      <c r="A7969" s="2" t="s">
        <v>20300</v>
      </c>
      <c r="B7969" s="2" t="s">
        <v>20300</v>
      </c>
      <c r="C7969" s="2" t="s">
        <v>17</v>
      </c>
      <c r="D7969" s="2" t="s">
        <v>18</v>
      </c>
      <c r="E7969" s="4">
        <v>-32487</v>
      </c>
      <c r="F7969" s="3" t="s">
        <v>842</v>
      </c>
      <c r="G7969" s="3" t="s">
        <v>3105</v>
      </c>
      <c r="H7969" s="2" t="s">
        <v>148</v>
      </c>
      <c r="I7969" s="2" t="s">
        <v>20301</v>
      </c>
      <c r="J7969" s="3" t="str">
        <f>HYPERLINK("https://www.boe.es/gazeta/dias/1811/01/19/pdfs/GEI-1811-9.pdf#page=5","Abrir facsímil")</f>
        <v>Abrir facsímil</v>
      </c>
      <c r="K7969" s="3" t="s">
        <v>150</v>
      </c>
    </row>
    <row r="7970" spans="1:11" ht="42" customHeight="1">
      <c r="A7970" s="2" t="s">
        <v>20300</v>
      </c>
      <c r="B7970" s="2" t="s">
        <v>20300</v>
      </c>
      <c r="C7970" s="2" t="s">
        <v>17</v>
      </c>
      <c r="D7970" s="2" t="s">
        <v>18</v>
      </c>
      <c r="E7970" s="4">
        <v>-32454</v>
      </c>
      <c r="F7970" s="3" t="s">
        <v>2268</v>
      </c>
      <c r="G7970" s="3" t="s">
        <v>2272</v>
      </c>
      <c r="H7970" s="2" t="s">
        <v>148</v>
      </c>
      <c r="I7970" s="2" t="s">
        <v>20302</v>
      </c>
      <c r="J7970" s="3" t="str">
        <f>HYPERLINK("https://www.boe.es/gazeta/dias/1811/02/21/pdfs/GEI-1811-23.pdf#page=5","Abrir facsímil")</f>
        <v>Abrir facsímil</v>
      </c>
      <c r="K7970" s="3" t="s">
        <v>150</v>
      </c>
    </row>
    <row r="7971" spans="1:11" ht="42" customHeight="1">
      <c r="A7971" s="2" t="s">
        <v>20300</v>
      </c>
      <c r="B7971" s="2" t="s">
        <v>20300</v>
      </c>
      <c r="C7971" s="2" t="s">
        <v>17</v>
      </c>
      <c r="D7971" s="2" t="s">
        <v>141</v>
      </c>
      <c r="E7971" s="4">
        <v>-32249</v>
      </c>
      <c r="F7971" s="3" t="s">
        <v>5222</v>
      </c>
      <c r="G7971" s="3" t="s">
        <v>39</v>
      </c>
      <c r="H7971" s="2" t="s">
        <v>148</v>
      </c>
      <c r="I7971" s="2" t="s">
        <v>20303</v>
      </c>
      <c r="J7971" s="3" t="str">
        <f>HYPERLINK("https://www.boe.es/gazeta/dias/1811/09/14/pdfs/GEI-D-1811-119.pdf#page=1","Abrir facsímil")</f>
        <v>Abrir facsímil</v>
      </c>
      <c r="K7971" s="3" t="s">
        <v>150</v>
      </c>
    </row>
    <row r="7972" spans="1:11" ht="42" customHeight="1">
      <c r="A7972" s="2" t="s">
        <v>20304</v>
      </c>
      <c r="B7972" s="2" t="s">
        <v>20305</v>
      </c>
      <c r="C7972" s="2" t="s">
        <v>26</v>
      </c>
      <c r="D7972" s="2" t="s">
        <v>18</v>
      </c>
      <c r="E7972" s="4">
        <v>-32472</v>
      </c>
      <c r="F7972" s="3" t="s">
        <v>398</v>
      </c>
      <c r="G7972" s="3" t="s">
        <v>115</v>
      </c>
      <c r="H7972" s="2" t="s">
        <v>148</v>
      </c>
      <c r="I7972" s="2" t="s">
        <v>20306</v>
      </c>
      <c r="J7972" s="3" t="str">
        <f>HYPERLINK("https://www.boe.es/gazeta/dias/1811/02/03/pdfs/GMD-1811-34.pdf#page=3","Abrir facsímil")</f>
        <v>Abrir facsímil</v>
      </c>
      <c r="K7972" s="3" t="s">
        <v>150</v>
      </c>
    </row>
    <row r="7973" spans="1:11" ht="42" customHeight="1">
      <c r="A7973" s="2" t="s">
        <v>20307</v>
      </c>
      <c r="B7973" s="2" t="s">
        <v>20308</v>
      </c>
      <c r="C7973" s="2" t="s">
        <v>26</v>
      </c>
      <c r="D7973" s="2" t="s">
        <v>18</v>
      </c>
      <c r="E7973" s="4">
        <v>-32172</v>
      </c>
      <c r="F7973" s="3" t="s">
        <v>300</v>
      </c>
      <c r="G7973" s="3" t="s">
        <v>305</v>
      </c>
      <c r="H7973" s="2" t="s">
        <v>148</v>
      </c>
      <c r="I7973" s="2" t="s">
        <v>20309</v>
      </c>
      <c r="J7973" s="3" t="str">
        <f>HYPERLINK("https://www.boe.es/gazeta/dias/1811/11/30/pdfs/GMD-1811-334.pdf#page=3","Abrir facsímil")</f>
        <v>Abrir facsímil</v>
      </c>
      <c r="K7973" s="3" t="s">
        <v>150</v>
      </c>
    </row>
    <row r="7974" spans="1:11" ht="42" customHeight="1">
      <c r="A7974" s="2" t="s">
        <v>20310</v>
      </c>
      <c r="B7974" s="2" t="s">
        <v>20311</v>
      </c>
      <c r="C7974" s="2" t="s">
        <v>26</v>
      </c>
      <c r="D7974" s="2" t="s">
        <v>528</v>
      </c>
      <c r="E7974" s="4">
        <v>-32191</v>
      </c>
      <c r="F7974" s="3" t="s">
        <v>2538</v>
      </c>
      <c r="G7974" s="3" t="s">
        <v>9436</v>
      </c>
      <c r="H7974" s="2" t="s">
        <v>148</v>
      </c>
      <c r="I7974" s="2" t="s">
        <v>20312</v>
      </c>
      <c r="J7974" s="3" t="str">
        <f>HYPERLINK("https://www.boe.es/gazeta/dias/1811/11/11/pdfs/GEI-1811-147E.pdf#page=6","Abrir facsímil")</f>
        <v>Abrir facsímil</v>
      </c>
      <c r="K7974" s="3" t="s">
        <v>150</v>
      </c>
    </row>
    <row r="7975" spans="1:11" ht="42" customHeight="1">
      <c r="A7975" s="2" t="s">
        <v>20313</v>
      </c>
      <c r="B7975" s="2" t="s">
        <v>20314</v>
      </c>
      <c r="C7975" s="2" t="s">
        <v>26</v>
      </c>
      <c r="D7975" s="2" t="s">
        <v>18</v>
      </c>
      <c r="E7975" s="4">
        <v>-32326</v>
      </c>
      <c r="F7975" s="3" t="s">
        <v>43</v>
      </c>
      <c r="G7975" s="3" t="s">
        <v>4089</v>
      </c>
      <c r="H7975" s="2" t="s">
        <v>148</v>
      </c>
      <c r="I7975" s="2" t="s">
        <v>20315</v>
      </c>
      <c r="J7975" s="3" t="str">
        <f>HYPERLINK("https://www.boe.es/gazeta/dias/1811/06/29/pdfs/GEI-1811-86.pdf#page=5","Abrir facsímil")</f>
        <v>Abrir facsímil</v>
      </c>
      <c r="K7975" s="3" t="s">
        <v>150</v>
      </c>
    </row>
    <row r="7976" spans="1:11" ht="42" customHeight="1">
      <c r="A7976" s="2" t="s">
        <v>20316</v>
      </c>
      <c r="B7976" s="2" t="s">
        <v>20317</v>
      </c>
      <c r="C7976" s="2" t="s">
        <v>37</v>
      </c>
      <c r="D7976" s="2" t="s">
        <v>18</v>
      </c>
      <c r="E7976" s="4">
        <v>-32361</v>
      </c>
      <c r="F7976" s="3" t="s">
        <v>1104</v>
      </c>
      <c r="G7976" s="3" t="s">
        <v>2213</v>
      </c>
      <c r="H7976" s="2" t="s">
        <v>148</v>
      </c>
      <c r="I7976" s="2" t="s">
        <v>20318</v>
      </c>
      <c r="J7976" s="3" t="str">
        <f>HYPERLINK("https://www.boe.es/gazeta/dias/1811/05/25/pdfs/GEI-1811-71.pdf#page=8","Abrir facsímil")</f>
        <v>Abrir facsímil</v>
      </c>
      <c r="K7976" s="3" t="s">
        <v>150</v>
      </c>
    </row>
    <row r="7977" spans="1:11" ht="42" customHeight="1">
      <c r="A7977" s="2" t="s">
        <v>20319</v>
      </c>
      <c r="B7977" s="2" t="s">
        <v>20319</v>
      </c>
      <c r="C7977" s="2" t="s">
        <v>17</v>
      </c>
      <c r="D7977" s="2" t="s">
        <v>18</v>
      </c>
      <c r="E7977" s="4">
        <v>-32259</v>
      </c>
      <c r="F7977" s="3" t="s">
        <v>3276</v>
      </c>
      <c r="G7977" s="3" t="s">
        <v>468</v>
      </c>
      <c r="H7977" s="2" t="s">
        <v>148</v>
      </c>
      <c r="I7977" s="2" t="s">
        <v>20320</v>
      </c>
      <c r="J7977" s="3" t="str">
        <f>HYPERLINK("https://www.boe.es/gazeta/dias/1811/09/04/pdfs/GMD-1811-247.pdf#page=2","Abrir facsímil")</f>
        <v>Abrir facsímil</v>
      </c>
      <c r="K7977" s="3" t="s">
        <v>150</v>
      </c>
    </row>
    <row r="7978" spans="1:11" ht="42" customHeight="1">
      <c r="A7978" s="2" t="s">
        <v>20321</v>
      </c>
      <c r="B7978" s="2" t="s">
        <v>20321</v>
      </c>
      <c r="C7978" s="2" t="s">
        <v>17</v>
      </c>
      <c r="D7978" s="2" t="s">
        <v>156</v>
      </c>
      <c r="E7978" s="4">
        <v>-32270</v>
      </c>
      <c r="F7978" s="3" t="s">
        <v>2617</v>
      </c>
      <c r="G7978" s="3" t="s">
        <v>846</v>
      </c>
      <c r="H7978" s="2" t="s">
        <v>148</v>
      </c>
      <c r="I7978" s="2" t="s">
        <v>20322</v>
      </c>
      <c r="J7978" s="3" t="str">
        <f>HYPERLINK("https://www.boe.es/gazeta/dias/1811/08/24/pdfs/GMD-1811-236.pdf#page=3","Abrir facsímil")</f>
        <v>Abrir facsímil</v>
      </c>
      <c r="K7978" s="3" t="s">
        <v>150</v>
      </c>
    </row>
    <row r="7979" spans="1:11" ht="42" customHeight="1">
      <c r="A7979" s="2" t="s">
        <v>20323</v>
      </c>
      <c r="B7979" s="2" t="s">
        <v>20323</v>
      </c>
      <c r="C7979" s="2" t="s">
        <v>26</v>
      </c>
      <c r="D7979" s="2" t="s">
        <v>141</v>
      </c>
      <c r="E7979" s="4">
        <v>-32330</v>
      </c>
      <c r="F7979" s="3" t="s">
        <v>1713</v>
      </c>
      <c r="G7979" s="3" t="s">
        <v>214</v>
      </c>
      <c r="H7979" s="2" t="s">
        <v>148</v>
      </c>
      <c r="I7979" s="2" t="s">
        <v>20324</v>
      </c>
      <c r="J7979" s="3" t="str">
        <f>HYPERLINK("https://www.boe.es/gazeta/dias/1811/06/25/pdfs/GEI-D-1811-84.pdf#page=6","Abrir facsímil")</f>
        <v>Abrir facsímil</v>
      </c>
      <c r="K7979" s="3" t="s">
        <v>150</v>
      </c>
    </row>
    <row r="7980" spans="1:11" ht="42" customHeight="1">
      <c r="A7980" s="2" t="s">
        <v>20325</v>
      </c>
      <c r="B7980" s="2" t="s">
        <v>20325</v>
      </c>
      <c r="C7980" s="2" t="s">
        <v>17</v>
      </c>
      <c r="D7980" s="2" t="s">
        <v>156</v>
      </c>
      <c r="E7980" s="4">
        <v>-32207</v>
      </c>
      <c r="F7980" s="3" t="s">
        <v>152</v>
      </c>
      <c r="G7980" s="3" t="s">
        <v>193</v>
      </c>
      <c r="H7980" s="2" t="s">
        <v>148</v>
      </c>
      <c r="I7980" s="2" t="s">
        <v>20326</v>
      </c>
      <c r="J7980" s="3" t="str">
        <f>HYPERLINK("https://www.boe.es/gazeta/dias/1811/10/26/pdfs/GEI-1811-138.pdf#page=7","Abrir facsímil")</f>
        <v>Abrir facsímil</v>
      </c>
      <c r="K7980" s="3" t="s">
        <v>150</v>
      </c>
    </row>
    <row r="7981" spans="1:11" ht="42" customHeight="1">
      <c r="A7981" s="2" t="s">
        <v>20325</v>
      </c>
      <c r="B7981" s="2" t="s">
        <v>20325</v>
      </c>
      <c r="C7981" s="2" t="s">
        <v>17</v>
      </c>
      <c r="D7981" s="2" t="s">
        <v>18</v>
      </c>
      <c r="E7981" s="4">
        <v>-32186</v>
      </c>
      <c r="F7981" s="3" t="s">
        <v>1425</v>
      </c>
      <c r="G7981" s="3" t="s">
        <v>3662</v>
      </c>
      <c r="H7981" s="2" t="s">
        <v>148</v>
      </c>
      <c r="I7981" s="2" t="s">
        <v>20327</v>
      </c>
      <c r="J7981" s="3" t="str">
        <f>HYPERLINK("https://www.boe.es/gazeta/dias/1811/11/16/pdfs/GEI-1811-150.pdf#page=2","Abrir facsímil")</f>
        <v>Abrir facsímil</v>
      </c>
      <c r="K7981" s="3" t="s">
        <v>150</v>
      </c>
    </row>
    <row r="7982" spans="1:11" ht="42" customHeight="1">
      <c r="A7982" s="2" t="s">
        <v>20328</v>
      </c>
      <c r="B7982" s="2" t="s">
        <v>20328</v>
      </c>
      <c r="C7982" s="2" t="s">
        <v>17</v>
      </c>
      <c r="D7982" s="2" t="s">
        <v>156</v>
      </c>
      <c r="E7982" s="4">
        <v>-32270</v>
      </c>
      <c r="F7982" s="3" t="s">
        <v>2617</v>
      </c>
      <c r="G7982" s="3" t="s">
        <v>20</v>
      </c>
      <c r="H7982" s="2" t="s">
        <v>148</v>
      </c>
      <c r="I7982" s="2" t="s">
        <v>20329</v>
      </c>
      <c r="J7982" s="3" t="str">
        <f>HYPERLINK("https://www.boe.es/gazeta/dias/1811/08/24/pdfs/GMD-1811-236.pdf#page=4","Abrir facsímil")</f>
        <v>Abrir facsímil</v>
      </c>
      <c r="K7982" s="3" t="s">
        <v>150</v>
      </c>
    </row>
    <row r="7983" spans="1:11" ht="42" customHeight="1">
      <c r="A7983" s="2" t="s">
        <v>20330</v>
      </c>
      <c r="B7983" s="2" t="s">
        <v>20330</v>
      </c>
      <c r="C7983" s="2" t="s">
        <v>17</v>
      </c>
      <c r="D7983" s="2" t="s">
        <v>156</v>
      </c>
      <c r="E7983" s="4">
        <v>-32363</v>
      </c>
      <c r="F7983" s="3" t="s">
        <v>2912</v>
      </c>
      <c r="G7983" s="3" t="s">
        <v>39</v>
      </c>
      <c r="H7983" s="2" t="s">
        <v>148</v>
      </c>
      <c r="I7983" s="2" t="s">
        <v>20331</v>
      </c>
      <c r="J7983" s="3" t="str">
        <f>HYPERLINK("https://www.boe.es/gazeta/dias/1811/05/23/pdfs/GEI-1811-69E.pdf#page=1","Abrir facsímil")</f>
        <v>Abrir facsímil</v>
      </c>
      <c r="K7983" s="3" t="s">
        <v>150</v>
      </c>
    </row>
    <row r="7984" spans="1:11" ht="42" customHeight="1">
      <c r="A7984" s="2" t="s">
        <v>20332</v>
      </c>
      <c r="B7984" s="2" t="s">
        <v>20332</v>
      </c>
      <c r="C7984" s="2" t="s">
        <v>17</v>
      </c>
      <c r="D7984" s="2" t="s">
        <v>18</v>
      </c>
      <c r="E7984" s="4">
        <v>-32307</v>
      </c>
      <c r="F7984" s="3" t="s">
        <v>2614</v>
      </c>
      <c r="G7984" s="3" t="s">
        <v>2615</v>
      </c>
      <c r="H7984" s="2" t="s">
        <v>148</v>
      </c>
      <c r="I7984" s="2" t="s">
        <v>20333</v>
      </c>
      <c r="J7984" s="3" t="str">
        <f>HYPERLINK("https://www.boe.es/gazeta/dias/1811/07/18/pdfs/GMD-1811-199.pdf#page=3","Abrir facsímil")</f>
        <v>Abrir facsímil</v>
      </c>
      <c r="K7984" s="3" t="s">
        <v>150</v>
      </c>
    </row>
    <row r="7985" spans="1:11" ht="42" customHeight="1">
      <c r="A7985" s="2" t="s">
        <v>20332</v>
      </c>
      <c r="B7985" s="2" t="s">
        <v>20332</v>
      </c>
      <c r="C7985" s="2" t="s">
        <v>17</v>
      </c>
      <c r="D7985" s="2" t="s">
        <v>156</v>
      </c>
      <c r="E7985" s="4">
        <v>-32276</v>
      </c>
      <c r="F7985" s="3" t="s">
        <v>1361</v>
      </c>
      <c r="G7985" s="3" t="s">
        <v>44</v>
      </c>
      <c r="H7985" s="2" t="s">
        <v>148</v>
      </c>
      <c r="I7985" s="2" t="s">
        <v>20334</v>
      </c>
      <c r="J7985" s="3" t="str">
        <f>HYPERLINK("https://www.boe.es/gazeta/dias/1811/08/18/pdfs/GMD-1811-230.pdf#page=2","Abrir facsímil")</f>
        <v>Abrir facsímil</v>
      </c>
      <c r="K7985" s="3" t="s">
        <v>150</v>
      </c>
    </row>
    <row r="7986" spans="1:11" ht="42" customHeight="1">
      <c r="A7986" s="2" t="s">
        <v>20332</v>
      </c>
      <c r="B7986" s="2" t="s">
        <v>20332</v>
      </c>
      <c r="C7986" s="2" t="s">
        <v>17</v>
      </c>
      <c r="D7986" s="2" t="s">
        <v>141</v>
      </c>
      <c r="E7986" s="4">
        <v>-32249</v>
      </c>
      <c r="F7986" s="3" t="s">
        <v>5222</v>
      </c>
      <c r="G7986" s="3" t="s">
        <v>20</v>
      </c>
      <c r="H7986" s="2" t="s">
        <v>148</v>
      </c>
      <c r="I7986" s="2" t="s">
        <v>20335</v>
      </c>
      <c r="J7986" s="3" t="str">
        <f>HYPERLINK("https://www.boe.es/gazeta/dias/1811/09/14/pdfs/GEI-D-1811-119.pdf#page=3","Abrir facsímil")</f>
        <v>Abrir facsímil</v>
      </c>
      <c r="K7986" s="3" t="s">
        <v>150</v>
      </c>
    </row>
    <row r="7987" spans="1:11" ht="42" customHeight="1">
      <c r="A7987" s="2" t="s">
        <v>20336</v>
      </c>
      <c r="B7987" s="2" t="s">
        <v>20336</v>
      </c>
      <c r="C7987" s="2" t="s">
        <v>17</v>
      </c>
      <c r="D7987" s="2" t="s">
        <v>156</v>
      </c>
      <c r="E7987" s="4">
        <v>-32284</v>
      </c>
      <c r="F7987" s="3" t="s">
        <v>2818</v>
      </c>
      <c r="G7987" s="3" t="s">
        <v>20</v>
      </c>
      <c r="H7987" s="2" t="s">
        <v>148</v>
      </c>
      <c r="I7987" s="2" t="s">
        <v>20337</v>
      </c>
      <c r="J7987" s="3" t="str">
        <f>HYPERLINK("https://www.boe.es/gazeta/dias/1811/08/10/pdfs/GMD-1811-222.pdf#page=2","Abrir facsímil")</f>
        <v>Abrir facsímil</v>
      </c>
      <c r="K7987" s="3" t="s">
        <v>150</v>
      </c>
    </row>
    <row r="7988" spans="1:11" ht="42" customHeight="1">
      <c r="A7988" s="2" t="s">
        <v>20338</v>
      </c>
      <c r="B7988" s="2" t="s">
        <v>20338</v>
      </c>
      <c r="C7988" s="2" t="s">
        <v>17</v>
      </c>
      <c r="D7988" s="2" t="s">
        <v>18</v>
      </c>
      <c r="E7988" s="4">
        <v>-32342</v>
      </c>
      <c r="F7988" s="3" t="s">
        <v>1474</v>
      </c>
      <c r="G7988" s="3" t="s">
        <v>2608</v>
      </c>
      <c r="H7988" s="2" t="s">
        <v>148</v>
      </c>
      <c r="I7988" s="2" t="s">
        <v>20339</v>
      </c>
      <c r="J7988" s="3" t="str">
        <f>HYPERLINK("https://www.boe.es/gazeta/dias/1811/06/13/pdfs/GEI-1811-79.pdf#page=4","Abrir facsímil")</f>
        <v>Abrir facsímil</v>
      </c>
      <c r="K7988" s="3" t="s">
        <v>150</v>
      </c>
    </row>
    <row r="7989" spans="1:11" ht="42" customHeight="1">
      <c r="A7989" s="2" t="s">
        <v>20340</v>
      </c>
      <c r="B7989" s="2" t="s">
        <v>20340</v>
      </c>
      <c r="C7989" s="2" t="s">
        <v>17</v>
      </c>
      <c r="D7989" s="2" t="s">
        <v>18</v>
      </c>
      <c r="E7989" s="4">
        <v>-32410</v>
      </c>
      <c r="F7989" s="3" t="s">
        <v>2678</v>
      </c>
      <c r="G7989" s="3" t="s">
        <v>515</v>
      </c>
      <c r="H7989" s="2" t="s">
        <v>148</v>
      </c>
      <c r="I7989" s="2" t="s">
        <v>20341</v>
      </c>
      <c r="J7989" s="3" t="str">
        <f>HYPERLINK("https://www.boe.es/gazeta/dias/1811/04/06/pdfs/GEI-1811-47.pdf#page=3","Abrir facsímil")</f>
        <v>Abrir facsímil</v>
      </c>
      <c r="K7989" s="3" t="s">
        <v>150</v>
      </c>
    </row>
    <row r="7990" spans="1:11" ht="42" customHeight="1">
      <c r="A7990" s="2" t="s">
        <v>20340</v>
      </c>
      <c r="B7990" s="2" t="s">
        <v>20340</v>
      </c>
      <c r="C7990" s="2" t="s">
        <v>17</v>
      </c>
      <c r="D7990" s="2" t="s">
        <v>156</v>
      </c>
      <c r="E7990" s="4">
        <v>-32405</v>
      </c>
      <c r="F7990" s="3" t="s">
        <v>1413</v>
      </c>
      <c r="G7990" s="3" t="s">
        <v>4945</v>
      </c>
      <c r="H7990" s="2" t="s">
        <v>148</v>
      </c>
      <c r="I7990" s="2" t="s">
        <v>20342</v>
      </c>
      <c r="J7990" s="3" t="str">
        <f>HYPERLINK("https://www.boe.es/gazeta/dias/1811/04/11/pdfs/GEI-1811-49.pdf#page=6","Abrir facsímil")</f>
        <v>Abrir facsímil</v>
      </c>
      <c r="K7990" s="3" t="s">
        <v>150</v>
      </c>
    </row>
    <row r="7991" spans="1:11" ht="42" customHeight="1">
      <c r="A7991" s="2" t="s">
        <v>20340</v>
      </c>
      <c r="B7991" s="2" t="s">
        <v>20340</v>
      </c>
      <c r="C7991" s="2" t="s">
        <v>17</v>
      </c>
      <c r="D7991" s="2" t="s">
        <v>156</v>
      </c>
      <c r="E7991" s="4">
        <v>-32377</v>
      </c>
      <c r="F7991" s="3" t="s">
        <v>6097</v>
      </c>
      <c r="G7991" s="3" t="s">
        <v>248</v>
      </c>
      <c r="H7991" s="2" t="s">
        <v>148</v>
      </c>
      <c r="I7991" s="2" t="s">
        <v>20343</v>
      </c>
      <c r="J7991" s="3" t="str">
        <f>HYPERLINK("https://www.boe.es/gazeta/dias/1811/05/09/pdfs/GEI-1811-61.pdf#page=3","Abrir facsímil")</f>
        <v>Abrir facsímil</v>
      </c>
      <c r="K7991" s="3" t="s">
        <v>150</v>
      </c>
    </row>
    <row r="7992" spans="1:11" ht="42" customHeight="1">
      <c r="A7992" s="2" t="s">
        <v>20340</v>
      </c>
      <c r="B7992" s="2" t="s">
        <v>20340</v>
      </c>
      <c r="C7992" s="2" t="s">
        <v>26</v>
      </c>
      <c r="D7992" s="2" t="s">
        <v>105</v>
      </c>
      <c r="E7992" s="4">
        <v>-32349</v>
      </c>
      <c r="F7992" s="3" t="s">
        <v>239</v>
      </c>
      <c r="G7992" s="3" t="s">
        <v>162</v>
      </c>
      <c r="H7992" s="2" t="s">
        <v>148</v>
      </c>
      <c r="I7992" s="2" t="s">
        <v>20344</v>
      </c>
      <c r="J7992" s="3" t="str">
        <f>HYPERLINK("https://www.boe.es/gazeta/dias/1811/06/06/pdfs/GEI-1811-76.pdf#page=2","Abrir facsímil")</f>
        <v>Abrir facsímil</v>
      </c>
      <c r="K7992" s="3" t="s">
        <v>150</v>
      </c>
    </row>
    <row r="7993" spans="1:11" ht="42" customHeight="1">
      <c r="A7993" s="2" t="s">
        <v>20340</v>
      </c>
      <c r="B7993" s="2" t="s">
        <v>20340</v>
      </c>
      <c r="C7993" s="2" t="s">
        <v>17</v>
      </c>
      <c r="D7993" s="2" t="s">
        <v>156</v>
      </c>
      <c r="E7993" s="4">
        <v>-32349</v>
      </c>
      <c r="F7993" s="3" t="s">
        <v>239</v>
      </c>
      <c r="G7993" s="3" t="s">
        <v>1451</v>
      </c>
      <c r="H7993" s="2" t="s">
        <v>148</v>
      </c>
      <c r="I7993" s="2" t="s">
        <v>20345</v>
      </c>
      <c r="J7993" s="3" t="str">
        <f>HYPERLINK("https://www.boe.es/gazeta/dias/1811/06/06/pdfs/GEI-1811-76.pdf#page=8","Abrir facsímil")</f>
        <v>Abrir facsímil</v>
      </c>
      <c r="K7993" s="3" t="s">
        <v>150</v>
      </c>
    </row>
    <row r="7994" spans="1:11" ht="42" customHeight="1">
      <c r="A7994" s="2" t="s">
        <v>20340</v>
      </c>
      <c r="B7994" s="2" t="s">
        <v>20340</v>
      </c>
      <c r="C7994" s="2" t="s">
        <v>26</v>
      </c>
      <c r="D7994" s="2" t="s">
        <v>105</v>
      </c>
      <c r="E7994" s="4">
        <v>-32342</v>
      </c>
      <c r="F7994" s="3" t="s">
        <v>1474</v>
      </c>
      <c r="G7994" s="3" t="s">
        <v>44</v>
      </c>
      <c r="H7994" s="2" t="s">
        <v>148</v>
      </c>
      <c r="I7994" s="2" t="s">
        <v>20346</v>
      </c>
      <c r="J7994" s="3" t="str">
        <f>HYPERLINK("https://www.boe.es/gazeta/dias/1811/06/13/pdfs/GEI-1811-79.pdf#page=3","Abrir facsímil")</f>
        <v>Abrir facsímil</v>
      </c>
      <c r="K7994" s="3" t="s">
        <v>150</v>
      </c>
    </row>
    <row r="7995" spans="1:11" ht="42" customHeight="1">
      <c r="A7995" s="2" t="s">
        <v>20340</v>
      </c>
      <c r="B7995" s="2" t="s">
        <v>20340</v>
      </c>
      <c r="C7995" s="2" t="s">
        <v>17</v>
      </c>
      <c r="D7995" s="2" t="s">
        <v>18</v>
      </c>
      <c r="E7995" s="4">
        <v>-32330</v>
      </c>
      <c r="F7995" s="3" t="s">
        <v>1997</v>
      </c>
      <c r="G7995" s="3" t="s">
        <v>1463</v>
      </c>
      <c r="H7995" s="2" t="s">
        <v>148</v>
      </c>
      <c r="I7995" s="2" t="s">
        <v>20347</v>
      </c>
      <c r="J7995" s="3" t="str">
        <f>HYPERLINK("https://www.boe.es/gazeta/dias/1811/06/25/pdfs/GMD-1811-176.pdf#page=3","Abrir facsímil")</f>
        <v>Abrir facsímil</v>
      </c>
      <c r="K7995" s="3" t="s">
        <v>150</v>
      </c>
    </row>
    <row r="7996" spans="1:11" ht="42" customHeight="1">
      <c r="A7996" s="2" t="s">
        <v>20340</v>
      </c>
      <c r="B7996" s="2" t="s">
        <v>20340</v>
      </c>
      <c r="C7996" s="2" t="s">
        <v>104</v>
      </c>
      <c r="D7996" s="2" t="s">
        <v>204</v>
      </c>
      <c r="E7996" s="4">
        <v>-32318</v>
      </c>
      <c r="F7996" s="3" t="s">
        <v>1193</v>
      </c>
      <c r="G7996" s="3" t="s">
        <v>2612</v>
      </c>
      <c r="H7996" s="2" t="s">
        <v>148</v>
      </c>
      <c r="I7996" s="2" t="s">
        <v>20348</v>
      </c>
      <c r="J7996" s="3" t="str">
        <f>HYPERLINK("https://www.boe.es/gazeta/dias/1811/07/07/pdfs/GMD-1811-188.pdf#page=1","Abrir facsímil")</f>
        <v>Abrir facsímil</v>
      </c>
      <c r="K7996" s="3" t="s">
        <v>150</v>
      </c>
    </row>
    <row r="7997" spans="1:11" ht="42" customHeight="1">
      <c r="A7997" s="2" t="s">
        <v>20340</v>
      </c>
      <c r="B7997" s="2" t="s">
        <v>20340</v>
      </c>
      <c r="C7997" s="2" t="s">
        <v>17</v>
      </c>
      <c r="D7997" s="2" t="s">
        <v>156</v>
      </c>
      <c r="E7997" s="4">
        <v>-32299</v>
      </c>
      <c r="F7997" s="3" t="s">
        <v>2124</v>
      </c>
      <c r="G7997" s="3" t="s">
        <v>2442</v>
      </c>
      <c r="H7997" s="2" t="s">
        <v>148</v>
      </c>
      <c r="I7997" s="2" t="s">
        <v>20349</v>
      </c>
      <c r="J7997" s="3" t="str">
        <f>HYPERLINK("https://www.boe.es/gazeta/dias/1811/07/26/pdfs/GMD-1811-207.pdf#page=1","Abrir facsímil")</f>
        <v>Abrir facsímil</v>
      </c>
      <c r="K7997" s="3" t="s">
        <v>150</v>
      </c>
    </row>
    <row r="7998" spans="1:11" ht="42" customHeight="1">
      <c r="A7998" s="2" t="s">
        <v>20340</v>
      </c>
      <c r="B7998" s="2" t="s">
        <v>20340</v>
      </c>
      <c r="C7998" s="2" t="s">
        <v>17</v>
      </c>
      <c r="D7998" s="2" t="s">
        <v>156</v>
      </c>
      <c r="E7998" s="4">
        <v>-32299</v>
      </c>
      <c r="F7998" s="3" t="s">
        <v>2124</v>
      </c>
      <c r="G7998" s="3" t="s">
        <v>1505</v>
      </c>
      <c r="H7998" s="2" t="s">
        <v>148</v>
      </c>
      <c r="I7998" s="2" t="s">
        <v>20350</v>
      </c>
      <c r="J7998" s="3" t="str">
        <f>HYPERLINK("https://www.boe.es/gazeta/dias/1811/07/26/pdfs/GMD-1811-207.pdf#page=2","Abrir facsímil")</f>
        <v>Abrir facsímil</v>
      </c>
      <c r="K7998" s="3" t="s">
        <v>150</v>
      </c>
    </row>
    <row r="7999" spans="1:11" ht="42" customHeight="1">
      <c r="A7999" s="2" t="s">
        <v>20340</v>
      </c>
      <c r="B7999" s="2" t="s">
        <v>20340</v>
      </c>
      <c r="C7999" s="2" t="s">
        <v>26</v>
      </c>
      <c r="D7999" s="2" t="s">
        <v>18</v>
      </c>
      <c r="E7999" s="4">
        <v>-32284</v>
      </c>
      <c r="F7999" s="3" t="s">
        <v>2818</v>
      </c>
      <c r="G7999" s="3" t="s">
        <v>20</v>
      </c>
      <c r="H7999" s="2" t="s">
        <v>148</v>
      </c>
      <c r="I7999" s="2" t="s">
        <v>20351</v>
      </c>
      <c r="J7999" s="3" t="str">
        <f>HYPERLINK("https://www.boe.es/gazeta/dias/1811/08/10/pdfs/GMD-1811-222.pdf#page=2","Abrir facsímil")</f>
        <v>Abrir facsímil</v>
      </c>
      <c r="K7999" s="3" t="s">
        <v>150</v>
      </c>
    </row>
    <row r="8000" spans="1:11" ht="42" customHeight="1">
      <c r="A8000" s="2" t="s">
        <v>20340</v>
      </c>
      <c r="B8000" s="2" t="s">
        <v>20340</v>
      </c>
      <c r="C8000" s="2" t="s">
        <v>26</v>
      </c>
      <c r="D8000" s="2" t="s">
        <v>18</v>
      </c>
      <c r="E8000" s="4">
        <v>-32283</v>
      </c>
      <c r="F8000" s="3" t="s">
        <v>90</v>
      </c>
      <c r="G8000" s="3" t="s">
        <v>1856</v>
      </c>
      <c r="H8000" s="2" t="s">
        <v>148</v>
      </c>
      <c r="I8000" s="2" t="s">
        <v>20352</v>
      </c>
      <c r="J8000" s="3" t="str">
        <f>HYPERLINK("https://www.boe.es/gazeta/dias/1811/08/11/pdfs/GMD-1811-223.pdf#page=1","Abrir facsímil")</f>
        <v>Abrir facsímil</v>
      </c>
      <c r="K8000" s="3" t="s">
        <v>150</v>
      </c>
    </row>
    <row r="8001" spans="1:11" ht="42" customHeight="1">
      <c r="A8001" s="2" t="s">
        <v>20340</v>
      </c>
      <c r="B8001" s="2" t="s">
        <v>20340</v>
      </c>
      <c r="C8001" s="2" t="s">
        <v>17</v>
      </c>
      <c r="D8001" s="2" t="s">
        <v>156</v>
      </c>
      <c r="E8001" s="4">
        <v>-32267</v>
      </c>
      <c r="F8001" s="3" t="s">
        <v>8812</v>
      </c>
      <c r="G8001" s="3" t="s">
        <v>178</v>
      </c>
      <c r="H8001" s="2" t="s">
        <v>148</v>
      </c>
      <c r="I8001" s="2" t="s">
        <v>20353</v>
      </c>
      <c r="J8001" s="3" t="str">
        <f>HYPERLINK("https://www.boe.es/gazeta/dias/1811/08/27/pdfs/GMD-1811-239.pdf#page=4","Abrir facsímil")</f>
        <v>Abrir facsímil</v>
      </c>
      <c r="K8001" s="3" t="s">
        <v>150</v>
      </c>
    </row>
    <row r="8002" spans="1:11" ht="42" customHeight="1">
      <c r="A8002" s="2" t="s">
        <v>20340</v>
      </c>
      <c r="B8002" s="2" t="s">
        <v>20340</v>
      </c>
      <c r="C8002" s="2" t="s">
        <v>17</v>
      </c>
      <c r="D8002" s="2" t="s">
        <v>18</v>
      </c>
      <c r="E8002" s="4">
        <v>-32263</v>
      </c>
      <c r="F8002" s="3" t="s">
        <v>128</v>
      </c>
      <c r="G8002" s="3" t="s">
        <v>44</v>
      </c>
      <c r="H8002" s="2" t="s">
        <v>148</v>
      </c>
      <c r="I8002" s="2" t="s">
        <v>20354</v>
      </c>
      <c r="J8002" s="3" t="str">
        <f>HYPERLINK("https://www.boe.es/gazeta/dias/1811/08/31/pdfs/GEI-1811-113.pdf#page=6","Abrir facsímil")</f>
        <v>Abrir facsímil</v>
      </c>
      <c r="K8002" s="3" t="s">
        <v>150</v>
      </c>
    </row>
    <row r="8003" spans="1:11" ht="42" customHeight="1">
      <c r="A8003" s="2" t="s">
        <v>20340</v>
      </c>
      <c r="B8003" s="2" t="s">
        <v>20340</v>
      </c>
      <c r="C8003" s="2" t="s">
        <v>26</v>
      </c>
      <c r="D8003" s="2" t="s">
        <v>18</v>
      </c>
      <c r="E8003" s="4">
        <v>-32259</v>
      </c>
      <c r="F8003" s="3" t="s">
        <v>3276</v>
      </c>
      <c r="G8003" s="3" t="s">
        <v>468</v>
      </c>
      <c r="H8003" s="2" t="s">
        <v>148</v>
      </c>
      <c r="I8003" s="2" t="s">
        <v>20355</v>
      </c>
      <c r="J8003" s="3" t="str">
        <f>HYPERLINK("https://www.boe.es/gazeta/dias/1811/09/04/pdfs/GMD-1811-247.pdf#page=2","Abrir facsímil")</f>
        <v>Abrir facsímil</v>
      </c>
      <c r="K8003" s="3" t="s">
        <v>150</v>
      </c>
    </row>
    <row r="8004" spans="1:11" ht="42" customHeight="1">
      <c r="A8004" s="2" t="s">
        <v>20340</v>
      </c>
      <c r="B8004" s="2" t="s">
        <v>20340</v>
      </c>
      <c r="C8004" s="2" t="s">
        <v>17</v>
      </c>
      <c r="D8004" s="2" t="s">
        <v>18</v>
      </c>
      <c r="E8004" s="4">
        <v>-32249</v>
      </c>
      <c r="F8004" s="3" t="s">
        <v>824</v>
      </c>
      <c r="G8004" s="3" t="s">
        <v>2961</v>
      </c>
      <c r="H8004" s="2" t="s">
        <v>148</v>
      </c>
      <c r="I8004" s="2" t="s">
        <v>20356</v>
      </c>
      <c r="J8004" s="3" t="str">
        <f>HYPERLINK("https://www.boe.es/gazeta/dias/1811/09/14/pdfs/GEI-1811-119.pdf#page=6","Abrir facsímil")</f>
        <v>Abrir facsímil</v>
      </c>
      <c r="K8004" s="3" t="s">
        <v>150</v>
      </c>
    </row>
    <row r="8005" spans="1:11" ht="42" customHeight="1">
      <c r="A8005" s="2" t="s">
        <v>20340</v>
      </c>
      <c r="B8005" s="2" t="s">
        <v>20340</v>
      </c>
      <c r="C8005" s="2" t="s">
        <v>84</v>
      </c>
      <c r="D8005" s="2" t="s">
        <v>18</v>
      </c>
      <c r="E8005" s="4">
        <v>-32229</v>
      </c>
      <c r="F8005" s="3" t="s">
        <v>2523</v>
      </c>
      <c r="G8005" s="3" t="s">
        <v>4068</v>
      </c>
      <c r="H8005" s="2" t="s">
        <v>148</v>
      </c>
      <c r="I8005" s="2" t="s">
        <v>20357</v>
      </c>
      <c r="J8005" s="3" t="str">
        <f>HYPERLINK("https://www.boe.es/gazeta/dias/1811/10/04/pdfs/GMD-1811-277.pdf#page=2","Abrir facsímil")</f>
        <v>Abrir facsímil</v>
      </c>
      <c r="K8005" s="3" t="s">
        <v>150</v>
      </c>
    </row>
    <row r="8006" spans="1:11" ht="42" customHeight="1">
      <c r="A8006" s="2" t="s">
        <v>20340</v>
      </c>
      <c r="B8006" s="2" t="s">
        <v>20340</v>
      </c>
      <c r="C8006" s="2" t="s">
        <v>66</v>
      </c>
      <c r="D8006" s="2" t="s">
        <v>18</v>
      </c>
      <c r="E8006" s="4">
        <v>-32223</v>
      </c>
      <c r="F8006" s="3" t="s">
        <v>5139</v>
      </c>
      <c r="G8006" s="3" t="s">
        <v>9973</v>
      </c>
      <c r="H8006" s="2" t="s">
        <v>148</v>
      </c>
      <c r="I8006" s="2" t="s">
        <v>20358</v>
      </c>
      <c r="J8006" s="3" t="str">
        <f>HYPERLINK("https://www.boe.es/gazeta/dias/1811/10/10/pdfs/GMD-1811-283.pdf#page=2","Abrir facsímil")</f>
        <v>Abrir facsímil</v>
      </c>
      <c r="K8006" s="3" t="s">
        <v>150</v>
      </c>
    </row>
    <row r="8007" spans="1:11" ht="42" customHeight="1">
      <c r="A8007" s="2" t="s">
        <v>20359</v>
      </c>
      <c r="B8007" s="2" t="s">
        <v>20360</v>
      </c>
      <c r="C8007" s="2" t="s">
        <v>26</v>
      </c>
      <c r="D8007" s="2" t="s">
        <v>18</v>
      </c>
      <c r="E8007" s="4">
        <v>-32195</v>
      </c>
      <c r="F8007" s="3" t="s">
        <v>439</v>
      </c>
      <c r="G8007" s="3" t="s">
        <v>440</v>
      </c>
      <c r="H8007" s="2" t="s">
        <v>148</v>
      </c>
      <c r="I8007" s="2" t="s">
        <v>20361</v>
      </c>
      <c r="J8007" s="3" t="str">
        <f>HYPERLINK("https://www.boe.es/gazeta/dias/1811/11/07/pdfs/GEI-1811-144.pdf#page=8","Abrir facsímil")</f>
        <v>Abrir facsímil</v>
      </c>
      <c r="K8007" s="3" t="s">
        <v>150</v>
      </c>
    </row>
    <row r="8008" spans="1:11" ht="42" customHeight="1">
      <c r="A8008" s="2" t="s">
        <v>20362</v>
      </c>
      <c r="B8008" s="2" t="s">
        <v>20362</v>
      </c>
      <c r="C8008" s="2" t="s">
        <v>17</v>
      </c>
      <c r="D8008" s="2" t="s">
        <v>204</v>
      </c>
      <c r="E8008" s="4">
        <v>-32346</v>
      </c>
      <c r="F8008" s="3" t="s">
        <v>3180</v>
      </c>
      <c r="G8008" s="3" t="s">
        <v>115</v>
      </c>
      <c r="H8008" s="2" t="s">
        <v>148</v>
      </c>
      <c r="I8008" s="2" t="s">
        <v>20363</v>
      </c>
      <c r="J8008" s="3" t="str">
        <f>HYPERLINK("https://www.boe.es/gazeta/dias/1811/06/09/pdfs/GMD-1811-160.pdf#page=3","Abrir facsímil")</f>
        <v>Abrir facsímil</v>
      </c>
      <c r="K8008" s="3" t="s">
        <v>150</v>
      </c>
    </row>
    <row r="8009" spans="1:11" ht="42" customHeight="1">
      <c r="A8009" s="2" t="s">
        <v>20364</v>
      </c>
      <c r="B8009" s="2" t="s">
        <v>20365</v>
      </c>
      <c r="C8009" s="2" t="s">
        <v>17</v>
      </c>
      <c r="D8009" s="2" t="s">
        <v>18</v>
      </c>
      <c r="E8009" s="4">
        <v>-32405</v>
      </c>
      <c r="F8009" s="3" t="s">
        <v>1413</v>
      </c>
      <c r="G8009" s="3" t="s">
        <v>2592</v>
      </c>
      <c r="H8009" s="2" t="s">
        <v>148</v>
      </c>
      <c r="I8009" s="2" t="s">
        <v>20366</v>
      </c>
      <c r="J8009" s="3" t="str">
        <f>HYPERLINK("https://www.boe.es/gazeta/dias/1811/04/11/pdfs/GEI-1811-49.pdf#page=5","Abrir facsímil")</f>
        <v>Abrir facsímil</v>
      </c>
      <c r="K8009" s="3" t="s">
        <v>150</v>
      </c>
    </row>
    <row r="8010" spans="1:11" ht="42" customHeight="1">
      <c r="A8010" s="2" t="s">
        <v>20367</v>
      </c>
      <c r="B8010" s="2" t="s">
        <v>20367</v>
      </c>
      <c r="C8010" s="2" t="s">
        <v>17</v>
      </c>
      <c r="D8010" s="2" t="s">
        <v>156</v>
      </c>
      <c r="E8010" s="4">
        <v>-32372</v>
      </c>
      <c r="F8010" s="3" t="s">
        <v>2690</v>
      </c>
      <c r="G8010" s="3" t="s">
        <v>57</v>
      </c>
      <c r="H8010" s="2" t="s">
        <v>148</v>
      </c>
      <c r="I8010" s="2" t="s">
        <v>20368</v>
      </c>
      <c r="J8010" s="3" t="str">
        <f>HYPERLINK("https://www.boe.es/gazeta/dias/1811/05/14/pdfs/GEI-1811-63.pdf#page=2","Abrir facsímil")</f>
        <v>Abrir facsímil</v>
      </c>
      <c r="K8010" s="3" t="s">
        <v>150</v>
      </c>
    </row>
    <row r="8011" spans="1:11" ht="42" customHeight="1">
      <c r="A8011" s="2" t="s">
        <v>20369</v>
      </c>
      <c r="B8011" s="2" t="s">
        <v>20369</v>
      </c>
      <c r="C8011" s="2" t="s">
        <v>26</v>
      </c>
      <c r="D8011" s="2" t="s">
        <v>18</v>
      </c>
      <c r="E8011" s="4">
        <v>-32500</v>
      </c>
      <c r="F8011" s="3" t="s">
        <v>13322</v>
      </c>
      <c r="G8011" s="3" t="s">
        <v>657</v>
      </c>
      <c r="H8011" s="2" t="s">
        <v>148</v>
      </c>
      <c r="I8011" s="2" t="s">
        <v>20370</v>
      </c>
      <c r="J8011" s="3" t="str">
        <f>HYPERLINK("https://www.boe.es/gazeta/dias/1811/01/06/pdfs/GMD-1811-6.pdf#page=2","Abrir facsímil")</f>
        <v>Abrir facsímil</v>
      </c>
      <c r="K8011" s="3" t="s">
        <v>150</v>
      </c>
    </row>
    <row r="8012" spans="1:11" ht="42" customHeight="1">
      <c r="A8012" s="2" t="s">
        <v>20369</v>
      </c>
      <c r="B8012" s="2" t="s">
        <v>20369</v>
      </c>
      <c r="C8012" s="2" t="s">
        <v>26</v>
      </c>
      <c r="D8012" s="2" t="s">
        <v>18</v>
      </c>
      <c r="E8012" s="4">
        <v>-32486</v>
      </c>
      <c r="F8012" s="3" t="s">
        <v>556</v>
      </c>
      <c r="G8012" s="3" t="s">
        <v>248</v>
      </c>
      <c r="H8012" s="2" t="s">
        <v>148</v>
      </c>
      <c r="I8012" s="2" t="s">
        <v>20371</v>
      </c>
      <c r="J8012" s="3" t="str">
        <f>HYPERLINK("https://www.boe.es/gazeta/dias/1811/01/20/pdfs/GMD-1811-20.pdf#page=2","Abrir facsímil")</f>
        <v>Abrir facsímil</v>
      </c>
      <c r="K8012" s="3" t="s">
        <v>150</v>
      </c>
    </row>
    <row r="8013" spans="1:11" ht="42" customHeight="1">
      <c r="A8013" s="2" t="s">
        <v>20369</v>
      </c>
      <c r="B8013" s="2" t="s">
        <v>20369</v>
      </c>
      <c r="C8013" s="2" t="s">
        <v>17</v>
      </c>
      <c r="D8013" s="2" t="s">
        <v>156</v>
      </c>
      <c r="E8013" s="4">
        <v>-32467</v>
      </c>
      <c r="F8013" s="3" t="s">
        <v>768</v>
      </c>
      <c r="G8013" s="3" t="s">
        <v>382</v>
      </c>
      <c r="H8013" s="2" t="s">
        <v>148</v>
      </c>
      <c r="I8013" s="2" t="s">
        <v>20372</v>
      </c>
      <c r="J8013" s="3" t="str">
        <f>HYPERLINK("https://www.boe.es/gazeta/dias/1811/02/08/pdfs/GMD-1811-39.pdf#page=3","Abrir facsímil")</f>
        <v>Abrir facsímil</v>
      </c>
      <c r="K8013" s="3" t="s">
        <v>150</v>
      </c>
    </row>
    <row r="8014" spans="1:11" ht="42" customHeight="1">
      <c r="A8014" s="2" t="s">
        <v>20369</v>
      </c>
      <c r="B8014" s="2" t="s">
        <v>20369</v>
      </c>
      <c r="C8014" s="2" t="s">
        <v>17</v>
      </c>
      <c r="D8014" s="2" t="s">
        <v>156</v>
      </c>
      <c r="E8014" s="4">
        <v>-32330</v>
      </c>
      <c r="F8014" s="3" t="s">
        <v>1824</v>
      </c>
      <c r="G8014" s="3" t="s">
        <v>2883</v>
      </c>
      <c r="H8014" s="2" t="s">
        <v>148</v>
      </c>
      <c r="I8014" s="2" t="s">
        <v>20373</v>
      </c>
      <c r="J8014" s="3" t="str">
        <f>HYPERLINK("https://www.boe.es/gazeta/dias/1811/06/25/pdfs/GEI-1811-84.pdf#page=8","Abrir facsímil")</f>
        <v>Abrir facsímil</v>
      </c>
      <c r="K8014" s="3" t="s">
        <v>150</v>
      </c>
    </row>
    <row r="8015" spans="1:11" ht="42" customHeight="1">
      <c r="A8015" s="2" t="s">
        <v>20369</v>
      </c>
      <c r="B8015" s="2" t="s">
        <v>20369</v>
      </c>
      <c r="C8015" s="2" t="s">
        <v>17</v>
      </c>
      <c r="D8015" s="2" t="s">
        <v>156</v>
      </c>
      <c r="E8015" s="4">
        <v>-32287</v>
      </c>
      <c r="F8015" s="3" t="s">
        <v>16946</v>
      </c>
      <c r="G8015" s="3" t="s">
        <v>1463</v>
      </c>
      <c r="H8015" s="2" t="s">
        <v>148</v>
      </c>
      <c r="I8015" s="2" t="s">
        <v>20374</v>
      </c>
      <c r="J8015" s="3" t="str">
        <f>HYPERLINK("https://www.boe.es/gazeta/dias/1811/08/07/pdfs/GMD-1811-219.pdf#page=3","Abrir facsímil")</f>
        <v>Abrir facsímil</v>
      </c>
      <c r="K8015" s="3" t="s">
        <v>150</v>
      </c>
    </row>
    <row r="8016" spans="1:11" ht="42" customHeight="1">
      <c r="A8016" s="2" t="s">
        <v>20369</v>
      </c>
      <c r="B8016" s="2" t="s">
        <v>20369</v>
      </c>
      <c r="C8016" s="2" t="s">
        <v>26</v>
      </c>
      <c r="D8016" s="2" t="s">
        <v>18</v>
      </c>
      <c r="E8016" s="4">
        <v>-32238</v>
      </c>
      <c r="F8016" s="3" t="s">
        <v>4075</v>
      </c>
      <c r="G8016" s="3" t="s">
        <v>248</v>
      </c>
      <c r="H8016" s="2" t="s">
        <v>148</v>
      </c>
      <c r="I8016" s="2" t="s">
        <v>20375</v>
      </c>
      <c r="J8016" s="3" t="str">
        <f>HYPERLINK("https://www.boe.es/gazeta/dias/1811/09/25/pdfs/GMD-1811-268.pdf#page=2","Abrir facsímil")</f>
        <v>Abrir facsímil</v>
      </c>
      <c r="K8016" s="3" t="s">
        <v>150</v>
      </c>
    </row>
    <row r="8017" spans="1:11" ht="42" customHeight="1">
      <c r="A8017" s="2" t="s">
        <v>20376</v>
      </c>
      <c r="B8017" s="2" t="s">
        <v>20376</v>
      </c>
      <c r="C8017" s="2" t="s">
        <v>17</v>
      </c>
      <c r="D8017" s="2" t="s">
        <v>18</v>
      </c>
      <c r="E8017" s="4">
        <v>-32171</v>
      </c>
      <c r="F8017" s="3" t="s">
        <v>157</v>
      </c>
      <c r="G8017" s="3" t="s">
        <v>6383</v>
      </c>
      <c r="H8017" s="2" t="s">
        <v>148</v>
      </c>
      <c r="I8017" s="2" t="s">
        <v>20377</v>
      </c>
      <c r="J8017" s="3" t="str">
        <f>HYPERLINK("https://www.boe.es/gazeta/dias/1811/12/01/pdfs/GMD-1811-335.pdf#page=3","Abrir facsímil")</f>
        <v>Abrir facsímil</v>
      </c>
      <c r="K8017" s="3" t="s">
        <v>150</v>
      </c>
    </row>
    <row r="8018" spans="1:11" ht="42" customHeight="1">
      <c r="A8018" s="2" t="s">
        <v>20378</v>
      </c>
      <c r="B8018" s="2" t="s">
        <v>20378</v>
      </c>
      <c r="C8018" s="2" t="s">
        <v>17</v>
      </c>
      <c r="D8018" s="2" t="s">
        <v>18</v>
      </c>
      <c r="E8018" s="4">
        <v>-32229</v>
      </c>
      <c r="F8018" s="3" t="s">
        <v>2523</v>
      </c>
      <c r="G8018" s="3" t="s">
        <v>4068</v>
      </c>
      <c r="H8018" s="2" t="s">
        <v>148</v>
      </c>
      <c r="I8018" s="2" t="s">
        <v>20379</v>
      </c>
      <c r="J8018" s="3" t="str">
        <f>HYPERLINK("https://www.boe.es/gazeta/dias/1811/10/04/pdfs/GMD-1811-277.pdf#page=2","Abrir facsímil")</f>
        <v>Abrir facsímil</v>
      </c>
      <c r="K8018" s="3" t="s">
        <v>150</v>
      </c>
    </row>
    <row r="8019" spans="1:11" ht="42" customHeight="1">
      <c r="A8019" s="2" t="s">
        <v>20380</v>
      </c>
      <c r="B8019" s="2" t="s">
        <v>20380</v>
      </c>
      <c r="C8019" s="2" t="s">
        <v>17</v>
      </c>
      <c r="D8019" s="2" t="s">
        <v>105</v>
      </c>
      <c r="E8019" s="4">
        <v>-32268</v>
      </c>
      <c r="F8019" s="3" t="s">
        <v>3683</v>
      </c>
      <c r="G8019" s="3" t="s">
        <v>657</v>
      </c>
      <c r="H8019" s="2" t="s">
        <v>148</v>
      </c>
      <c r="I8019" s="2" t="s">
        <v>20381</v>
      </c>
      <c r="J8019" s="3" t="str">
        <f>HYPERLINK("https://www.boe.es/gazeta/dias/1811/08/26/pdfs/GMD-1811-238.pdf#page=2","Abrir facsímil")</f>
        <v>Abrir facsímil</v>
      </c>
      <c r="K8019" s="3" t="s">
        <v>150</v>
      </c>
    </row>
    <row r="8020" spans="1:11" ht="42" customHeight="1">
      <c r="A8020" s="2" t="s">
        <v>20382</v>
      </c>
      <c r="B8020" s="2" t="s">
        <v>20383</v>
      </c>
      <c r="C8020" s="2" t="s">
        <v>17</v>
      </c>
      <c r="D8020" s="2" t="s">
        <v>156</v>
      </c>
      <c r="E8020" s="4">
        <v>-32361</v>
      </c>
      <c r="F8020" s="3" t="s">
        <v>1104</v>
      </c>
      <c r="G8020" s="3" t="s">
        <v>2213</v>
      </c>
      <c r="H8020" s="2" t="s">
        <v>148</v>
      </c>
      <c r="I8020" s="2" t="s">
        <v>20384</v>
      </c>
      <c r="J8020" s="3" t="str">
        <f>HYPERLINK("https://www.boe.es/gazeta/dias/1811/05/25/pdfs/GEI-1811-71.pdf#page=8","Abrir facsímil")</f>
        <v>Abrir facsímil</v>
      </c>
      <c r="K8020" s="3" t="s">
        <v>150</v>
      </c>
    </row>
    <row r="8021" spans="1:11" ht="42" customHeight="1">
      <c r="A8021" s="2" t="s">
        <v>20385</v>
      </c>
      <c r="B8021" s="2" t="s">
        <v>20386</v>
      </c>
      <c r="C8021" s="2" t="s">
        <v>17</v>
      </c>
      <c r="D8021" s="2" t="s">
        <v>141</v>
      </c>
      <c r="E8021" s="4">
        <v>-32167</v>
      </c>
      <c r="F8021" s="3" t="s">
        <v>347</v>
      </c>
      <c r="G8021" s="3" t="s">
        <v>183</v>
      </c>
      <c r="H8021" s="2" t="s">
        <v>148</v>
      </c>
      <c r="I8021" s="2" t="s">
        <v>20387</v>
      </c>
      <c r="J8021" s="3" t="str">
        <f>HYPERLINK("https://www.boe.es/gazeta/dias/1811/12/05/pdfs/GEI-D-1811-158.pdf#page=4","Abrir facsímil")</f>
        <v>Abrir facsímil</v>
      </c>
      <c r="K8021" s="3" t="s">
        <v>150</v>
      </c>
    </row>
    <row r="8022" spans="1:11" ht="42" customHeight="1">
      <c r="A8022" s="2" t="s">
        <v>20388</v>
      </c>
      <c r="B8022" s="2" t="s">
        <v>20388</v>
      </c>
      <c r="C8022" s="2" t="s">
        <v>17</v>
      </c>
      <c r="D8022" s="2" t="s">
        <v>18</v>
      </c>
      <c r="E8022" s="4">
        <v>-32285</v>
      </c>
      <c r="F8022" s="3" t="s">
        <v>3716</v>
      </c>
      <c r="G8022" s="3" t="s">
        <v>20389</v>
      </c>
      <c r="H8022" s="2" t="s">
        <v>148</v>
      </c>
      <c r="I8022" s="2" t="s">
        <v>20390</v>
      </c>
      <c r="J8022" s="3" t="str">
        <f>HYPERLINK("https://www.boe.es/gazeta/dias/1811/08/09/pdfs/GMD-1811-221.pdf#page=1","Abrir facsímil")</f>
        <v>Abrir facsímil</v>
      </c>
      <c r="K8022" s="3" t="s">
        <v>150</v>
      </c>
    </row>
    <row r="8023" spans="1:11" ht="42" customHeight="1">
      <c r="A8023" s="2" t="s">
        <v>20391</v>
      </c>
      <c r="B8023" s="2" t="s">
        <v>20392</v>
      </c>
      <c r="C8023" s="2" t="s">
        <v>26</v>
      </c>
      <c r="D8023" s="2" t="s">
        <v>18</v>
      </c>
      <c r="E8023" s="4">
        <v>-32288</v>
      </c>
      <c r="F8023" s="3" t="s">
        <v>95</v>
      </c>
      <c r="G8023" s="3" t="s">
        <v>47</v>
      </c>
      <c r="H8023" s="2" t="s">
        <v>148</v>
      </c>
      <c r="I8023" s="2" t="s">
        <v>20393</v>
      </c>
      <c r="J8023" s="3" t="str">
        <f>HYPERLINK("https://www.boe.es/gazeta/dias/1811/08/06/pdfs/GEI-1811-102.pdf#page=8","Abrir facsímil")</f>
        <v>Abrir facsímil</v>
      </c>
      <c r="K8023" s="3" t="s">
        <v>150</v>
      </c>
    </row>
    <row r="8024" spans="1:11" ht="42" customHeight="1">
      <c r="A8024" s="2" t="s">
        <v>20394</v>
      </c>
      <c r="B8024" s="2" t="s">
        <v>20394</v>
      </c>
      <c r="C8024" s="2" t="s">
        <v>17</v>
      </c>
      <c r="D8024" s="2" t="s">
        <v>18</v>
      </c>
      <c r="E8024" s="4">
        <v>-32219</v>
      </c>
      <c r="F8024" s="3" t="s">
        <v>2681</v>
      </c>
      <c r="G8024" s="3" t="s">
        <v>2682</v>
      </c>
      <c r="H8024" s="2" t="s">
        <v>148</v>
      </c>
      <c r="I8024" s="2" t="s">
        <v>20395</v>
      </c>
      <c r="J8024" s="3" t="str">
        <f>HYPERLINK("https://www.boe.es/gazeta/dias/1811/10/14/pdfs/GMD-1811-287.pdf#page=2","Abrir facsímil")</f>
        <v>Abrir facsímil</v>
      </c>
      <c r="K8024" s="3" t="s">
        <v>150</v>
      </c>
    </row>
    <row r="8025" spans="1:11" ht="42" customHeight="1">
      <c r="A8025" s="2" t="s">
        <v>20396</v>
      </c>
      <c r="B8025" s="2" t="s">
        <v>20396</v>
      </c>
      <c r="C8025" s="2" t="s">
        <v>26</v>
      </c>
      <c r="D8025" s="2" t="s">
        <v>18</v>
      </c>
      <c r="E8025" s="4">
        <v>-32291</v>
      </c>
      <c r="F8025" s="3" t="s">
        <v>13464</v>
      </c>
      <c r="G8025" s="3" t="s">
        <v>44</v>
      </c>
      <c r="H8025" s="2" t="s">
        <v>148</v>
      </c>
      <c r="I8025" s="2" t="s">
        <v>20397</v>
      </c>
      <c r="J8025" s="3" t="str">
        <f>HYPERLINK("https://www.boe.es/gazeta/dias/1811/08/03/pdfs/GMD-1811-215.pdf#page=2","Abrir facsímil")</f>
        <v>Abrir facsímil</v>
      </c>
      <c r="K8025" s="3" t="s">
        <v>150</v>
      </c>
    </row>
    <row r="8026" spans="1:11" ht="42" customHeight="1">
      <c r="A8026" s="2" t="s">
        <v>20396</v>
      </c>
      <c r="B8026" s="2" t="s">
        <v>20396</v>
      </c>
      <c r="C8026" s="2" t="s">
        <v>26</v>
      </c>
      <c r="D8026" s="2" t="s">
        <v>18</v>
      </c>
      <c r="E8026" s="4">
        <v>-32282</v>
      </c>
      <c r="F8026" s="3" t="s">
        <v>10800</v>
      </c>
      <c r="G8026" s="3" t="s">
        <v>1688</v>
      </c>
      <c r="H8026" s="2" t="s">
        <v>148</v>
      </c>
      <c r="I8026" s="2" t="s">
        <v>20398</v>
      </c>
      <c r="J8026" s="3" t="str">
        <f>HYPERLINK("https://www.boe.es/gazeta/dias/1811/08/12/pdfs/GMD-1811-224.pdf#page=1","Abrir facsímil")</f>
        <v>Abrir facsímil</v>
      </c>
      <c r="K8026" s="3" t="s">
        <v>150</v>
      </c>
    </row>
    <row r="8027" spans="1:11" ht="42" customHeight="1">
      <c r="A8027" s="2" t="s">
        <v>20396</v>
      </c>
      <c r="B8027" s="2" t="s">
        <v>20396</v>
      </c>
      <c r="C8027" s="2" t="s">
        <v>26</v>
      </c>
      <c r="D8027" s="2" t="s">
        <v>18</v>
      </c>
      <c r="E8027" s="4">
        <v>-32282</v>
      </c>
      <c r="F8027" s="3" t="s">
        <v>10800</v>
      </c>
      <c r="G8027" s="3" t="s">
        <v>91</v>
      </c>
      <c r="H8027" s="2" t="s">
        <v>148</v>
      </c>
      <c r="I8027" s="2" t="s">
        <v>20399</v>
      </c>
      <c r="J8027" s="3" t="str">
        <f>HYPERLINK("https://www.boe.es/gazeta/dias/1811/08/12/pdfs/GMD-1811-224.pdf#page=2","Abrir facsímil")</f>
        <v>Abrir facsímil</v>
      </c>
      <c r="K8027" s="3" t="s">
        <v>150</v>
      </c>
    </row>
    <row r="8028" spans="1:11" ht="42" customHeight="1">
      <c r="A8028" s="2" t="s">
        <v>20396</v>
      </c>
      <c r="B8028" s="2" t="s">
        <v>20396</v>
      </c>
      <c r="C8028" s="2" t="s">
        <v>26</v>
      </c>
      <c r="D8028" s="2" t="s">
        <v>18</v>
      </c>
      <c r="E8028" s="4">
        <v>-32280</v>
      </c>
      <c r="F8028" s="3" t="s">
        <v>7865</v>
      </c>
      <c r="G8028" s="3" t="s">
        <v>57</v>
      </c>
      <c r="H8028" s="2" t="s">
        <v>148</v>
      </c>
      <c r="I8028" s="2" t="s">
        <v>20400</v>
      </c>
      <c r="J8028" s="3" t="str">
        <f>HYPERLINK("https://www.boe.es/gazeta/dias/1811/08/14/pdfs/GMD-1811-226.pdf#page=2","Abrir facsímil")</f>
        <v>Abrir facsímil</v>
      </c>
      <c r="K8028" s="3" t="s">
        <v>150</v>
      </c>
    </row>
    <row r="8029" spans="1:11" ht="42" customHeight="1">
      <c r="A8029" s="2" t="s">
        <v>20396</v>
      </c>
      <c r="B8029" s="2" t="s">
        <v>20396</v>
      </c>
      <c r="C8029" s="2" t="s">
        <v>26</v>
      </c>
      <c r="D8029" s="2" t="s">
        <v>18</v>
      </c>
      <c r="E8029" s="4">
        <v>-32275</v>
      </c>
      <c r="F8029" s="3" t="s">
        <v>1277</v>
      </c>
      <c r="G8029" s="3" t="s">
        <v>727</v>
      </c>
      <c r="H8029" s="2" t="s">
        <v>148</v>
      </c>
      <c r="I8029" s="2" t="s">
        <v>20401</v>
      </c>
      <c r="J8029" s="3" t="str">
        <f>HYPERLINK("https://www.boe.es/gazeta/dias/1811/08/19/pdfs/GMD-1811-231.pdf#page=3","Abrir facsímil")</f>
        <v>Abrir facsímil</v>
      </c>
      <c r="K8029" s="3" t="s">
        <v>150</v>
      </c>
    </row>
    <row r="8030" spans="1:11" ht="42" customHeight="1">
      <c r="A8030" s="2" t="s">
        <v>20402</v>
      </c>
      <c r="B8030" s="2" t="s">
        <v>20402</v>
      </c>
      <c r="C8030" s="2" t="s">
        <v>17</v>
      </c>
      <c r="D8030" s="2" t="s">
        <v>18</v>
      </c>
      <c r="E8030" s="4">
        <v>-32307</v>
      </c>
      <c r="F8030" s="3" t="s">
        <v>2614</v>
      </c>
      <c r="G8030" s="3" t="s">
        <v>6574</v>
      </c>
      <c r="H8030" s="2" t="s">
        <v>148</v>
      </c>
      <c r="I8030" s="2" t="s">
        <v>20403</v>
      </c>
      <c r="J8030" s="3" t="str">
        <f>HYPERLINK("https://www.boe.es/gazeta/dias/1811/07/18/pdfs/GMD-1811-199.pdf#page=1","Abrir facsímil")</f>
        <v>Abrir facsímil</v>
      </c>
      <c r="K8030" s="3" t="s">
        <v>150</v>
      </c>
    </row>
    <row r="8031" spans="1:11" ht="42" customHeight="1">
      <c r="A8031" s="2" t="s">
        <v>20404</v>
      </c>
      <c r="B8031" s="2" t="s">
        <v>20405</v>
      </c>
      <c r="C8031" s="2" t="s">
        <v>66</v>
      </c>
      <c r="D8031" s="2" t="s">
        <v>18</v>
      </c>
      <c r="E8031" s="4">
        <v>-32358</v>
      </c>
      <c r="F8031" s="3" t="s">
        <v>3186</v>
      </c>
      <c r="G8031" s="3" t="s">
        <v>2604</v>
      </c>
      <c r="H8031" s="2" t="s">
        <v>148</v>
      </c>
      <c r="I8031" s="2" t="s">
        <v>20406</v>
      </c>
      <c r="J8031" s="3" t="str">
        <f>HYPERLINK("https://www.boe.es/gazeta/dias/1811/05/28/pdfs/GMD-1811-148.pdf#page=3","Abrir facsímil")</f>
        <v>Abrir facsímil</v>
      </c>
      <c r="K8031" s="3" t="s">
        <v>150</v>
      </c>
    </row>
    <row r="8032" spans="1:11" ht="42" customHeight="1">
      <c r="A8032" s="2" t="s">
        <v>20407</v>
      </c>
      <c r="B8032" s="2" t="s">
        <v>20407</v>
      </c>
      <c r="C8032" s="2" t="s">
        <v>26</v>
      </c>
      <c r="D8032" s="2" t="s">
        <v>18</v>
      </c>
      <c r="E8032" s="4">
        <v>-32334</v>
      </c>
      <c r="F8032" s="3" t="s">
        <v>20408</v>
      </c>
      <c r="G8032" s="3" t="s">
        <v>8265</v>
      </c>
      <c r="H8032" s="2" t="s">
        <v>148</v>
      </c>
      <c r="I8032" s="2" t="s">
        <v>20409</v>
      </c>
      <c r="J8032" s="3" t="str">
        <f>HYPERLINK("https://www.boe.es/gazeta/dias/1811/06/21/pdfs/GMD-1811-172.pdf#page=1","Abrir facsímil")</f>
        <v>Abrir facsímil</v>
      </c>
      <c r="K8032" s="3" t="s">
        <v>150</v>
      </c>
    </row>
    <row r="8033" spans="1:11" ht="42" customHeight="1">
      <c r="A8033" s="2" t="s">
        <v>20407</v>
      </c>
      <c r="B8033" s="2" t="s">
        <v>20407</v>
      </c>
      <c r="C8033" s="2" t="s">
        <v>26</v>
      </c>
      <c r="D8033" s="2" t="s">
        <v>18</v>
      </c>
      <c r="E8033" s="4">
        <v>-32216</v>
      </c>
      <c r="F8033" s="3" t="s">
        <v>5136</v>
      </c>
      <c r="G8033" s="3" t="s">
        <v>669</v>
      </c>
      <c r="H8033" s="2" t="s">
        <v>148</v>
      </c>
      <c r="I8033" s="2" t="s">
        <v>20410</v>
      </c>
      <c r="J8033" s="3" t="str">
        <f>HYPERLINK("https://www.boe.es/gazeta/dias/1811/10/17/pdfs/GMD-1811-290.pdf#page=1","Abrir facsímil")</f>
        <v>Abrir facsímil</v>
      </c>
      <c r="K8033" s="3" t="s">
        <v>150</v>
      </c>
    </row>
    <row r="8034" spans="1:11" ht="42" customHeight="1">
      <c r="A8034" s="2" t="s">
        <v>20411</v>
      </c>
      <c r="B8034" s="2" t="s">
        <v>20411</v>
      </c>
      <c r="C8034" s="2" t="s">
        <v>26</v>
      </c>
      <c r="D8034" s="2" t="s">
        <v>18</v>
      </c>
      <c r="E8034" s="4">
        <v>-32163</v>
      </c>
      <c r="F8034" s="3" t="s">
        <v>497</v>
      </c>
      <c r="G8034" s="3" t="s">
        <v>6458</v>
      </c>
      <c r="H8034" s="2" t="s">
        <v>148</v>
      </c>
      <c r="I8034" s="2" t="s">
        <v>20412</v>
      </c>
      <c r="J8034" s="3" t="str">
        <f>HYPERLINK("https://www.boe.es/gazeta/dias/1811/12/09/pdfs/GMD-1811-343.pdf#page=2","Abrir facsímil")</f>
        <v>Abrir facsímil</v>
      </c>
      <c r="K8034" s="3" t="s">
        <v>150</v>
      </c>
    </row>
    <row r="8035" spans="1:11" ht="42" customHeight="1">
      <c r="A8035" s="2" t="s">
        <v>20413</v>
      </c>
      <c r="B8035" s="2" t="s">
        <v>20413</v>
      </c>
      <c r="C8035" s="2" t="s">
        <v>26</v>
      </c>
      <c r="D8035" s="2" t="s">
        <v>18</v>
      </c>
      <c r="E8035" s="4">
        <v>-32258</v>
      </c>
      <c r="F8035" s="3" t="s">
        <v>7467</v>
      </c>
      <c r="G8035" s="3" t="s">
        <v>515</v>
      </c>
      <c r="H8035" s="2" t="s">
        <v>148</v>
      </c>
      <c r="I8035" s="2" t="s">
        <v>20414</v>
      </c>
      <c r="J8035" s="3" t="str">
        <f>HYPERLINK("https://www.boe.es/gazeta/dias/1811/09/05/pdfs/GMD-1811-248.pdf#page=1","Abrir facsímil")</f>
        <v>Abrir facsímil</v>
      </c>
      <c r="K8035" s="3" t="s">
        <v>150</v>
      </c>
    </row>
    <row r="8036" spans="1:11" ht="42" customHeight="1">
      <c r="A8036" s="2" t="s">
        <v>20415</v>
      </c>
      <c r="B8036" s="2" t="s">
        <v>20415</v>
      </c>
      <c r="C8036" s="2" t="s">
        <v>37</v>
      </c>
      <c r="D8036" s="2" t="s">
        <v>18</v>
      </c>
      <c r="E8036" s="4">
        <v>-32345</v>
      </c>
      <c r="F8036" s="3" t="s">
        <v>9686</v>
      </c>
      <c r="G8036" s="3" t="s">
        <v>9687</v>
      </c>
      <c r="H8036" s="2" t="s">
        <v>148</v>
      </c>
      <c r="I8036" s="2" t="s">
        <v>20416</v>
      </c>
      <c r="J8036" s="3" t="str">
        <f>HYPERLINK("https://www.boe.es/gazeta/dias/1811/06/10/pdfs/GMD-1811-161.pdf#page=1","Abrir facsímil")</f>
        <v>Abrir facsímil</v>
      </c>
      <c r="K8036" s="3" t="s">
        <v>150</v>
      </c>
    </row>
    <row r="8037" spans="1:11" ht="42" customHeight="1">
      <c r="A8037" s="2" t="s">
        <v>20417</v>
      </c>
      <c r="B8037" s="2" t="s">
        <v>20417</v>
      </c>
      <c r="C8037" s="2" t="s">
        <v>17</v>
      </c>
      <c r="D8037" s="2" t="s">
        <v>204</v>
      </c>
      <c r="E8037" s="4">
        <v>-32147</v>
      </c>
      <c r="F8037" s="3" t="s">
        <v>1922</v>
      </c>
      <c r="G8037" s="3" t="s">
        <v>20418</v>
      </c>
      <c r="H8037" s="2" t="s">
        <v>148</v>
      </c>
      <c r="I8037" s="2" t="s">
        <v>20419</v>
      </c>
      <c r="J8037" s="3" t="str">
        <f>HYPERLINK("https://www.boe.es/gazeta/dias/1811/12/25/pdfs/GMD-1811-359.pdf#page=2","Abrir facsímil")</f>
        <v>Abrir facsímil</v>
      </c>
      <c r="K8037" s="3" t="s">
        <v>150</v>
      </c>
    </row>
    <row r="8038" spans="1:11" ht="42" customHeight="1">
      <c r="A8038" s="2" t="s">
        <v>20420</v>
      </c>
      <c r="B8038" s="2" t="s">
        <v>20420</v>
      </c>
      <c r="C8038" s="2" t="s">
        <v>37</v>
      </c>
      <c r="D8038" s="2" t="s">
        <v>18</v>
      </c>
      <c r="E8038" s="4">
        <v>-32232</v>
      </c>
      <c r="F8038" s="3" t="s">
        <v>1879</v>
      </c>
      <c r="G8038" s="3" t="s">
        <v>120</v>
      </c>
      <c r="H8038" s="2" t="s">
        <v>148</v>
      </c>
      <c r="I8038" s="2" t="s">
        <v>20421</v>
      </c>
      <c r="J8038" s="3" t="str">
        <f>HYPERLINK("https://www.boe.es/gazeta/dias/1811/10/01/pdfs/GMD-1811-274.pdf#page=1","Abrir facsímil")</f>
        <v>Abrir facsímil</v>
      </c>
      <c r="K8038" s="3" t="s">
        <v>150</v>
      </c>
    </row>
    <row r="8039" spans="1:11" ht="42" customHeight="1">
      <c r="A8039" s="2" t="s">
        <v>20422</v>
      </c>
      <c r="B8039" s="2" t="s">
        <v>20422</v>
      </c>
      <c r="C8039" s="2" t="s">
        <v>26</v>
      </c>
      <c r="D8039" s="2" t="s">
        <v>18</v>
      </c>
      <c r="E8039" s="4">
        <v>-32316</v>
      </c>
      <c r="F8039" s="3" t="s">
        <v>6733</v>
      </c>
      <c r="G8039" s="3" t="s">
        <v>20423</v>
      </c>
      <c r="H8039" s="2" t="s">
        <v>148</v>
      </c>
      <c r="I8039" s="2" t="s">
        <v>20424</v>
      </c>
      <c r="J8039" s="3" t="str">
        <f>HYPERLINK("https://www.boe.es/gazeta/dias/1811/07/09/pdfs/GMD-1811-190.pdf#page=2","Abrir facsímil")</f>
        <v>Abrir facsímil</v>
      </c>
      <c r="K8039" s="3" t="s">
        <v>150</v>
      </c>
    </row>
    <row r="8040" spans="1:11" ht="42" customHeight="1">
      <c r="A8040" s="2" t="s">
        <v>20425</v>
      </c>
      <c r="B8040" s="2" t="s">
        <v>20425</v>
      </c>
      <c r="C8040" s="2" t="s">
        <v>17</v>
      </c>
      <c r="D8040" s="2" t="s">
        <v>18</v>
      </c>
      <c r="E8040" s="4">
        <v>-32491</v>
      </c>
      <c r="F8040" s="3" t="s">
        <v>2280</v>
      </c>
      <c r="G8040" s="3" t="s">
        <v>115</v>
      </c>
      <c r="H8040" s="2" t="s">
        <v>148</v>
      </c>
      <c r="I8040" s="2" t="s">
        <v>20426</v>
      </c>
      <c r="J8040" s="3" t="str">
        <f>HYPERLINK("https://www.boe.es/gazeta/dias/1811/01/15/pdfs/GMD-1811-15.pdf#page=3","Abrir facsímil")</f>
        <v>Abrir facsímil</v>
      </c>
      <c r="K8040" s="3" t="s">
        <v>150</v>
      </c>
    </row>
    <row r="8041" spans="1:11" ht="42" customHeight="1">
      <c r="A8041" s="2" t="s">
        <v>20425</v>
      </c>
      <c r="B8041" s="2" t="s">
        <v>20425</v>
      </c>
      <c r="C8041" s="2" t="s">
        <v>17</v>
      </c>
      <c r="D8041" s="2" t="s">
        <v>156</v>
      </c>
      <c r="E8041" s="4">
        <v>-32295</v>
      </c>
      <c r="F8041" s="3" t="s">
        <v>6168</v>
      </c>
      <c r="G8041" s="3" t="s">
        <v>44</v>
      </c>
      <c r="H8041" s="2" t="s">
        <v>148</v>
      </c>
      <c r="I8041" s="2" t="s">
        <v>20427</v>
      </c>
      <c r="J8041" s="3" t="str">
        <f>HYPERLINK("https://www.boe.es/gazeta/dias/1811/07/30/pdfs/GMD-1811-211.pdf#page=2","Abrir facsímil")</f>
        <v>Abrir facsímil</v>
      </c>
      <c r="K8041" s="3" t="s">
        <v>150</v>
      </c>
    </row>
    <row r="8042" spans="1:11" ht="42" customHeight="1">
      <c r="A8042" s="2" t="s">
        <v>20425</v>
      </c>
      <c r="B8042" s="2" t="s">
        <v>20425</v>
      </c>
      <c r="C8042" s="2" t="s">
        <v>17</v>
      </c>
      <c r="D8042" s="2" t="s">
        <v>18</v>
      </c>
      <c r="E8042" s="4">
        <v>-32257</v>
      </c>
      <c r="F8042" s="3" t="s">
        <v>1093</v>
      </c>
      <c r="G8042" s="3" t="s">
        <v>44</v>
      </c>
      <c r="H8042" s="2" t="s">
        <v>148</v>
      </c>
      <c r="I8042" s="2" t="s">
        <v>20428</v>
      </c>
      <c r="J8042" s="3" t="str">
        <f>HYPERLINK("https://www.boe.es/gazeta/dias/1811/09/06/pdfs/GMD-1811-249.pdf#page=2","Abrir facsímil")</f>
        <v>Abrir facsímil</v>
      </c>
      <c r="K8042" s="3" t="s">
        <v>150</v>
      </c>
    </row>
    <row r="8043" spans="1:11" ht="42" customHeight="1">
      <c r="A8043" s="2" t="s">
        <v>20429</v>
      </c>
      <c r="B8043" s="2" t="s">
        <v>20430</v>
      </c>
      <c r="C8043" s="2" t="s">
        <v>17</v>
      </c>
      <c r="D8043" s="2" t="s">
        <v>18</v>
      </c>
      <c r="E8043" s="4">
        <v>-32349</v>
      </c>
      <c r="F8043" s="3" t="s">
        <v>239</v>
      </c>
      <c r="G8043" s="3" t="s">
        <v>240</v>
      </c>
      <c r="H8043" s="2" t="s">
        <v>148</v>
      </c>
      <c r="I8043" s="2" t="s">
        <v>20431</v>
      </c>
      <c r="J8043" s="3" t="str">
        <f>HYPERLINK("https://www.boe.es/gazeta/dias/1811/06/06/pdfs/GEI-1811-76.pdf#page=6","Abrir facsímil")</f>
        <v>Abrir facsímil</v>
      </c>
      <c r="K8043" s="3" t="s">
        <v>150</v>
      </c>
    </row>
    <row r="8044" spans="1:11" ht="42" customHeight="1">
      <c r="A8044" s="2" t="s">
        <v>20432</v>
      </c>
      <c r="B8044" s="2" t="s">
        <v>20432</v>
      </c>
      <c r="C8044" s="2" t="s">
        <v>37</v>
      </c>
      <c r="D8044" s="2" t="s">
        <v>18</v>
      </c>
      <c r="E8044" s="4">
        <v>-32427</v>
      </c>
      <c r="F8044" s="3" t="s">
        <v>2696</v>
      </c>
      <c r="G8044" s="3" t="s">
        <v>91</v>
      </c>
      <c r="H8044" s="2" t="s">
        <v>148</v>
      </c>
      <c r="I8044" s="2" t="s">
        <v>20433</v>
      </c>
      <c r="J8044" s="3" t="str">
        <f>HYPERLINK("https://www.boe.es/gazeta/dias/1811/03/20/pdfs/GMD-1811-79.pdf#page=2","Abrir facsímil")</f>
        <v>Abrir facsímil</v>
      </c>
      <c r="K8044" s="3" t="s">
        <v>150</v>
      </c>
    </row>
    <row r="8045" spans="1:11" ht="42" customHeight="1">
      <c r="A8045" s="2" t="s">
        <v>20434</v>
      </c>
      <c r="B8045" s="2" t="s">
        <v>20434</v>
      </c>
      <c r="C8045" s="2" t="s">
        <v>17</v>
      </c>
      <c r="D8045" s="2" t="s">
        <v>18</v>
      </c>
      <c r="E8045" s="4">
        <v>-32411</v>
      </c>
      <c r="F8045" s="3" t="s">
        <v>986</v>
      </c>
      <c r="G8045" s="3" t="s">
        <v>755</v>
      </c>
      <c r="H8045" s="2" t="s">
        <v>148</v>
      </c>
      <c r="I8045" s="2" t="s">
        <v>20435</v>
      </c>
      <c r="J8045" s="3" t="str">
        <f>HYPERLINK("https://www.boe.es/gazeta/dias/1811/04/05/pdfs/GMD-1811-95.pdf#page=2","Abrir facsímil")</f>
        <v>Abrir facsímil</v>
      </c>
      <c r="K8045" s="3" t="s">
        <v>150</v>
      </c>
    </row>
    <row r="8046" spans="1:11" ht="42" customHeight="1">
      <c r="A8046" s="2" t="s">
        <v>20436</v>
      </c>
      <c r="B8046" s="2" t="s">
        <v>20436</v>
      </c>
      <c r="C8046" s="2" t="s">
        <v>26</v>
      </c>
      <c r="D8046" s="2" t="s">
        <v>18</v>
      </c>
      <c r="E8046" s="4">
        <v>-32247</v>
      </c>
      <c r="F8046" s="3" t="s">
        <v>12590</v>
      </c>
      <c r="G8046" s="3" t="s">
        <v>91</v>
      </c>
      <c r="H8046" s="2" t="s">
        <v>148</v>
      </c>
      <c r="I8046" s="2" t="s">
        <v>20437</v>
      </c>
      <c r="J8046" s="3" t="str">
        <f>HYPERLINK("https://www.boe.es/gazeta/dias/1811/09/16/pdfs/GMD-1811-259.pdf#page=1","Abrir facsímil")</f>
        <v>Abrir facsímil</v>
      </c>
      <c r="K8046" s="3" t="s">
        <v>150</v>
      </c>
    </row>
    <row r="8047" spans="1:11" ht="42" customHeight="1">
      <c r="A8047" s="2" t="s">
        <v>20438</v>
      </c>
      <c r="B8047" s="2" t="s">
        <v>20438</v>
      </c>
      <c r="C8047" s="2" t="s">
        <v>26</v>
      </c>
      <c r="D8047" s="2" t="s">
        <v>18</v>
      </c>
      <c r="E8047" s="4">
        <v>-32291</v>
      </c>
      <c r="F8047" s="3" t="s">
        <v>13464</v>
      </c>
      <c r="G8047" s="3" t="s">
        <v>44</v>
      </c>
      <c r="H8047" s="2" t="s">
        <v>148</v>
      </c>
      <c r="I8047" s="2" t="s">
        <v>20439</v>
      </c>
      <c r="J8047" s="3" t="str">
        <f>HYPERLINK("https://www.boe.es/gazeta/dias/1811/08/03/pdfs/GMD-1811-215.pdf#page=2","Abrir facsímil")</f>
        <v>Abrir facsímil</v>
      </c>
      <c r="K8047" s="3" t="s">
        <v>150</v>
      </c>
    </row>
    <row r="8048" spans="1:11" ht="42" customHeight="1">
      <c r="A8048" s="2" t="s">
        <v>20440</v>
      </c>
      <c r="B8048" s="2" t="s">
        <v>20440</v>
      </c>
      <c r="C8048" s="2" t="s">
        <v>17</v>
      </c>
      <c r="D8048" s="2" t="s">
        <v>141</v>
      </c>
      <c r="E8048" s="4">
        <v>-32330</v>
      </c>
      <c r="F8048" s="3" t="s">
        <v>1713</v>
      </c>
      <c r="G8048" s="3" t="s">
        <v>91</v>
      </c>
      <c r="H8048" s="2" t="s">
        <v>148</v>
      </c>
      <c r="I8048" s="2" t="s">
        <v>20441</v>
      </c>
      <c r="J8048" s="3" t="str">
        <f>HYPERLINK("https://www.boe.es/gazeta/dias/1811/06/25/pdfs/GEI-D-1811-84.pdf#page=8","Abrir facsímil")</f>
        <v>Abrir facsímil</v>
      </c>
      <c r="K8048" s="3" t="s">
        <v>150</v>
      </c>
    </row>
    <row r="8049" spans="1:11" ht="42" customHeight="1">
      <c r="A8049" s="2" t="s">
        <v>20442</v>
      </c>
      <c r="B8049" s="2" t="s">
        <v>20442</v>
      </c>
      <c r="C8049" s="2" t="s">
        <v>26</v>
      </c>
      <c r="D8049" s="2" t="s">
        <v>18</v>
      </c>
      <c r="E8049" s="4">
        <v>-32308</v>
      </c>
      <c r="F8049" s="3" t="s">
        <v>4572</v>
      </c>
      <c r="G8049" s="3" t="s">
        <v>881</v>
      </c>
      <c r="H8049" s="2" t="s">
        <v>148</v>
      </c>
      <c r="I8049" s="2" t="s">
        <v>20443</v>
      </c>
      <c r="J8049" s="3" t="str">
        <f>HYPERLINK("https://www.boe.es/gazeta/dias/1811/07/17/pdfs/GMD-1811-198.pdf#page=1","Abrir facsímil")</f>
        <v>Abrir facsímil</v>
      </c>
      <c r="K8049" s="3" t="s">
        <v>150</v>
      </c>
    </row>
    <row r="8050" spans="1:11" ht="42" customHeight="1">
      <c r="A8050" s="2" t="s">
        <v>20444</v>
      </c>
      <c r="B8050" s="2" t="s">
        <v>20445</v>
      </c>
      <c r="C8050" s="2" t="s">
        <v>26</v>
      </c>
      <c r="D8050" s="2" t="s">
        <v>18</v>
      </c>
      <c r="E8050" s="4">
        <v>-32181</v>
      </c>
      <c r="F8050" s="3" t="s">
        <v>1169</v>
      </c>
      <c r="G8050" s="3" t="s">
        <v>1170</v>
      </c>
      <c r="H8050" s="2" t="s">
        <v>148</v>
      </c>
      <c r="I8050" s="2" t="s">
        <v>20446</v>
      </c>
      <c r="J8050" s="3" t="str">
        <f>HYPERLINK("https://www.boe.es/gazeta/dias/1811/11/21/pdfs/GMD-1811-325.pdf#page=4","Abrir facsímil")</f>
        <v>Abrir facsímil</v>
      </c>
      <c r="K8050" s="3" t="s">
        <v>150</v>
      </c>
    </row>
    <row r="8051" spans="1:11" ht="42" customHeight="1">
      <c r="A8051" s="2" t="s">
        <v>20447</v>
      </c>
      <c r="B8051" s="2" t="s">
        <v>20447</v>
      </c>
      <c r="C8051" s="2" t="s">
        <v>17</v>
      </c>
      <c r="D8051" s="2" t="s">
        <v>18</v>
      </c>
      <c r="E8051" s="4">
        <v>-32148</v>
      </c>
      <c r="F8051" s="3" t="s">
        <v>3028</v>
      </c>
      <c r="G8051" s="3" t="s">
        <v>846</v>
      </c>
      <c r="H8051" s="2" t="s">
        <v>148</v>
      </c>
      <c r="I8051" s="2" t="s">
        <v>20448</v>
      </c>
      <c r="J8051" s="3" t="str">
        <f>HYPERLINK("https://www.boe.es/gazeta/dias/1811/12/24/pdfs/GMD-1811-358.pdf#page=2","Abrir facsímil")</f>
        <v>Abrir facsímil</v>
      </c>
      <c r="K8051" s="3" t="s">
        <v>150</v>
      </c>
    </row>
    <row r="8052" spans="1:11" ht="42" customHeight="1">
      <c r="A8052" s="2" t="s">
        <v>20449</v>
      </c>
      <c r="B8052" s="2" t="s">
        <v>20449</v>
      </c>
      <c r="C8052" s="2" t="s">
        <v>17</v>
      </c>
      <c r="D8052" s="2" t="s">
        <v>18</v>
      </c>
      <c r="E8052" s="4">
        <v>-32349</v>
      </c>
      <c r="F8052" s="3" t="s">
        <v>239</v>
      </c>
      <c r="G8052" s="3" t="s">
        <v>4509</v>
      </c>
      <c r="H8052" s="2" t="s">
        <v>148</v>
      </c>
      <c r="I8052" s="2" t="s">
        <v>20450</v>
      </c>
      <c r="J8052" s="3" t="str">
        <f>HYPERLINK("https://www.boe.es/gazeta/dias/1811/06/06/pdfs/GEI-1811-76.pdf#page=5","Abrir facsímil")</f>
        <v>Abrir facsímil</v>
      </c>
      <c r="K8052" s="3" t="s">
        <v>150</v>
      </c>
    </row>
    <row r="8053" spans="1:11" ht="42" customHeight="1">
      <c r="A8053" s="2" t="s">
        <v>20451</v>
      </c>
      <c r="B8053" s="2" t="s">
        <v>20452</v>
      </c>
      <c r="C8053" s="2" t="s">
        <v>17</v>
      </c>
      <c r="D8053" s="2" t="s">
        <v>18</v>
      </c>
      <c r="E8053" s="4">
        <v>-32461</v>
      </c>
      <c r="F8053" s="3" t="s">
        <v>2429</v>
      </c>
      <c r="G8053" s="3" t="s">
        <v>553</v>
      </c>
      <c r="H8053" s="2" t="s">
        <v>148</v>
      </c>
      <c r="I8053" s="2" t="s">
        <v>20453</v>
      </c>
      <c r="J8053" s="3" t="str">
        <f>HYPERLINK("https://www.boe.es/gazeta/dias/1811/02/14/pdfs/GEI-1811-20.pdf#page=1","Abrir facsímil")</f>
        <v>Abrir facsímil</v>
      </c>
      <c r="K8053" s="3" t="s">
        <v>150</v>
      </c>
    </row>
    <row r="8054" spans="1:11" ht="42" customHeight="1">
      <c r="A8054" s="2" t="s">
        <v>20454</v>
      </c>
      <c r="B8054" s="2" t="s">
        <v>20455</v>
      </c>
      <c r="C8054" s="2" t="s">
        <v>26</v>
      </c>
      <c r="D8054" s="2" t="s">
        <v>18</v>
      </c>
      <c r="E8054" s="4">
        <v>-32379</v>
      </c>
      <c r="F8054" s="3" t="s">
        <v>462</v>
      </c>
      <c r="G8054" s="3" t="s">
        <v>463</v>
      </c>
      <c r="H8054" s="2" t="s">
        <v>148</v>
      </c>
      <c r="I8054" s="2" t="s">
        <v>20456</v>
      </c>
      <c r="J8054" s="3" t="str">
        <f>HYPERLINK("https://www.boe.es/gazeta/dias/1811/05/07/pdfs/GEI-1811-60.pdf#page=8","Abrir facsímil")</f>
        <v>Abrir facsímil</v>
      </c>
      <c r="K8054" s="3" t="s">
        <v>150</v>
      </c>
    </row>
    <row r="8055" spans="1:11" ht="42" customHeight="1">
      <c r="A8055" s="2" t="s">
        <v>20457</v>
      </c>
      <c r="B8055" s="2" t="s">
        <v>20458</v>
      </c>
      <c r="C8055" s="2" t="s">
        <v>26</v>
      </c>
      <c r="D8055" s="2" t="s">
        <v>18</v>
      </c>
      <c r="E8055" s="4">
        <v>-32174</v>
      </c>
      <c r="F8055" s="3" t="s">
        <v>172</v>
      </c>
      <c r="G8055" s="3" t="s">
        <v>6991</v>
      </c>
      <c r="H8055" s="2" t="s">
        <v>148</v>
      </c>
      <c r="I8055" s="2" t="s">
        <v>20459</v>
      </c>
      <c r="J8055" s="3" t="str">
        <f>HYPERLINK("https://www.boe.es/gazeta/dias/1811/11/28/pdfs/GEI-1811-155.pdf#page=6","Abrir facsímil")</f>
        <v>Abrir facsímil</v>
      </c>
      <c r="K8055" s="3" t="s">
        <v>150</v>
      </c>
    </row>
    <row r="8056" spans="1:11" ht="42" customHeight="1">
      <c r="A8056" s="2" t="s">
        <v>20460</v>
      </c>
      <c r="B8056" s="2" t="s">
        <v>20461</v>
      </c>
      <c r="C8056" s="2" t="s">
        <v>17</v>
      </c>
      <c r="D8056" s="2" t="s">
        <v>156</v>
      </c>
      <c r="E8056" s="4">
        <v>-32211</v>
      </c>
      <c r="F8056" s="3" t="s">
        <v>1074</v>
      </c>
      <c r="G8056" s="3" t="s">
        <v>1058</v>
      </c>
      <c r="H8056" s="2" t="s">
        <v>148</v>
      </c>
      <c r="I8056" s="2" t="s">
        <v>20462</v>
      </c>
      <c r="J8056" s="3" t="str">
        <f>HYPERLINK("https://www.boe.es/gazeta/dias/1811/10/22/pdfs/GEI-1811-136.pdf#page=6","Abrir facsímil")</f>
        <v>Abrir facsímil</v>
      </c>
      <c r="K8056" s="3" t="s">
        <v>150</v>
      </c>
    </row>
    <row r="8057" spans="1:11" ht="42" customHeight="1">
      <c r="A8057" s="2" t="s">
        <v>20463</v>
      </c>
      <c r="B8057" s="2" t="s">
        <v>20464</v>
      </c>
      <c r="C8057" s="2" t="s">
        <v>26</v>
      </c>
      <c r="D8057" s="2" t="s">
        <v>18</v>
      </c>
      <c r="E8057" s="4">
        <v>-32237</v>
      </c>
      <c r="F8057" s="3" t="s">
        <v>717</v>
      </c>
      <c r="G8057" s="3" t="s">
        <v>47</v>
      </c>
      <c r="H8057" s="2" t="s">
        <v>148</v>
      </c>
      <c r="I8057" s="2" t="s">
        <v>20465</v>
      </c>
      <c r="J8057" s="3" t="str">
        <f>HYPERLINK("https://www.boe.es/gazeta/dias/1811/09/26/pdfs/GEI-1811-124.pdf#page=4","Abrir facsímil")</f>
        <v>Abrir facsímil</v>
      </c>
      <c r="K8057" s="3" t="s">
        <v>150</v>
      </c>
    </row>
    <row r="8058" spans="1:11" ht="42" customHeight="1">
      <c r="A8058" s="2" t="s">
        <v>20466</v>
      </c>
      <c r="B8058" s="2" t="s">
        <v>20467</v>
      </c>
      <c r="C8058" s="2" t="s">
        <v>26</v>
      </c>
      <c r="D8058" s="2" t="s">
        <v>18</v>
      </c>
      <c r="E8058" s="4">
        <v>-32416</v>
      </c>
      <c r="F8058" s="3" t="s">
        <v>954</v>
      </c>
      <c r="G8058" s="3" t="s">
        <v>47</v>
      </c>
      <c r="H8058" s="2" t="s">
        <v>148</v>
      </c>
      <c r="I8058" s="2" t="s">
        <v>20468</v>
      </c>
      <c r="J8058" s="3" t="str">
        <f>HYPERLINK("https://www.boe.es/gazeta/dias/1811/03/31/pdfs/GMD-1811-90.pdf#page=3","Abrir facsímil")</f>
        <v>Abrir facsímil</v>
      </c>
      <c r="K8058" s="3" t="s">
        <v>150</v>
      </c>
    </row>
    <row r="8059" spans="1:11" ht="42" customHeight="1">
      <c r="A8059" s="2" t="s">
        <v>20469</v>
      </c>
      <c r="B8059" s="2" t="s">
        <v>20469</v>
      </c>
      <c r="C8059" s="2" t="s">
        <v>17</v>
      </c>
      <c r="D8059" s="2" t="s">
        <v>18</v>
      </c>
      <c r="E8059" s="4">
        <v>-32306</v>
      </c>
      <c r="F8059" s="3" t="s">
        <v>3878</v>
      </c>
      <c r="G8059" s="3" t="s">
        <v>44</v>
      </c>
      <c r="H8059" s="2" t="s">
        <v>148</v>
      </c>
      <c r="I8059" s="2" t="s">
        <v>20470</v>
      </c>
      <c r="J8059" s="3" t="str">
        <f>HYPERLINK("https://www.boe.es/gazeta/dias/1811/07/19/pdfs/GMD-1811-200.pdf#page=2","Abrir facsímil")</f>
        <v>Abrir facsímil</v>
      </c>
      <c r="K8059" s="3" t="s">
        <v>150</v>
      </c>
    </row>
    <row r="8060" spans="1:11" ht="42" customHeight="1">
      <c r="A8060" s="2" t="s">
        <v>20471</v>
      </c>
      <c r="B8060" s="2" t="s">
        <v>20471</v>
      </c>
      <c r="C8060" s="2" t="s">
        <v>104</v>
      </c>
      <c r="D8060" s="2" t="s">
        <v>18</v>
      </c>
      <c r="E8060" s="4">
        <v>-32284</v>
      </c>
      <c r="F8060" s="3" t="s">
        <v>2818</v>
      </c>
      <c r="G8060" s="3" t="s">
        <v>115</v>
      </c>
      <c r="H8060" s="2" t="s">
        <v>148</v>
      </c>
      <c r="I8060" s="2" t="s">
        <v>20472</v>
      </c>
      <c r="J8060" s="3" t="str">
        <f>HYPERLINK("https://www.boe.es/gazeta/dias/1811/08/10/pdfs/GMD-1811-222.pdf#page=3","Abrir facsímil")</f>
        <v>Abrir facsímil</v>
      </c>
      <c r="K8060" s="3" t="s">
        <v>150</v>
      </c>
    </row>
    <row r="8061" spans="1:11" ht="42" customHeight="1">
      <c r="A8061" s="2" t="s">
        <v>20473</v>
      </c>
      <c r="B8061" s="2" t="s">
        <v>20473</v>
      </c>
      <c r="C8061" s="2" t="s">
        <v>17</v>
      </c>
      <c r="D8061" s="2" t="s">
        <v>18</v>
      </c>
      <c r="E8061" s="4">
        <v>-32495</v>
      </c>
      <c r="F8061" s="3" t="s">
        <v>1681</v>
      </c>
      <c r="G8061" s="3" t="s">
        <v>129</v>
      </c>
      <c r="H8061" s="2" t="s">
        <v>148</v>
      </c>
      <c r="I8061" s="2" t="s">
        <v>20474</v>
      </c>
      <c r="J8061" s="3" t="str">
        <f>HYPERLINK("https://www.boe.es/gazeta/dias/1811/01/11/pdfs/GMD-1811-11.pdf#page=4","Abrir facsímil")</f>
        <v>Abrir facsímil</v>
      </c>
      <c r="K8061" s="3" t="s">
        <v>150</v>
      </c>
    </row>
    <row r="8062" spans="1:11" ht="42" customHeight="1">
      <c r="A8062" s="2" t="s">
        <v>20475</v>
      </c>
      <c r="B8062" s="2" t="s">
        <v>20475</v>
      </c>
      <c r="C8062" s="2" t="s">
        <v>26</v>
      </c>
      <c r="D8062" s="2" t="s">
        <v>204</v>
      </c>
      <c r="E8062" s="4">
        <v>-32445</v>
      </c>
      <c r="F8062" s="3" t="s">
        <v>880</v>
      </c>
      <c r="G8062" s="3" t="s">
        <v>881</v>
      </c>
      <c r="H8062" s="2" t="s">
        <v>148</v>
      </c>
      <c r="I8062" s="2" t="s">
        <v>20476</v>
      </c>
      <c r="J8062" s="3" t="str">
        <f>HYPERLINK("https://www.boe.es/gazeta/dias/1811/03/02/pdfs/GMD-1811-61.pdf#page=3","Abrir facsímil")</f>
        <v>Abrir facsímil</v>
      </c>
      <c r="K8062" s="3" t="s">
        <v>150</v>
      </c>
    </row>
    <row r="8063" spans="1:11" ht="42" customHeight="1">
      <c r="A8063" s="2" t="s">
        <v>20475</v>
      </c>
      <c r="B8063" s="2" t="s">
        <v>20475</v>
      </c>
      <c r="C8063" s="2" t="s">
        <v>17</v>
      </c>
      <c r="D8063" s="2" t="s">
        <v>156</v>
      </c>
      <c r="E8063" s="4">
        <v>-32274</v>
      </c>
      <c r="F8063" s="3" t="s">
        <v>988</v>
      </c>
      <c r="G8063" s="3" t="s">
        <v>976</v>
      </c>
      <c r="H8063" s="2" t="s">
        <v>148</v>
      </c>
      <c r="I8063" s="2" t="s">
        <v>20477</v>
      </c>
      <c r="J8063" s="3" t="str">
        <f>HYPERLINK("https://www.boe.es/gazeta/dias/1811/08/20/pdfs/GMD-1811-232.pdf#page=4","Abrir facsímil")</f>
        <v>Abrir facsímil</v>
      </c>
      <c r="K8063" s="3" t="s">
        <v>150</v>
      </c>
    </row>
    <row r="8064" spans="1:11" ht="42" customHeight="1">
      <c r="A8064" s="2" t="s">
        <v>20478</v>
      </c>
      <c r="B8064" s="2" t="s">
        <v>20478</v>
      </c>
      <c r="C8064" s="2" t="s">
        <v>17</v>
      </c>
      <c r="D8064" s="2" t="s">
        <v>18</v>
      </c>
      <c r="E8064" s="4">
        <v>-32494</v>
      </c>
      <c r="F8064" s="3" t="s">
        <v>585</v>
      </c>
      <c r="G8064" s="3" t="s">
        <v>586</v>
      </c>
      <c r="H8064" s="2" t="s">
        <v>148</v>
      </c>
      <c r="I8064" s="2" t="s">
        <v>20479</v>
      </c>
      <c r="J8064" s="3" t="str">
        <f>HYPERLINK("https://www.boe.es/gazeta/dias/1811/01/12/pdfs/GMD-1811-12.pdf#page=4","Abrir facsímil")</f>
        <v>Abrir facsímil</v>
      </c>
      <c r="K8064" s="3" t="s">
        <v>150</v>
      </c>
    </row>
    <row r="8065" spans="1:11" ht="42" customHeight="1">
      <c r="A8065" s="2" t="s">
        <v>20478</v>
      </c>
      <c r="B8065" s="2" t="s">
        <v>20478</v>
      </c>
      <c r="C8065" s="2" t="s">
        <v>26</v>
      </c>
      <c r="D8065" s="2" t="s">
        <v>18</v>
      </c>
      <c r="E8065" s="4">
        <v>-32475</v>
      </c>
      <c r="F8065" s="3" t="s">
        <v>259</v>
      </c>
      <c r="G8065" s="3" t="s">
        <v>20</v>
      </c>
      <c r="H8065" s="2" t="s">
        <v>148</v>
      </c>
      <c r="I8065" s="2" t="s">
        <v>20480</v>
      </c>
      <c r="J8065" s="3" t="str">
        <f>HYPERLINK("https://www.boe.es/gazeta/dias/1811/01/31/pdfs/GMD-1811-31.pdf#page=4","Abrir facsímil")</f>
        <v>Abrir facsímil</v>
      </c>
      <c r="K8065" s="3" t="s">
        <v>150</v>
      </c>
    </row>
    <row r="8066" spans="1:11" ht="42" customHeight="1">
      <c r="A8066" s="2" t="s">
        <v>20478</v>
      </c>
      <c r="B8066" s="2" t="s">
        <v>20478</v>
      </c>
      <c r="C8066" s="2" t="s">
        <v>84</v>
      </c>
      <c r="D8066" s="2" t="s">
        <v>18</v>
      </c>
      <c r="E8066" s="4">
        <v>-32459</v>
      </c>
      <c r="F8066" s="3" t="s">
        <v>227</v>
      </c>
      <c r="G8066" s="3" t="s">
        <v>468</v>
      </c>
      <c r="H8066" s="2" t="s">
        <v>148</v>
      </c>
      <c r="I8066" s="2" t="s">
        <v>20481</v>
      </c>
      <c r="J8066" s="3" t="str">
        <f>HYPERLINK("https://www.boe.es/gazeta/dias/1811/02/16/pdfs/GMD-1811-47.pdf#page=4","Abrir facsímil")</f>
        <v>Abrir facsímil</v>
      </c>
      <c r="K8066" s="3" t="s">
        <v>150</v>
      </c>
    </row>
    <row r="8067" spans="1:11" ht="42" customHeight="1">
      <c r="A8067" s="2" t="s">
        <v>20478</v>
      </c>
      <c r="B8067" s="2" t="s">
        <v>20478</v>
      </c>
      <c r="C8067" s="2" t="s">
        <v>17</v>
      </c>
      <c r="D8067" s="2" t="s">
        <v>18</v>
      </c>
      <c r="E8067" s="4">
        <v>-32438</v>
      </c>
      <c r="F8067" s="3" t="s">
        <v>4284</v>
      </c>
      <c r="G8067" s="3" t="s">
        <v>91</v>
      </c>
      <c r="H8067" s="2" t="s">
        <v>148</v>
      </c>
      <c r="I8067" s="2" t="s">
        <v>20482</v>
      </c>
      <c r="J8067" s="3" t="str">
        <f>HYPERLINK("https://www.boe.es/gazeta/dias/1811/03/09/pdfs/GMD-1811-68.pdf#page=3","Abrir facsímil")</f>
        <v>Abrir facsímil</v>
      </c>
      <c r="K8067" s="3" t="s">
        <v>150</v>
      </c>
    </row>
    <row r="8068" spans="1:11" ht="42" customHeight="1">
      <c r="A8068" s="2" t="s">
        <v>20478</v>
      </c>
      <c r="B8068" s="2" t="s">
        <v>20478</v>
      </c>
      <c r="C8068" s="2" t="s">
        <v>17</v>
      </c>
      <c r="D8068" s="2" t="s">
        <v>156</v>
      </c>
      <c r="E8068" s="4">
        <v>-32363</v>
      </c>
      <c r="F8068" s="3" t="s">
        <v>1645</v>
      </c>
      <c r="G8068" s="3" t="s">
        <v>2442</v>
      </c>
      <c r="H8068" s="2" t="s">
        <v>148</v>
      </c>
      <c r="I8068" s="2" t="s">
        <v>20483</v>
      </c>
      <c r="J8068" s="3" t="str">
        <f>HYPERLINK("https://www.boe.es/gazeta/dias/1811/05/23/pdfs/GEI-1811-68.pdf#page=5","Abrir facsímil")</f>
        <v>Abrir facsímil</v>
      </c>
      <c r="K8068" s="3" t="s">
        <v>150</v>
      </c>
    </row>
    <row r="8069" spans="1:11" ht="42" customHeight="1">
      <c r="A8069" s="2" t="s">
        <v>20478</v>
      </c>
      <c r="B8069" s="2" t="s">
        <v>20478</v>
      </c>
      <c r="C8069" s="2" t="s">
        <v>17</v>
      </c>
      <c r="D8069" s="2" t="s">
        <v>156</v>
      </c>
      <c r="E8069" s="4">
        <v>-32355</v>
      </c>
      <c r="F8069" s="3" t="s">
        <v>2342</v>
      </c>
      <c r="G8069" s="3" t="s">
        <v>20</v>
      </c>
      <c r="H8069" s="2" t="s">
        <v>148</v>
      </c>
      <c r="I8069" s="2" t="s">
        <v>20484</v>
      </c>
      <c r="J8069" s="3" t="str">
        <f>HYPERLINK("https://www.boe.es/gazeta/dias/1811/05/31/pdfs/GMD-1811-151.pdf#page=4","Abrir facsímil")</f>
        <v>Abrir facsímil</v>
      </c>
      <c r="K8069" s="3" t="s">
        <v>150</v>
      </c>
    </row>
    <row r="8070" spans="1:11" ht="42" customHeight="1">
      <c r="A8070" s="2" t="s">
        <v>20478</v>
      </c>
      <c r="B8070" s="2" t="s">
        <v>20478</v>
      </c>
      <c r="C8070" s="2" t="s">
        <v>17</v>
      </c>
      <c r="D8070" s="2" t="s">
        <v>156</v>
      </c>
      <c r="E8070" s="4">
        <v>-32321</v>
      </c>
      <c r="F8070" s="3" t="s">
        <v>1829</v>
      </c>
      <c r="G8070" s="3" t="s">
        <v>2065</v>
      </c>
      <c r="H8070" s="2" t="s">
        <v>148</v>
      </c>
      <c r="I8070" s="2" t="s">
        <v>20485</v>
      </c>
      <c r="J8070" s="3" t="str">
        <f>HYPERLINK("https://www.boe.es/gazeta/dias/1811/07/04/pdfs/GEI-1811-88.pdf#page=8","Abrir facsímil")</f>
        <v>Abrir facsímil</v>
      </c>
      <c r="K8070" s="3" t="s">
        <v>150</v>
      </c>
    </row>
    <row r="8071" spans="1:11" ht="42" customHeight="1">
      <c r="A8071" s="2" t="s">
        <v>20478</v>
      </c>
      <c r="B8071" s="2" t="s">
        <v>20478</v>
      </c>
      <c r="C8071" s="2" t="s">
        <v>17</v>
      </c>
      <c r="D8071" s="2" t="s">
        <v>204</v>
      </c>
      <c r="E8071" s="4">
        <v>-32318</v>
      </c>
      <c r="F8071" s="3" t="s">
        <v>1193</v>
      </c>
      <c r="G8071" s="3" t="s">
        <v>134</v>
      </c>
      <c r="H8071" s="2" t="s">
        <v>148</v>
      </c>
      <c r="I8071" s="2" t="s">
        <v>20486</v>
      </c>
      <c r="J8071" s="3" t="str">
        <f>HYPERLINK("https://www.boe.es/gazeta/dias/1811/07/07/pdfs/GMD-1811-188.pdf#page=4","Abrir facsímil")</f>
        <v>Abrir facsímil</v>
      </c>
      <c r="K8071" s="3" t="s">
        <v>150</v>
      </c>
    </row>
    <row r="8072" spans="1:11" ht="42" customHeight="1">
      <c r="A8072" s="2" t="s">
        <v>20478</v>
      </c>
      <c r="B8072" s="2" t="s">
        <v>20478</v>
      </c>
      <c r="C8072" s="2" t="s">
        <v>26</v>
      </c>
      <c r="D8072" s="2" t="s">
        <v>18</v>
      </c>
      <c r="E8072" s="4">
        <v>-32294</v>
      </c>
      <c r="F8072" s="3" t="s">
        <v>3123</v>
      </c>
      <c r="G8072" s="3" t="s">
        <v>2916</v>
      </c>
      <c r="H8072" s="2" t="s">
        <v>148</v>
      </c>
      <c r="I8072" s="2" t="s">
        <v>20487</v>
      </c>
      <c r="J8072" s="3" t="str">
        <f>HYPERLINK("https://www.boe.es/gazeta/dias/1811/07/31/pdfs/GMD-1811-212.pdf#page=3","Abrir facsímil")</f>
        <v>Abrir facsímil</v>
      </c>
      <c r="K8072" s="3" t="s">
        <v>150</v>
      </c>
    </row>
    <row r="8073" spans="1:11" ht="42" customHeight="1">
      <c r="A8073" s="2" t="s">
        <v>20478</v>
      </c>
      <c r="B8073" s="2" t="s">
        <v>20478</v>
      </c>
      <c r="C8073" s="2" t="s">
        <v>26</v>
      </c>
      <c r="D8073" s="2" t="s">
        <v>18</v>
      </c>
      <c r="E8073" s="4">
        <v>-32245</v>
      </c>
      <c r="F8073" s="3" t="s">
        <v>6296</v>
      </c>
      <c r="G8073" s="3" t="s">
        <v>47</v>
      </c>
      <c r="H8073" s="2" t="s">
        <v>148</v>
      </c>
      <c r="I8073" s="2" t="s">
        <v>20488</v>
      </c>
      <c r="J8073" s="3" t="str">
        <f>HYPERLINK("https://www.boe.es/gazeta/dias/1811/09/18/pdfs/GMD-1811-261.pdf#page=2","Abrir facsímil")</f>
        <v>Abrir facsímil</v>
      </c>
      <c r="K8073" s="3" t="s">
        <v>150</v>
      </c>
    </row>
    <row r="8074" spans="1:11" ht="42" customHeight="1">
      <c r="A8074" s="2" t="s">
        <v>20478</v>
      </c>
      <c r="B8074" s="2" t="s">
        <v>20478</v>
      </c>
      <c r="C8074" s="2" t="s">
        <v>17</v>
      </c>
      <c r="D8074" s="2" t="s">
        <v>18</v>
      </c>
      <c r="E8074" s="4">
        <v>-32242</v>
      </c>
      <c r="F8074" s="3" t="s">
        <v>1295</v>
      </c>
      <c r="G8074" s="3" t="s">
        <v>2906</v>
      </c>
      <c r="H8074" s="2" t="s">
        <v>148</v>
      </c>
      <c r="I8074" s="2" t="s">
        <v>20489</v>
      </c>
      <c r="J8074" s="3" t="str">
        <f>HYPERLINK("https://www.boe.es/gazeta/dias/1811/09/21/pdfs/GEI-1811-122.pdf#page=2","Abrir facsímil")</f>
        <v>Abrir facsímil</v>
      </c>
      <c r="K8074" s="3" t="s">
        <v>150</v>
      </c>
    </row>
    <row r="8075" spans="1:11" ht="42" customHeight="1">
      <c r="A8075" s="2" t="s">
        <v>20478</v>
      </c>
      <c r="B8075" s="2" t="s">
        <v>20478</v>
      </c>
      <c r="C8075" s="2" t="s">
        <v>17</v>
      </c>
      <c r="D8075" s="2" t="s">
        <v>18</v>
      </c>
      <c r="E8075" s="4">
        <v>-32218</v>
      </c>
      <c r="F8075" s="3" t="s">
        <v>938</v>
      </c>
      <c r="G8075" s="3" t="s">
        <v>530</v>
      </c>
      <c r="H8075" s="2" t="s">
        <v>148</v>
      </c>
      <c r="I8075" s="2" t="s">
        <v>20490</v>
      </c>
      <c r="J8075" s="3" t="str">
        <f>HYPERLINK("https://www.boe.es/gazeta/dias/1811/10/15/pdfs/GEI-1811-133.pdf#page=4","Abrir facsímil")</f>
        <v>Abrir facsímil</v>
      </c>
      <c r="K8075" s="3" t="s">
        <v>150</v>
      </c>
    </row>
    <row r="8076" spans="1:11" ht="42" customHeight="1">
      <c r="A8076" s="2" t="s">
        <v>20478</v>
      </c>
      <c r="B8076" s="2" t="s">
        <v>20478</v>
      </c>
      <c r="C8076" s="2" t="s">
        <v>26</v>
      </c>
      <c r="D8076" s="2" t="s">
        <v>18</v>
      </c>
      <c r="E8076" s="4">
        <v>-32214</v>
      </c>
      <c r="F8076" s="3" t="s">
        <v>1753</v>
      </c>
      <c r="G8076" s="3" t="s">
        <v>846</v>
      </c>
      <c r="H8076" s="2" t="s">
        <v>148</v>
      </c>
      <c r="I8076" s="2" t="s">
        <v>20491</v>
      </c>
      <c r="J8076" s="3" t="str">
        <f>HYPERLINK("https://www.boe.es/gazeta/dias/1811/10/19/pdfs/GEI-1811-135.pdf#page=2","Abrir facsímil")</f>
        <v>Abrir facsímil</v>
      </c>
      <c r="K8076" s="3" t="s">
        <v>150</v>
      </c>
    </row>
    <row r="8077" spans="1:11" ht="42" customHeight="1">
      <c r="A8077" s="2" t="s">
        <v>20478</v>
      </c>
      <c r="B8077" s="2" t="s">
        <v>20478</v>
      </c>
      <c r="C8077" s="2" t="s">
        <v>17</v>
      </c>
      <c r="D8077" s="2" t="s">
        <v>156</v>
      </c>
      <c r="E8077" s="4">
        <v>-32195</v>
      </c>
      <c r="F8077" s="3" t="s">
        <v>8457</v>
      </c>
      <c r="G8077" s="3" t="s">
        <v>468</v>
      </c>
      <c r="H8077" s="2" t="s">
        <v>148</v>
      </c>
      <c r="I8077" s="2" t="s">
        <v>20492</v>
      </c>
      <c r="J8077" s="3" t="str">
        <f>HYPERLINK("https://www.boe.es/gazeta/dias/1811/11/07/pdfs/GMD-1811-311.pdf#page=4","Abrir facsímil")</f>
        <v>Abrir facsímil</v>
      </c>
      <c r="K8077" s="3" t="s">
        <v>150</v>
      </c>
    </row>
    <row r="8078" spans="1:11" ht="42" customHeight="1">
      <c r="A8078" s="2" t="s">
        <v>20478</v>
      </c>
      <c r="B8078" s="2" t="s">
        <v>20478</v>
      </c>
      <c r="C8078" s="2" t="s">
        <v>26</v>
      </c>
      <c r="D8078" s="2" t="s">
        <v>18</v>
      </c>
      <c r="E8078" s="4">
        <v>-32189</v>
      </c>
      <c r="F8078" s="3" t="s">
        <v>8935</v>
      </c>
      <c r="G8078" s="3" t="s">
        <v>115</v>
      </c>
      <c r="H8078" s="2" t="s">
        <v>148</v>
      </c>
      <c r="I8078" s="2" t="s">
        <v>20493</v>
      </c>
      <c r="J8078" s="3" t="str">
        <f>HYPERLINK("https://www.boe.es/gazeta/dias/1811/11/13/pdfs/GMD-1811-317.pdf#page=3","Abrir facsímil")</f>
        <v>Abrir facsímil</v>
      </c>
      <c r="K8078" s="3" t="s">
        <v>150</v>
      </c>
    </row>
    <row r="8079" spans="1:11" ht="42" customHeight="1">
      <c r="A8079" s="2" t="s">
        <v>20478</v>
      </c>
      <c r="B8079" s="2" t="s">
        <v>20478</v>
      </c>
      <c r="C8079" s="2" t="s">
        <v>17</v>
      </c>
      <c r="D8079" s="2" t="s">
        <v>141</v>
      </c>
      <c r="E8079" s="4">
        <v>-32179</v>
      </c>
      <c r="F8079" s="3" t="s">
        <v>2924</v>
      </c>
      <c r="G8079" s="3" t="s">
        <v>1433</v>
      </c>
      <c r="H8079" s="2" t="s">
        <v>148</v>
      </c>
      <c r="I8079" s="2" t="s">
        <v>20494</v>
      </c>
      <c r="J8079" s="3" t="str">
        <f>HYPERLINK("https://www.boe.es/gazeta/dias/1811/11/23/pdfs/GEI-D-1811-153.pdf#page=3","Abrir facsímil")</f>
        <v>Abrir facsímil</v>
      </c>
      <c r="K8079" s="3" t="s">
        <v>150</v>
      </c>
    </row>
    <row r="8080" spans="1:11" ht="42" customHeight="1">
      <c r="A8080" s="2" t="s">
        <v>20478</v>
      </c>
      <c r="B8080" s="2" t="s">
        <v>20478</v>
      </c>
      <c r="C8080" s="2" t="s">
        <v>17</v>
      </c>
      <c r="D8080" s="2" t="s">
        <v>18</v>
      </c>
      <c r="E8080" s="4">
        <v>-32174</v>
      </c>
      <c r="F8080" s="3" t="s">
        <v>172</v>
      </c>
      <c r="G8080" s="3" t="s">
        <v>173</v>
      </c>
      <c r="H8080" s="2" t="s">
        <v>148</v>
      </c>
      <c r="I8080" s="2" t="s">
        <v>20495</v>
      </c>
      <c r="J8080" s="3" t="str">
        <f>HYPERLINK("https://www.boe.es/gazeta/dias/1811/11/28/pdfs/GEI-1811-155.pdf#page=5","Abrir facsímil")</f>
        <v>Abrir facsímil</v>
      </c>
      <c r="K8080" s="3" t="s">
        <v>150</v>
      </c>
    </row>
    <row r="8081" spans="1:11" ht="42" customHeight="1">
      <c r="A8081" s="2" t="s">
        <v>20496</v>
      </c>
      <c r="B8081" s="2" t="s">
        <v>20496</v>
      </c>
      <c r="C8081" s="2" t="s">
        <v>37</v>
      </c>
      <c r="D8081" s="2" t="s">
        <v>18</v>
      </c>
      <c r="E8081" s="4">
        <v>-32237</v>
      </c>
      <c r="F8081" s="3" t="s">
        <v>136</v>
      </c>
      <c r="G8081" s="3" t="s">
        <v>57</v>
      </c>
      <c r="H8081" s="2" t="s">
        <v>148</v>
      </c>
      <c r="I8081" s="2" t="s">
        <v>20497</v>
      </c>
      <c r="J8081" s="3" t="str">
        <f>HYPERLINK("https://www.boe.es/gazeta/dias/1811/09/26/pdfs/GMD-1811-269.pdf#page=2","Abrir facsímil")</f>
        <v>Abrir facsímil</v>
      </c>
      <c r="K8081" s="3" t="s">
        <v>150</v>
      </c>
    </row>
    <row r="8082" spans="1:11" ht="42" customHeight="1">
      <c r="A8082" s="2" t="s">
        <v>20498</v>
      </c>
      <c r="B8082" s="2" t="s">
        <v>20498</v>
      </c>
      <c r="C8082" s="2" t="s">
        <v>17</v>
      </c>
      <c r="D8082" s="2" t="s">
        <v>18</v>
      </c>
      <c r="E8082" s="4">
        <v>-32407</v>
      </c>
      <c r="F8082" s="3" t="s">
        <v>6083</v>
      </c>
      <c r="G8082" s="3" t="s">
        <v>20499</v>
      </c>
      <c r="H8082" s="2" t="s">
        <v>21</v>
      </c>
      <c r="I8082" s="2" t="s">
        <v>20500</v>
      </c>
      <c r="J8082" s="3" t="str">
        <f>HYPERLINK("https://www.boe.es/gazeta/dias/1811/04/09/pdfs/GMD-1811-99.pdf#page=1","Abrir facsímil")</f>
        <v>Abrir facsímil</v>
      </c>
      <c r="K8082" s="3" t="s">
        <v>23</v>
      </c>
    </row>
    <row r="8083" spans="1:11" ht="42" customHeight="1">
      <c r="A8083" s="2" t="s">
        <v>20501</v>
      </c>
      <c r="B8083" s="2" t="s">
        <v>20502</v>
      </c>
      <c r="C8083" s="2" t="s">
        <v>17</v>
      </c>
      <c r="D8083" s="2" t="s">
        <v>18</v>
      </c>
      <c r="E8083" s="4">
        <v>-32300</v>
      </c>
      <c r="F8083" s="3" t="s">
        <v>492</v>
      </c>
      <c r="G8083" s="3" t="s">
        <v>20</v>
      </c>
      <c r="H8083" s="2" t="s">
        <v>148</v>
      </c>
      <c r="I8083" s="2" t="s">
        <v>20503</v>
      </c>
      <c r="J8083" s="3" t="str">
        <f>HYPERLINK("https://www.boe.es/gazeta/dias/1811/07/25/pdfs/GMD-1811-206.pdf#page=3","Abrir facsímil")</f>
        <v>Abrir facsímil</v>
      </c>
      <c r="K8083" s="3" t="s">
        <v>150</v>
      </c>
    </row>
    <row r="8084" spans="1:11" ht="42" customHeight="1">
      <c r="A8084" s="2" t="s">
        <v>20504</v>
      </c>
      <c r="B8084" s="2" t="s">
        <v>20505</v>
      </c>
      <c r="C8084" s="2" t="s">
        <v>26</v>
      </c>
      <c r="D8084" s="2" t="s">
        <v>18</v>
      </c>
      <c r="E8084" s="4">
        <v>-32302</v>
      </c>
      <c r="F8084" s="3" t="s">
        <v>412</v>
      </c>
      <c r="G8084" s="3" t="s">
        <v>248</v>
      </c>
      <c r="H8084" s="2" t="s">
        <v>148</v>
      </c>
      <c r="I8084" s="2" t="s">
        <v>20506</v>
      </c>
      <c r="J8084" s="3" t="str">
        <f>HYPERLINK("https://www.boe.es/gazeta/dias/1811/07/23/pdfs/GMD-1811-204.pdf#page=4","Abrir facsímil")</f>
        <v>Abrir facsímil</v>
      </c>
      <c r="K8084" s="3" t="s">
        <v>150</v>
      </c>
    </row>
    <row r="8085" spans="1:11" ht="42" customHeight="1">
      <c r="A8085" s="2" t="s">
        <v>20507</v>
      </c>
      <c r="B8085" s="2" t="s">
        <v>20508</v>
      </c>
      <c r="C8085" s="2" t="s">
        <v>26</v>
      </c>
      <c r="D8085" s="2" t="s">
        <v>18</v>
      </c>
      <c r="E8085" s="4">
        <v>-32386</v>
      </c>
      <c r="F8085" s="3" t="s">
        <v>1934</v>
      </c>
      <c r="G8085" s="3" t="s">
        <v>134</v>
      </c>
      <c r="H8085" s="2" t="s">
        <v>148</v>
      </c>
      <c r="I8085" s="2" t="s">
        <v>20509</v>
      </c>
      <c r="J8085" s="3" t="str">
        <f>HYPERLINK("https://www.boe.es/gazeta/dias/1811/04/30/pdfs/GEI-1811-57.pdf#page=8","Abrir facsímil")</f>
        <v>Abrir facsímil</v>
      </c>
      <c r="K8085" s="3" t="s">
        <v>150</v>
      </c>
    </row>
    <row r="8086" spans="1:11" ht="42" customHeight="1">
      <c r="A8086" s="2" t="s">
        <v>20510</v>
      </c>
      <c r="B8086" s="2" t="s">
        <v>20511</v>
      </c>
      <c r="C8086" s="2" t="s">
        <v>26</v>
      </c>
      <c r="D8086" s="2" t="s">
        <v>18</v>
      </c>
      <c r="E8086" s="4">
        <v>-32230</v>
      </c>
      <c r="F8086" s="3" t="s">
        <v>625</v>
      </c>
      <c r="G8086" s="3" t="s">
        <v>162</v>
      </c>
      <c r="H8086" s="2" t="s">
        <v>148</v>
      </c>
      <c r="I8086" s="2" t="s">
        <v>20512</v>
      </c>
      <c r="J8086" s="3" t="str">
        <f>HYPERLINK("https://www.boe.es/gazeta/dias/1811/10/03/pdfs/GEI-1811-127.pdf#page=7","Abrir facsímil")</f>
        <v>Abrir facsímil</v>
      </c>
      <c r="K8086" s="3" t="s">
        <v>150</v>
      </c>
    </row>
    <row r="8087" spans="1:11" ht="42" customHeight="1">
      <c r="A8087" s="2" t="s">
        <v>20513</v>
      </c>
      <c r="B8087" s="2" t="s">
        <v>20513</v>
      </c>
      <c r="C8087" s="2" t="s">
        <v>17</v>
      </c>
      <c r="D8087" s="2" t="s">
        <v>141</v>
      </c>
      <c r="E8087" s="4">
        <v>-32209</v>
      </c>
      <c r="F8087" s="3" t="s">
        <v>1779</v>
      </c>
      <c r="G8087" s="3" t="s">
        <v>18270</v>
      </c>
      <c r="H8087" s="2" t="s">
        <v>148</v>
      </c>
      <c r="I8087" s="2" t="s">
        <v>20514</v>
      </c>
      <c r="J8087" s="3" t="str">
        <f>HYPERLINK("https://www.boe.es/gazeta/dias/1811/10/24/pdfs/GEI-D-1811-137.pdf#page=4","Abrir facsímil")</f>
        <v>Abrir facsímil</v>
      </c>
      <c r="K8087" s="3" t="s">
        <v>150</v>
      </c>
    </row>
    <row r="8088" spans="1:11" ht="42" customHeight="1">
      <c r="A8088" s="2" t="s">
        <v>20515</v>
      </c>
      <c r="B8088" s="2" t="s">
        <v>20515</v>
      </c>
      <c r="C8088" s="2" t="s">
        <v>17</v>
      </c>
      <c r="D8088" s="2" t="s">
        <v>18</v>
      </c>
      <c r="E8088" s="4">
        <v>-32417</v>
      </c>
      <c r="F8088" s="3" t="s">
        <v>604</v>
      </c>
      <c r="G8088" s="3" t="s">
        <v>13483</v>
      </c>
      <c r="H8088" s="2" t="s">
        <v>148</v>
      </c>
      <c r="I8088" s="2" t="s">
        <v>20516</v>
      </c>
      <c r="J8088" s="3" t="str">
        <f>HYPERLINK("https://www.boe.es/gazeta/dias/1811/03/30/pdfs/GMD-1811-89.pdf#page=2","Abrir facsímil")</f>
        <v>Abrir facsímil</v>
      </c>
      <c r="K8088" s="3" t="s">
        <v>150</v>
      </c>
    </row>
    <row r="8089" spans="1:11" ht="42" customHeight="1">
      <c r="A8089" s="2" t="s">
        <v>20517</v>
      </c>
      <c r="B8089" s="2" t="s">
        <v>20518</v>
      </c>
      <c r="C8089" s="2" t="s">
        <v>26</v>
      </c>
      <c r="D8089" s="2" t="s">
        <v>18</v>
      </c>
      <c r="E8089" s="4">
        <v>-32155</v>
      </c>
      <c r="F8089" s="3" t="s">
        <v>263</v>
      </c>
      <c r="G8089" s="3" t="s">
        <v>1800</v>
      </c>
      <c r="H8089" s="2" t="s">
        <v>148</v>
      </c>
      <c r="I8089" s="2" t="s">
        <v>20519</v>
      </c>
      <c r="J8089" s="3" t="str">
        <f>HYPERLINK("https://www.boe.es/gazeta/dias/1811/12/17/pdfs/GEI-1811-163.pdf#page=7","Abrir facsímil")</f>
        <v>Abrir facsímil</v>
      </c>
      <c r="K8089" s="3" t="s">
        <v>150</v>
      </c>
    </row>
    <row r="8090" spans="1:11" ht="42" customHeight="1">
      <c r="A8090" s="2" t="s">
        <v>20520</v>
      </c>
      <c r="B8090" s="2" t="s">
        <v>20521</v>
      </c>
      <c r="C8090" s="2" t="s">
        <v>26</v>
      </c>
      <c r="D8090" s="2" t="s">
        <v>18</v>
      </c>
      <c r="E8090" s="4">
        <v>-32288</v>
      </c>
      <c r="F8090" s="3" t="s">
        <v>95</v>
      </c>
      <c r="G8090" s="3" t="s">
        <v>47</v>
      </c>
      <c r="H8090" s="2" t="s">
        <v>148</v>
      </c>
      <c r="I8090" s="2" t="s">
        <v>20522</v>
      </c>
      <c r="J8090" s="3" t="str">
        <f>HYPERLINK("https://www.boe.es/gazeta/dias/1811/08/06/pdfs/GEI-1811-102.pdf#page=8","Abrir facsímil")</f>
        <v>Abrir facsímil</v>
      </c>
      <c r="K8090" s="3" t="s">
        <v>150</v>
      </c>
    </row>
    <row r="8091" spans="1:11" ht="42" customHeight="1">
      <c r="A8091" s="2" t="s">
        <v>20523</v>
      </c>
      <c r="B8091" s="2" t="s">
        <v>20523</v>
      </c>
      <c r="C8091" s="2" t="s">
        <v>17</v>
      </c>
      <c r="D8091" s="2" t="s">
        <v>156</v>
      </c>
      <c r="E8091" s="4">
        <v>-32356</v>
      </c>
      <c r="F8091" s="3" t="s">
        <v>1992</v>
      </c>
      <c r="G8091" s="3" t="s">
        <v>3613</v>
      </c>
      <c r="H8091" s="2" t="s">
        <v>148</v>
      </c>
      <c r="I8091" s="2" t="s">
        <v>20524</v>
      </c>
      <c r="J8091" s="3" t="str">
        <f>HYPERLINK("https://www.boe.es/gazeta/dias/1811/05/30/pdfs/GEI-1811-73.pdf#page=5","Abrir facsímil")</f>
        <v>Abrir facsímil</v>
      </c>
      <c r="K8091" s="3" t="s">
        <v>150</v>
      </c>
    </row>
    <row r="8092" spans="1:11" ht="42" customHeight="1">
      <c r="A8092" s="2" t="s">
        <v>20523</v>
      </c>
      <c r="B8092" s="2" t="s">
        <v>20523</v>
      </c>
      <c r="C8092" s="2" t="s">
        <v>17</v>
      </c>
      <c r="D8092" s="2" t="s">
        <v>18</v>
      </c>
      <c r="E8092" s="4">
        <v>-32230</v>
      </c>
      <c r="F8092" s="3" t="s">
        <v>625</v>
      </c>
      <c r="G8092" s="3" t="s">
        <v>626</v>
      </c>
      <c r="H8092" s="2" t="s">
        <v>148</v>
      </c>
      <c r="I8092" s="2" t="s">
        <v>20525</v>
      </c>
      <c r="J8092" s="3" t="str">
        <f>HYPERLINK("https://www.boe.es/gazeta/dias/1811/10/03/pdfs/GEI-1811-127.pdf#page=3","Abrir facsímil")</f>
        <v>Abrir facsímil</v>
      </c>
      <c r="K8092" s="3" t="s">
        <v>150</v>
      </c>
    </row>
    <row r="8093" spans="1:11" ht="42" customHeight="1">
      <c r="A8093" s="2" t="s">
        <v>20526</v>
      </c>
      <c r="B8093" s="2" t="s">
        <v>20526</v>
      </c>
      <c r="C8093" s="2" t="s">
        <v>17</v>
      </c>
      <c r="D8093" s="2" t="s">
        <v>156</v>
      </c>
      <c r="E8093" s="4">
        <v>-32302</v>
      </c>
      <c r="F8093" s="3" t="s">
        <v>864</v>
      </c>
      <c r="G8093" s="3" t="s">
        <v>2612</v>
      </c>
      <c r="H8093" s="2" t="s">
        <v>148</v>
      </c>
      <c r="I8093" s="2" t="s">
        <v>20527</v>
      </c>
      <c r="J8093" s="3" t="str">
        <f>HYPERLINK("https://www.boe.es/gazeta/dias/1811/07/23/pdfs/GEI-1811-96.pdf#page=1","Abrir facsímil")</f>
        <v>Abrir facsímil</v>
      </c>
      <c r="K8093" s="3" t="s">
        <v>150</v>
      </c>
    </row>
    <row r="8094" spans="1:11" ht="42" customHeight="1">
      <c r="A8094" s="2" t="s">
        <v>20528</v>
      </c>
      <c r="B8094" s="2" t="s">
        <v>20528</v>
      </c>
      <c r="C8094" s="2" t="s">
        <v>17</v>
      </c>
      <c r="D8094" s="2" t="s">
        <v>156</v>
      </c>
      <c r="E8094" s="4">
        <v>-32241</v>
      </c>
      <c r="F8094" s="3" t="s">
        <v>514</v>
      </c>
      <c r="G8094" s="3" t="s">
        <v>468</v>
      </c>
      <c r="H8094" s="2" t="s">
        <v>148</v>
      </c>
      <c r="I8094" s="2" t="s">
        <v>20529</v>
      </c>
      <c r="J8094" s="3" t="str">
        <f>HYPERLINK("https://www.boe.es/gazeta/dias/1811/09/22/pdfs/GMD-1811-265.pdf#page=1","Abrir facsímil")</f>
        <v>Abrir facsímil</v>
      </c>
      <c r="K8094" s="3" t="s">
        <v>150</v>
      </c>
    </row>
    <row r="8095" spans="1:11" ht="42" customHeight="1">
      <c r="A8095" s="2" t="s">
        <v>20530</v>
      </c>
      <c r="B8095" s="2" t="s">
        <v>20530</v>
      </c>
      <c r="C8095" s="2" t="s">
        <v>104</v>
      </c>
      <c r="D8095" s="2" t="s">
        <v>18</v>
      </c>
      <c r="E8095" s="4">
        <v>-32352</v>
      </c>
      <c r="F8095" s="3" t="s">
        <v>834</v>
      </c>
      <c r="G8095" s="3" t="s">
        <v>382</v>
      </c>
      <c r="H8095" s="2" t="s">
        <v>148</v>
      </c>
      <c r="I8095" s="2" t="s">
        <v>20531</v>
      </c>
      <c r="J8095" s="3" t="str">
        <f>HYPERLINK("https://www.boe.es/gazeta/dias/1811/06/03/pdfs/GMD-1811-154.pdf#page=1","Abrir facsímil")</f>
        <v>Abrir facsímil</v>
      </c>
      <c r="K8095" s="3" t="s">
        <v>150</v>
      </c>
    </row>
    <row r="8096" spans="1:11" ht="42" customHeight="1">
      <c r="A8096" s="2" t="s">
        <v>20532</v>
      </c>
      <c r="B8096" s="2" t="s">
        <v>20532</v>
      </c>
      <c r="C8096" s="2" t="s">
        <v>17</v>
      </c>
      <c r="D8096" s="2" t="s">
        <v>18</v>
      </c>
      <c r="E8096" s="4">
        <v>-32278</v>
      </c>
      <c r="F8096" s="3" t="s">
        <v>765</v>
      </c>
      <c r="G8096" s="3" t="s">
        <v>11334</v>
      </c>
      <c r="H8096" s="2" t="s">
        <v>148</v>
      </c>
      <c r="I8096" s="2" t="s">
        <v>20533</v>
      </c>
      <c r="J8096" s="3" t="str">
        <f>HYPERLINK("https://www.boe.es/gazeta/dias/1811/08/16/pdfs/GMD-1811-228.pdf#page=1","Abrir facsímil")</f>
        <v>Abrir facsímil</v>
      </c>
      <c r="K8096" s="3" t="s">
        <v>150</v>
      </c>
    </row>
    <row r="8097" spans="1:11" ht="42" customHeight="1">
      <c r="A8097" s="2" t="s">
        <v>20534</v>
      </c>
      <c r="B8097" s="2" t="s">
        <v>20534</v>
      </c>
      <c r="C8097" s="2" t="s">
        <v>17</v>
      </c>
      <c r="D8097" s="2" t="s">
        <v>18</v>
      </c>
      <c r="E8097" s="4">
        <v>-32278</v>
      </c>
      <c r="F8097" s="3" t="s">
        <v>765</v>
      </c>
      <c r="G8097" s="3" t="s">
        <v>11334</v>
      </c>
      <c r="H8097" s="2" t="s">
        <v>148</v>
      </c>
      <c r="I8097" s="2" t="s">
        <v>20535</v>
      </c>
      <c r="J8097" s="3" t="str">
        <f>HYPERLINK("https://www.boe.es/gazeta/dias/1811/08/16/pdfs/GMD-1811-228.pdf#page=1","Abrir facsímil")</f>
        <v>Abrir facsímil</v>
      </c>
      <c r="K8097" s="3" t="s">
        <v>150</v>
      </c>
    </row>
    <row r="8098" spans="1:11" ht="42" customHeight="1">
      <c r="A8098" s="2" t="s">
        <v>20536</v>
      </c>
      <c r="B8098" s="2" t="s">
        <v>20537</v>
      </c>
      <c r="C8098" s="2" t="s">
        <v>17</v>
      </c>
      <c r="D8098" s="2" t="s">
        <v>18</v>
      </c>
      <c r="E8098" s="4">
        <v>-32319</v>
      </c>
      <c r="F8098" s="3" t="s">
        <v>975</v>
      </c>
      <c r="G8098" s="3" t="s">
        <v>19180</v>
      </c>
      <c r="H8098" s="2" t="s">
        <v>148</v>
      </c>
      <c r="I8098" s="2" t="s">
        <v>20538</v>
      </c>
      <c r="J8098" s="3" t="str">
        <f>HYPERLINK("https://www.boe.es/gazeta/dias/1811/07/06/pdfs/GEI-1811-89.pdf#page=3","Abrir facsímil")</f>
        <v>Abrir facsímil</v>
      </c>
      <c r="K8098" s="3" t="s">
        <v>150</v>
      </c>
    </row>
    <row r="8099" spans="1:11" ht="42" customHeight="1">
      <c r="A8099" s="2" t="s">
        <v>20539</v>
      </c>
      <c r="B8099" s="2" t="s">
        <v>20540</v>
      </c>
      <c r="C8099" s="2" t="s">
        <v>17</v>
      </c>
      <c r="D8099" s="2" t="s">
        <v>156</v>
      </c>
      <c r="E8099" s="4">
        <v>-32232</v>
      </c>
      <c r="F8099" s="3" t="s">
        <v>1816</v>
      </c>
      <c r="G8099" s="3" t="s">
        <v>1817</v>
      </c>
      <c r="H8099" s="2" t="s">
        <v>21</v>
      </c>
      <c r="I8099" s="2" t="s">
        <v>20541</v>
      </c>
      <c r="J8099" s="3" t="str">
        <f>HYPERLINK("https://www.boe.es/gazeta/dias/1811/10/01/pdfs/GEI-1811-126.pdf#page=8","Abrir facsímil")</f>
        <v>Abrir facsímil</v>
      </c>
      <c r="K8099" s="3" t="s">
        <v>23</v>
      </c>
    </row>
    <row r="8100" spans="1:11" ht="42" customHeight="1">
      <c r="A8100" s="2" t="s">
        <v>20542</v>
      </c>
      <c r="B8100" s="2" t="s">
        <v>20543</v>
      </c>
      <c r="C8100" s="2" t="s">
        <v>104</v>
      </c>
      <c r="D8100" s="2" t="s">
        <v>204</v>
      </c>
      <c r="E8100" s="4">
        <v>-32403</v>
      </c>
      <c r="F8100" s="3" t="s">
        <v>4861</v>
      </c>
      <c r="G8100" s="3" t="s">
        <v>57</v>
      </c>
      <c r="H8100" s="2" t="s">
        <v>21</v>
      </c>
      <c r="I8100" s="2" t="s">
        <v>20544</v>
      </c>
      <c r="J8100" s="3" t="str">
        <f>HYPERLINK("https://www.boe.es/gazeta/dias/1811/04/13/pdfs/GMD-1811-103.pdf#page=2","Abrir facsímil")</f>
        <v>Abrir facsímil</v>
      </c>
      <c r="K8100" s="3" t="s">
        <v>23</v>
      </c>
    </row>
    <row r="8101" spans="1:11" ht="42" customHeight="1">
      <c r="A8101" s="2" t="s">
        <v>20545</v>
      </c>
      <c r="B8101" s="2" t="s">
        <v>20546</v>
      </c>
      <c r="C8101" s="2" t="s">
        <v>17</v>
      </c>
      <c r="D8101" s="2" t="s">
        <v>18</v>
      </c>
      <c r="E8101" s="4">
        <v>-32246</v>
      </c>
      <c r="F8101" s="3" t="s">
        <v>19</v>
      </c>
      <c r="G8101" s="3" t="s">
        <v>20</v>
      </c>
      <c r="H8101" s="2" t="s">
        <v>21</v>
      </c>
      <c r="I8101" s="2" t="s">
        <v>20547</v>
      </c>
      <c r="J8101" s="3" t="str">
        <f>HYPERLINK("https://www.boe.es/gazeta/dias/1811/09/17/pdfs/GEI-1811-120.pdf#page=24","Abrir facsímil")</f>
        <v>Abrir facsímil</v>
      </c>
      <c r="K8101" s="3" t="s">
        <v>23</v>
      </c>
    </row>
    <row r="8102" spans="1:11" ht="42" customHeight="1">
      <c r="A8102" s="2" t="s">
        <v>20548</v>
      </c>
      <c r="B8102" s="2" t="s">
        <v>20549</v>
      </c>
      <c r="C8102" s="2" t="s">
        <v>37</v>
      </c>
      <c r="D8102" s="2" t="s">
        <v>156</v>
      </c>
      <c r="E8102" s="4">
        <v>-32219</v>
      </c>
      <c r="F8102" s="3" t="s">
        <v>529</v>
      </c>
      <c r="G8102" s="3" t="s">
        <v>530</v>
      </c>
      <c r="H8102" s="2" t="s">
        <v>21</v>
      </c>
      <c r="I8102" s="2" t="s">
        <v>20550</v>
      </c>
      <c r="J8102" s="3" t="str">
        <f>HYPERLINK("https://www.boe.es/gazeta/dias/1811/10/14/pdfs/GEI-1811-132E.pdf#page=4","Abrir facsímil")</f>
        <v>Abrir facsímil</v>
      </c>
      <c r="K8102" s="3" t="s">
        <v>23</v>
      </c>
    </row>
    <row r="8103" spans="1:11" ht="42" customHeight="1">
      <c r="A8103" s="2" t="s">
        <v>20551</v>
      </c>
      <c r="B8103" s="2" t="s">
        <v>20552</v>
      </c>
      <c r="C8103" s="2" t="s">
        <v>26</v>
      </c>
      <c r="D8103" s="2" t="s">
        <v>18</v>
      </c>
      <c r="E8103" s="4">
        <v>-32200</v>
      </c>
      <c r="F8103" s="3" t="s">
        <v>109</v>
      </c>
      <c r="G8103" s="3" t="s">
        <v>268</v>
      </c>
      <c r="H8103" s="2" t="s">
        <v>148</v>
      </c>
      <c r="I8103" s="2" t="s">
        <v>20553</v>
      </c>
      <c r="J8103" s="3" t="str">
        <f>HYPERLINK("https://www.boe.es/gazeta/dias/1811/11/02/pdfs/GEI-1811-141.pdf#page=7","Abrir facsímil")</f>
        <v>Abrir facsímil</v>
      </c>
      <c r="K8103" s="3" t="s">
        <v>150</v>
      </c>
    </row>
    <row r="8104" spans="1:11" ht="42" customHeight="1">
      <c r="A8104" s="2" t="s">
        <v>20554</v>
      </c>
      <c r="B8104" s="2" t="s">
        <v>20554</v>
      </c>
      <c r="C8104" s="2" t="s">
        <v>17</v>
      </c>
      <c r="D8104" s="2" t="s">
        <v>18</v>
      </c>
      <c r="E8104" s="4">
        <v>-32209</v>
      </c>
      <c r="F8104" s="3" t="s">
        <v>9303</v>
      </c>
      <c r="G8104" s="3" t="s">
        <v>12312</v>
      </c>
      <c r="H8104" s="2" t="s">
        <v>148</v>
      </c>
      <c r="I8104" s="2" t="s">
        <v>20555</v>
      </c>
      <c r="J8104" s="3" t="str">
        <f>HYPERLINK("https://www.boe.es/gazeta/dias/1811/10/24/pdfs/GEI-1811-137.pdf#page=5","Abrir facsímil")</f>
        <v>Abrir facsímil</v>
      </c>
      <c r="K8104" s="3" t="s">
        <v>150</v>
      </c>
    </row>
    <row r="8105" spans="1:11" ht="42" customHeight="1">
      <c r="A8105" s="2" t="s">
        <v>20556</v>
      </c>
      <c r="B8105" s="2" t="s">
        <v>20557</v>
      </c>
      <c r="C8105" s="2" t="s">
        <v>26</v>
      </c>
      <c r="D8105" s="2" t="s">
        <v>141</v>
      </c>
      <c r="E8105" s="4">
        <v>-32396</v>
      </c>
      <c r="F8105" s="3" t="s">
        <v>804</v>
      </c>
      <c r="G8105" s="3" t="s">
        <v>805</v>
      </c>
      <c r="H8105" s="2" t="s">
        <v>148</v>
      </c>
      <c r="I8105" s="2" t="s">
        <v>20558</v>
      </c>
      <c r="J8105" s="3" t="str">
        <f>HYPERLINK("https://www.boe.es/gazeta/dias/1811/04/20/pdfs/GEI-D-1811-53.pdf#page=4","Abrir facsímil")</f>
        <v>Abrir facsímil</v>
      </c>
      <c r="K8105" s="3" t="s">
        <v>150</v>
      </c>
    </row>
    <row r="8106" spans="1:11" ht="42" customHeight="1">
      <c r="A8106" s="2" t="s">
        <v>20559</v>
      </c>
      <c r="B8106" s="2" t="s">
        <v>20559</v>
      </c>
      <c r="C8106" s="2" t="s">
        <v>17</v>
      </c>
      <c r="D8106" s="2" t="s">
        <v>18</v>
      </c>
      <c r="E8106" s="4">
        <v>-32358</v>
      </c>
      <c r="F8106" s="3" t="s">
        <v>2971</v>
      </c>
      <c r="G8106" s="3" t="s">
        <v>343</v>
      </c>
      <c r="H8106" s="2" t="s">
        <v>148</v>
      </c>
      <c r="I8106" s="2" t="s">
        <v>20560</v>
      </c>
      <c r="J8106" s="3" t="str">
        <f>HYPERLINK("https://www.boe.es/gazeta/dias/1811/05/28/pdfs/GEI-1811-72.pdf#page=6","Abrir facsímil")</f>
        <v>Abrir facsímil</v>
      </c>
      <c r="K8106" s="3" t="s">
        <v>150</v>
      </c>
    </row>
    <row r="8107" spans="1:11" ht="42" customHeight="1">
      <c r="A8107" s="2" t="s">
        <v>20559</v>
      </c>
      <c r="B8107" s="2" t="s">
        <v>20559</v>
      </c>
      <c r="C8107" s="2" t="s">
        <v>17</v>
      </c>
      <c r="D8107" s="2" t="s">
        <v>18</v>
      </c>
      <c r="E8107" s="4">
        <v>-32232</v>
      </c>
      <c r="F8107" s="3" t="s">
        <v>1816</v>
      </c>
      <c r="G8107" s="3" t="s">
        <v>5083</v>
      </c>
      <c r="H8107" s="2" t="s">
        <v>148</v>
      </c>
      <c r="I8107" s="2" t="s">
        <v>20561</v>
      </c>
      <c r="J8107" s="3" t="str">
        <f>HYPERLINK("https://www.boe.es/gazeta/dias/1811/10/01/pdfs/GEI-1811-126.pdf#page=7","Abrir facsímil")</f>
        <v>Abrir facsímil</v>
      </c>
      <c r="K8107" s="3" t="s">
        <v>150</v>
      </c>
    </row>
    <row r="8108" spans="1:11" ht="42" customHeight="1">
      <c r="A8108" s="2" t="s">
        <v>20562</v>
      </c>
      <c r="B8108" s="2" t="s">
        <v>20563</v>
      </c>
      <c r="C8108" s="2" t="s">
        <v>26</v>
      </c>
      <c r="D8108" s="2" t="s">
        <v>18</v>
      </c>
      <c r="E8108" s="4">
        <v>-32300</v>
      </c>
      <c r="F8108" s="3" t="s">
        <v>61</v>
      </c>
      <c r="G8108" s="3" t="s">
        <v>62</v>
      </c>
      <c r="H8108" s="2" t="s">
        <v>148</v>
      </c>
      <c r="I8108" s="2" t="s">
        <v>20564</v>
      </c>
      <c r="J8108" s="3" t="str">
        <f>HYPERLINK("https://www.boe.es/gazeta/dias/1811/07/25/pdfs/GEI-1811-97.pdf#page=5","Abrir facsímil")</f>
        <v>Abrir facsímil</v>
      </c>
      <c r="K8108" s="3" t="s">
        <v>150</v>
      </c>
    </row>
    <row r="8109" spans="1:11" ht="42" customHeight="1">
      <c r="A8109" s="2" t="s">
        <v>20565</v>
      </c>
      <c r="B8109" s="2" t="s">
        <v>20566</v>
      </c>
      <c r="C8109" s="2" t="s">
        <v>26</v>
      </c>
      <c r="D8109" s="2" t="s">
        <v>18</v>
      </c>
      <c r="E8109" s="4">
        <v>-32204</v>
      </c>
      <c r="F8109" s="3" t="s">
        <v>1053</v>
      </c>
      <c r="G8109" s="3" t="s">
        <v>6161</v>
      </c>
      <c r="H8109" s="2" t="s">
        <v>148</v>
      </c>
      <c r="I8109" s="2" t="s">
        <v>20567</v>
      </c>
      <c r="J8109" s="3" t="str">
        <f>HYPERLINK("https://www.boe.es/gazeta/dias/1811/10/29/pdfs/GEI-1811-139.pdf#page=8","Abrir facsímil")</f>
        <v>Abrir facsímil</v>
      </c>
      <c r="K8109" s="3" t="s">
        <v>150</v>
      </c>
    </row>
    <row r="8110" spans="1:11" ht="42" customHeight="1">
      <c r="A8110" s="2" t="s">
        <v>20568</v>
      </c>
      <c r="B8110" s="2" t="s">
        <v>20569</v>
      </c>
      <c r="C8110" s="2" t="s">
        <v>26</v>
      </c>
      <c r="D8110" s="2" t="s">
        <v>18</v>
      </c>
      <c r="E8110" s="4">
        <v>-32225</v>
      </c>
      <c r="F8110" s="3" t="s">
        <v>390</v>
      </c>
      <c r="G8110" s="3" t="s">
        <v>44</v>
      </c>
      <c r="H8110" s="2" t="s">
        <v>148</v>
      </c>
      <c r="I8110" s="2" t="s">
        <v>20570</v>
      </c>
      <c r="J8110" s="3" t="str">
        <f>HYPERLINK("https://www.boe.es/gazeta/dias/1811/10/08/pdfs/GEI-1811-129.pdf#page=2","Abrir facsímil")</f>
        <v>Abrir facsímil</v>
      </c>
      <c r="K8110" s="3" t="s">
        <v>150</v>
      </c>
    </row>
    <row r="8111" spans="1:11" ht="42" customHeight="1">
      <c r="A8111" s="2" t="s">
        <v>20568</v>
      </c>
      <c r="B8111" s="2" t="s">
        <v>20569</v>
      </c>
      <c r="C8111" s="2" t="s">
        <v>26</v>
      </c>
      <c r="D8111" s="2" t="s">
        <v>18</v>
      </c>
      <c r="E8111" s="4">
        <v>-32214</v>
      </c>
      <c r="F8111" s="3" t="s">
        <v>1753</v>
      </c>
      <c r="G8111" s="3" t="s">
        <v>20</v>
      </c>
      <c r="H8111" s="2" t="s">
        <v>148</v>
      </c>
      <c r="I8111" s="2" t="s">
        <v>20571</v>
      </c>
      <c r="J8111" s="3" t="str">
        <f>HYPERLINK("https://www.boe.es/gazeta/dias/1811/10/19/pdfs/GEI-1811-135.pdf#page=8","Abrir facsímil")</f>
        <v>Abrir facsímil</v>
      </c>
      <c r="K8111" s="3" t="s">
        <v>150</v>
      </c>
    </row>
    <row r="8112" spans="1:11" ht="42" customHeight="1">
      <c r="A8112" s="2" t="s">
        <v>20572</v>
      </c>
      <c r="B8112" s="2" t="s">
        <v>20573</v>
      </c>
      <c r="C8112" s="2" t="s">
        <v>26</v>
      </c>
      <c r="D8112" s="2" t="s">
        <v>18</v>
      </c>
      <c r="E8112" s="4">
        <v>-32504</v>
      </c>
      <c r="F8112" s="3" t="s">
        <v>5988</v>
      </c>
      <c r="G8112" s="3" t="s">
        <v>183</v>
      </c>
      <c r="H8112" s="2" t="s">
        <v>148</v>
      </c>
      <c r="I8112" s="2" t="s">
        <v>20574</v>
      </c>
      <c r="J8112" s="3" t="str">
        <f>HYPERLINK("https://www.boe.es/gazeta/dias/1811/01/02/pdfs/GMD-1811-2.pdf#page=4","Abrir facsímil")</f>
        <v>Abrir facsímil</v>
      </c>
      <c r="K8112" s="3" t="s">
        <v>150</v>
      </c>
    </row>
    <row r="8113" spans="1:11" ht="42" customHeight="1">
      <c r="A8113" s="2" t="s">
        <v>20572</v>
      </c>
      <c r="B8113" s="2" t="s">
        <v>20573</v>
      </c>
      <c r="C8113" s="2" t="s">
        <v>26</v>
      </c>
      <c r="D8113" s="2" t="s">
        <v>18</v>
      </c>
      <c r="E8113" s="4">
        <v>-32503</v>
      </c>
      <c r="F8113" s="3" t="s">
        <v>10608</v>
      </c>
      <c r="G8113" s="3" t="s">
        <v>183</v>
      </c>
      <c r="H8113" s="2" t="s">
        <v>148</v>
      </c>
      <c r="I8113" s="2" t="s">
        <v>20575</v>
      </c>
      <c r="J8113" s="3" t="str">
        <f>HYPERLINK("https://www.boe.es/gazeta/dias/1811/01/03/pdfs/GMD-1811-3.pdf#page=4","Abrir facsímil")</f>
        <v>Abrir facsímil</v>
      </c>
      <c r="K8113" s="3" t="s">
        <v>150</v>
      </c>
    </row>
    <row r="8114" spans="1:11" ht="42" customHeight="1">
      <c r="A8114" s="2" t="s">
        <v>20576</v>
      </c>
      <c r="B8114" s="2" t="s">
        <v>20577</v>
      </c>
      <c r="C8114" s="2" t="s">
        <v>26</v>
      </c>
      <c r="D8114" s="2" t="s">
        <v>18</v>
      </c>
      <c r="E8114" s="4">
        <v>-32226</v>
      </c>
      <c r="F8114" s="3" t="s">
        <v>618</v>
      </c>
      <c r="G8114" s="3" t="s">
        <v>1565</v>
      </c>
      <c r="H8114" s="2" t="s">
        <v>148</v>
      </c>
      <c r="I8114" s="2" t="s">
        <v>20578</v>
      </c>
      <c r="J8114" s="3" t="str">
        <f>HYPERLINK("https://www.boe.es/gazeta/dias/1811/10/07/pdfs/GMD-1811-280.pdf#page=4","Abrir facsímil")</f>
        <v>Abrir facsímil</v>
      </c>
      <c r="K8114" s="3" t="s">
        <v>150</v>
      </c>
    </row>
    <row r="8115" spans="1:11" ht="42" customHeight="1">
      <c r="A8115" s="2" t="s">
        <v>20579</v>
      </c>
      <c r="B8115" s="2" t="s">
        <v>20579</v>
      </c>
      <c r="C8115" s="2" t="s">
        <v>17</v>
      </c>
      <c r="D8115" s="2" t="s">
        <v>156</v>
      </c>
      <c r="E8115" s="4">
        <v>-32428</v>
      </c>
      <c r="F8115" s="3" t="s">
        <v>351</v>
      </c>
      <c r="G8115" s="3" t="s">
        <v>57</v>
      </c>
      <c r="H8115" s="2" t="s">
        <v>148</v>
      </c>
      <c r="I8115" s="2" t="s">
        <v>20580</v>
      </c>
      <c r="J8115" s="3" t="str">
        <f>HYPERLINK("https://www.boe.es/gazeta/dias/1811/03/19/pdfs/GMD-1811-78.pdf#page=2","Abrir facsímil")</f>
        <v>Abrir facsímil</v>
      </c>
      <c r="K8115" s="3" t="s">
        <v>150</v>
      </c>
    </row>
    <row r="8116" spans="1:11" ht="42" customHeight="1">
      <c r="A8116" s="2" t="s">
        <v>20581</v>
      </c>
      <c r="B8116" s="2" t="s">
        <v>20582</v>
      </c>
      <c r="C8116" s="2" t="s">
        <v>17</v>
      </c>
      <c r="D8116" s="2" t="s">
        <v>141</v>
      </c>
      <c r="E8116" s="4">
        <v>-32167</v>
      </c>
      <c r="F8116" s="3" t="s">
        <v>347</v>
      </c>
      <c r="G8116" s="3" t="s">
        <v>183</v>
      </c>
      <c r="H8116" s="2" t="s">
        <v>148</v>
      </c>
      <c r="I8116" s="2" t="s">
        <v>20583</v>
      </c>
      <c r="J8116" s="3" t="str">
        <f>HYPERLINK("https://www.boe.es/gazeta/dias/1811/12/05/pdfs/GEI-D-1811-158.pdf#page=4","Abrir facsímil")</f>
        <v>Abrir facsímil</v>
      </c>
      <c r="K8116" s="3" t="s">
        <v>150</v>
      </c>
    </row>
    <row r="8117" spans="1:11" ht="42" customHeight="1">
      <c r="A8117" s="2" t="s">
        <v>20584</v>
      </c>
      <c r="B8117" s="2" t="s">
        <v>20585</v>
      </c>
      <c r="C8117" s="2" t="s">
        <v>26</v>
      </c>
      <c r="D8117" s="2" t="s">
        <v>18</v>
      </c>
      <c r="E8117" s="4">
        <v>-32242</v>
      </c>
      <c r="F8117" s="3" t="s">
        <v>1295</v>
      </c>
      <c r="G8117" s="3" t="s">
        <v>1296</v>
      </c>
      <c r="H8117" s="2" t="s">
        <v>148</v>
      </c>
      <c r="I8117" s="2" t="s">
        <v>20586</v>
      </c>
      <c r="J8117" s="3" t="str">
        <f>HYPERLINK("https://www.boe.es/gazeta/dias/1811/09/21/pdfs/GEI-1811-122.pdf#page=8","Abrir facsímil")</f>
        <v>Abrir facsímil</v>
      </c>
      <c r="K8117" s="3" t="s">
        <v>150</v>
      </c>
    </row>
    <row r="8118" spans="1:11" ht="42" customHeight="1">
      <c r="A8118" s="2" t="s">
        <v>20587</v>
      </c>
      <c r="B8118" s="2" t="s">
        <v>20588</v>
      </c>
      <c r="C8118" s="2" t="s">
        <v>26</v>
      </c>
      <c r="D8118" s="2" t="s">
        <v>18</v>
      </c>
      <c r="E8118" s="4">
        <v>-32242</v>
      </c>
      <c r="F8118" s="3" t="s">
        <v>1295</v>
      </c>
      <c r="G8118" s="3" t="s">
        <v>1296</v>
      </c>
      <c r="H8118" s="2" t="s">
        <v>148</v>
      </c>
      <c r="I8118" s="2" t="s">
        <v>20589</v>
      </c>
      <c r="J8118" s="3" t="str">
        <f>HYPERLINK("https://www.boe.es/gazeta/dias/1811/09/21/pdfs/GEI-1811-122.pdf#page=8","Abrir facsímil")</f>
        <v>Abrir facsímil</v>
      </c>
      <c r="K8118" s="3" t="s">
        <v>150</v>
      </c>
    </row>
    <row r="8119" spans="1:11" ht="42" customHeight="1">
      <c r="A8119" s="2" t="s">
        <v>20590</v>
      </c>
      <c r="B8119" s="2" t="s">
        <v>20591</v>
      </c>
      <c r="C8119" s="2" t="s">
        <v>841</v>
      </c>
      <c r="D8119" s="2" t="s">
        <v>18</v>
      </c>
      <c r="E8119" s="4">
        <v>-32200</v>
      </c>
      <c r="F8119" s="3" t="s">
        <v>109</v>
      </c>
      <c r="G8119" s="3" t="s">
        <v>268</v>
      </c>
      <c r="H8119" s="2" t="s">
        <v>148</v>
      </c>
      <c r="I8119" s="2" t="s">
        <v>20592</v>
      </c>
      <c r="J8119" s="3" t="str">
        <f>HYPERLINK("https://www.boe.es/gazeta/dias/1811/11/02/pdfs/GEI-1811-141.pdf#page=7","Abrir facsímil")</f>
        <v>Abrir facsímil</v>
      </c>
      <c r="K8119" s="3" t="s">
        <v>150</v>
      </c>
    </row>
    <row r="8120" spans="1:11" ht="42" customHeight="1">
      <c r="A8120" s="2" t="s">
        <v>20593</v>
      </c>
      <c r="B8120" s="2" t="s">
        <v>20593</v>
      </c>
      <c r="C8120" s="2" t="s">
        <v>37</v>
      </c>
      <c r="D8120" s="2" t="s">
        <v>18</v>
      </c>
      <c r="E8120" s="4">
        <v>-32142</v>
      </c>
      <c r="F8120" s="3" t="s">
        <v>3022</v>
      </c>
      <c r="G8120" s="3" t="s">
        <v>91</v>
      </c>
      <c r="H8120" s="2" t="s">
        <v>148</v>
      </c>
      <c r="I8120" s="2" t="s">
        <v>20594</v>
      </c>
      <c r="J8120" s="3" t="str">
        <f>HYPERLINK("https://www.boe.es/gazeta/dias/1811/12/30/pdfs/GMD-1811-364.pdf#page=1","Abrir facsímil")</f>
        <v>Abrir facsímil</v>
      </c>
      <c r="K8120" s="3" t="s">
        <v>150</v>
      </c>
    </row>
    <row r="8121" spans="1:11" ht="42" customHeight="1">
      <c r="A8121" s="2" t="s">
        <v>20595</v>
      </c>
      <c r="B8121" s="2" t="s">
        <v>20596</v>
      </c>
      <c r="C8121" s="2" t="s">
        <v>37</v>
      </c>
      <c r="D8121" s="2" t="s">
        <v>18</v>
      </c>
      <c r="E8121" s="4">
        <v>-32204</v>
      </c>
      <c r="F8121" s="3" t="s">
        <v>177</v>
      </c>
      <c r="G8121" s="3" t="s">
        <v>178</v>
      </c>
      <c r="H8121" s="2" t="s">
        <v>148</v>
      </c>
      <c r="I8121" s="2" t="s">
        <v>20597</v>
      </c>
      <c r="J8121" s="3" t="str">
        <f>HYPERLINK("https://www.boe.es/gazeta/dias/1811/10/29/pdfs/GMD-1811-302.pdf#page=4","Abrir facsímil")</f>
        <v>Abrir facsímil</v>
      </c>
      <c r="K8121" s="3" t="s">
        <v>150</v>
      </c>
    </row>
    <row r="8122" spans="1:11" ht="42" customHeight="1">
      <c r="A8122" s="2" t="s">
        <v>20598</v>
      </c>
      <c r="B8122" s="2" t="s">
        <v>20599</v>
      </c>
      <c r="C8122" s="2" t="s">
        <v>26</v>
      </c>
      <c r="D8122" s="2" t="s">
        <v>18</v>
      </c>
      <c r="E8122" s="4">
        <v>-32358</v>
      </c>
      <c r="F8122" s="3" t="s">
        <v>2971</v>
      </c>
      <c r="G8122" s="3" t="s">
        <v>2056</v>
      </c>
      <c r="H8122" s="2" t="s">
        <v>148</v>
      </c>
      <c r="I8122" s="2" t="s">
        <v>20600</v>
      </c>
      <c r="J8122" s="3" t="str">
        <f>HYPERLINK("https://www.boe.es/gazeta/dias/1811/05/28/pdfs/GEI-1811-72.pdf#page=8","Abrir facsímil")</f>
        <v>Abrir facsímil</v>
      </c>
      <c r="K8122" s="3" t="s">
        <v>150</v>
      </c>
    </row>
    <row r="8123" spans="1:11" ht="42" customHeight="1">
      <c r="A8123" s="2" t="s">
        <v>20601</v>
      </c>
      <c r="B8123" s="2" t="s">
        <v>20602</v>
      </c>
      <c r="C8123" s="2" t="s">
        <v>26</v>
      </c>
      <c r="D8123" s="2" t="s">
        <v>18</v>
      </c>
      <c r="E8123" s="4">
        <v>-32442</v>
      </c>
      <c r="F8123" s="3" t="s">
        <v>2354</v>
      </c>
      <c r="G8123" s="3" t="s">
        <v>468</v>
      </c>
      <c r="H8123" s="2" t="s">
        <v>148</v>
      </c>
      <c r="I8123" s="2" t="s">
        <v>20603</v>
      </c>
      <c r="J8123" s="3" t="str">
        <f>HYPERLINK("https://www.boe.es/gazeta/dias/1811/03/05/pdfs/GMD-1811-64.pdf#page=4","Abrir facsímil")</f>
        <v>Abrir facsímil</v>
      </c>
      <c r="K8123" s="3" t="s">
        <v>150</v>
      </c>
    </row>
    <row r="8124" spans="1:11" ht="42" customHeight="1">
      <c r="A8124" s="2" t="s">
        <v>20604</v>
      </c>
      <c r="B8124" s="2" t="s">
        <v>20605</v>
      </c>
      <c r="C8124" s="2" t="s">
        <v>26</v>
      </c>
      <c r="D8124" s="2" t="s">
        <v>141</v>
      </c>
      <c r="E8124" s="4">
        <v>-32188</v>
      </c>
      <c r="F8124" s="3" t="s">
        <v>505</v>
      </c>
      <c r="G8124" s="3" t="s">
        <v>47</v>
      </c>
      <c r="H8124" s="2" t="s">
        <v>148</v>
      </c>
      <c r="I8124" s="2" t="s">
        <v>20606</v>
      </c>
      <c r="J8124" s="3" t="str">
        <f>HYPERLINK("https://www.boe.es/gazeta/dias/1811/11/14/pdfs/GEI-D-1811-149.pdf#page=3","Abrir facsímil")</f>
        <v>Abrir facsímil</v>
      </c>
      <c r="K8124" s="3" t="s">
        <v>150</v>
      </c>
    </row>
    <row r="8125" spans="1:11" ht="42" customHeight="1">
      <c r="A8125" s="2" t="s">
        <v>20607</v>
      </c>
      <c r="B8125" s="2" t="s">
        <v>20608</v>
      </c>
      <c r="C8125" s="2" t="s">
        <v>17</v>
      </c>
      <c r="D8125" s="2" t="s">
        <v>156</v>
      </c>
      <c r="E8125" s="4">
        <v>-32393</v>
      </c>
      <c r="F8125" s="3" t="s">
        <v>32</v>
      </c>
      <c r="G8125" s="3" t="s">
        <v>391</v>
      </c>
      <c r="H8125" s="2" t="s">
        <v>148</v>
      </c>
      <c r="I8125" s="2" t="s">
        <v>20609</v>
      </c>
      <c r="J8125" s="3" t="str">
        <f>HYPERLINK("https://www.boe.es/gazeta/dias/1811/04/23/pdfs/GEI-1811-54.pdf#page=4","Abrir facsímil")</f>
        <v>Abrir facsímil</v>
      </c>
      <c r="K8125" s="3" t="s">
        <v>150</v>
      </c>
    </row>
    <row r="8126" spans="1:11" ht="42" customHeight="1">
      <c r="A8126" s="2" t="s">
        <v>20610</v>
      </c>
      <c r="B8126" s="2" t="s">
        <v>20611</v>
      </c>
      <c r="C8126" s="2" t="s">
        <v>26</v>
      </c>
      <c r="D8126" s="2" t="s">
        <v>18</v>
      </c>
      <c r="E8126" s="4">
        <v>-32153</v>
      </c>
      <c r="F8126" s="3" t="s">
        <v>123</v>
      </c>
      <c r="G8126" s="3" t="s">
        <v>288</v>
      </c>
      <c r="H8126" s="2" t="s">
        <v>148</v>
      </c>
      <c r="I8126" s="2" t="s">
        <v>20612</v>
      </c>
      <c r="J8126" s="3" t="str">
        <f>HYPERLINK("https://www.boe.es/gazeta/dias/1811/12/19/pdfs/GMD-1811-353.pdf#page=4","Abrir facsímil")</f>
        <v>Abrir facsímil</v>
      </c>
      <c r="K8126" s="3" t="s">
        <v>150</v>
      </c>
    </row>
    <row r="8127" spans="1:11" ht="42" customHeight="1">
      <c r="A8127" s="2" t="s">
        <v>20613</v>
      </c>
      <c r="B8127" s="2" t="s">
        <v>20614</v>
      </c>
      <c r="C8127" s="2" t="s">
        <v>17</v>
      </c>
      <c r="D8127" s="2" t="s">
        <v>18</v>
      </c>
      <c r="E8127" s="4">
        <v>-32494</v>
      </c>
      <c r="F8127" s="3" t="s">
        <v>3050</v>
      </c>
      <c r="G8127" s="3" t="s">
        <v>3619</v>
      </c>
      <c r="H8127" s="2" t="s">
        <v>148</v>
      </c>
      <c r="I8127" s="2" t="s">
        <v>20615</v>
      </c>
      <c r="J8127" s="3" t="str">
        <f>HYPERLINK("https://www.boe.es/gazeta/dias/1811/01/12/pdfs/GEI-1811-6.pdf#page=8","Abrir facsímil")</f>
        <v>Abrir facsímil</v>
      </c>
      <c r="K8127" s="3" t="s">
        <v>150</v>
      </c>
    </row>
    <row r="8128" spans="1:11" ht="42" customHeight="1">
      <c r="A8128" s="2" t="s">
        <v>20616</v>
      </c>
      <c r="B8128" s="2" t="s">
        <v>20616</v>
      </c>
      <c r="C8128" s="2" t="s">
        <v>17</v>
      </c>
      <c r="D8128" s="2" t="s">
        <v>18</v>
      </c>
      <c r="E8128" s="4">
        <v>-32285</v>
      </c>
      <c r="F8128" s="3" t="s">
        <v>3716</v>
      </c>
      <c r="G8128" s="3" t="s">
        <v>162</v>
      </c>
      <c r="H8128" s="2" t="s">
        <v>148</v>
      </c>
      <c r="I8128" s="2" t="s">
        <v>20617</v>
      </c>
      <c r="J8128" s="3" t="str">
        <f>HYPERLINK("https://www.boe.es/gazeta/dias/1811/08/09/pdfs/GMD-1811-221.pdf#page=2","Abrir facsímil")</f>
        <v>Abrir facsímil</v>
      </c>
      <c r="K8128" s="3" t="s">
        <v>150</v>
      </c>
    </row>
    <row r="8129" spans="1:11" ht="42" customHeight="1">
      <c r="A8129" s="2" t="s">
        <v>20618</v>
      </c>
      <c r="B8129" s="2" t="s">
        <v>20618</v>
      </c>
      <c r="C8129" s="2" t="s">
        <v>17</v>
      </c>
      <c r="D8129" s="2" t="s">
        <v>18</v>
      </c>
      <c r="E8129" s="4">
        <v>-32242</v>
      </c>
      <c r="F8129" s="3" t="s">
        <v>1295</v>
      </c>
      <c r="G8129" s="3" t="s">
        <v>2906</v>
      </c>
      <c r="H8129" s="2" t="s">
        <v>148</v>
      </c>
      <c r="I8129" s="2" t="s">
        <v>20619</v>
      </c>
      <c r="J8129" s="3" t="str">
        <f>HYPERLINK("https://www.boe.es/gazeta/dias/1811/09/21/pdfs/GEI-1811-122.pdf#page=2","Abrir facsímil")</f>
        <v>Abrir facsímil</v>
      </c>
      <c r="K8129" s="3" t="s">
        <v>150</v>
      </c>
    </row>
    <row r="8130" spans="1:11" ht="42" customHeight="1">
      <c r="A8130" s="2" t="s">
        <v>20620</v>
      </c>
      <c r="B8130" s="2" t="s">
        <v>20621</v>
      </c>
      <c r="C8130" s="2" t="s">
        <v>26</v>
      </c>
      <c r="D8130" s="2" t="s">
        <v>18</v>
      </c>
      <c r="E8130" s="4">
        <v>-32421</v>
      </c>
      <c r="F8130" s="3" t="s">
        <v>79</v>
      </c>
      <c r="G8130" s="3" t="s">
        <v>488</v>
      </c>
      <c r="H8130" s="2" t="s">
        <v>148</v>
      </c>
      <c r="I8130" s="2" t="s">
        <v>20622</v>
      </c>
      <c r="J8130" s="3" t="str">
        <f>HYPERLINK("https://www.boe.es/gazeta/dias/1811/03/26/pdfs/GEI-1811-42.pdf#page=8","Abrir facsímil")</f>
        <v>Abrir facsímil</v>
      </c>
      <c r="K8130" s="3" t="s">
        <v>150</v>
      </c>
    </row>
    <row r="8131" spans="1:11" ht="42" customHeight="1">
      <c r="A8131" s="2" t="s">
        <v>20623</v>
      </c>
      <c r="B8131" s="2" t="s">
        <v>20623</v>
      </c>
      <c r="C8131" s="2" t="s">
        <v>37</v>
      </c>
      <c r="D8131" s="2" t="s">
        <v>204</v>
      </c>
      <c r="E8131" s="4">
        <v>-32429</v>
      </c>
      <c r="F8131" s="3" t="s">
        <v>770</v>
      </c>
      <c r="G8131" s="3" t="s">
        <v>846</v>
      </c>
      <c r="H8131" s="2" t="s">
        <v>148</v>
      </c>
      <c r="I8131" s="2" t="s">
        <v>20624</v>
      </c>
      <c r="J8131" s="3" t="str">
        <f>HYPERLINK("https://www.boe.es/gazeta/dias/1811/03/18/pdfs/GMD-1811-77.pdf#page=2","Abrir facsímil")</f>
        <v>Abrir facsímil</v>
      </c>
      <c r="K8131" s="3" t="s">
        <v>150</v>
      </c>
    </row>
    <row r="8132" spans="1:11" ht="42" customHeight="1">
      <c r="A8132" s="2" t="s">
        <v>20625</v>
      </c>
      <c r="B8132" s="2" t="s">
        <v>20625</v>
      </c>
      <c r="C8132" s="2" t="s">
        <v>17</v>
      </c>
      <c r="D8132" s="2" t="s">
        <v>18</v>
      </c>
      <c r="E8132" s="4">
        <v>-32174</v>
      </c>
      <c r="F8132" s="3" t="s">
        <v>3847</v>
      </c>
      <c r="G8132" s="3" t="s">
        <v>2056</v>
      </c>
      <c r="H8132" s="2" t="s">
        <v>148</v>
      </c>
      <c r="I8132" s="2" t="s">
        <v>20626</v>
      </c>
      <c r="J8132" s="3" t="str">
        <f>HYPERLINK("https://www.boe.es/gazeta/dias/1811/11/28/pdfs/GMD-1811-332.pdf#page=2","Abrir facsímil")</f>
        <v>Abrir facsímil</v>
      </c>
      <c r="K8132" s="3" t="s">
        <v>150</v>
      </c>
    </row>
    <row r="8133" spans="1:11" ht="42" customHeight="1">
      <c r="A8133" s="2" t="s">
        <v>20627</v>
      </c>
      <c r="B8133" s="2" t="s">
        <v>20627</v>
      </c>
      <c r="C8133" s="2" t="s">
        <v>26</v>
      </c>
      <c r="D8133" s="2" t="s">
        <v>18</v>
      </c>
      <c r="E8133" s="4">
        <v>-32360</v>
      </c>
      <c r="F8133" s="3" t="s">
        <v>5470</v>
      </c>
      <c r="G8133" s="3" t="s">
        <v>91</v>
      </c>
      <c r="H8133" s="2" t="s">
        <v>148</v>
      </c>
      <c r="I8133" s="2" t="s">
        <v>20628</v>
      </c>
      <c r="J8133" s="3" t="str">
        <f>HYPERLINK("https://www.boe.es/gazeta/dias/1811/05/26/pdfs/GMD-1811-146.pdf#page=2","Abrir facsímil")</f>
        <v>Abrir facsímil</v>
      </c>
      <c r="K8133" s="3" t="s">
        <v>150</v>
      </c>
    </row>
    <row r="8134" spans="1:11" ht="42" customHeight="1">
      <c r="A8134" s="2" t="s">
        <v>20629</v>
      </c>
      <c r="B8134" s="2" t="s">
        <v>20630</v>
      </c>
      <c r="C8134" s="2" t="s">
        <v>17</v>
      </c>
      <c r="D8134" s="2" t="s">
        <v>18</v>
      </c>
      <c r="E8134" s="4">
        <v>-32416</v>
      </c>
      <c r="F8134" s="3" t="s">
        <v>954</v>
      </c>
      <c r="G8134" s="3" t="s">
        <v>183</v>
      </c>
      <c r="H8134" s="2" t="s">
        <v>148</v>
      </c>
      <c r="I8134" s="2" t="s">
        <v>20631</v>
      </c>
      <c r="J8134" s="3" t="str">
        <f>HYPERLINK("https://www.boe.es/gazeta/dias/1811/03/31/pdfs/GMD-1811-90.pdf#page=4","Abrir facsímil")</f>
        <v>Abrir facsímil</v>
      </c>
      <c r="K8134" s="3" t="s">
        <v>150</v>
      </c>
    </row>
    <row r="8135" spans="1:11" ht="42" customHeight="1">
      <c r="A8135" s="2" t="s">
        <v>20629</v>
      </c>
      <c r="B8135" s="2" t="s">
        <v>20630</v>
      </c>
      <c r="C8135" s="2" t="s">
        <v>26</v>
      </c>
      <c r="D8135" s="2" t="s">
        <v>18</v>
      </c>
      <c r="E8135" s="4">
        <v>-32396</v>
      </c>
      <c r="F8135" s="3" t="s">
        <v>1267</v>
      </c>
      <c r="G8135" s="3" t="s">
        <v>1143</v>
      </c>
      <c r="H8135" s="2" t="s">
        <v>148</v>
      </c>
      <c r="I8135" s="2" t="s">
        <v>20632</v>
      </c>
      <c r="J8135" s="3" t="str">
        <f>HYPERLINK("https://www.boe.es/gazeta/dias/1811/04/20/pdfs/GMD-1811-110.pdf#page=3","Abrir facsímil")</f>
        <v>Abrir facsímil</v>
      </c>
      <c r="K8135" s="3" t="s">
        <v>150</v>
      </c>
    </row>
    <row r="8136" spans="1:11" ht="42" customHeight="1">
      <c r="A8136" s="2" t="s">
        <v>20633</v>
      </c>
      <c r="B8136" s="2" t="s">
        <v>20634</v>
      </c>
      <c r="C8136" s="2" t="s">
        <v>26</v>
      </c>
      <c r="D8136" s="2" t="s">
        <v>18</v>
      </c>
      <c r="E8136" s="4">
        <v>-32242</v>
      </c>
      <c r="F8136" s="3" t="s">
        <v>1295</v>
      </c>
      <c r="G8136" s="3" t="s">
        <v>1296</v>
      </c>
      <c r="H8136" s="2" t="s">
        <v>148</v>
      </c>
      <c r="I8136" s="2" t="s">
        <v>20635</v>
      </c>
      <c r="J8136" s="3" t="str">
        <f>HYPERLINK("https://www.boe.es/gazeta/dias/1811/09/21/pdfs/GEI-1811-122.pdf#page=8","Abrir facsímil")</f>
        <v>Abrir facsímil</v>
      </c>
      <c r="K8136" s="3" t="s">
        <v>150</v>
      </c>
    </row>
    <row r="8137" spans="1:11" ht="42" customHeight="1">
      <c r="A8137" s="2" t="s">
        <v>20636</v>
      </c>
      <c r="B8137" s="2" t="s">
        <v>20637</v>
      </c>
      <c r="C8137" s="2" t="s">
        <v>104</v>
      </c>
      <c r="D8137" s="2" t="s">
        <v>105</v>
      </c>
      <c r="E8137" s="4">
        <v>-32312</v>
      </c>
      <c r="F8137" s="3" t="s">
        <v>2640</v>
      </c>
      <c r="G8137" s="3" t="s">
        <v>3751</v>
      </c>
      <c r="H8137" s="2" t="s">
        <v>148</v>
      </c>
      <c r="I8137" s="2" t="s">
        <v>20638</v>
      </c>
      <c r="J8137" s="3" t="str">
        <f>HYPERLINK("https://www.boe.es/gazeta/dias/1811/07/13/pdfs/GEI-1811-92.pdf#page=8","Abrir facsímil")</f>
        <v>Abrir facsímil</v>
      </c>
      <c r="K8137" s="3" t="s">
        <v>150</v>
      </c>
    </row>
    <row r="8138" spans="1:11" ht="42" customHeight="1">
      <c r="A8138" s="2" t="s">
        <v>20639</v>
      </c>
      <c r="B8138" s="2" t="s">
        <v>20640</v>
      </c>
      <c r="C8138" s="2" t="s">
        <v>17</v>
      </c>
      <c r="D8138" s="2" t="s">
        <v>18</v>
      </c>
      <c r="E8138" s="4">
        <v>-32431</v>
      </c>
      <c r="F8138" s="3" t="s">
        <v>342</v>
      </c>
      <c r="G8138" s="3" t="s">
        <v>91</v>
      </c>
      <c r="H8138" s="2" t="s">
        <v>148</v>
      </c>
      <c r="I8138" s="2" t="s">
        <v>20641</v>
      </c>
      <c r="J8138" s="3" t="str">
        <f>HYPERLINK("https://www.boe.es/gazeta/dias/1811/03/16/pdfs/GEI-1811-38.pdf#page=1","Abrir facsímil")</f>
        <v>Abrir facsímil</v>
      </c>
      <c r="K8138" s="3" t="s">
        <v>150</v>
      </c>
    </row>
    <row r="8139" spans="1:11" ht="42" customHeight="1">
      <c r="A8139" s="2" t="s">
        <v>20642</v>
      </c>
      <c r="B8139" s="2" t="s">
        <v>20643</v>
      </c>
      <c r="C8139" s="2" t="s">
        <v>17</v>
      </c>
      <c r="D8139" s="2" t="s">
        <v>18</v>
      </c>
      <c r="E8139" s="4">
        <v>-32336</v>
      </c>
      <c r="F8139" s="3" t="s">
        <v>8466</v>
      </c>
      <c r="G8139" s="3" t="s">
        <v>107</v>
      </c>
      <c r="H8139" s="2" t="s">
        <v>148</v>
      </c>
      <c r="I8139" s="2" t="s">
        <v>20644</v>
      </c>
      <c r="J8139" s="3" t="str">
        <f>HYPERLINK("https://www.boe.es/gazeta/dias/1811/06/19/pdfs/GMD-1811-170.pdf#page=2","Abrir facsímil")</f>
        <v>Abrir facsímil</v>
      </c>
      <c r="K8139" s="3" t="s">
        <v>150</v>
      </c>
    </row>
    <row r="8140" spans="1:11" ht="42" customHeight="1">
      <c r="A8140" s="2" t="s">
        <v>20645</v>
      </c>
      <c r="B8140" s="2" t="s">
        <v>20646</v>
      </c>
      <c r="C8140" s="2" t="s">
        <v>26</v>
      </c>
      <c r="D8140" s="2" t="s">
        <v>18</v>
      </c>
      <c r="E8140" s="4">
        <v>-32384</v>
      </c>
      <c r="F8140" s="3" t="s">
        <v>338</v>
      </c>
      <c r="G8140" s="3" t="s">
        <v>339</v>
      </c>
      <c r="H8140" s="2" t="s">
        <v>148</v>
      </c>
      <c r="I8140" s="2" t="s">
        <v>20647</v>
      </c>
      <c r="J8140" s="3" t="str">
        <f>HYPERLINK("https://www.boe.es/gazeta/dias/1811/05/02/pdfs/GEI-1811-58.pdf#page=8","Abrir facsímil")</f>
        <v>Abrir facsímil</v>
      </c>
      <c r="K8140" s="3" t="s">
        <v>150</v>
      </c>
    </row>
    <row r="8141" spans="1:11" ht="42" customHeight="1">
      <c r="A8141" s="2" t="s">
        <v>20648</v>
      </c>
      <c r="B8141" s="2" t="s">
        <v>20649</v>
      </c>
      <c r="C8141" s="2" t="s">
        <v>17</v>
      </c>
      <c r="D8141" s="2" t="s">
        <v>18</v>
      </c>
      <c r="E8141" s="4">
        <v>-32421</v>
      </c>
      <c r="F8141" s="3" t="s">
        <v>79</v>
      </c>
      <c r="G8141" s="3" t="s">
        <v>80</v>
      </c>
      <c r="H8141" s="2" t="s">
        <v>148</v>
      </c>
      <c r="I8141" s="2" t="s">
        <v>20650</v>
      </c>
      <c r="J8141" s="3" t="str">
        <f>HYPERLINK("https://www.boe.es/gazeta/dias/1811/03/26/pdfs/GEI-1811-42.pdf#page=7","Abrir facsímil")</f>
        <v>Abrir facsímil</v>
      </c>
      <c r="K8141" s="3" t="s">
        <v>150</v>
      </c>
    </row>
    <row r="8142" spans="1:11" ht="42" customHeight="1">
      <c r="A8142" s="2" t="s">
        <v>20651</v>
      </c>
      <c r="B8142" s="2" t="s">
        <v>20652</v>
      </c>
      <c r="C8142" s="2" t="s">
        <v>66</v>
      </c>
      <c r="D8142" s="2" t="s">
        <v>18</v>
      </c>
      <c r="E8142" s="4">
        <v>-32297</v>
      </c>
      <c r="F8142" s="3" t="s">
        <v>2174</v>
      </c>
      <c r="G8142" s="3" t="s">
        <v>115</v>
      </c>
      <c r="H8142" s="2" t="s">
        <v>148</v>
      </c>
      <c r="I8142" s="2" t="s">
        <v>20653</v>
      </c>
      <c r="J8142" s="3" t="str">
        <f>HYPERLINK("https://www.boe.es/gazeta/dias/1811/07/28/pdfs/GMD-1811-209.pdf#page=3","Abrir facsímil")</f>
        <v>Abrir facsímil</v>
      </c>
      <c r="K8142" s="3" t="s">
        <v>150</v>
      </c>
    </row>
    <row r="8143" spans="1:11" ht="42" customHeight="1">
      <c r="A8143" s="2" t="s">
        <v>20654</v>
      </c>
      <c r="B8143" s="2" t="s">
        <v>20654</v>
      </c>
      <c r="C8143" s="2" t="s">
        <v>26</v>
      </c>
      <c r="D8143" s="2" t="s">
        <v>18</v>
      </c>
      <c r="E8143" s="4">
        <v>-32456</v>
      </c>
      <c r="F8143" s="3" t="s">
        <v>4785</v>
      </c>
      <c r="G8143" s="3" t="s">
        <v>468</v>
      </c>
      <c r="H8143" s="2" t="s">
        <v>148</v>
      </c>
      <c r="I8143" s="2" t="s">
        <v>20655</v>
      </c>
      <c r="J8143" s="3" t="str">
        <f>HYPERLINK("https://www.boe.es/gazeta/dias/1811/02/19/pdfs/GMD-1811-50.pdf#page=4","Abrir facsímil")</f>
        <v>Abrir facsímil</v>
      </c>
      <c r="K8143" s="3" t="s">
        <v>150</v>
      </c>
    </row>
    <row r="8144" spans="1:11" ht="42" customHeight="1">
      <c r="A8144" s="2" t="s">
        <v>20656</v>
      </c>
      <c r="B8144" s="2" t="s">
        <v>20657</v>
      </c>
      <c r="C8144" s="2" t="s">
        <v>84</v>
      </c>
      <c r="D8144" s="2" t="s">
        <v>18</v>
      </c>
      <c r="E8144" s="4">
        <v>-32145</v>
      </c>
      <c r="F8144" s="3" t="s">
        <v>417</v>
      </c>
      <c r="G8144" s="3" t="s">
        <v>418</v>
      </c>
      <c r="H8144" s="2" t="s">
        <v>148</v>
      </c>
      <c r="I8144" s="2" t="s">
        <v>20658</v>
      </c>
      <c r="J8144" s="3" t="str">
        <f>HYPERLINK("https://www.boe.es/gazeta/dias/1811/12/27/pdfs/GMD-1811-361.pdf#page=4","Abrir facsímil")</f>
        <v>Abrir facsímil</v>
      </c>
      <c r="K8144" s="3" t="s">
        <v>150</v>
      </c>
    </row>
    <row r="8145" spans="1:11" ht="42" customHeight="1">
      <c r="A8145" s="2" t="s">
        <v>20659</v>
      </c>
      <c r="B8145" s="2" t="s">
        <v>20660</v>
      </c>
      <c r="C8145" s="2" t="s">
        <v>122</v>
      </c>
      <c r="D8145" s="2" t="s">
        <v>105</v>
      </c>
      <c r="E8145" s="4">
        <v>-32238</v>
      </c>
      <c r="F8145" s="3" t="s">
        <v>166</v>
      </c>
      <c r="G8145" s="3" t="s">
        <v>657</v>
      </c>
      <c r="H8145" s="2" t="s">
        <v>148</v>
      </c>
      <c r="I8145" s="2" t="s">
        <v>20661</v>
      </c>
      <c r="J8145" s="3" t="str">
        <f>HYPERLINK("https://www.boe.es/gazeta/dias/1811/09/25/pdfs/GMD-C-1811-268.pdf#page=3","Abrir facsímil")</f>
        <v>Abrir facsímil</v>
      </c>
      <c r="K8145" s="3" t="s">
        <v>150</v>
      </c>
    </row>
    <row r="8146" spans="1:11" ht="42" customHeight="1">
      <c r="A8146" s="2" t="s">
        <v>20662</v>
      </c>
      <c r="B8146" s="2" t="s">
        <v>20663</v>
      </c>
      <c r="C8146" s="2" t="s">
        <v>26</v>
      </c>
      <c r="D8146" s="2" t="s">
        <v>18</v>
      </c>
      <c r="E8146" s="4">
        <v>-32188</v>
      </c>
      <c r="F8146" s="3" t="s">
        <v>356</v>
      </c>
      <c r="G8146" s="3" t="s">
        <v>468</v>
      </c>
      <c r="H8146" s="2" t="s">
        <v>148</v>
      </c>
      <c r="I8146" s="2" t="s">
        <v>20664</v>
      </c>
      <c r="J8146" s="3" t="str">
        <f>HYPERLINK("https://www.boe.es/gazeta/dias/1811/11/14/pdfs/GMD-1811-318.pdf#page=6","Abrir facsímil")</f>
        <v>Abrir facsímil</v>
      </c>
      <c r="K8146" s="3" t="s">
        <v>150</v>
      </c>
    </row>
    <row r="8147" spans="1:11" ht="42" customHeight="1">
      <c r="A8147" s="2" t="s">
        <v>20665</v>
      </c>
      <c r="B8147" s="2" t="s">
        <v>20666</v>
      </c>
      <c r="C8147" s="2" t="s">
        <v>17</v>
      </c>
      <c r="D8147" s="2" t="s">
        <v>18</v>
      </c>
      <c r="E8147" s="4">
        <v>-32272</v>
      </c>
      <c r="F8147" s="3" t="s">
        <v>1121</v>
      </c>
      <c r="G8147" s="3" t="s">
        <v>2682</v>
      </c>
      <c r="H8147" s="2" t="s">
        <v>148</v>
      </c>
      <c r="I8147" s="2" t="s">
        <v>20667</v>
      </c>
      <c r="J8147" s="3" t="str">
        <f>HYPERLINK("https://www.boe.es/gazeta/dias/1811/08/22/pdfs/GEI-1811-109.pdf#page=1","Abrir facsímil")</f>
        <v>Abrir facsímil</v>
      </c>
      <c r="K8147" s="3" t="s">
        <v>150</v>
      </c>
    </row>
    <row r="8148" spans="1:11" ht="42" customHeight="1">
      <c r="A8148" s="2" t="s">
        <v>20668</v>
      </c>
      <c r="B8148" s="2" t="s">
        <v>20668</v>
      </c>
      <c r="C8148" s="2" t="s">
        <v>17</v>
      </c>
      <c r="D8148" s="2" t="s">
        <v>18</v>
      </c>
      <c r="E8148" s="4">
        <v>-32272</v>
      </c>
      <c r="F8148" s="3" t="s">
        <v>1121</v>
      </c>
      <c r="G8148" s="3" t="s">
        <v>2682</v>
      </c>
      <c r="H8148" s="2" t="s">
        <v>148</v>
      </c>
      <c r="I8148" s="2" t="s">
        <v>20669</v>
      </c>
      <c r="J8148" s="3" t="str">
        <f>HYPERLINK("https://www.boe.es/gazeta/dias/1811/08/22/pdfs/GEI-1811-109.pdf#page=1","Abrir facsímil")</f>
        <v>Abrir facsímil</v>
      </c>
      <c r="K8148" s="3" t="s">
        <v>150</v>
      </c>
    </row>
    <row r="8149" spans="1:11" ht="42" customHeight="1">
      <c r="A8149" s="2" t="s">
        <v>20670</v>
      </c>
      <c r="B8149" s="2" t="s">
        <v>20670</v>
      </c>
      <c r="C8149" s="2" t="s">
        <v>104</v>
      </c>
      <c r="D8149" s="2" t="s">
        <v>18</v>
      </c>
      <c r="E8149" s="4">
        <v>-32149</v>
      </c>
      <c r="F8149" s="3" t="s">
        <v>2292</v>
      </c>
      <c r="G8149" s="3" t="s">
        <v>183</v>
      </c>
      <c r="H8149" s="2" t="s">
        <v>148</v>
      </c>
      <c r="I8149" s="2" t="s">
        <v>20671</v>
      </c>
      <c r="J8149" s="3" t="str">
        <f>HYPERLINK("https://www.boe.es/gazeta/dias/1811/12/23/pdfs/GMD-1811-357.pdf#page=4","Abrir facsímil")</f>
        <v>Abrir facsímil</v>
      </c>
      <c r="K8149" s="3" t="s">
        <v>150</v>
      </c>
    </row>
    <row r="8150" spans="1:11" ht="42" customHeight="1">
      <c r="A8150" s="2" t="s">
        <v>20672</v>
      </c>
      <c r="B8150" s="2" t="s">
        <v>20673</v>
      </c>
      <c r="C8150" s="2" t="s">
        <v>17</v>
      </c>
      <c r="D8150" s="2" t="s">
        <v>18</v>
      </c>
      <c r="E8150" s="4">
        <v>-32396</v>
      </c>
      <c r="F8150" s="3" t="s">
        <v>1267</v>
      </c>
      <c r="G8150" s="3" t="s">
        <v>1143</v>
      </c>
      <c r="H8150" s="2" t="s">
        <v>148</v>
      </c>
      <c r="I8150" s="2" t="s">
        <v>20674</v>
      </c>
      <c r="J8150" s="3" t="str">
        <f>HYPERLINK("https://www.boe.es/gazeta/dias/1811/04/20/pdfs/GMD-1811-110.pdf#page=3","Abrir facsímil")</f>
        <v>Abrir facsímil</v>
      </c>
      <c r="K8150" s="3" t="s">
        <v>150</v>
      </c>
    </row>
    <row r="8151" spans="1:11" ht="42" customHeight="1">
      <c r="A8151" s="2" t="s">
        <v>20675</v>
      </c>
      <c r="B8151" s="2" t="s">
        <v>20675</v>
      </c>
      <c r="C8151" s="2" t="s">
        <v>84</v>
      </c>
      <c r="D8151" s="2" t="s">
        <v>105</v>
      </c>
      <c r="E8151" s="4">
        <v>-32501</v>
      </c>
      <c r="F8151" s="3" t="s">
        <v>509</v>
      </c>
      <c r="G8151" s="3" t="s">
        <v>510</v>
      </c>
      <c r="H8151" s="2" t="s">
        <v>148</v>
      </c>
      <c r="I8151" s="2" t="s">
        <v>20676</v>
      </c>
      <c r="J8151" s="3" t="str">
        <f>HYPERLINK("https://www.boe.es/gazeta/dias/1811/01/05/pdfs/GEI-1811-3.pdf#page=8","Abrir facsímil")</f>
        <v>Abrir facsímil</v>
      </c>
      <c r="K8151" s="3" t="s">
        <v>150</v>
      </c>
    </row>
    <row r="8152" spans="1:11" ht="42" customHeight="1">
      <c r="A8152" s="2" t="s">
        <v>20677</v>
      </c>
      <c r="B8152" s="2" t="s">
        <v>20677</v>
      </c>
      <c r="C8152" s="2" t="s">
        <v>17</v>
      </c>
      <c r="D8152" s="2" t="s">
        <v>156</v>
      </c>
      <c r="E8152" s="4">
        <v>-32428</v>
      </c>
      <c r="F8152" s="3" t="s">
        <v>351</v>
      </c>
      <c r="G8152" s="3" t="s">
        <v>115</v>
      </c>
      <c r="H8152" s="2" t="s">
        <v>148</v>
      </c>
      <c r="I8152" s="2" t="s">
        <v>20678</v>
      </c>
      <c r="J8152" s="3" t="str">
        <f>HYPERLINK("https://www.boe.es/gazeta/dias/1811/03/19/pdfs/GMD-1811-78.pdf#page=3","Abrir facsímil")</f>
        <v>Abrir facsímil</v>
      </c>
      <c r="K8152" s="3" t="s">
        <v>150</v>
      </c>
    </row>
    <row r="8153" spans="1:11" ht="42" customHeight="1">
      <c r="A8153" s="2" t="s">
        <v>20679</v>
      </c>
      <c r="B8153" s="2" t="s">
        <v>20679</v>
      </c>
      <c r="C8153" s="2" t="s">
        <v>17</v>
      </c>
      <c r="D8153" s="2" t="s">
        <v>18</v>
      </c>
      <c r="E8153" s="4">
        <v>-32374</v>
      </c>
      <c r="F8153" s="3" t="s">
        <v>10021</v>
      </c>
      <c r="G8153" s="3" t="s">
        <v>57</v>
      </c>
      <c r="H8153" s="2" t="s">
        <v>148</v>
      </c>
      <c r="I8153" s="2" t="s">
        <v>20680</v>
      </c>
      <c r="J8153" s="3" t="str">
        <f>HYPERLINK("https://www.boe.es/gazeta/dias/1811/05/12/pdfs/GMD-1811-132.pdf#page=2","Abrir facsímil")</f>
        <v>Abrir facsímil</v>
      </c>
      <c r="K8153" s="3" t="s">
        <v>150</v>
      </c>
    </row>
    <row r="8154" spans="1:11" ht="42" customHeight="1">
      <c r="A8154" s="2" t="s">
        <v>20681</v>
      </c>
      <c r="B8154" s="2" t="s">
        <v>20682</v>
      </c>
      <c r="C8154" s="2" t="s">
        <v>84</v>
      </c>
      <c r="D8154" s="2" t="s">
        <v>18</v>
      </c>
      <c r="E8154" s="4">
        <v>-32295</v>
      </c>
      <c r="F8154" s="3" t="s">
        <v>6168</v>
      </c>
      <c r="G8154" s="3" t="s">
        <v>2682</v>
      </c>
      <c r="H8154" s="2" t="s">
        <v>148</v>
      </c>
      <c r="I8154" s="2" t="s">
        <v>20683</v>
      </c>
      <c r="J8154" s="3" t="str">
        <f>HYPERLINK("https://www.boe.es/gazeta/dias/1811/07/30/pdfs/GMD-1811-211.pdf#page=3","Abrir facsímil")</f>
        <v>Abrir facsímil</v>
      </c>
      <c r="K8154" s="3" t="s">
        <v>150</v>
      </c>
    </row>
    <row r="8155" spans="1:11" ht="42" customHeight="1">
      <c r="A8155" s="2" t="s">
        <v>20684</v>
      </c>
      <c r="B8155" s="2" t="s">
        <v>20685</v>
      </c>
      <c r="C8155" s="2" t="s">
        <v>26</v>
      </c>
      <c r="D8155" s="2" t="s">
        <v>141</v>
      </c>
      <c r="E8155" s="4">
        <v>-32249</v>
      </c>
      <c r="F8155" s="3" t="s">
        <v>743</v>
      </c>
      <c r="G8155" s="3" t="s">
        <v>1021</v>
      </c>
      <c r="H8155" s="2" t="s">
        <v>148</v>
      </c>
      <c r="I8155" s="2" t="s">
        <v>20686</v>
      </c>
      <c r="J8155" s="3" t="str">
        <f>HYPERLINK("https://www.boe.es/gazeta/dias/1811/09/14/pdfs/GMD-C-1811-257.pdf#page=2","Abrir facsímil")</f>
        <v>Abrir facsímil</v>
      </c>
      <c r="K8155" s="3" t="s">
        <v>150</v>
      </c>
    </row>
    <row r="8156" spans="1:11" ht="42" customHeight="1">
      <c r="A8156" s="2" t="s">
        <v>20687</v>
      </c>
      <c r="B8156" s="2" t="s">
        <v>20688</v>
      </c>
      <c r="C8156" s="2" t="s">
        <v>26</v>
      </c>
      <c r="D8156" s="2" t="s">
        <v>18</v>
      </c>
      <c r="E8156" s="4">
        <v>-32450</v>
      </c>
      <c r="F8156" s="3" t="s">
        <v>794</v>
      </c>
      <c r="G8156" s="3" t="s">
        <v>57</v>
      </c>
      <c r="H8156" s="2" t="s">
        <v>148</v>
      </c>
      <c r="I8156" s="2" t="s">
        <v>20689</v>
      </c>
      <c r="J8156" s="3" t="str">
        <f>HYPERLINK("https://www.boe.es/gazeta/dias/1811/02/25/pdfs/GMD-1811-56.pdf#page=2","Abrir facsímil")</f>
        <v>Abrir facsímil</v>
      </c>
      <c r="K8156" s="3" t="s">
        <v>150</v>
      </c>
    </row>
    <row r="8157" spans="1:11" ht="42" customHeight="1">
      <c r="A8157" s="2" t="s">
        <v>20687</v>
      </c>
      <c r="B8157" s="2" t="s">
        <v>20688</v>
      </c>
      <c r="C8157" s="2" t="s">
        <v>66</v>
      </c>
      <c r="D8157" s="2" t="s">
        <v>18</v>
      </c>
      <c r="E8157" s="4">
        <v>-32173</v>
      </c>
      <c r="F8157" s="3" t="s">
        <v>2701</v>
      </c>
      <c r="G8157" s="3" t="s">
        <v>3092</v>
      </c>
      <c r="H8157" s="2" t="s">
        <v>148</v>
      </c>
      <c r="I8157" s="2" t="s">
        <v>20690</v>
      </c>
      <c r="J8157" s="3" t="str">
        <f>HYPERLINK("https://www.boe.es/gazeta/dias/1811/11/29/pdfs/GMD-1811-333.pdf#page=1","Abrir facsímil")</f>
        <v>Abrir facsímil</v>
      </c>
      <c r="K8157" s="3" t="s">
        <v>150</v>
      </c>
    </row>
    <row r="8158" spans="1:11" ht="42" customHeight="1">
      <c r="A8158" s="2" t="s">
        <v>20691</v>
      </c>
      <c r="B8158" s="2" t="s">
        <v>20692</v>
      </c>
      <c r="C8158" s="2" t="s">
        <v>26</v>
      </c>
      <c r="D8158" s="2" t="s">
        <v>141</v>
      </c>
      <c r="E8158" s="4">
        <v>-32238</v>
      </c>
      <c r="F8158" s="3" t="s">
        <v>166</v>
      </c>
      <c r="G8158" s="3" t="s">
        <v>657</v>
      </c>
      <c r="H8158" s="2" t="s">
        <v>148</v>
      </c>
      <c r="I8158" s="2" t="s">
        <v>20693</v>
      </c>
      <c r="J8158" s="3" t="str">
        <f>HYPERLINK("https://www.boe.es/gazeta/dias/1811/09/25/pdfs/GMD-C-1811-268.pdf#page=3","Abrir facsímil")</f>
        <v>Abrir facsímil</v>
      </c>
      <c r="K8158" s="3" t="s">
        <v>150</v>
      </c>
    </row>
    <row r="8159" spans="1:11" ht="42" customHeight="1">
      <c r="A8159" s="2" t="s">
        <v>20694</v>
      </c>
      <c r="B8159" s="2" t="s">
        <v>20695</v>
      </c>
      <c r="C8159" s="2" t="s">
        <v>26</v>
      </c>
      <c r="D8159" s="2" t="s">
        <v>18</v>
      </c>
      <c r="E8159" s="4">
        <v>-32379</v>
      </c>
      <c r="F8159" s="3" t="s">
        <v>462</v>
      </c>
      <c r="G8159" s="3" t="s">
        <v>228</v>
      </c>
      <c r="H8159" s="2" t="s">
        <v>148</v>
      </c>
      <c r="I8159" s="2" t="s">
        <v>20696</v>
      </c>
      <c r="J8159" s="3" t="str">
        <f>HYPERLINK("https://www.boe.es/gazeta/dias/1811/05/07/pdfs/GEI-1811-60.pdf#page=3","Abrir facsímil")</f>
        <v>Abrir facsímil</v>
      </c>
      <c r="K8159" s="3" t="s">
        <v>150</v>
      </c>
    </row>
    <row r="8160" spans="1:11" ht="42" customHeight="1">
      <c r="A8160" s="2" t="s">
        <v>20697</v>
      </c>
      <c r="B8160" s="2" t="s">
        <v>20698</v>
      </c>
      <c r="C8160" s="2" t="s">
        <v>26</v>
      </c>
      <c r="D8160" s="2" t="s">
        <v>18</v>
      </c>
      <c r="E8160" s="4">
        <v>-32188</v>
      </c>
      <c r="F8160" s="3" t="s">
        <v>356</v>
      </c>
      <c r="G8160" s="3" t="s">
        <v>248</v>
      </c>
      <c r="H8160" s="2" t="s">
        <v>148</v>
      </c>
      <c r="I8160" s="2" t="s">
        <v>20699</v>
      </c>
      <c r="J8160" s="3" t="str">
        <f>HYPERLINK("https://www.boe.es/gazeta/dias/1811/11/14/pdfs/GMD-1811-318.pdf#page=5","Abrir facsímil")</f>
        <v>Abrir facsímil</v>
      </c>
      <c r="K8160" s="3" t="s">
        <v>150</v>
      </c>
    </row>
    <row r="8161" spans="1:11" ht="42" customHeight="1">
      <c r="A8161" s="2" t="s">
        <v>20700</v>
      </c>
      <c r="B8161" s="2" t="s">
        <v>20701</v>
      </c>
      <c r="C8161" s="2" t="s">
        <v>26</v>
      </c>
      <c r="D8161" s="2" t="s">
        <v>141</v>
      </c>
      <c r="E8161" s="4">
        <v>-32238</v>
      </c>
      <c r="F8161" s="3" t="s">
        <v>166</v>
      </c>
      <c r="G8161" s="3" t="s">
        <v>39</v>
      </c>
      <c r="H8161" s="2" t="s">
        <v>148</v>
      </c>
      <c r="I8161" s="2" t="s">
        <v>20702</v>
      </c>
      <c r="J8161" s="3" t="str">
        <f>HYPERLINK("https://www.boe.es/gazeta/dias/1811/09/25/pdfs/GMD-C-1811-268.pdf#page=2","Abrir facsímil")</f>
        <v>Abrir facsímil</v>
      </c>
      <c r="K8161" s="3" t="s">
        <v>150</v>
      </c>
    </row>
    <row r="8162" spans="1:11" ht="42" customHeight="1">
      <c r="A8162" s="2" t="s">
        <v>20703</v>
      </c>
      <c r="B8162" s="2" t="s">
        <v>20704</v>
      </c>
      <c r="C8162" s="2" t="s">
        <v>26</v>
      </c>
      <c r="D8162" s="2" t="s">
        <v>18</v>
      </c>
      <c r="E8162" s="4">
        <v>-32459</v>
      </c>
      <c r="F8162" s="3" t="s">
        <v>1034</v>
      </c>
      <c r="G8162" s="3" t="s">
        <v>510</v>
      </c>
      <c r="H8162" s="2" t="s">
        <v>148</v>
      </c>
      <c r="I8162" s="2" t="s">
        <v>20705</v>
      </c>
      <c r="J8162" s="3" t="str">
        <f>HYPERLINK("https://www.boe.es/gazeta/dias/1811/02/16/pdfs/GEI-1811-21.pdf#page=8","Abrir facsímil")</f>
        <v>Abrir facsímil</v>
      </c>
      <c r="K8162" s="3" t="s">
        <v>150</v>
      </c>
    </row>
    <row r="8163" spans="1:11" ht="42" customHeight="1">
      <c r="A8163" s="2" t="s">
        <v>20706</v>
      </c>
      <c r="B8163" s="2" t="s">
        <v>20707</v>
      </c>
      <c r="C8163" s="2" t="s">
        <v>26</v>
      </c>
      <c r="D8163" s="2" t="s">
        <v>18</v>
      </c>
      <c r="E8163" s="4">
        <v>-32193</v>
      </c>
      <c r="F8163" s="3" t="s">
        <v>1037</v>
      </c>
      <c r="G8163" s="3" t="s">
        <v>20708</v>
      </c>
      <c r="H8163" s="2" t="s">
        <v>148</v>
      </c>
      <c r="I8163" s="2" t="s">
        <v>20709</v>
      </c>
      <c r="J8163" s="3" t="str">
        <f>HYPERLINK("https://www.boe.es/gazeta/dias/1811/11/09/pdfs/GEI-1811-145.pdf#page=8","Abrir facsímil")</f>
        <v>Abrir facsímil</v>
      </c>
      <c r="K8163" s="3" t="s">
        <v>150</v>
      </c>
    </row>
    <row r="8164" spans="1:11" ht="42" customHeight="1">
      <c r="A8164" s="2" t="s">
        <v>20710</v>
      </c>
      <c r="B8164" s="2" t="s">
        <v>20710</v>
      </c>
      <c r="C8164" s="2" t="s">
        <v>66</v>
      </c>
      <c r="D8164" s="2" t="s">
        <v>18</v>
      </c>
      <c r="E8164" s="4">
        <v>-32165</v>
      </c>
      <c r="F8164" s="3" t="s">
        <v>4621</v>
      </c>
      <c r="G8164" s="3" t="s">
        <v>20711</v>
      </c>
      <c r="H8164" s="2" t="s">
        <v>148</v>
      </c>
      <c r="I8164" s="2" t="s">
        <v>20712</v>
      </c>
      <c r="J8164" s="3" t="str">
        <f>HYPERLINK("https://www.boe.es/gazeta/dias/1811/12/07/pdfs/GEI-1811-159.pdf#page=2","Abrir facsímil")</f>
        <v>Abrir facsímil</v>
      </c>
      <c r="K8164" s="3" t="s">
        <v>150</v>
      </c>
    </row>
    <row r="8165" spans="1:11" ht="42" customHeight="1">
      <c r="A8165" s="2" t="s">
        <v>20713</v>
      </c>
      <c r="B8165" s="2" t="s">
        <v>20713</v>
      </c>
      <c r="C8165" s="2" t="s">
        <v>17</v>
      </c>
      <c r="D8165" s="2" t="s">
        <v>18</v>
      </c>
      <c r="E8165" s="4">
        <v>-32251</v>
      </c>
      <c r="F8165" s="3" t="s">
        <v>726</v>
      </c>
      <c r="G8165" s="3" t="s">
        <v>20</v>
      </c>
      <c r="H8165" s="2" t="s">
        <v>148</v>
      </c>
      <c r="I8165" s="2" t="s">
        <v>20714</v>
      </c>
      <c r="J8165" s="3" t="str">
        <f>HYPERLINK("https://www.boe.es/gazeta/dias/1811/09/12/pdfs/GEI-1811-118.pdf#page=4","Abrir facsímil")</f>
        <v>Abrir facsímil</v>
      </c>
      <c r="K8165" s="3" t="s">
        <v>150</v>
      </c>
    </row>
    <row r="8166" spans="1:11" ht="42" customHeight="1">
      <c r="A8166" s="2" t="s">
        <v>20715</v>
      </c>
      <c r="B8166" s="2" t="s">
        <v>20715</v>
      </c>
      <c r="C8166" s="2" t="s">
        <v>17</v>
      </c>
      <c r="D8166" s="2" t="s">
        <v>18</v>
      </c>
      <c r="E8166" s="4">
        <v>-32264</v>
      </c>
      <c r="F8166" s="3" t="s">
        <v>3038</v>
      </c>
      <c r="G8166" s="3" t="s">
        <v>178</v>
      </c>
      <c r="H8166" s="2" t="s">
        <v>148</v>
      </c>
      <c r="I8166" s="2" t="s">
        <v>20716</v>
      </c>
      <c r="J8166" s="3" t="str">
        <f>HYPERLINK("https://www.boe.es/gazeta/dias/1811/08/30/pdfs/GMD-1811-242.pdf#page=2","Abrir facsímil")</f>
        <v>Abrir facsímil</v>
      </c>
      <c r="K8166" s="3" t="s">
        <v>150</v>
      </c>
    </row>
    <row r="8167" spans="1:11" ht="42" customHeight="1">
      <c r="A8167" s="2" t="s">
        <v>20717</v>
      </c>
      <c r="B8167" s="2" t="s">
        <v>20718</v>
      </c>
      <c r="C8167" s="2" t="s">
        <v>17</v>
      </c>
      <c r="D8167" s="2" t="s">
        <v>156</v>
      </c>
      <c r="E8167" s="4">
        <v>-32447</v>
      </c>
      <c r="F8167" s="3" t="s">
        <v>3655</v>
      </c>
      <c r="G8167" s="3" t="s">
        <v>476</v>
      </c>
      <c r="H8167" s="2" t="s">
        <v>148</v>
      </c>
      <c r="I8167" s="2" t="s">
        <v>20719</v>
      </c>
      <c r="J8167" s="3" t="str">
        <f>HYPERLINK("https://www.boe.es/gazeta/dias/1811/02/28/pdfs/GEI-1811-26.pdf#page=7","Abrir facsímil")</f>
        <v>Abrir facsímil</v>
      </c>
      <c r="K8167" s="3" t="s">
        <v>150</v>
      </c>
    </row>
    <row r="8168" spans="1:11" ht="42" customHeight="1">
      <c r="A8168" s="2" t="s">
        <v>20720</v>
      </c>
      <c r="B8168" s="2" t="s">
        <v>20721</v>
      </c>
      <c r="C8168" s="2" t="s">
        <v>26</v>
      </c>
      <c r="D8168" s="2" t="s">
        <v>18</v>
      </c>
      <c r="E8168" s="4">
        <v>-32170</v>
      </c>
      <c r="F8168" s="3" t="s">
        <v>1183</v>
      </c>
      <c r="G8168" s="3" t="s">
        <v>1184</v>
      </c>
      <c r="H8168" s="2" t="s">
        <v>148</v>
      </c>
      <c r="I8168" s="2" t="s">
        <v>20722</v>
      </c>
      <c r="J8168" s="3" t="str">
        <f>HYPERLINK("https://www.boe.es/gazeta/dias/1811/12/02/pdfs/GMD-1811-336.pdf#page=4","Abrir facsímil")</f>
        <v>Abrir facsímil</v>
      </c>
      <c r="K8168" s="3" t="s">
        <v>150</v>
      </c>
    </row>
    <row r="8169" spans="1:11" ht="42" customHeight="1">
      <c r="A8169" s="2" t="s">
        <v>20723</v>
      </c>
      <c r="B8169" s="2" t="s">
        <v>20723</v>
      </c>
      <c r="C8169" s="2" t="s">
        <v>17</v>
      </c>
      <c r="D8169" s="2" t="s">
        <v>156</v>
      </c>
      <c r="E8169" s="4">
        <v>-32294</v>
      </c>
      <c r="F8169" s="3" t="s">
        <v>3123</v>
      </c>
      <c r="G8169" s="3" t="s">
        <v>91</v>
      </c>
      <c r="H8169" s="2" t="s">
        <v>148</v>
      </c>
      <c r="I8169" s="2" t="s">
        <v>20724</v>
      </c>
      <c r="J8169" s="3" t="str">
        <f>HYPERLINK("https://www.boe.es/gazeta/dias/1811/07/31/pdfs/GMD-1811-212.pdf#page=2","Abrir facsímil")</f>
        <v>Abrir facsímil</v>
      </c>
      <c r="K8169" s="3" t="s">
        <v>150</v>
      </c>
    </row>
    <row r="8170" spans="1:11" ht="42" customHeight="1">
      <c r="A8170" s="2" t="s">
        <v>20725</v>
      </c>
      <c r="B8170" s="2" t="s">
        <v>20725</v>
      </c>
      <c r="C8170" s="2" t="s">
        <v>17</v>
      </c>
      <c r="D8170" s="2" t="s">
        <v>105</v>
      </c>
      <c r="E8170" s="4">
        <v>-32368</v>
      </c>
      <c r="F8170" s="3" t="s">
        <v>1561</v>
      </c>
      <c r="G8170" s="3" t="s">
        <v>57</v>
      </c>
      <c r="H8170" s="2" t="s">
        <v>148</v>
      </c>
      <c r="I8170" s="2" t="s">
        <v>20726</v>
      </c>
      <c r="J8170" s="3" t="str">
        <f>HYPERLINK("https://www.boe.es/gazeta/dias/1811/05/18/pdfs/GMD-1811-138.pdf#page=2","Abrir facsímil")</f>
        <v>Abrir facsímil</v>
      </c>
      <c r="K8170" s="3" t="s">
        <v>150</v>
      </c>
    </row>
    <row r="8171" spans="1:11" ht="42" customHeight="1">
      <c r="A8171" s="2" t="s">
        <v>20725</v>
      </c>
      <c r="B8171" s="2" t="s">
        <v>20725</v>
      </c>
      <c r="C8171" s="2" t="s">
        <v>17</v>
      </c>
      <c r="D8171" s="2" t="s">
        <v>18</v>
      </c>
      <c r="E8171" s="4">
        <v>-32368</v>
      </c>
      <c r="F8171" s="3" t="s">
        <v>1561</v>
      </c>
      <c r="G8171" s="3" t="s">
        <v>20</v>
      </c>
      <c r="H8171" s="2" t="s">
        <v>148</v>
      </c>
      <c r="I8171" s="2" t="s">
        <v>20727</v>
      </c>
      <c r="J8171" s="3" t="str">
        <f>HYPERLINK("https://www.boe.es/gazeta/dias/1811/05/18/pdfs/GMD-1811-138.pdf#page=3","Abrir facsímil")</f>
        <v>Abrir facsímil</v>
      </c>
      <c r="K8171" s="3" t="s">
        <v>150</v>
      </c>
    </row>
    <row r="8172" spans="1:11" ht="42" customHeight="1">
      <c r="A8172" s="2" t="s">
        <v>20728</v>
      </c>
      <c r="B8172" s="2" t="s">
        <v>20728</v>
      </c>
      <c r="C8172" s="2" t="s">
        <v>17</v>
      </c>
      <c r="D8172" s="2" t="s">
        <v>204</v>
      </c>
      <c r="E8172" s="4">
        <v>-32323</v>
      </c>
      <c r="F8172" s="3" t="s">
        <v>322</v>
      </c>
      <c r="G8172" s="3" t="s">
        <v>20729</v>
      </c>
      <c r="H8172" s="2" t="s">
        <v>148</v>
      </c>
      <c r="I8172" s="2" t="s">
        <v>20730</v>
      </c>
      <c r="J8172" s="3" t="str">
        <f>HYPERLINK("https://www.boe.es/gazeta/dias/1811/07/02/pdfs/GEI-1811-87.pdf#page=5","Abrir facsímil")</f>
        <v>Abrir facsímil</v>
      </c>
      <c r="K8172" s="3" t="s">
        <v>150</v>
      </c>
    </row>
    <row r="8173" spans="1:11" ht="42" customHeight="1">
      <c r="A8173" s="2" t="s">
        <v>20731</v>
      </c>
      <c r="B8173" s="2" t="s">
        <v>20731</v>
      </c>
      <c r="C8173" s="2" t="s">
        <v>17</v>
      </c>
      <c r="D8173" s="2" t="s">
        <v>156</v>
      </c>
      <c r="E8173" s="4">
        <v>-32459</v>
      </c>
      <c r="F8173" s="3" t="s">
        <v>1034</v>
      </c>
      <c r="G8173" s="3" t="s">
        <v>9825</v>
      </c>
      <c r="H8173" s="2" t="s">
        <v>148</v>
      </c>
      <c r="I8173" s="2" t="s">
        <v>20732</v>
      </c>
      <c r="J8173" s="3" t="str">
        <f>HYPERLINK("https://www.boe.es/gazeta/dias/1811/02/16/pdfs/GEI-1811-21.pdf#page=3","Abrir facsímil")</f>
        <v>Abrir facsímil</v>
      </c>
      <c r="K8173" s="3" t="s">
        <v>150</v>
      </c>
    </row>
    <row r="8174" spans="1:11" ht="42" customHeight="1">
      <c r="A8174" s="2" t="s">
        <v>20731</v>
      </c>
      <c r="B8174" s="2" t="s">
        <v>20731</v>
      </c>
      <c r="C8174" s="2" t="s">
        <v>17</v>
      </c>
      <c r="D8174" s="2" t="s">
        <v>156</v>
      </c>
      <c r="E8174" s="4">
        <v>-32363</v>
      </c>
      <c r="F8174" s="3" t="s">
        <v>1645</v>
      </c>
      <c r="G8174" s="3" t="s">
        <v>20</v>
      </c>
      <c r="H8174" s="2" t="s">
        <v>148</v>
      </c>
      <c r="I8174" s="2" t="s">
        <v>20733</v>
      </c>
      <c r="J8174" s="3" t="str">
        <f>HYPERLINK("https://www.boe.es/gazeta/dias/1811/05/23/pdfs/GEI-1811-68.pdf#page=4","Abrir facsímil")</f>
        <v>Abrir facsímil</v>
      </c>
      <c r="K8174" s="3" t="s">
        <v>150</v>
      </c>
    </row>
    <row r="8175" spans="1:11" ht="42" customHeight="1">
      <c r="A8175" s="2" t="s">
        <v>20734</v>
      </c>
      <c r="B8175" s="2" t="s">
        <v>20734</v>
      </c>
      <c r="C8175" s="2" t="s">
        <v>17</v>
      </c>
      <c r="D8175" s="2" t="s">
        <v>18</v>
      </c>
      <c r="E8175" s="4">
        <v>-32368</v>
      </c>
      <c r="F8175" s="3" t="s">
        <v>1561</v>
      </c>
      <c r="G8175" s="3" t="s">
        <v>57</v>
      </c>
      <c r="H8175" s="2" t="s">
        <v>148</v>
      </c>
      <c r="I8175" s="2" t="s">
        <v>20735</v>
      </c>
      <c r="J8175" s="3" t="str">
        <f>HYPERLINK("https://www.boe.es/gazeta/dias/1811/05/18/pdfs/GMD-1811-138.pdf#page=2","Abrir facsímil")</f>
        <v>Abrir facsímil</v>
      </c>
      <c r="K8175" s="3" t="s">
        <v>150</v>
      </c>
    </row>
    <row r="8176" spans="1:11" ht="42" customHeight="1">
      <c r="A8176" s="2" t="s">
        <v>20734</v>
      </c>
      <c r="B8176" s="2" t="s">
        <v>20734</v>
      </c>
      <c r="C8176" s="2" t="s">
        <v>17</v>
      </c>
      <c r="D8176" s="2" t="s">
        <v>156</v>
      </c>
      <c r="E8176" s="4">
        <v>-32270</v>
      </c>
      <c r="F8176" s="3" t="s">
        <v>431</v>
      </c>
      <c r="G8176" s="3" t="s">
        <v>2080</v>
      </c>
      <c r="H8176" s="2" t="s">
        <v>148</v>
      </c>
      <c r="I8176" s="2" t="s">
        <v>20736</v>
      </c>
      <c r="J8176" s="3" t="str">
        <f>HYPERLINK("https://www.boe.es/gazeta/dias/1811/08/24/pdfs/GEI-1811-110.pdf#page=5","Abrir facsímil")</f>
        <v>Abrir facsímil</v>
      </c>
      <c r="K8176" s="3" t="s">
        <v>150</v>
      </c>
    </row>
    <row r="8177" spans="1:11" ht="42" customHeight="1">
      <c r="A8177" s="2" t="s">
        <v>20737</v>
      </c>
      <c r="B8177" s="2" t="s">
        <v>20737</v>
      </c>
      <c r="C8177" s="2" t="s">
        <v>37</v>
      </c>
      <c r="D8177" s="2" t="s">
        <v>204</v>
      </c>
      <c r="E8177" s="4">
        <v>-32462</v>
      </c>
      <c r="F8177" s="3" t="s">
        <v>8217</v>
      </c>
      <c r="G8177" s="3" t="s">
        <v>3105</v>
      </c>
      <c r="H8177" s="2" t="s">
        <v>148</v>
      </c>
      <c r="I8177" s="2" t="s">
        <v>20738</v>
      </c>
      <c r="J8177" s="3" t="str">
        <f>HYPERLINK("https://www.boe.es/gazeta/dias/1811/02/13/pdfs/GMD-1811-44.pdf#page=1","Abrir facsímil")</f>
        <v>Abrir facsímil</v>
      </c>
      <c r="K8177" s="3" t="s">
        <v>150</v>
      </c>
    </row>
    <row r="8178" spans="1:11" ht="42" customHeight="1">
      <c r="A8178" s="2" t="s">
        <v>20739</v>
      </c>
      <c r="B8178" s="2" t="s">
        <v>20739</v>
      </c>
      <c r="C8178" s="2" t="s">
        <v>17</v>
      </c>
      <c r="D8178" s="2" t="s">
        <v>156</v>
      </c>
      <c r="E8178" s="4">
        <v>-32428</v>
      </c>
      <c r="F8178" s="3" t="s">
        <v>351</v>
      </c>
      <c r="G8178" s="3" t="s">
        <v>115</v>
      </c>
      <c r="H8178" s="2" t="s">
        <v>148</v>
      </c>
      <c r="I8178" s="2" t="s">
        <v>20740</v>
      </c>
      <c r="J8178" s="3" t="str">
        <f>HYPERLINK("https://www.boe.es/gazeta/dias/1811/03/19/pdfs/GMD-1811-78.pdf#page=3","Abrir facsímil")</f>
        <v>Abrir facsímil</v>
      </c>
      <c r="K8178" s="3" t="s">
        <v>150</v>
      </c>
    </row>
    <row r="8179" spans="1:11" ht="42" customHeight="1">
      <c r="A8179" s="2" t="s">
        <v>20741</v>
      </c>
      <c r="B8179" s="2" t="s">
        <v>20741</v>
      </c>
      <c r="C8179" s="2" t="s">
        <v>17</v>
      </c>
      <c r="D8179" s="2" t="s">
        <v>18</v>
      </c>
      <c r="E8179" s="4">
        <v>-32204</v>
      </c>
      <c r="F8179" s="3" t="s">
        <v>1053</v>
      </c>
      <c r="G8179" s="3" t="s">
        <v>9973</v>
      </c>
      <c r="H8179" s="2" t="s">
        <v>148</v>
      </c>
      <c r="I8179" s="2" t="s">
        <v>20742</v>
      </c>
      <c r="J8179" s="3" t="str">
        <f>HYPERLINK("https://www.boe.es/gazeta/dias/1811/10/29/pdfs/GEI-1811-139.pdf#page=2","Abrir facsímil")</f>
        <v>Abrir facsímil</v>
      </c>
      <c r="K8179" s="3" t="s">
        <v>150</v>
      </c>
    </row>
    <row r="8180" spans="1:11" ht="42" customHeight="1">
      <c r="A8180" s="2" t="s">
        <v>20743</v>
      </c>
      <c r="B8180" s="2" t="s">
        <v>20743</v>
      </c>
      <c r="C8180" s="2" t="s">
        <v>17</v>
      </c>
      <c r="D8180" s="2" t="s">
        <v>18</v>
      </c>
      <c r="E8180" s="4">
        <v>-32415</v>
      </c>
      <c r="F8180" s="3" t="s">
        <v>3041</v>
      </c>
      <c r="G8180" s="3" t="s">
        <v>5304</v>
      </c>
      <c r="H8180" s="2" t="s">
        <v>148</v>
      </c>
      <c r="I8180" s="2" t="s">
        <v>20744</v>
      </c>
      <c r="J8180" s="3" t="str">
        <f>HYPERLINK("https://www.boe.es/gazeta/dias/1811/04/01/pdfs/GMD-1811-91.pdf#page=4","Abrir facsímil")</f>
        <v>Abrir facsímil</v>
      </c>
      <c r="K8180" s="3" t="s">
        <v>150</v>
      </c>
    </row>
    <row r="8181" spans="1:11" ht="42" customHeight="1">
      <c r="A8181" s="2" t="s">
        <v>20745</v>
      </c>
      <c r="B8181" s="2" t="s">
        <v>20746</v>
      </c>
      <c r="C8181" s="2" t="s">
        <v>26</v>
      </c>
      <c r="D8181" s="2" t="s">
        <v>18</v>
      </c>
      <c r="E8181" s="4">
        <v>-32179</v>
      </c>
      <c r="F8181" s="3" t="s">
        <v>614</v>
      </c>
      <c r="G8181" s="3" t="s">
        <v>47</v>
      </c>
      <c r="H8181" s="2" t="s">
        <v>148</v>
      </c>
      <c r="I8181" s="2" t="s">
        <v>20747</v>
      </c>
      <c r="J8181" s="3" t="str">
        <f>HYPERLINK("https://www.boe.es/gazeta/dias/1811/11/23/pdfs/GEI-1811-153.pdf#page=8","Abrir facsímil")</f>
        <v>Abrir facsímil</v>
      </c>
      <c r="K8181" s="3" t="s">
        <v>150</v>
      </c>
    </row>
    <row r="8182" spans="1:11" ht="42" customHeight="1">
      <c r="A8182" s="2" t="s">
        <v>20748</v>
      </c>
      <c r="B8182" s="2" t="s">
        <v>20749</v>
      </c>
      <c r="C8182" s="2" t="s">
        <v>26</v>
      </c>
      <c r="D8182" s="2" t="s">
        <v>18</v>
      </c>
      <c r="E8182" s="4">
        <v>-32505</v>
      </c>
      <c r="F8182" s="3" t="s">
        <v>475</v>
      </c>
      <c r="G8182" s="3" t="s">
        <v>755</v>
      </c>
      <c r="H8182" s="2" t="s">
        <v>148</v>
      </c>
      <c r="I8182" s="2" t="s">
        <v>20750</v>
      </c>
      <c r="J8182" s="3" t="str">
        <f>HYPERLINK("https://www.boe.es/gazeta/dias/1811/01/01/pdfs/GEI-1811-1.pdf#page=8","Abrir facsímil")</f>
        <v>Abrir facsímil</v>
      </c>
      <c r="K8182" s="3" t="s">
        <v>150</v>
      </c>
    </row>
    <row r="8183" spans="1:11" ht="42" customHeight="1">
      <c r="A8183" s="2" t="s">
        <v>20751</v>
      </c>
      <c r="B8183" s="2" t="s">
        <v>20751</v>
      </c>
      <c r="C8183" s="2" t="s">
        <v>17</v>
      </c>
      <c r="D8183" s="2" t="s">
        <v>18</v>
      </c>
      <c r="E8183" s="4">
        <v>-32230</v>
      </c>
      <c r="F8183" s="3" t="s">
        <v>625</v>
      </c>
      <c r="G8183" s="3" t="s">
        <v>12854</v>
      </c>
      <c r="H8183" s="2" t="s">
        <v>148</v>
      </c>
      <c r="I8183" s="2" t="s">
        <v>20752</v>
      </c>
      <c r="J8183" s="3" t="str">
        <f>HYPERLINK("https://www.boe.es/gazeta/dias/1811/10/03/pdfs/GEI-1811-127.pdf#page=5","Abrir facsímil")</f>
        <v>Abrir facsímil</v>
      </c>
      <c r="K8183" s="3" t="s">
        <v>150</v>
      </c>
    </row>
    <row r="8184" spans="1:11" ht="42" customHeight="1">
      <c r="A8184" s="2" t="s">
        <v>20753</v>
      </c>
      <c r="B8184" s="2" t="s">
        <v>20754</v>
      </c>
      <c r="C8184" s="2" t="s">
        <v>104</v>
      </c>
      <c r="D8184" s="2" t="s">
        <v>18</v>
      </c>
      <c r="E8184" s="4">
        <v>-32270</v>
      </c>
      <c r="F8184" s="3" t="s">
        <v>431</v>
      </c>
      <c r="G8184" s="3" t="s">
        <v>2080</v>
      </c>
      <c r="H8184" s="2" t="s">
        <v>148</v>
      </c>
      <c r="I8184" s="2" t="s">
        <v>20755</v>
      </c>
      <c r="J8184" s="3" t="str">
        <f>HYPERLINK("https://www.boe.es/gazeta/dias/1811/08/24/pdfs/GEI-1811-110.pdf#page=5","Abrir facsímil")</f>
        <v>Abrir facsímil</v>
      </c>
      <c r="K8184" s="3" t="s">
        <v>150</v>
      </c>
    </row>
    <row r="8185" spans="1:11" ht="42" customHeight="1">
      <c r="A8185" s="2" t="s">
        <v>20756</v>
      </c>
      <c r="B8185" s="2" t="s">
        <v>20757</v>
      </c>
      <c r="C8185" s="2" t="s">
        <v>26</v>
      </c>
      <c r="D8185" s="2" t="s">
        <v>18</v>
      </c>
      <c r="E8185" s="4">
        <v>-32270</v>
      </c>
      <c r="F8185" s="3" t="s">
        <v>431</v>
      </c>
      <c r="G8185" s="3" t="s">
        <v>2080</v>
      </c>
      <c r="H8185" s="2" t="s">
        <v>148</v>
      </c>
      <c r="I8185" s="2" t="s">
        <v>20758</v>
      </c>
      <c r="J8185" s="3" t="str">
        <f>HYPERLINK("https://www.boe.es/gazeta/dias/1811/08/24/pdfs/GEI-1811-110.pdf#page=5","Abrir facsímil")</f>
        <v>Abrir facsímil</v>
      </c>
      <c r="K8185" s="3" t="s">
        <v>150</v>
      </c>
    </row>
    <row r="8186" spans="1:11" ht="42" customHeight="1">
      <c r="A8186" s="2" t="s">
        <v>20759</v>
      </c>
      <c r="B8186" s="2" t="s">
        <v>20760</v>
      </c>
      <c r="C8186" s="2" t="s">
        <v>17</v>
      </c>
      <c r="D8186" s="2" t="s">
        <v>18</v>
      </c>
      <c r="E8186" s="4">
        <v>-32361</v>
      </c>
      <c r="F8186" s="3" t="s">
        <v>1104</v>
      </c>
      <c r="G8186" s="3" t="s">
        <v>2213</v>
      </c>
      <c r="H8186" s="2" t="s">
        <v>148</v>
      </c>
      <c r="I8186" s="2" t="s">
        <v>20761</v>
      </c>
      <c r="J8186" s="3" t="str">
        <f>HYPERLINK("https://www.boe.es/gazeta/dias/1811/05/25/pdfs/GEI-1811-71.pdf#page=8","Abrir facsímil")</f>
        <v>Abrir facsímil</v>
      </c>
      <c r="K8186" s="3" t="s">
        <v>150</v>
      </c>
    </row>
    <row r="8187" spans="1:11" ht="42" customHeight="1">
      <c r="A8187" s="2" t="s">
        <v>20762</v>
      </c>
      <c r="B8187" s="2" t="s">
        <v>20762</v>
      </c>
      <c r="C8187" s="2" t="s">
        <v>17</v>
      </c>
      <c r="D8187" s="2" t="s">
        <v>156</v>
      </c>
      <c r="E8187" s="4">
        <v>-32400</v>
      </c>
      <c r="F8187" s="3" t="s">
        <v>3343</v>
      </c>
      <c r="G8187" s="3" t="s">
        <v>846</v>
      </c>
      <c r="H8187" s="2" t="s">
        <v>148</v>
      </c>
      <c r="I8187" s="2" t="s">
        <v>20763</v>
      </c>
      <c r="J8187" s="3" t="str">
        <f>HYPERLINK("https://www.boe.es/gazeta/dias/1811/04/16/pdfs/GMD-1811-106.pdf#page=3","Abrir facsímil")</f>
        <v>Abrir facsímil</v>
      </c>
      <c r="K8187" s="3" t="s">
        <v>150</v>
      </c>
    </row>
    <row r="8188" spans="1:11" ht="42" customHeight="1">
      <c r="A8188" s="2" t="s">
        <v>20764</v>
      </c>
      <c r="B8188" s="2" t="s">
        <v>20765</v>
      </c>
      <c r="C8188" s="2" t="s">
        <v>26</v>
      </c>
      <c r="D8188" s="2" t="s">
        <v>18</v>
      </c>
      <c r="E8188" s="4">
        <v>-32344</v>
      </c>
      <c r="F8188" s="3" t="s">
        <v>761</v>
      </c>
      <c r="G8188" s="3" t="s">
        <v>115</v>
      </c>
      <c r="H8188" s="2" t="s">
        <v>148</v>
      </c>
      <c r="I8188" s="2" t="s">
        <v>20766</v>
      </c>
      <c r="J8188" s="3" t="str">
        <f>HYPERLINK("https://www.boe.es/gazeta/dias/1811/06/11/pdfs/GEI-1811-78.pdf#page=3","Abrir facsímil")</f>
        <v>Abrir facsímil</v>
      </c>
      <c r="K8188" s="3" t="s">
        <v>150</v>
      </c>
    </row>
    <row r="8189" spans="1:11" ht="42" customHeight="1">
      <c r="A8189" s="2" t="s">
        <v>20767</v>
      </c>
      <c r="B8189" s="2" t="s">
        <v>20768</v>
      </c>
      <c r="C8189" s="2" t="s">
        <v>26</v>
      </c>
      <c r="D8189" s="2" t="s">
        <v>18</v>
      </c>
      <c r="E8189" s="4">
        <v>-32155</v>
      </c>
      <c r="F8189" s="3" t="s">
        <v>263</v>
      </c>
      <c r="G8189" s="3" t="s">
        <v>1800</v>
      </c>
      <c r="H8189" s="2" t="s">
        <v>148</v>
      </c>
      <c r="I8189" s="2" t="s">
        <v>20769</v>
      </c>
      <c r="J8189" s="3" t="str">
        <f>HYPERLINK("https://www.boe.es/gazeta/dias/1811/12/17/pdfs/GEI-1811-163.pdf#page=7","Abrir facsímil")</f>
        <v>Abrir facsímil</v>
      </c>
      <c r="K8189" s="3" t="s">
        <v>150</v>
      </c>
    </row>
    <row r="8190" spans="1:11" ht="42" customHeight="1">
      <c r="A8190" s="2" t="s">
        <v>20770</v>
      </c>
      <c r="B8190" s="2" t="s">
        <v>20771</v>
      </c>
      <c r="C8190" s="2" t="s">
        <v>37</v>
      </c>
      <c r="D8190" s="2" t="s">
        <v>18</v>
      </c>
      <c r="E8190" s="4">
        <v>-32250</v>
      </c>
      <c r="F8190" s="3" t="s">
        <v>2823</v>
      </c>
      <c r="G8190" s="3" t="s">
        <v>3947</v>
      </c>
      <c r="H8190" s="2" t="s">
        <v>148</v>
      </c>
      <c r="I8190" s="2" t="s">
        <v>20772</v>
      </c>
      <c r="J8190" s="3" t="str">
        <f>HYPERLINK("https://www.boe.es/gazeta/dias/1811/09/13/pdfs/GMD-1811-256.pdf#page=4","Abrir facsímil")</f>
        <v>Abrir facsímil</v>
      </c>
      <c r="K8190" s="3" t="s">
        <v>150</v>
      </c>
    </row>
    <row r="8191" spans="1:11" ht="42" customHeight="1">
      <c r="A8191" s="2" t="s">
        <v>20773</v>
      </c>
      <c r="B8191" s="2" t="s">
        <v>20774</v>
      </c>
      <c r="C8191" s="2" t="s">
        <v>26</v>
      </c>
      <c r="D8191" s="2" t="s">
        <v>18</v>
      </c>
      <c r="E8191" s="4">
        <v>-32211</v>
      </c>
      <c r="F8191" s="3" t="s">
        <v>1230</v>
      </c>
      <c r="G8191" s="3" t="s">
        <v>377</v>
      </c>
      <c r="H8191" s="2" t="s">
        <v>148</v>
      </c>
      <c r="I8191" s="2" t="s">
        <v>20775</v>
      </c>
      <c r="J8191" s="3" t="str">
        <f>HYPERLINK("https://www.boe.es/gazeta/dias/1811/10/22/pdfs/GMD-1811-295.pdf#page=4","Abrir facsímil")</f>
        <v>Abrir facsímil</v>
      </c>
      <c r="K8191" s="3" t="s">
        <v>150</v>
      </c>
    </row>
    <row r="8192" spans="1:11" ht="42" customHeight="1">
      <c r="A8192" s="2" t="s">
        <v>20773</v>
      </c>
      <c r="B8192" s="2" t="s">
        <v>20774</v>
      </c>
      <c r="C8192" s="2" t="s">
        <v>26</v>
      </c>
      <c r="D8192" s="2" t="s">
        <v>18</v>
      </c>
      <c r="E8192" s="4">
        <v>-32209</v>
      </c>
      <c r="F8192" s="3" t="s">
        <v>1324</v>
      </c>
      <c r="G8192" s="3" t="s">
        <v>2539</v>
      </c>
      <c r="H8192" s="2" t="s">
        <v>148</v>
      </c>
      <c r="I8192" s="2" t="s">
        <v>20776</v>
      </c>
      <c r="J8192" s="3" t="str">
        <f>HYPERLINK("https://www.boe.es/gazeta/dias/1811/10/24/pdfs/GMD-1811-297.pdf#page=3","Abrir facsímil")</f>
        <v>Abrir facsímil</v>
      </c>
      <c r="K8192" s="3" t="s">
        <v>150</v>
      </c>
    </row>
    <row r="8193" spans="1:11" ht="42" customHeight="1">
      <c r="A8193" s="2" t="s">
        <v>20777</v>
      </c>
      <c r="B8193" s="2" t="s">
        <v>20778</v>
      </c>
      <c r="C8193" s="2" t="s">
        <v>122</v>
      </c>
      <c r="D8193" s="2" t="s">
        <v>18</v>
      </c>
      <c r="E8193" s="4">
        <v>-32184</v>
      </c>
      <c r="F8193" s="3" t="s">
        <v>275</v>
      </c>
      <c r="G8193" s="3" t="s">
        <v>47</v>
      </c>
      <c r="H8193" s="2" t="s">
        <v>148</v>
      </c>
      <c r="I8193" s="2" t="s">
        <v>20779</v>
      </c>
      <c r="J8193" s="3" t="str">
        <f>HYPERLINK("https://www.boe.es/gazeta/dias/1811/11/18/pdfs/GMD-1811-322.pdf#page=4","Abrir facsímil")</f>
        <v>Abrir facsímil</v>
      </c>
      <c r="K8193" s="3" t="s">
        <v>150</v>
      </c>
    </row>
    <row r="8194" spans="1:11" ht="42" customHeight="1">
      <c r="A8194" s="2" t="s">
        <v>20780</v>
      </c>
      <c r="B8194" s="2" t="s">
        <v>20781</v>
      </c>
      <c r="C8194" s="2" t="s">
        <v>66</v>
      </c>
      <c r="D8194" s="2" t="s">
        <v>18</v>
      </c>
      <c r="E8194" s="4">
        <v>-32153</v>
      </c>
      <c r="F8194" s="3" t="s">
        <v>123</v>
      </c>
      <c r="G8194" s="3" t="s">
        <v>288</v>
      </c>
      <c r="H8194" s="2" t="s">
        <v>148</v>
      </c>
      <c r="I8194" s="2" t="s">
        <v>20782</v>
      </c>
      <c r="J8194" s="3" t="str">
        <f>HYPERLINK("https://www.boe.es/gazeta/dias/1811/12/19/pdfs/GMD-1811-353.pdf#page=4","Abrir facsímil")</f>
        <v>Abrir facsímil</v>
      </c>
      <c r="K8194" s="3" t="s">
        <v>150</v>
      </c>
    </row>
    <row r="8195" spans="1:11" ht="42" customHeight="1">
      <c r="A8195" s="2" t="s">
        <v>20783</v>
      </c>
      <c r="B8195" s="2" t="s">
        <v>20783</v>
      </c>
      <c r="C8195" s="2" t="s">
        <v>17</v>
      </c>
      <c r="D8195" s="2" t="s">
        <v>156</v>
      </c>
      <c r="E8195" s="4">
        <v>-32258</v>
      </c>
      <c r="F8195" s="3" t="s">
        <v>449</v>
      </c>
      <c r="G8195" s="3" t="s">
        <v>3736</v>
      </c>
      <c r="H8195" s="2" t="s">
        <v>148</v>
      </c>
      <c r="I8195" s="2" t="s">
        <v>20784</v>
      </c>
      <c r="J8195" s="3" t="str">
        <f>HYPERLINK("https://www.boe.es/gazeta/dias/1811/09/05/pdfs/GEI-1811-115.pdf#page=3","Abrir facsímil")</f>
        <v>Abrir facsímil</v>
      </c>
      <c r="K8195" s="3" t="s">
        <v>150</v>
      </c>
    </row>
    <row r="8196" spans="1:11" ht="42" customHeight="1">
      <c r="A8196" s="2" t="s">
        <v>20785</v>
      </c>
      <c r="B8196" s="2" t="s">
        <v>20785</v>
      </c>
      <c r="C8196" s="2" t="s">
        <v>17</v>
      </c>
      <c r="D8196" s="2" t="s">
        <v>18</v>
      </c>
      <c r="E8196" s="4">
        <v>-32232</v>
      </c>
      <c r="F8196" s="3" t="s">
        <v>1879</v>
      </c>
      <c r="G8196" s="3" t="s">
        <v>120</v>
      </c>
      <c r="H8196" s="2" t="s">
        <v>148</v>
      </c>
      <c r="I8196" s="2" t="s">
        <v>20786</v>
      </c>
      <c r="J8196" s="3" t="str">
        <f>HYPERLINK("https://www.boe.es/gazeta/dias/1811/10/01/pdfs/GMD-1811-274.pdf#page=1","Abrir facsímil")</f>
        <v>Abrir facsímil</v>
      </c>
      <c r="K8196" s="3" t="s">
        <v>150</v>
      </c>
    </row>
    <row r="8197" spans="1:11" ht="42" customHeight="1">
      <c r="A8197" s="2" t="s">
        <v>20787</v>
      </c>
      <c r="B8197" s="2" t="s">
        <v>20787</v>
      </c>
      <c r="C8197" s="2" t="s">
        <v>17</v>
      </c>
      <c r="D8197" s="2" t="s">
        <v>18</v>
      </c>
      <c r="E8197" s="4">
        <v>-32152</v>
      </c>
      <c r="F8197" s="3" t="s">
        <v>1673</v>
      </c>
      <c r="G8197" s="3" t="s">
        <v>57</v>
      </c>
      <c r="H8197" s="2" t="s">
        <v>148</v>
      </c>
      <c r="I8197" s="2" t="s">
        <v>20788</v>
      </c>
      <c r="J8197" s="3" t="str">
        <f>HYPERLINK("https://www.boe.es/gazeta/dias/1811/12/20/pdfs/GMD-1811-354.pdf#page=2","Abrir facsímil")</f>
        <v>Abrir facsímil</v>
      </c>
      <c r="K8197" s="3" t="s">
        <v>150</v>
      </c>
    </row>
    <row r="8198" spans="1:11" ht="42" customHeight="1">
      <c r="A8198" s="2" t="s">
        <v>20789</v>
      </c>
      <c r="B8198" s="2" t="s">
        <v>20789</v>
      </c>
      <c r="C8198" s="2" t="s">
        <v>26</v>
      </c>
      <c r="D8198" s="2" t="s">
        <v>18</v>
      </c>
      <c r="E8198" s="4">
        <v>-32235</v>
      </c>
      <c r="F8198" s="3" t="s">
        <v>190</v>
      </c>
      <c r="G8198" s="3" t="s">
        <v>188</v>
      </c>
      <c r="H8198" s="2" t="s">
        <v>148</v>
      </c>
      <c r="I8198" s="2" t="s">
        <v>20790</v>
      </c>
      <c r="J8198" s="3" t="str">
        <f>HYPERLINK("https://www.boe.es/gazeta/dias/1811/09/28/pdfs/GEI-1811-125.pdf#page=8","Abrir facsímil")</f>
        <v>Abrir facsímil</v>
      </c>
      <c r="K8198" s="3" t="s">
        <v>150</v>
      </c>
    </row>
    <row r="8199" spans="1:11" ht="42" customHeight="1">
      <c r="A8199" s="2" t="s">
        <v>20789</v>
      </c>
      <c r="B8199" s="2" t="s">
        <v>20789</v>
      </c>
      <c r="C8199" s="2" t="s">
        <v>17</v>
      </c>
      <c r="D8199" s="2" t="s">
        <v>156</v>
      </c>
      <c r="E8199" s="4">
        <v>-32200</v>
      </c>
      <c r="F8199" s="3" t="s">
        <v>109</v>
      </c>
      <c r="G8199" s="3" t="s">
        <v>110</v>
      </c>
      <c r="H8199" s="2" t="s">
        <v>148</v>
      </c>
      <c r="I8199" s="2" t="s">
        <v>20791</v>
      </c>
      <c r="J8199" s="3" t="str">
        <f>HYPERLINK("https://www.boe.es/gazeta/dias/1811/11/02/pdfs/GEI-1811-141.pdf#page=6","Abrir facsímil")</f>
        <v>Abrir facsímil</v>
      </c>
      <c r="K8199" s="3" t="s">
        <v>150</v>
      </c>
    </row>
    <row r="8200" spans="1:11" ht="42" customHeight="1">
      <c r="A8200" s="2" t="s">
        <v>20792</v>
      </c>
      <c r="B8200" s="2" t="s">
        <v>20792</v>
      </c>
      <c r="C8200" s="2" t="s">
        <v>26</v>
      </c>
      <c r="D8200" s="2" t="s">
        <v>18</v>
      </c>
      <c r="E8200" s="4">
        <v>-32438</v>
      </c>
      <c r="F8200" s="3" t="s">
        <v>4284</v>
      </c>
      <c r="G8200" s="3" t="s">
        <v>178</v>
      </c>
      <c r="H8200" s="2" t="s">
        <v>148</v>
      </c>
      <c r="I8200" s="2" t="s">
        <v>20793</v>
      </c>
      <c r="J8200" s="3" t="str">
        <f>HYPERLINK("https://www.boe.es/gazeta/dias/1811/03/09/pdfs/GMD-1811-68.pdf#page=4","Abrir facsímil")</f>
        <v>Abrir facsímil</v>
      </c>
      <c r="K8200" s="3" t="s">
        <v>150</v>
      </c>
    </row>
    <row r="8201" spans="1:11" ht="42" customHeight="1">
      <c r="A8201" s="2" t="s">
        <v>20792</v>
      </c>
      <c r="B8201" s="2" t="s">
        <v>20792</v>
      </c>
      <c r="C8201" s="2" t="s">
        <v>17</v>
      </c>
      <c r="D8201" s="2" t="s">
        <v>156</v>
      </c>
      <c r="E8201" s="4">
        <v>-32428</v>
      </c>
      <c r="F8201" s="3" t="s">
        <v>351</v>
      </c>
      <c r="G8201" s="3" t="s">
        <v>115</v>
      </c>
      <c r="H8201" s="2" t="s">
        <v>148</v>
      </c>
      <c r="I8201" s="2" t="s">
        <v>20794</v>
      </c>
      <c r="J8201" s="3" t="str">
        <f>HYPERLINK("https://www.boe.es/gazeta/dias/1811/03/19/pdfs/GMD-1811-78.pdf#page=3","Abrir facsímil")</f>
        <v>Abrir facsímil</v>
      </c>
      <c r="K8201" s="3" t="s">
        <v>150</v>
      </c>
    </row>
    <row r="8202" spans="1:11" ht="42" customHeight="1">
      <c r="A8202" s="2" t="s">
        <v>20792</v>
      </c>
      <c r="B8202" s="2" t="s">
        <v>20792</v>
      </c>
      <c r="C8202" s="2" t="s">
        <v>26</v>
      </c>
      <c r="D8202" s="2" t="s">
        <v>18</v>
      </c>
      <c r="E8202" s="4">
        <v>-32377</v>
      </c>
      <c r="F8202" s="3" t="s">
        <v>2461</v>
      </c>
      <c r="G8202" s="3" t="s">
        <v>47</v>
      </c>
      <c r="H8202" s="2" t="s">
        <v>148</v>
      </c>
      <c r="I8202" s="2" t="s">
        <v>20795</v>
      </c>
      <c r="J8202" s="3" t="str">
        <f>HYPERLINK("https://www.boe.es/gazeta/dias/1811/05/09/pdfs/GMD-1811-129.pdf#page=3","Abrir facsímil")</f>
        <v>Abrir facsímil</v>
      </c>
      <c r="K8202" s="3" t="s">
        <v>150</v>
      </c>
    </row>
    <row r="8203" spans="1:11" ht="42" customHeight="1">
      <c r="A8203" s="2" t="s">
        <v>20792</v>
      </c>
      <c r="B8203" s="2" t="s">
        <v>20792</v>
      </c>
      <c r="C8203" s="2" t="s">
        <v>26</v>
      </c>
      <c r="D8203" s="2" t="s">
        <v>18</v>
      </c>
      <c r="E8203" s="4">
        <v>-32270</v>
      </c>
      <c r="F8203" s="3" t="s">
        <v>431</v>
      </c>
      <c r="G8203" s="3" t="s">
        <v>8268</v>
      </c>
      <c r="H8203" s="2" t="s">
        <v>148</v>
      </c>
      <c r="I8203" s="2" t="s">
        <v>20796</v>
      </c>
      <c r="J8203" s="3" t="str">
        <f>HYPERLINK("https://www.boe.es/gazeta/dias/1811/08/24/pdfs/GEI-1811-110.pdf#page=8","Abrir facsímil")</f>
        <v>Abrir facsímil</v>
      </c>
      <c r="K8203" s="3" t="s">
        <v>150</v>
      </c>
    </row>
    <row r="8204" spans="1:11" ht="42" customHeight="1">
      <c r="A8204" s="2" t="s">
        <v>20797</v>
      </c>
      <c r="B8204" s="2" t="s">
        <v>20797</v>
      </c>
      <c r="C8204" s="2" t="s">
        <v>17</v>
      </c>
      <c r="D8204" s="2" t="s">
        <v>18</v>
      </c>
      <c r="E8204" s="4">
        <v>-32214</v>
      </c>
      <c r="F8204" s="3" t="s">
        <v>1753</v>
      </c>
      <c r="G8204" s="3" t="s">
        <v>11983</v>
      </c>
      <c r="H8204" s="2" t="s">
        <v>148</v>
      </c>
      <c r="I8204" s="2" t="s">
        <v>20798</v>
      </c>
      <c r="J8204" s="3" t="str">
        <f>HYPERLINK("https://www.boe.es/gazeta/dias/1811/10/19/pdfs/GEI-1811-135.pdf#page=5","Abrir facsímil")</f>
        <v>Abrir facsímil</v>
      </c>
      <c r="K8204" s="3" t="s">
        <v>150</v>
      </c>
    </row>
    <row r="8205" spans="1:11" ht="42" customHeight="1">
      <c r="A8205" s="2" t="s">
        <v>20792</v>
      </c>
      <c r="B8205" s="2" t="s">
        <v>20792</v>
      </c>
      <c r="C8205" s="2" t="s">
        <v>17</v>
      </c>
      <c r="D8205" s="2" t="s">
        <v>528</v>
      </c>
      <c r="E8205" s="4">
        <v>-32191</v>
      </c>
      <c r="F8205" s="3" t="s">
        <v>2538</v>
      </c>
      <c r="G8205" s="3" t="s">
        <v>5643</v>
      </c>
      <c r="H8205" s="2" t="s">
        <v>148</v>
      </c>
      <c r="I8205" s="2" t="s">
        <v>20799</v>
      </c>
      <c r="J8205" s="3" t="str">
        <f>HYPERLINK("https://www.boe.es/gazeta/dias/1811/11/11/pdfs/GEI-1811-147E.pdf#page=4","Abrir facsímil")</f>
        <v>Abrir facsímil</v>
      </c>
      <c r="K8205" s="3" t="s">
        <v>150</v>
      </c>
    </row>
    <row r="8206" spans="1:11" ht="42" customHeight="1">
      <c r="A8206" s="2" t="s">
        <v>20792</v>
      </c>
      <c r="B8206" s="2" t="s">
        <v>20792</v>
      </c>
      <c r="C8206" s="2" t="s">
        <v>26</v>
      </c>
      <c r="D8206" s="2" t="s">
        <v>18</v>
      </c>
      <c r="E8206" s="4">
        <v>-32162</v>
      </c>
      <c r="F8206" s="3" t="s">
        <v>317</v>
      </c>
      <c r="G8206" s="3" t="s">
        <v>318</v>
      </c>
      <c r="H8206" s="2" t="s">
        <v>148</v>
      </c>
      <c r="I8206" s="2" t="s">
        <v>20800</v>
      </c>
      <c r="J8206" s="3" t="str">
        <f>HYPERLINK("https://www.boe.es/gazeta/dias/1811/12/10/pdfs/GEI-1811-160.pdf#page=8","Abrir facsímil")</f>
        <v>Abrir facsímil</v>
      </c>
      <c r="K8206" s="3" t="s">
        <v>150</v>
      </c>
    </row>
    <row r="8207" spans="1:11" ht="42" customHeight="1">
      <c r="A8207" s="2" t="s">
        <v>20801</v>
      </c>
      <c r="B8207" s="2" t="s">
        <v>20802</v>
      </c>
      <c r="C8207" s="2" t="s">
        <v>17</v>
      </c>
      <c r="D8207" s="2" t="s">
        <v>105</v>
      </c>
      <c r="E8207" s="4">
        <v>-32428</v>
      </c>
      <c r="F8207" s="3" t="s">
        <v>351</v>
      </c>
      <c r="G8207" s="3" t="s">
        <v>115</v>
      </c>
      <c r="H8207" s="2" t="s">
        <v>148</v>
      </c>
      <c r="I8207" s="2" t="s">
        <v>20803</v>
      </c>
      <c r="J8207" s="3" t="str">
        <f>HYPERLINK("https://www.boe.es/gazeta/dias/1811/03/19/pdfs/GMD-1811-78.pdf#page=3","Abrir facsímil")</f>
        <v>Abrir facsímil</v>
      </c>
      <c r="K8207" s="3" t="s">
        <v>150</v>
      </c>
    </row>
    <row r="8208" spans="1:11" ht="42" customHeight="1">
      <c r="A8208" s="2" t="s">
        <v>20804</v>
      </c>
      <c r="B8208" s="2" t="s">
        <v>20805</v>
      </c>
      <c r="C8208" s="2" t="s">
        <v>26</v>
      </c>
      <c r="D8208" s="2" t="s">
        <v>18</v>
      </c>
      <c r="E8208" s="4">
        <v>-32379</v>
      </c>
      <c r="F8208" s="3" t="s">
        <v>462</v>
      </c>
      <c r="G8208" s="3" t="s">
        <v>463</v>
      </c>
      <c r="H8208" s="2" t="s">
        <v>148</v>
      </c>
      <c r="I8208" s="2" t="s">
        <v>20806</v>
      </c>
      <c r="J8208" s="3" t="str">
        <f>HYPERLINK("https://www.boe.es/gazeta/dias/1811/05/07/pdfs/GEI-1811-60.pdf#page=8","Abrir facsímil")</f>
        <v>Abrir facsímil</v>
      </c>
      <c r="K8208" s="3" t="s">
        <v>150</v>
      </c>
    </row>
    <row r="8209" spans="1:11" ht="42" customHeight="1">
      <c r="A8209" s="2" t="s">
        <v>20807</v>
      </c>
      <c r="B8209" s="2" t="s">
        <v>20808</v>
      </c>
      <c r="C8209" s="2" t="s">
        <v>17</v>
      </c>
      <c r="D8209" s="2" t="s">
        <v>18</v>
      </c>
      <c r="E8209" s="4">
        <v>-32472</v>
      </c>
      <c r="F8209" s="3" t="s">
        <v>398</v>
      </c>
      <c r="G8209" s="3" t="s">
        <v>382</v>
      </c>
      <c r="H8209" s="2" t="s">
        <v>148</v>
      </c>
      <c r="I8209" s="2" t="s">
        <v>20809</v>
      </c>
      <c r="J8209" s="3" t="str">
        <f>HYPERLINK("https://www.boe.es/gazeta/dias/1811/02/03/pdfs/GMD-1811-34.pdf#page=2","Abrir facsímil")</f>
        <v>Abrir facsímil</v>
      </c>
      <c r="K8209" s="3" t="s">
        <v>150</v>
      </c>
    </row>
    <row r="8210" spans="1:11" ht="42" customHeight="1">
      <c r="A8210" s="2" t="s">
        <v>20810</v>
      </c>
      <c r="B8210" s="2" t="s">
        <v>20811</v>
      </c>
      <c r="C8210" s="2" t="s">
        <v>37</v>
      </c>
      <c r="D8210" s="2" t="s">
        <v>18</v>
      </c>
      <c r="E8210" s="4">
        <v>-32148</v>
      </c>
      <c r="F8210" s="3" t="s">
        <v>3028</v>
      </c>
      <c r="G8210" s="3" t="s">
        <v>530</v>
      </c>
      <c r="H8210" s="2" t="s">
        <v>148</v>
      </c>
      <c r="I8210" s="2" t="s">
        <v>20812</v>
      </c>
      <c r="J8210" s="3" t="str">
        <f>HYPERLINK("https://www.boe.es/gazeta/dias/1811/12/24/pdfs/GMD-1811-358.pdf#page=3","Abrir facsímil")</f>
        <v>Abrir facsímil</v>
      </c>
      <c r="K8210" s="3" t="s">
        <v>150</v>
      </c>
    </row>
    <row r="8211" spans="1:11" ht="42" customHeight="1">
      <c r="A8211" s="2" t="s">
        <v>20813</v>
      </c>
      <c r="B8211" s="2" t="s">
        <v>20814</v>
      </c>
      <c r="C8211" s="2" t="s">
        <v>104</v>
      </c>
      <c r="D8211" s="2" t="s">
        <v>18</v>
      </c>
      <c r="E8211" s="4">
        <v>-32230</v>
      </c>
      <c r="F8211" s="3" t="s">
        <v>625</v>
      </c>
      <c r="G8211" s="3" t="s">
        <v>162</v>
      </c>
      <c r="H8211" s="2" t="s">
        <v>148</v>
      </c>
      <c r="I8211" s="2" t="s">
        <v>20815</v>
      </c>
      <c r="J8211" s="3" t="str">
        <f>HYPERLINK("https://www.boe.es/gazeta/dias/1811/10/03/pdfs/GEI-1811-127.pdf#page=7","Abrir facsímil")</f>
        <v>Abrir facsímil</v>
      </c>
      <c r="K8211" s="3" t="s">
        <v>150</v>
      </c>
    </row>
    <row r="8212" spans="1:11" ht="42" customHeight="1">
      <c r="A8212" s="2" t="s">
        <v>20816</v>
      </c>
      <c r="B8212" s="2" t="s">
        <v>20816</v>
      </c>
      <c r="C8212" s="2" t="s">
        <v>17</v>
      </c>
      <c r="D8212" s="2" t="s">
        <v>18</v>
      </c>
      <c r="E8212" s="4">
        <v>-32505</v>
      </c>
      <c r="F8212" s="3" t="s">
        <v>661</v>
      </c>
      <c r="G8212" s="3" t="s">
        <v>248</v>
      </c>
      <c r="H8212" s="2" t="s">
        <v>148</v>
      </c>
      <c r="I8212" s="2" t="s">
        <v>20817</v>
      </c>
      <c r="J8212" s="3" t="str">
        <f>HYPERLINK("https://www.boe.es/gazeta/dias/1811/01/01/pdfs/GMD-1811-1.pdf#page=1","Abrir facsímil")</f>
        <v>Abrir facsímil</v>
      </c>
      <c r="K8212" s="3" t="s">
        <v>150</v>
      </c>
    </row>
    <row r="8213" spans="1:11" ht="42" customHeight="1">
      <c r="A8213" s="2" t="s">
        <v>20818</v>
      </c>
      <c r="B8213" s="2" t="s">
        <v>20818</v>
      </c>
      <c r="C8213" s="2" t="s">
        <v>37</v>
      </c>
      <c r="D8213" s="2" t="s">
        <v>18</v>
      </c>
      <c r="E8213" s="4">
        <v>-32218</v>
      </c>
      <c r="F8213" s="3" t="s">
        <v>938</v>
      </c>
      <c r="G8213" s="3" t="s">
        <v>47</v>
      </c>
      <c r="H8213" s="2" t="s">
        <v>148</v>
      </c>
      <c r="I8213" s="2" t="s">
        <v>20819</v>
      </c>
      <c r="J8213" s="3" t="str">
        <f>HYPERLINK("https://www.boe.es/gazeta/dias/1811/10/15/pdfs/GEI-1811-133.pdf#page=1","Abrir facsímil")</f>
        <v>Abrir facsímil</v>
      </c>
      <c r="K8213" s="3" t="s">
        <v>150</v>
      </c>
    </row>
    <row r="8214" spans="1:11" ht="42" customHeight="1">
      <c r="A8214" s="2" t="s">
        <v>20820</v>
      </c>
      <c r="B8214" s="2" t="s">
        <v>20821</v>
      </c>
      <c r="C8214" s="2" t="s">
        <v>26</v>
      </c>
      <c r="D8214" s="2" t="s">
        <v>18</v>
      </c>
      <c r="E8214" s="4">
        <v>-32153</v>
      </c>
      <c r="F8214" s="3" t="s">
        <v>123</v>
      </c>
      <c r="G8214" s="3" t="s">
        <v>1067</v>
      </c>
      <c r="H8214" s="2" t="s">
        <v>148</v>
      </c>
      <c r="I8214" s="2" t="s">
        <v>20822</v>
      </c>
      <c r="J8214" s="3" t="str">
        <f>HYPERLINK("https://www.boe.es/gazeta/dias/1811/12/19/pdfs/GMD-1811-353.pdf#page=5","Abrir facsímil")</f>
        <v>Abrir facsímil</v>
      </c>
      <c r="K8214" s="3" t="s">
        <v>150</v>
      </c>
    </row>
    <row r="8215" spans="1:11" ht="42" customHeight="1">
      <c r="A8215" s="2" t="s">
        <v>20823</v>
      </c>
      <c r="B8215" s="2" t="s">
        <v>20824</v>
      </c>
      <c r="C8215" s="2" t="s">
        <v>17</v>
      </c>
      <c r="D8215" s="2" t="s">
        <v>18</v>
      </c>
      <c r="E8215" s="4">
        <v>-32438</v>
      </c>
      <c r="F8215" s="3" t="s">
        <v>4284</v>
      </c>
      <c r="G8215" s="3" t="s">
        <v>2379</v>
      </c>
      <c r="H8215" s="2" t="s">
        <v>148</v>
      </c>
      <c r="I8215" s="2" t="s">
        <v>20825</v>
      </c>
      <c r="J8215" s="3" t="str">
        <f>HYPERLINK("https://www.boe.es/gazeta/dias/1811/03/09/pdfs/GMD-1811-68.pdf#page=2","Abrir facsímil")</f>
        <v>Abrir facsímil</v>
      </c>
      <c r="K8215" s="3" t="s">
        <v>150</v>
      </c>
    </row>
    <row r="8216" spans="1:11" ht="42" customHeight="1">
      <c r="A8216" s="2" t="s">
        <v>20826</v>
      </c>
      <c r="B8216" s="2" t="s">
        <v>20827</v>
      </c>
      <c r="C8216" s="2" t="s">
        <v>26</v>
      </c>
      <c r="D8216" s="2" t="s">
        <v>141</v>
      </c>
      <c r="E8216" s="4">
        <v>-32280</v>
      </c>
      <c r="F8216" s="3" t="s">
        <v>142</v>
      </c>
      <c r="G8216" s="3" t="s">
        <v>597</v>
      </c>
      <c r="H8216" s="2" t="s">
        <v>148</v>
      </c>
      <c r="I8216" s="2" t="s">
        <v>20828</v>
      </c>
      <c r="J8216" s="3" t="str">
        <f>HYPERLINK("https://www.boe.es/gazeta/dias/1811/08/14/pdfs/GMD-C-1811-226.pdf#page=2","Abrir facsímil")</f>
        <v>Abrir facsímil</v>
      </c>
      <c r="K8216" s="3" t="s">
        <v>150</v>
      </c>
    </row>
    <row r="8217" spans="1:11" ht="42" customHeight="1">
      <c r="A8217" s="2" t="s">
        <v>20829</v>
      </c>
      <c r="B8217" s="2" t="s">
        <v>20830</v>
      </c>
      <c r="C8217" s="2" t="s">
        <v>26</v>
      </c>
      <c r="D8217" s="2" t="s">
        <v>18</v>
      </c>
      <c r="E8217" s="4">
        <v>-32153</v>
      </c>
      <c r="F8217" s="3" t="s">
        <v>123</v>
      </c>
      <c r="G8217" s="3" t="s">
        <v>288</v>
      </c>
      <c r="H8217" s="2" t="s">
        <v>148</v>
      </c>
      <c r="I8217" s="2" t="s">
        <v>20831</v>
      </c>
      <c r="J8217" s="3" t="str">
        <f>HYPERLINK("https://www.boe.es/gazeta/dias/1811/12/19/pdfs/GMD-1811-353.pdf#page=4","Abrir facsímil")</f>
        <v>Abrir facsímil</v>
      </c>
      <c r="K8217" s="3" t="s">
        <v>150</v>
      </c>
    </row>
    <row r="8218" spans="1:11" ht="42" customHeight="1">
      <c r="A8218" s="2" t="s">
        <v>20832</v>
      </c>
      <c r="B8218" s="2" t="s">
        <v>20833</v>
      </c>
      <c r="C8218" s="2" t="s">
        <v>26</v>
      </c>
      <c r="D8218" s="2" t="s">
        <v>105</v>
      </c>
      <c r="E8218" s="4">
        <v>-32249</v>
      </c>
      <c r="F8218" s="3" t="s">
        <v>743</v>
      </c>
      <c r="G8218" s="3" t="s">
        <v>468</v>
      </c>
      <c r="H8218" s="2" t="s">
        <v>148</v>
      </c>
      <c r="I8218" s="2" t="s">
        <v>20834</v>
      </c>
      <c r="J8218" s="3" t="str">
        <f>HYPERLINK("https://www.boe.es/gazeta/dias/1811/09/14/pdfs/GMD-C-1811-257.pdf#page=1","Abrir facsímil")</f>
        <v>Abrir facsímil</v>
      </c>
      <c r="K8218" s="3" t="s">
        <v>150</v>
      </c>
    </row>
    <row r="8219" spans="1:11" ht="42" customHeight="1">
      <c r="A8219" s="2" t="s">
        <v>20835</v>
      </c>
      <c r="B8219" s="2" t="s">
        <v>20835</v>
      </c>
      <c r="C8219" s="2" t="s">
        <v>17</v>
      </c>
      <c r="D8219" s="2" t="s">
        <v>156</v>
      </c>
      <c r="E8219" s="4">
        <v>-32309</v>
      </c>
      <c r="F8219" s="3" t="s">
        <v>2496</v>
      </c>
      <c r="G8219" s="3" t="s">
        <v>178</v>
      </c>
      <c r="H8219" s="2" t="s">
        <v>148</v>
      </c>
      <c r="I8219" s="2" t="s">
        <v>20836</v>
      </c>
      <c r="J8219" s="3" t="str">
        <f>HYPERLINK("https://www.boe.es/gazeta/dias/1811/07/16/pdfs/GEI-1811-93.pdf#page=6","Abrir facsímil")</f>
        <v>Abrir facsímil</v>
      </c>
      <c r="K8219" s="3" t="s">
        <v>150</v>
      </c>
    </row>
    <row r="8220" spans="1:11" ht="42" customHeight="1">
      <c r="A8220" s="2" t="s">
        <v>20837</v>
      </c>
      <c r="B8220" s="2" t="s">
        <v>20838</v>
      </c>
      <c r="C8220" s="2" t="s">
        <v>841</v>
      </c>
      <c r="D8220" s="2" t="s">
        <v>18</v>
      </c>
      <c r="E8220" s="4">
        <v>-32179</v>
      </c>
      <c r="F8220" s="3" t="s">
        <v>614</v>
      </c>
      <c r="G8220" s="3" t="s">
        <v>47</v>
      </c>
      <c r="H8220" s="2" t="s">
        <v>148</v>
      </c>
      <c r="I8220" s="2" t="s">
        <v>20839</v>
      </c>
      <c r="J8220" s="3" t="str">
        <f>HYPERLINK("https://www.boe.es/gazeta/dias/1811/11/23/pdfs/GEI-1811-153.pdf#page=8","Abrir facsímil")</f>
        <v>Abrir facsímil</v>
      </c>
      <c r="K8220" s="3" t="s">
        <v>150</v>
      </c>
    </row>
    <row r="8221" spans="1:11" ht="42" customHeight="1">
      <c r="A8221" s="2" t="s">
        <v>20840</v>
      </c>
      <c r="B8221" s="2" t="s">
        <v>20841</v>
      </c>
      <c r="C8221" s="2" t="s">
        <v>37</v>
      </c>
      <c r="D8221" s="2" t="s">
        <v>18</v>
      </c>
      <c r="E8221" s="4">
        <v>-32480</v>
      </c>
      <c r="F8221" s="3" t="s">
        <v>3061</v>
      </c>
      <c r="G8221" s="3" t="s">
        <v>669</v>
      </c>
      <c r="H8221" s="2" t="s">
        <v>21</v>
      </c>
      <c r="I8221" s="2" t="s">
        <v>20842</v>
      </c>
      <c r="J8221" s="3" t="str">
        <f>HYPERLINK("https://www.boe.es/gazeta/dias/1811/01/26/pdfs/GEI-1811-12.pdf#page=5","Abrir facsímil")</f>
        <v>Abrir facsímil</v>
      </c>
      <c r="K8221" s="3" t="s">
        <v>23</v>
      </c>
    </row>
    <row r="8222" spans="1:11" ht="42" customHeight="1">
      <c r="A8222" s="2" t="s">
        <v>20843</v>
      </c>
      <c r="B8222" s="2" t="s">
        <v>20843</v>
      </c>
      <c r="C8222" s="2" t="s">
        <v>26</v>
      </c>
      <c r="D8222" s="2" t="s">
        <v>18</v>
      </c>
      <c r="E8222" s="4">
        <v>-32439</v>
      </c>
      <c r="F8222" s="3" t="s">
        <v>4682</v>
      </c>
      <c r="G8222" s="3" t="s">
        <v>284</v>
      </c>
      <c r="H8222" s="2" t="s">
        <v>148</v>
      </c>
      <c r="I8222" s="2" t="s">
        <v>20844</v>
      </c>
      <c r="J8222" s="3" t="str">
        <f>HYPERLINK("https://www.boe.es/gazeta/dias/1811/03/08/pdfs/GMD-1811-67.pdf#page=2","Abrir facsímil")</f>
        <v>Abrir facsímil</v>
      </c>
      <c r="K8222" s="3" t="s">
        <v>150</v>
      </c>
    </row>
    <row r="8223" spans="1:11" ht="42" customHeight="1">
      <c r="A8223" s="2" t="s">
        <v>20845</v>
      </c>
      <c r="B8223" s="2" t="s">
        <v>20846</v>
      </c>
      <c r="C8223" s="2" t="s">
        <v>17</v>
      </c>
      <c r="D8223" s="2" t="s">
        <v>18</v>
      </c>
      <c r="E8223" s="4">
        <v>-32344</v>
      </c>
      <c r="F8223" s="3" t="s">
        <v>761</v>
      </c>
      <c r="G8223" s="3" t="s">
        <v>762</v>
      </c>
      <c r="H8223" s="2" t="s">
        <v>148</v>
      </c>
      <c r="I8223" s="2" t="s">
        <v>20847</v>
      </c>
      <c r="J8223" s="3" t="str">
        <f>HYPERLINK("https://www.boe.es/gazeta/dias/1811/06/11/pdfs/GEI-1811-78.pdf#page=4","Abrir facsímil")</f>
        <v>Abrir facsímil</v>
      </c>
      <c r="K8223" s="3" t="s">
        <v>150</v>
      </c>
    </row>
    <row r="8224" spans="1:11" ht="42" customHeight="1">
      <c r="A8224" s="2" t="s">
        <v>20848</v>
      </c>
      <c r="B8224" s="2" t="s">
        <v>20849</v>
      </c>
      <c r="C8224" s="2" t="s">
        <v>26</v>
      </c>
      <c r="D8224" s="2" t="s">
        <v>18</v>
      </c>
      <c r="E8224" s="4">
        <v>-32416</v>
      </c>
      <c r="F8224" s="3" t="s">
        <v>954</v>
      </c>
      <c r="G8224" s="3" t="s">
        <v>183</v>
      </c>
      <c r="H8224" s="2" t="s">
        <v>148</v>
      </c>
      <c r="I8224" s="2" t="s">
        <v>20850</v>
      </c>
      <c r="J8224" s="3" t="str">
        <f>HYPERLINK("https://www.boe.es/gazeta/dias/1811/03/31/pdfs/GMD-1811-90.pdf#page=4","Abrir facsímil")</f>
        <v>Abrir facsímil</v>
      </c>
      <c r="K8224" s="3" t="s">
        <v>150</v>
      </c>
    </row>
    <row r="8225" spans="1:11" ht="42" customHeight="1">
      <c r="A8225" s="2" t="s">
        <v>20851</v>
      </c>
      <c r="B8225" s="2" t="s">
        <v>20852</v>
      </c>
      <c r="C8225" s="2" t="s">
        <v>84</v>
      </c>
      <c r="D8225" s="2" t="s">
        <v>105</v>
      </c>
      <c r="E8225" s="4">
        <v>-32179</v>
      </c>
      <c r="F8225" s="3" t="s">
        <v>614</v>
      </c>
      <c r="G8225" s="3" t="s">
        <v>47</v>
      </c>
      <c r="H8225" s="2" t="s">
        <v>148</v>
      </c>
      <c r="I8225" s="2" t="s">
        <v>20853</v>
      </c>
      <c r="J8225" s="3" t="str">
        <f>HYPERLINK("https://www.boe.es/gazeta/dias/1811/11/23/pdfs/GEI-1811-153.pdf#page=8","Abrir facsímil")</f>
        <v>Abrir facsímil</v>
      </c>
      <c r="K8225" s="3" t="s">
        <v>150</v>
      </c>
    </row>
    <row r="8226" spans="1:11" ht="42" customHeight="1">
      <c r="A8226" s="2" t="s">
        <v>20854</v>
      </c>
      <c r="B8226" s="2" t="s">
        <v>20855</v>
      </c>
      <c r="C8226" s="2" t="s">
        <v>26</v>
      </c>
      <c r="D8226" s="2" t="s">
        <v>18</v>
      </c>
      <c r="E8226" s="4">
        <v>-32328</v>
      </c>
      <c r="F8226" s="3" t="s">
        <v>1653</v>
      </c>
      <c r="G8226" s="3" t="s">
        <v>6752</v>
      </c>
      <c r="H8226" s="2" t="s">
        <v>148</v>
      </c>
      <c r="I8226" s="2" t="s">
        <v>20856</v>
      </c>
      <c r="J8226" s="3" t="str">
        <f>HYPERLINK("https://www.boe.es/gazeta/dias/1811/06/27/pdfs/GEI-1811-85.pdf#page=3","Abrir facsímil")</f>
        <v>Abrir facsímil</v>
      </c>
      <c r="K8226" s="3" t="s">
        <v>150</v>
      </c>
    </row>
    <row r="8227" spans="1:11" ht="42" customHeight="1">
      <c r="A8227" s="2" t="s">
        <v>20857</v>
      </c>
      <c r="B8227" s="2" t="s">
        <v>20858</v>
      </c>
      <c r="C8227" s="2" t="s">
        <v>17</v>
      </c>
      <c r="D8227" s="2" t="s">
        <v>18</v>
      </c>
      <c r="E8227" s="4">
        <v>-32328</v>
      </c>
      <c r="F8227" s="3" t="s">
        <v>1653</v>
      </c>
      <c r="G8227" s="3" t="s">
        <v>4140</v>
      </c>
      <c r="H8227" s="2" t="s">
        <v>148</v>
      </c>
      <c r="I8227" s="2" t="s">
        <v>20859</v>
      </c>
      <c r="J8227" s="3" t="str">
        <f>HYPERLINK("https://www.boe.es/gazeta/dias/1811/06/27/pdfs/GEI-1811-85.pdf#page=2","Abrir facsímil")</f>
        <v>Abrir facsímil</v>
      </c>
      <c r="K8227" s="3" t="s">
        <v>150</v>
      </c>
    </row>
    <row r="8228" spans="1:11" ht="42" customHeight="1">
      <c r="A8228" s="2" t="s">
        <v>20860</v>
      </c>
      <c r="B8228" s="2" t="s">
        <v>20861</v>
      </c>
      <c r="C8228" s="2" t="s">
        <v>367</v>
      </c>
      <c r="D8228" s="2" t="s">
        <v>156</v>
      </c>
      <c r="E8228" s="4">
        <v>-32389</v>
      </c>
      <c r="F8228" s="3" t="s">
        <v>5683</v>
      </c>
      <c r="G8228" s="3" t="s">
        <v>468</v>
      </c>
      <c r="H8228" s="2" t="s">
        <v>148</v>
      </c>
      <c r="I8228" s="2" t="s">
        <v>20862</v>
      </c>
      <c r="J8228" s="3" t="str">
        <f>HYPERLINK("https://www.boe.es/gazeta/dias/1811/04/27/pdfs/GMD-1811-117.pdf#page=4","Abrir facsímil")</f>
        <v>Abrir facsímil</v>
      </c>
      <c r="K8228" s="3" t="s">
        <v>150</v>
      </c>
    </row>
    <row r="8229" spans="1:11" ht="42" customHeight="1">
      <c r="A8229" s="2" t="s">
        <v>20863</v>
      </c>
      <c r="B8229" s="2" t="s">
        <v>20864</v>
      </c>
      <c r="C8229" s="2" t="s">
        <v>26</v>
      </c>
      <c r="D8229" s="2" t="s">
        <v>18</v>
      </c>
      <c r="E8229" s="4">
        <v>-32375</v>
      </c>
      <c r="F8229" s="3" t="s">
        <v>1209</v>
      </c>
      <c r="G8229" s="3" t="s">
        <v>440</v>
      </c>
      <c r="H8229" s="2" t="s">
        <v>148</v>
      </c>
      <c r="I8229" s="2" t="s">
        <v>20865</v>
      </c>
      <c r="J8229" s="3" t="str">
        <f>HYPERLINK("https://www.boe.es/gazeta/dias/1811/05/11/pdfs/GEI-1811-62.pdf#page=6","Abrir facsímil")</f>
        <v>Abrir facsímil</v>
      </c>
      <c r="K8229" s="3" t="s">
        <v>150</v>
      </c>
    </row>
    <row r="8230" spans="1:11" ht="42" customHeight="1">
      <c r="A8230" s="2" t="s">
        <v>20866</v>
      </c>
      <c r="B8230" s="2" t="s">
        <v>20867</v>
      </c>
      <c r="C8230" s="2" t="s">
        <v>26</v>
      </c>
      <c r="D8230" s="2" t="s">
        <v>141</v>
      </c>
      <c r="E8230" s="4">
        <v>-32280</v>
      </c>
      <c r="F8230" s="3" t="s">
        <v>142</v>
      </c>
      <c r="G8230" s="3" t="s">
        <v>597</v>
      </c>
      <c r="H8230" s="2" t="s">
        <v>148</v>
      </c>
      <c r="I8230" s="2" t="s">
        <v>20868</v>
      </c>
      <c r="J8230" s="3" t="str">
        <f>HYPERLINK("https://www.boe.es/gazeta/dias/1811/08/14/pdfs/GMD-C-1811-226.pdf#page=2","Abrir facsímil")</f>
        <v>Abrir facsímil</v>
      </c>
      <c r="K8230" s="3" t="s">
        <v>150</v>
      </c>
    </row>
    <row r="8231" spans="1:11" ht="42" customHeight="1">
      <c r="A8231" s="2" t="s">
        <v>20869</v>
      </c>
      <c r="B8231" s="2" t="s">
        <v>20870</v>
      </c>
      <c r="C8231" s="2" t="s">
        <v>26</v>
      </c>
      <c r="D8231" s="2" t="s">
        <v>105</v>
      </c>
      <c r="E8231" s="4">
        <v>-32143</v>
      </c>
      <c r="F8231" s="3" t="s">
        <v>1455</v>
      </c>
      <c r="G8231" s="3" t="s">
        <v>183</v>
      </c>
      <c r="H8231" s="2" t="s">
        <v>148</v>
      </c>
      <c r="I8231" s="2" t="s">
        <v>20871</v>
      </c>
      <c r="J8231" s="3" t="str">
        <f>HYPERLINK("https://www.boe.es/gazeta/dias/1811/12/29/pdfs/GMD-1811-363.pdf#page=4","Abrir facsímil")</f>
        <v>Abrir facsímil</v>
      </c>
      <c r="K8231" s="3" t="s">
        <v>150</v>
      </c>
    </row>
    <row r="8232" spans="1:11" ht="42" customHeight="1">
      <c r="A8232" s="2" t="s">
        <v>20872</v>
      </c>
      <c r="B8232" s="2" t="s">
        <v>20873</v>
      </c>
      <c r="C8232" s="2" t="s">
        <v>17</v>
      </c>
      <c r="D8232" s="2" t="s">
        <v>18</v>
      </c>
      <c r="E8232" s="4">
        <v>-32438</v>
      </c>
      <c r="F8232" s="3" t="s">
        <v>114</v>
      </c>
      <c r="G8232" s="3" t="s">
        <v>115</v>
      </c>
      <c r="H8232" s="2" t="s">
        <v>148</v>
      </c>
      <c r="I8232" s="2" t="s">
        <v>20874</v>
      </c>
      <c r="J8232" s="3" t="str">
        <f>HYPERLINK("https://www.boe.es/gazeta/dias/1811/03/09/pdfs/GEI-1811-33.pdf#page=3","Abrir facsímil")</f>
        <v>Abrir facsímil</v>
      </c>
      <c r="K8232" s="3" t="s">
        <v>150</v>
      </c>
    </row>
    <row r="8233" spans="1:11" ht="42" customHeight="1">
      <c r="A8233" s="2" t="s">
        <v>20875</v>
      </c>
      <c r="B8233" s="2" t="s">
        <v>20876</v>
      </c>
      <c r="C8233" s="2" t="s">
        <v>26</v>
      </c>
      <c r="D8233" s="2" t="s">
        <v>18</v>
      </c>
      <c r="E8233" s="4">
        <v>-32195</v>
      </c>
      <c r="F8233" s="3" t="s">
        <v>439</v>
      </c>
      <c r="G8233" s="3" t="s">
        <v>2092</v>
      </c>
      <c r="H8233" s="2" t="s">
        <v>148</v>
      </c>
      <c r="I8233" s="2" t="s">
        <v>20877</v>
      </c>
      <c r="J8233" s="3" t="str">
        <f>HYPERLINK("https://www.boe.es/gazeta/dias/1811/11/07/pdfs/GEI-1811-144.pdf#page=7","Abrir facsímil")</f>
        <v>Abrir facsímil</v>
      </c>
      <c r="K8233" s="3" t="s">
        <v>150</v>
      </c>
    </row>
    <row r="8234" spans="1:11" ht="42" customHeight="1">
      <c r="A8234" s="2" t="s">
        <v>20878</v>
      </c>
      <c r="B8234" s="2" t="s">
        <v>20879</v>
      </c>
      <c r="C8234" s="2" t="s">
        <v>26</v>
      </c>
      <c r="D8234" s="2" t="s">
        <v>105</v>
      </c>
      <c r="E8234" s="4">
        <v>-32179</v>
      </c>
      <c r="F8234" s="3" t="s">
        <v>3269</v>
      </c>
      <c r="G8234" s="3" t="s">
        <v>91</v>
      </c>
      <c r="H8234" s="2" t="s">
        <v>148</v>
      </c>
      <c r="I8234" s="2" t="s">
        <v>20880</v>
      </c>
      <c r="J8234" s="3" t="str">
        <f>HYPERLINK("https://www.boe.es/gazeta/dias/1811/11/23/pdfs/GMD-1811-327.pdf#page=4","Abrir facsímil")</f>
        <v>Abrir facsímil</v>
      </c>
      <c r="K8234" s="3" t="s">
        <v>150</v>
      </c>
    </row>
    <row r="8235" spans="1:11" ht="42" customHeight="1">
      <c r="A8235" s="2" t="s">
        <v>20881</v>
      </c>
      <c r="B8235" s="2" t="s">
        <v>20882</v>
      </c>
      <c r="C8235" s="2" t="s">
        <v>26</v>
      </c>
      <c r="D8235" s="2" t="s">
        <v>141</v>
      </c>
      <c r="E8235" s="4">
        <v>-32238</v>
      </c>
      <c r="F8235" s="3" t="s">
        <v>166</v>
      </c>
      <c r="G8235" s="3" t="s">
        <v>178</v>
      </c>
      <c r="H8235" s="2" t="s">
        <v>148</v>
      </c>
      <c r="I8235" s="2" t="s">
        <v>20883</v>
      </c>
      <c r="J8235" s="3" t="str">
        <f>HYPERLINK("https://www.boe.es/gazeta/dias/1811/09/25/pdfs/GMD-C-1811-268.pdf#page=4","Abrir facsímil")</f>
        <v>Abrir facsímil</v>
      </c>
      <c r="K8235" s="3" t="s">
        <v>150</v>
      </c>
    </row>
    <row r="8236" spans="1:11" ht="42" customHeight="1">
      <c r="A8236" s="2" t="s">
        <v>20884</v>
      </c>
      <c r="B8236" s="2" t="s">
        <v>20885</v>
      </c>
      <c r="C8236" s="2" t="s">
        <v>26</v>
      </c>
      <c r="D8236" s="2" t="s">
        <v>18</v>
      </c>
      <c r="E8236" s="4">
        <v>-32291</v>
      </c>
      <c r="F8236" s="3" t="s">
        <v>712</v>
      </c>
      <c r="G8236" s="3" t="s">
        <v>713</v>
      </c>
      <c r="H8236" s="2" t="s">
        <v>148</v>
      </c>
      <c r="I8236" s="2" t="s">
        <v>20886</v>
      </c>
      <c r="J8236" s="3" t="str">
        <f>HYPERLINK("https://www.boe.es/gazeta/dias/1811/08/03/pdfs/GEI-1811-101.pdf#page=6","Abrir facsímil")</f>
        <v>Abrir facsímil</v>
      </c>
      <c r="K8236" s="3" t="s">
        <v>150</v>
      </c>
    </row>
    <row r="8237" spans="1:11" ht="42" customHeight="1">
      <c r="A8237" s="2" t="s">
        <v>20887</v>
      </c>
      <c r="B8237" s="2" t="s">
        <v>20888</v>
      </c>
      <c r="C8237" s="2" t="s">
        <v>17</v>
      </c>
      <c r="D8237" s="2" t="s">
        <v>156</v>
      </c>
      <c r="E8237" s="4">
        <v>-32442</v>
      </c>
      <c r="F8237" s="3" t="s">
        <v>634</v>
      </c>
      <c r="G8237" s="3" t="s">
        <v>3430</v>
      </c>
      <c r="H8237" s="2" t="s">
        <v>148</v>
      </c>
      <c r="I8237" s="2" t="s">
        <v>20889</v>
      </c>
      <c r="J8237" s="3" t="str">
        <f>HYPERLINK("https://www.boe.es/gazeta/dias/1811/03/05/pdfs/GEI-1811-29.pdf#page=3","Abrir facsímil")</f>
        <v>Abrir facsímil</v>
      </c>
      <c r="K8237" s="3" t="s">
        <v>150</v>
      </c>
    </row>
    <row r="8238" spans="1:11" ht="42" customHeight="1">
      <c r="A8238" s="2" t="s">
        <v>20890</v>
      </c>
      <c r="B8238" s="2" t="s">
        <v>20891</v>
      </c>
      <c r="C8238" s="2" t="s">
        <v>26</v>
      </c>
      <c r="D8238" s="2" t="s">
        <v>18</v>
      </c>
      <c r="E8238" s="4">
        <v>-32155</v>
      </c>
      <c r="F8238" s="3" t="s">
        <v>263</v>
      </c>
      <c r="G8238" s="3" t="s">
        <v>264</v>
      </c>
      <c r="H8238" s="2" t="s">
        <v>148</v>
      </c>
      <c r="I8238" s="2" t="s">
        <v>20892</v>
      </c>
      <c r="J8238" s="3" t="str">
        <f>HYPERLINK("https://www.boe.es/gazeta/dias/1811/12/17/pdfs/GEI-1811-163.pdf#page=8","Abrir facsímil")</f>
        <v>Abrir facsímil</v>
      </c>
      <c r="K8238" s="3" t="s">
        <v>150</v>
      </c>
    </row>
    <row r="8239" spans="1:11" ht="42" customHeight="1">
      <c r="A8239" s="2" t="s">
        <v>20893</v>
      </c>
      <c r="B8239" s="2" t="s">
        <v>20894</v>
      </c>
      <c r="C8239" s="2" t="s">
        <v>17</v>
      </c>
      <c r="D8239" s="2" t="s">
        <v>141</v>
      </c>
      <c r="E8239" s="4">
        <v>-32188</v>
      </c>
      <c r="F8239" s="3" t="s">
        <v>505</v>
      </c>
      <c r="G8239" s="3" t="s">
        <v>47</v>
      </c>
      <c r="H8239" s="2" t="s">
        <v>148</v>
      </c>
      <c r="I8239" s="2" t="s">
        <v>20895</v>
      </c>
      <c r="J8239" s="3" t="str">
        <f>HYPERLINK("https://www.boe.es/gazeta/dias/1811/11/14/pdfs/GEI-D-1811-149.pdf#page=3","Abrir facsímil")</f>
        <v>Abrir facsímil</v>
      </c>
      <c r="K8239" s="3" t="s">
        <v>150</v>
      </c>
    </row>
    <row r="8240" spans="1:11" ht="42" customHeight="1">
      <c r="A8240" s="2" t="s">
        <v>20896</v>
      </c>
      <c r="B8240" s="2" t="s">
        <v>20896</v>
      </c>
      <c r="C8240" s="2" t="s">
        <v>17</v>
      </c>
      <c r="D8240" s="2" t="s">
        <v>156</v>
      </c>
      <c r="E8240" s="4">
        <v>-32388</v>
      </c>
      <c r="F8240" s="3" t="s">
        <v>2772</v>
      </c>
      <c r="G8240" s="3" t="s">
        <v>8397</v>
      </c>
      <c r="H8240" s="2" t="s">
        <v>148</v>
      </c>
      <c r="I8240" s="2" t="s">
        <v>20897</v>
      </c>
      <c r="J8240" s="3" t="str">
        <f>HYPERLINK("https://www.boe.es/gazeta/dias/1811/04/28/pdfs/GMD-1811-118.pdf#page=2","Abrir facsímil")</f>
        <v>Abrir facsímil</v>
      </c>
      <c r="K8240" s="3" t="s">
        <v>150</v>
      </c>
    </row>
    <row r="8241" spans="1:11" ht="42" customHeight="1">
      <c r="A8241" s="2" t="s">
        <v>20898</v>
      </c>
      <c r="B8241" s="2" t="s">
        <v>20899</v>
      </c>
      <c r="C8241" s="2" t="s">
        <v>841</v>
      </c>
      <c r="D8241" s="2" t="s">
        <v>141</v>
      </c>
      <c r="E8241" s="4">
        <v>-32396</v>
      </c>
      <c r="F8241" s="3" t="s">
        <v>804</v>
      </c>
      <c r="G8241" s="3" t="s">
        <v>805</v>
      </c>
      <c r="H8241" s="2" t="s">
        <v>148</v>
      </c>
      <c r="I8241" s="2" t="s">
        <v>20900</v>
      </c>
      <c r="J8241" s="3" t="str">
        <f>HYPERLINK("https://www.boe.es/gazeta/dias/1811/04/20/pdfs/GEI-D-1811-53.pdf#page=4","Abrir facsímil")</f>
        <v>Abrir facsímil</v>
      </c>
      <c r="K8241" s="3" t="s">
        <v>150</v>
      </c>
    </row>
    <row r="8242" spans="1:11" ht="42" customHeight="1">
      <c r="A8242" s="2" t="s">
        <v>20901</v>
      </c>
      <c r="B8242" s="2" t="s">
        <v>20902</v>
      </c>
      <c r="C8242" s="2" t="s">
        <v>26</v>
      </c>
      <c r="D8242" s="2" t="s">
        <v>141</v>
      </c>
      <c r="E8242" s="4">
        <v>-32249</v>
      </c>
      <c r="F8242" s="3" t="s">
        <v>743</v>
      </c>
      <c r="G8242" s="3" t="s">
        <v>468</v>
      </c>
      <c r="H8242" s="2" t="s">
        <v>148</v>
      </c>
      <c r="I8242" s="2" t="s">
        <v>20903</v>
      </c>
      <c r="J8242" s="3" t="str">
        <f>HYPERLINK("https://www.boe.es/gazeta/dias/1811/09/14/pdfs/GMD-C-1811-257.pdf#page=1","Abrir facsímil")</f>
        <v>Abrir facsímil</v>
      </c>
      <c r="K8242" s="3" t="s">
        <v>150</v>
      </c>
    </row>
    <row r="8243" spans="1:11" ht="42" customHeight="1">
      <c r="A8243" s="2" t="s">
        <v>20904</v>
      </c>
      <c r="B8243" s="2" t="s">
        <v>20905</v>
      </c>
      <c r="C8243" s="2" t="s">
        <v>26</v>
      </c>
      <c r="D8243" s="2" t="s">
        <v>141</v>
      </c>
      <c r="E8243" s="4">
        <v>-32238</v>
      </c>
      <c r="F8243" s="3" t="s">
        <v>166</v>
      </c>
      <c r="G8243" s="3" t="s">
        <v>178</v>
      </c>
      <c r="H8243" s="2" t="s">
        <v>148</v>
      </c>
      <c r="I8243" s="2" t="s">
        <v>20906</v>
      </c>
      <c r="J8243" s="3" t="str">
        <f>HYPERLINK("https://www.boe.es/gazeta/dias/1811/09/25/pdfs/GMD-C-1811-268.pdf#page=4","Abrir facsímil")</f>
        <v>Abrir facsímil</v>
      </c>
      <c r="K8243" s="3" t="s">
        <v>150</v>
      </c>
    </row>
    <row r="8244" spans="1:11" ht="42" customHeight="1">
      <c r="A8244" s="2" t="s">
        <v>20907</v>
      </c>
      <c r="B8244" s="2" t="s">
        <v>20908</v>
      </c>
      <c r="C8244" s="2" t="s">
        <v>26</v>
      </c>
      <c r="D8244" s="2" t="s">
        <v>18</v>
      </c>
      <c r="E8244" s="4">
        <v>-32377</v>
      </c>
      <c r="F8244" s="3" t="s">
        <v>6097</v>
      </c>
      <c r="G8244" s="3" t="s">
        <v>6930</v>
      </c>
      <c r="H8244" s="2" t="s">
        <v>148</v>
      </c>
      <c r="I8244" s="2" t="s">
        <v>20909</v>
      </c>
      <c r="J8244" s="3" t="str">
        <f>HYPERLINK("https://www.boe.es/gazeta/dias/1811/05/09/pdfs/GEI-1811-61.pdf#page=2","Abrir facsímil")</f>
        <v>Abrir facsímil</v>
      </c>
      <c r="K8244" s="3" t="s">
        <v>150</v>
      </c>
    </row>
    <row r="8245" spans="1:11" ht="42" customHeight="1">
      <c r="A8245" s="2" t="s">
        <v>20910</v>
      </c>
      <c r="B8245" s="2" t="s">
        <v>20911</v>
      </c>
      <c r="C8245" s="2" t="s">
        <v>66</v>
      </c>
      <c r="D8245" s="2" t="s">
        <v>18</v>
      </c>
      <c r="E8245" s="4">
        <v>-32451</v>
      </c>
      <c r="F8245" s="3" t="s">
        <v>2651</v>
      </c>
      <c r="G8245" s="3" t="s">
        <v>2652</v>
      </c>
      <c r="H8245" s="2" t="s">
        <v>148</v>
      </c>
      <c r="I8245" s="2" t="s">
        <v>20912</v>
      </c>
      <c r="J8245" s="3" t="str">
        <f>HYPERLINK("https://www.boe.es/gazeta/dias/1811/02/24/pdfs/GMD-1811-55.pdf#page=4","Abrir facsímil")</f>
        <v>Abrir facsímil</v>
      </c>
      <c r="K8245" s="3" t="s">
        <v>150</v>
      </c>
    </row>
    <row r="8246" spans="1:11" ht="42" customHeight="1">
      <c r="A8246" s="2" t="s">
        <v>20913</v>
      </c>
      <c r="B8246" s="2" t="s">
        <v>20913</v>
      </c>
      <c r="C8246" s="2" t="s">
        <v>17</v>
      </c>
      <c r="D8246" s="2" t="s">
        <v>156</v>
      </c>
      <c r="E8246" s="4">
        <v>-32437</v>
      </c>
      <c r="F8246" s="3" t="s">
        <v>4063</v>
      </c>
      <c r="G8246" s="3" t="s">
        <v>47</v>
      </c>
      <c r="H8246" s="2" t="s">
        <v>148</v>
      </c>
      <c r="I8246" s="2" t="s">
        <v>20914</v>
      </c>
      <c r="J8246" s="3" t="str">
        <f>HYPERLINK("https://www.boe.es/gazeta/dias/1811/03/10/pdfs/GMD-1811-69.pdf#page=3","Abrir facsímil")</f>
        <v>Abrir facsímil</v>
      </c>
      <c r="K8246" s="3" t="s">
        <v>150</v>
      </c>
    </row>
    <row r="8247" spans="1:11" ht="42" customHeight="1">
      <c r="A8247" s="2" t="s">
        <v>20915</v>
      </c>
      <c r="B8247" s="2" t="s">
        <v>20916</v>
      </c>
      <c r="C8247" s="2" t="s">
        <v>26</v>
      </c>
      <c r="D8247" s="2" t="s">
        <v>18</v>
      </c>
      <c r="E8247" s="4">
        <v>-32489</v>
      </c>
      <c r="F8247" s="3" t="s">
        <v>2073</v>
      </c>
      <c r="G8247" s="3" t="s">
        <v>44</v>
      </c>
      <c r="H8247" s="2" t="s">
        <v>148</v>
      </c>
      <c r="I8247" s="2" t="s">
        <v>20917</v>
      </c>
      <c r="J8247" s="3" t="str">
        <f>HYPERLINK("https://www.boe.es/gazeta/dias/1811/01/17/pdfs/GEI-1811-8.pdf#page=8","Abrir facsímil")</f>
        <v>Abrir facsímil</v>
      </c>
      <c r="K8247" s="3" t="s">
        <v>150</v>
      </c>
    </row>
    <row r="8248" spans="1:11" ht="42" customHeight="1">
      <c r="A8248" s="2" t="s">
        <v>20918</v>
      </c>
      <c r="B8248" s="2" t="s">
        <v>20918</v>
      </c>
      <c r="C8248" s="2" t="s">
        <v>17</v>
      </c>
      <c r="D8248" s="2" t="s">
        <v>156</v>
      </c>
      <c r="E8248" s="4">
        <v>-32461</v>
      </c>
      <c r="F8248" s="3" t="s">
        <v>1383</v>
      </c>
      <c r="G8248" s="3" t="s">
        <v>178</v>
      </c>
      <c r="H8248" s="2" t="s">
        <v>148</v>
      </c>
      <c r="I8248" s="2" t="s">
        <v>20919</v>
      </c>
      <c r="J8248" s="3" t="str">
        <f>HYPERLINK("https://www.boe.es/gazeta/dias/1811/02/14/pdfs/GMD-1811-45.pdf#page=2","Abrir facsímil")</f>
        <v>Abrir facsímil</v>
      </c>
      <c r="K8248" s="3" t="s">
        <v>150</v>
      </c>
    </row>
    <row r="8249" spans="1:11" ht="42" customHeight="1">
      <c r="A8249" s="2" t="s">
        <v>20918</v>
      </c>
      <c r="B8249" s="2" t="s">
        <v>20918</v>
      </c>
      <c r="C8249" s="2" t="s">
        <v>17</v>
      </c>
      <c r="D8249" s="2" t="s">
        <v>156</v>
      </c>
      <c r="E8249" s="4">
        <v>-32460</v>
      </c>
      <c r="F8249" s="3" t="s">
        <v>4783</v>
      </c>
      <c r="G8249" s="3" t="s">
        <v>468</v>
      </c>
      <c r="H8249" s="2" t="s">
        <v>148</v>
      </c>
      <c r="I8249" s="2" t="s">
        <v>20920</v>
      </c>
      <c r="J8249" s="3" t="str">
        <f>HYPERLINK("https://www.boe.es/gazeta/dias/1811/02/15/pdfs/GMD-1811-46.pdf#page=2","Abrir facsímil")</f>
        <v>Abrir facsímil</v>
      </c>
      <c r="K8249" s="3" t="s">
        <v>150</v>
      </c>
    </row>
    <row r="8250" spans="1:11" ht="42" customHeight="1">
      <c r="A8250" s="2" t="s">
        <v>20918</v>
      </c>
      <c r="B8250" s="2" t="s">
        <v>20918</v>
      </c>
      <c r="C8250" s="2" t="s">
        <v>17</v>
      </c>
      <c r="D8250" s="2" t="s">
        <v>18</v>
      </c>
      <c r="E8250" s="4">
        <v>-32438</v>
      </c>
      <c r="F8250" s="3" t="s">
        <v>4284</v>
      </c>
      <c r="G8250" s="3" t="s">
        <v>2379</v>
      </c>
      <c r="H8250" s="2" t="s">
        <v>148</v>
      </c>
      <c r="I8250" s="2" t="s">
        <v>20921</v>
      </c>
      <c r="J8250" s="3" t="str">
        <f>HYPERLINK("https://www.boe.es/gazeta/dias/1811/03/09/pdfs/GMD-1811-68.pdf#page=2","Abrir facsímil")</f>
        <v>Abrir facsímil</v>
      </c>
      <c r="K8250" s="3" t="s">
        <v>150</v>
      </c>
    </row>
    <row r="8251" spans="1:11" ht="42" customHeight="1">
      <c r="A8251" s="2" t="s">
        <v>20918</v>
      </c>
      <c r="B8251" s="2" t="s">
        <v>20918</v>
      </c>
      <c r="C8251" s="2" t="s">
        <v>17</v>
      </c>
      <c r="D8251" s="2" t="s">
        <v>18</v>
      </c>
      <c r="E8251" s="4">
        <v>-32419</v>
      </c>
      <c r="F8251" s="3" t="s">
        <v>2585</v>
      </c>
      <c r="G8251" s="3" t="s">
        <v>2586</v>
      </c>
      <c r="H8251" s="2" t="s">
        <v>148</v>
      </c>
      <c r="I8251" s="2" t="s">
        <v>20922</v>
      </c>
      <c r="J8251" s="3" t="str">
        <f>HYPERLINK("https://www.boe.es/gazeta/dias/1811/03/28/pdfs/GEI-1811-43.pdf#page=1","Abrir facsímil")</f>
        <v>Abrir facsímil</v>
      </c>
      <c r="K8251" s="3" t="s">
        <v>150</v>
      </c>
    </row>
    <row r="8252" spans="1:11" ht="42" customHeight="1">
      <c r="A8252" s="2" t="s">
        <v>20918</v>
      </c>
      <c r="B8252" s="2" t="s">
        <v>20918</v>
      </c>
      <c r="C8252" s="2" t="s">
        <v>17</v>
      </c>
      <c r="D8252" s="2" t="s">
        <v>156</v>
      </c>
      <c r="E8252" s="4">
        <v>-32410</v>
      </c>
      <c r="F8252" s="3" t="s">
        <v>2678</v>
      </c>
      <c r="G8252" s="3" t="s">
        <v>468</v>
      </c>
      <c r="H8252" s="2" t="s">
        <v>148</v>
      </c>
      <c r="I8252" s="2" t="s">
        <v>20923</v>
      </c>
      <c r="J8252" s="3" t="str">
        <f>HYPERLINK("https://www.boe.es/gazeta/dias/1811/04/06/pdfs/GEI-1811-47.pdf#page=6","Abrir facsímil")</f>
        <v>Abrir facsímil</v>
      </c>
      <c r="K8252" s="3" t="s">
        <v>150</v>
      </c>
    </row>
    <row r="8253" spans="1:11" ht="42" customHeight="1">
      <c r="A8253" s="2" t="s">
        <v>20918</v>
      </c>
      <c r="B8253" s="2" t="s">
        <v>20918</v>
      </c>
      <c r="C8253" s="2" t="s">
        <v>17</v>
      </c>
      <c r="D8253" s="2" t="s">
        <v>18</v>
      </c>
      <c r="E8253" s="4">
        <v>-32405</v>
      </c>
      <c r="F8253" s="3" t="s">
        <v>1413</v>
      </c>
      <c r="G8253" s="3" t="s">
        <v>1623</v>
      </c>
      <c r="H8253" s="2" t="s">
        <v>148</v>
      </c>
      <c r="I8253" s="2" t="s">
        <v>20924</v>
      </c>
      <c r="J8253" s="3" t="str">
        <f>HYPERLINK("https://www.boe.es/gazeta/dias/1811/04/11/pdfs/GEI-1811-49.pdf#page=3","Abrir facsímil")</f>
        <v>Abrir facsímil</v>
      </c>
      <c r="K8253" s="3" t="s">
        <v>150</v>
      </c>
    </row>
    <row r="8254" spans="1:11" ht="42" customHeight="1">
      <c r="A8254" s="2" t="s">
        <v>20918</v>
      </c>
      <c r="B8254" s="2" t="s">
        <v>20918</v>
      </c>
      <c r="C8254" s="2" t="s">
        <v>17</v>
      </c>
      <c r="D8254" s="2" t="s">
        <v>156</v>
      </c>
      <c r="E8254" s="4">
        <v>-32386</v>
      </c>
      <c r="F8254" s="3" t="s">
        <v>1934</v>
      </c>
      <c r="G8254" s="3" t="s">
        <v>2445</v>
      </c>
      <c r="H8254" s="2" t="s">
        <v>148</v>
      </c>
      <c r="I8254" s="2" t="s">
        <v>20925</v>
      </c>
      <c r="J8254" s="3" t="str">
        <f>HYPERLINK("https://www.boe.es/gazeta/dias/1811/04/30/pdfs/GEI-1811-57.pdf#page=3","Abrir facsímil")</f>
        <v>Abrir facsímil</v>
      </c>
      <c r="K8254" s="3" t="s">
        <v>150</v>
      </c>
    </row>
    <row r="8255" spans="1:11" ht="42" customHeight="1">
      <c r="A8255" s="2" t="s">
        <v>20926</v>
      </c>
      <c r="B8255" s="2" t="s">
        <v>20927</v>
      </c>
      <c r="C8255" s="2" t="s">
        <v>17</v>
      </c>
      <c r="D8255" s="2" t="s">
        <v>18</v>
      </c>
      <c r="E8255" s="4">
        <v>-32480</v>
      </c>
      <c r="F8255" s="3" t="s">
        <v>3061</v>
      </c>
      <c r="G8255" s="3" t="s">
        <v>669</v>
      </c>
      <c r="H8255" s="2" t="s">
        <v>148</v>
      </c>
      <c r="I8255" s="2" t="s">
        <v>20928</v>
      </c>
      <c r="J8255" s="3" t="str">
        <f>HYPERLINK("https://www.boe.es/gazeta/dias/1811/01/26/pdfs/GEI-1811-12.pdf#page=5","Abrir facsímil")</f>
        <v>Abrir facsímil</v>
      </c>
      <c r="K8255" s="3" t="s">
        <v>150</v>
      </c>
    </row>
    <row r="8256" spans="1:11" ht="42" customHeight="1">
      <c r="A8256" s="2" t="s">
        <v>20929</v>
      </c>
      <c r="B8256" s="2" t="s">
        <v>20929</v>
      </c>
      <c r="C8256" s="2" t="s">
        <v>17</v>
      </c>
      <c r="D8256" s="2" t="s">
        <v>204</v>
      </c>
      <c r="E8256" s="4">
        <v>-32251</v>
      </c>
      <c r="F8256" s="3" t="s">
        <v>726</v>
      </c>
      <c r="G8256" s="3" t="s">
        <v>39</v>
      </c>
      <c r="H8256" s="2" t="s">
        <v>148</v>
      </c>
      <c r="I8256" s="2" t="s">
        <v>20930</v>
      </c>
      <c r="J8256" s="3" t="str">
        <f>HYPERLINK("https://www.boe.es/gazeta/dias/1811/09/12/pdfs/GEI-1811-118.pdf#page=1","Abrir facsímil")</f>
        <v>Abrir facsímil</v>
      </c>
      <c r="K8256" s="3" t="s">
        <v>150</v>
      </c>
    </row>
    <row r="8257" spans="1:11" ht="42" customHeight="1">
      <c r="A8257" s="2" t="s">
        <v>20931</v>
      </c>
      <c r="B8257" s="2" t="s">
        <v>20932</v>
      </c>
      <c r="C8257" s="2" t="s">
        <v>26</v>
      </c>
      <c r="D8257" s="2" t="s">
        <v>18</v>
      </c>
      <c r="E8257" s="4">
        <v>-32489</v>
      </c>
      <c r="F8257" s="3" t="s">
        <v>2073</v>
      </c>
      <c r="G8257" s="3" t="s">
        <v>44</v>
      </c>
      <c r="H8257" s="2" t="s">
        <v>148</v>
      </c>
      <c r="I8257" s="2" t="s">
        <v>20933</v>
      </c>
      <c r="J8257" s="3" t="str">
        <f>HYPERLINK("https://www.boe.es/gazeta/dias/1811/01/17/pdfs/GEI-1811-8.pdf#page=8","Abrir facsímil")</f>
        <v>Abrir facsímil</v>
      </c>
      <c r="K8257" s="3" t="s">
        <v>150</v>
      </c>
    </row>
    <row r="8258" spans="1:11" ht="42" customHeight="1">
      <c r="A8258" s="2" t="s">
        <v>20934</v>
      </c>
      <c r="B8258" s="2" t="s">
        <v>20935</v>
      </c>
      <c r="C8258" s="2" t="s">
        <v>26</v>
      </c>
      <c r="D8258" s="2" t="s">
        <v>141</v>
      </c>
      <c r="E8258" s="4">
        <v>-32238</v>
      </c>
      <c r="F8258" s="3" t="s">
        <v>166</v>
      </c>
      <c r="G8258" s="3" t="s">
        <v>39</v>
      </c>
      <c r="H8258" s="2" t="s">
        <v>148</v>
      </c>
      <c r="I8258" s="2" t="s">
        <v>20936</v>
      </c>
      <c r="J8258" s="3" t="str">
        <f>HYPERLINK("https://www.boe.es/gazeta/dias/1811/09/25/pdfs/GMD-C-1811-268.pdf#page=2","Abrir facsímil")</f>
        <v>Abrir facsímil</v>
      </c>
      <c r="K8258" s="3" t="s">
        <v>150</v>
      </c>
    </row>
    <row r="8259" spans="1:11" ht="42" customHeight="1">
      <c r="A8259" s="2" t="s">
        <v>20937</v>
      </c>
      <c r="B8259" s="2" t="s">
        <v>20938</v>
      </c>
      <c r="C8259" s="2" t="s">
        <v>26</v>
      </c>
      <c r="D8259" s="2" t="s">
        <v>18</v>
      </c>
      <c r="E8259" s="4">
        <v>-32249</v>
      </c>
      <c r="F8259" s="3" t="s">
        <v>182</v>
      </c>
      <c r="G8259" s="3" t="s">
        <v>183</v>
      </c>
      <c r="H8259" s="2" t="s">
        <v>148</v>
      </c>
      <c r="I8259" s="2" t="s">
        <v>20939</v>
      </c>
      <c r="J8259" s="3" t="str">
        <f>HYPERLINK("https://www.boe.es/gazeta/dias/1811/09/14/pdfs/GMD-1811-257.pdf#page=4","Abrir facsímil")</f>
        <v>Abrir facsímil</v>
      </c>
      <c r="K8259" s="3" t="s">
        <v>150</v>
      </c>
    </row>
    <row r="8260" spans="1:11" ht="42" customHeight="1">
      <c r="A8260" s="2" t="s">
        <v>20940</v>
      </c>
      <c r="B8260" s="2" t="s">
        <v>20940</v>
      </c>
      <c r="C8260" s="2" t="s">
        <v>84</v>
      </c>
      <c r="D8260" s="2" t="s">
        <v>18</v>
      </c>
      <c r="E8260" s="4">
        <v>-32454</v>
      </c>
      <c r="F8260" s="3" t="s">
        <v>2796</v>
      </c>
      <c r="G8260" s="3" t="s">
        <v>44</v>
      </c>
      <c r="H8260" s="2" t="s">
        <v>148</v>
      </c>
      <c r="I8260" s="2" t="s">
        <v>20941</v>
      </c>
      <c r="J8260" s="3" t="str">
        <f>HYPERLINK("https://www.boe.es/gazeta/dias/1811/02/21/pdfs/GMD-1811-52.pdf#page=2","Abrir facsímil")</f>
        <v>Abrir facsímil</v>
      </c>
      <c r="K8260" s="3" t="s">
        <v>150</v>
      </c>
    </row>
    <row r="8261" spans="1:11" ht="42" customHeight="1">
      <c r="A8261" s="2" t="s">
        <v>20942</v>
      </c>
      <c r="B8261" s="2" t="s">
        <v>20943</v>
      </c>
      <c r="C8261" s="2" t="s">
        <v>26</v>
      </c>
      <c r="D8261" s="2" t="s">
        <v>18</v>
      </c>
      <c r="E8261" s="4">
        <v>-32188</v>
      </c>
      <c r="F8261" s="3" t="s">
        <v>356</v>
      </c>
      <c r="G8261" s="3" t="s">
        <v>468</v>
      </c>
      <c r="H8261" s="2" t="s">
        <v>148</v>
      </c>
      <c r="I8261" s="2" t="s">
        <v>20944</v>
      </c>
      <c r="J8261" s="3" t="str">
        <f>HYPERLINK("https://www.boe.es/gazeta/dias/1811/11/14/pdfs/GMD-1811-318.pdf#page=6","Abrir facsímil")</f>
        <v>Abrir facsímil</v>
      </c>
      <c r="K8261" s="3" t="s">
        <v>150</v>
      </c>
    </row>
    <row r="8262" spans="1:11" ht="42" customHeight="1">
      <c r="A8262" s="2" t="s">
        <v>20945</v>
      </c>
      <c r="B8262" s="2" t="s">
        <v>20946</v>
      </c>
      <c r="C8262" s="2" t="s">
        <v>17</v>
      </c>
      <c r="D8262" s="2" t="s">
        <v>156</v>
      </c>
      <c r="E8262" s="4">
        <v>-32249</v>
      </c>
      <c r="F8262" s="3" t="s">
        <v>5222</v>
      </c>
      <c r="G8262" s="3" t="s">
        <v>20</v>
      </c>
      <c r="H8262" s="2" t="s">
        <v>148</v>
      </c>
      <c r="I8262" s="2" t="s">
        <v>20947</v>
      </c>
      <c r="J8262" s="3" t="str">
        <f>HYPERLINK("https://www.boe.es/gazeta/dias/1811/09/14/pdfs/GEI-D-1811-119.pdf#page=3","Abrir facsímil")</f>
        <v>Abrir facsímil</v>
      </c>
      <c r="K8262" s="3" t="s">
        <v>150</v>
      </c>
    </row>
    <row r="8263" spans="1:11" ht="42" customHeight="1">
      <c r="A8263" s="2" t="s">
        <v>20948</v>
      </c>
      <c r="B8263" s="2" t="s">
        <v>20949</v>
      </c>
      <c r="C8263" s="2" t="s">
        <v>26</v>
      </c>
      <c r="D8263" s="2" t="s">
        <v>18</v>
      </c>
      <c r="E8263" s="4">
        <v>-32340</v>
      </c>
      <c r="F8263" s="3" t="s">
        <v>565</v>
      </c>
      <c r="G8263" s="3" t="s">
        <v>91</v>
      </c>
      <c r="H8263" s="2" t="s">
        <v>148</v>
      </c>
      <c r="I8263" s="2" t="s">
        <v>20950</v>
      </c>
      <c r="J8263" s="3" t="str">
        <f>HYPERLINK("https://www.boe.es/gazeta/dias/1811/06/15/pdfs/GEI-1811-80.pdf#page=7","Abrir facsímil")</f>
        <v>Abrir facsímil</v>
      </c>
      <c r="K8263" s="3" t="s">
        <v>150</v>
      </c>
    </row>
    <row r="8264" spans="1:11" ht="42" customHeight="1">
      <c r="A8264" s="2" t="s">
        <v>20948</v>
      </c>
      <c r="B8264" s="2" t="s">
        <v>20949</v>
      </c>
      <c r="C8264" s="2" t="s">
        <v>26</v>
      </c>
      <c r="D8264" s="2" t="s">
        <v>18</v>
      </c>
      <c r="E8264" s="4">
        <v>-32141</v>
      </c>
      <c r="F8264" s="3" t="s">
        <v>308</v>
      </c>
      <c r="G8264" s="3" t="s">
        <v>91</v>
      </c>
      <c r="H8264" s="2" t="s">
        <v>148</v>
      </c>
      <c r="I8264" s="2" t="s">
        <v>20951</v>
      </c>
      <c r="J8264" s="3" t="str">
        <f>HYPERLINK("https://www.boe.es/gazeta/dias/1811/12/31/pdfs/GEI-1811-169.pdf#page=7","Abrir facsímil")</f>
        <v>Abrir facsímil</v>
      </c>
      <c r="K8264" s="3" t="s">
        <v>150</v>
      </c>
    </row>
    <row r="8265" spans="1:11" ht="42" customHeight="1">
      <c r="A8265" s="2" t="s">
        <v>20952</v>
      </c>
      <c r="B8265" s="2" t="s">
        <v>20952</v>
      </c>
      <c r="C8265" s="2" t="s">
        <v>17</v>
      </c>
      <c r="D8265" s="2" t="s">
        <v>18</v>
      </c>
      <c r="E8265" s="4">
        <v>-32462</v>
      </c>
      <c r="F8265" s="3" t="s">
        <v>8217</v>
      </c>
      <c r="G8265" s="3" t="s">
        <v>3105</v>
      </c>
      <c r="H8265" s="2" t="s">
        <v>148</v>
      </c>
      <c r="I8265" s="2" t="s">
        <v>20953</v>
      </c>
      <c r="J8265" s="3" t="str">
        <f>HYPERLINK("https://www.boe.es/gazeta/dias/1811/02/13/pdfs/GMD-1811-44.pdf#page=1","Abrir facsímil")</f>
        <v>Abrir facsímil</v>
      </c>
      <c r="K8265" s="3" t="s">
        <v>150</v>
      </c>
    </row>
    <row r="8266" spans="1:11" ht="42" customHeight="1">
      <c r="A8266" s="2" t="s">
        <v>20954</v>
      </c>
      <c r="B8266" s="2" t="s">
        <v>20955</v>
      </c>
      <c r="C8266" s="2" t="s">
        <v>26</v>
      </c>
      <c r="D8266" s="2" t="s">
        <v>18</v>
      </c>
      <c r="E8266" s="4">
        <v>-32447</v>
      </c>
      <c r="F8266" s="3" t="s">
        <v>665</v>
      </c>
      <c r="G8266" s="3" t="s">
        <v>57</v>
      </c>
      <c r="H8266" s="2" t="s">
        <v>148</v>
      </c>
      <c r="I8266" s="2" t="s">
        <v>20956</v>
      </c>
      <c r="J8266" s="3" t="str">
        <f>HYPERLINK("https://www.boe.es/gazeta/dias/1811/02/28/pdfs/GMD-1811-59.pdf#page=2","Abrir facsímil")</f>
        <v>Abrir facsímil</v>
      </c>
      <c r="K8266" s="3" t="s">
        <v>150</v>
      </c>
    </row>
    <row r="8267" spans="1:11" ht="42" customHeight="1">
      <c r="A8267" s="2" t="s">
        <v>20957</v>
      </c>
      <c r="B8267" s="2" t="s">
        <v>20957</v>
      </c>
      <c r="C8267" s="2" t="s">
        <v>17</v>
      </c>
      <c r="D8267" s="2" t="s">
        <v>18</v>
      </c>
      <c r="E8267" s="4">
        <v>-32361</v>
      </c>
      <c r="F8267" s="3" t="s">
        <v>1104</v>
      </c>
      <c r="G8267" s="3" t="s">
        <v>1105</v>
      </c>
      <c r="H8267" s="2" t="s">
        <v>148</v>
      </c>
      <c r="I8267" s="2" t="s">
        <v>20958</v>
      </c>
      <c r="J8267" s="3" t="str">
        <f>HYPERLINK("https://www.boe.es/gazeta/dias/1811/05/25/pdfs/GEI-1811-71.pdf#page=6","Abrir facsímil")</f>
        <v>Abrir facsímil</v>
      </c>
      <c r="K8267" s="3" t="s">
        <v>150</v>
      </c>
    </row>
    <row r="8268" spans="1:11" ht="42" customHeight="1">
      <c r="A8268" s="2" t="s">
        <v>20959</v>
      </c>
      <c r="B8268" s="2" t="s">
        <v>20960</v>
      </c>
      <c r="C8268" s="2" t="s">
        <v>26</v>
      </c>
      <c r="D8268" s="2" t="s">
        <v>18</v>
      </c>
      <c r="E8268" s="4">
        <v>-32204</v>
      </c>
      <c r="F8268" s="3" t="s">
        <v>177</v>
      </c>
      <c r="G8268" s="3" t="s">
        <v>178</v>
      </c>
      <c r="H8268" s="2" t="s">
        <v>148</v>
      </c>
      <c r="I8268" s="2" t="s">
        <v>20961</v>
      </c>
      <c r="J8268" s="3" t="str">
        <f>HYPERLINK("https://www.boe.es/gazeta/dias/1811/10/29/pdfs/GMD-1811-302.pdf#page=4","Abrir facsímil")</f>
        <v>Abrir facsímil</v>
      </c>
      <c r="K8268" s="3" t="s">
        <v>150</v>
      </c>
    </row>
    <row r="8269" spans="1:11" ht="42" customHeight="1">
      <c r="A8269" s="2" t="s">
        <v>20962</v>
      </c>
      <c r="B8269" s="2" t="s">
        <v>20963</v>
      </c>
      <c r="C8269" s="2" t="s">
        <v>26</v>
      </c>
      <c r="D8269" s="2" t="s">
        <v>18</v>
      </c>
      <c r="E8269" s="4">
        <v>-32188</v>
      </c>
      <c r="F8269" s="3" t="s">
        <v>356</v>
      </c>
      <c r="G8269" s="3" t="s">
        <v>248</v>
      </c>
      <c r="H8269" s="2" t="s">
        <v>148</v>
      </c>
      <c r="I8269" s="2" t="s">
        <v>20964</v>
      </c>
      <c r="J8269" s="3" t="str">
        <f>HYPERLINK("https://www.boe.es/gazeta/dias/1811/11/14/pdfs/GMD-1811-318.pdf#page=5","Abrir facsímil")</f>
        <v>Abrir facsímil</v>
      </c>
      <c r="K8269" s="3" t="s">
        <v>150</v>
      </c>
    </row>
    <row r="8270" spans="1:11" ht="42" customHeight="1">
      <c r="A8270" s="2" t="s">
        <v>20965</v>
      </c>
      <c r="B8270" s="2" t="s">
        <v>20966</v>
      </c>
      <c r="C8270" s="2" t="s">
        <v>17</v>
      </c>
      <c r="D8270" s="2" t="s">
        <v>105</v>
      </c>
      <c r="E8270" s="4">
        <v>-32377</v>
      </c>
      <c r="F8270" s="3" t="s">
        <v>6097</v>
      </c>
      <c r="G8270" s="3" t="s">
        <v>20967</v>
      </c>
      <c r="H8270" s="2" t="s">
        <v>148</v>
      </c>
      <c r="I8270" s="2" t="s">
        <v>20968</v>
      </c>
      <c r="J8270" s="3" t="str">
        <f>HYPERLINK("https://www.boe.es/gazeta/dias/1811/05/09/pdfs/GEI-1811-61.pdf#page=4","Abrir facsímil")</f>
        <v>Abrir facsímil</v>
      </c>
      <c r="K8270" s="3" t="s">
        <v>150</v>
      </c>
    </row>
    <row r="8271" spans="1:11" ht="42" customHeight="1">
      <c r="A8271" s="2" t="s">
        <v>20969</v>
      </c>
      <c r="B8271" s="2" t="s">
        <v>20970</v>
      </c>
      <c r="C8271" s="2" t="s">
        <v>26</v>
      </c>
      <c r="D8271" s="2" t="s">
        <v>18</v>
      </c>
      <c r="E8271" s="4">
        <v>-32428</v>
      </c>
      <c r="F8271" s="3" t="s">
        <v>1974</v>
      </c>
      <c r="G8271" s="3" t="s">
        <v>4738</v>
      </c>
      <c r="H8271" s="2" t="s">
        <v>148</v>
      </c>
      <c r="I8271" s="2" t="s">
        <v>20971</v>
      </c>
      <c r="J8271" s="3" t="str">
        <f>HYPERLINK("https://www.boe.es/gazeta/dias/1811/03/19/pdfs/GEI-1811-39.pdf#page=8","Abrir facsímil")</f>
        <v>Abrir facsímil</v>
      </c>
      <c r="K8271" s="3" t="s">
        <v>150</v>
      </c>
    </row>
    <row r="8272" spans="1:11" ht="42" customHeight="1">
      <c r="A8272" s="2" t="s">
        <v>20972</v>
      </c>
      <c r="B8272" s="2" t="s">
        <v>20972</v>
      </c>
      <c r="C8272" s="2" t="s">
        <v>17</v>
      </c>
      <c r="D8272" s="2" t="s">
        <v>105</v>
      </c>
      <c r="E8272" s="4">
        <v>-32503</v>
      </c>
      <c r="F8272" s="3" t="s">
        <v>10608</v>
      </c>
      <c r="G8272" s="3" t="s">
        <v>162</v>
      </c>
      <c r="H8272" s="2" t="s">
        <v>148</v>
      </c>
      <c r="I8272" s="2" t="s">
        <v>20973</v>
      </c>
      <c r="J8272" s="3" t="str">
        <f>HYPERLINK("https://www.boe.es/gazeta/dias/1811/01/03/pdfs/GMD-1811-3.pdf#page=1","Abrir facsímil")</f>
        <v>Abrir facsímil</v>
      </c>
      <c r="K8272" s="3" t="s">
        <v>150</v>
      </c>
    </row>
    <row r="8273" spans="1:11" ht="42" customHeight="1">
      <c r="A8273" s="2" t="s">
        <v>20974</v>
      </c>
      <c r="B8273" s="2" t="s">
        <v>20975</v>
      </c>
      <c r="C8273" s="2" t="s">
        <v>26</v>
      </c>
      <c r="D8273" s="2" t="s">
        <v>18</v>
      </c>
      <c r="E8273" s="4">
        <v>-32461</v>
      </c>
      <c r="F8273" s="3" t="s">
        <v>2429</v>
      </c>
      <c r="G8273" s="3" t="s">
        <v>553</v>
      </c>
      <c r="H8273" s="2" t="s">
        <v>148</v>
      </c>
      <c r="I8273" s="2" t="s">
        <v>20976</v>
      </c>
      <c r="J8273" s="3" t="str">
        <f>HYPERLINK("https://www.boe.es/gazeta/dias/1811/02/14/pdfs/GEI-1811-20.pdf#page=1","Abrir facsímil")</f>
        <v>Abrir facsímil</v>
      </c>
      <c r="K8273" s="3" t="s">
        <v>150</v>
      </c>
    </row>
    <row r="8274" spans="1:11" ht="42" customHeight="1">
      <c r="A8274" s="2" t="s">
        <v>20977</v>
      </c>
      <c r="B8274" s="2" t="s">
        <v>20978</v>
      </c>
      <c r="C8274" s="2" t="s">
        <v>26</v>
      </c>
      <c r="D8274" s="2" t="s">
        <v>18</v>
      </c>
      <c r="E8274" s="4">
        <v>-32179</v>
      </c>
      <c r="F8274" s="3" t="s">
        <v>614</v>
      </c>
      <c r="G8274" s="3" t="s">
        <v>47</v>
      </c>
      <c r="H8274" s="2" t="s">
        <v>148</v>
      </c>
      <c r="I8274" s="2" t="s">
        <v>20979</v>
      </c>
      <c r="J8274" s="3" t="str">
        <f>HYPERLINK("https://www.boe.es/gazeta/dias/1811/11/23/pdfs/GEI-1811-153.pdf#page=8","Abrir facsímil")</f>
        <v>Abrir facsímil</v>
      </c>
      <c r="K8274" s="3" t="s">
        <v>150</v>
      </c>
    </row>
    <row r="8275" spans="1:11" ht="42" customHeight="1">
      <c r="A8275" s="2" t="s">
        <v>20980</v>
      </c>
      <c r="B8275" s="2" t="s">
        <v>20981</v>
      </c>
      <c r="C8275" s="2" t="s">
        <v>104</v>
      </c>
      <c r="D8275" s="2" t="s">
        <v>18</v>
      </c>
      <c r="E8275" s="4">
        <v>-32368</v>
      </c>
      <c r="F8275" s="3" t="s">
        <v>2511</v>
      </c>
      <c r="G8275" s="3" t="s">
        <v>846</v>
      </c>
      <c r="H8275" s="2" t="s">
        <v>148</v>
      </c>
      <c r="I8275" s="2" t="s">
        <v>20982</v>
      </c>
      <c r="J8275" s="3" t="str">
        <f>HYPERLINK("https://www.boe.es/gazeta/dias/1811/05/18/pdfs/GEI-1811-65.pdf#page=7","Abrir facsímil")</f>
        <v>Abrir facsímil</v>
      </c>
      <c r="K8275" s="3" t="s">
        <v>150</v>
      </c>
    </row>
    <row r="8276" spans="1:11" ht="42" customHeight="1">
      <c r="A8276" s="2" t="s">
        <v>20983</v>
      </c>
      <c r="B8276" s="2" t="s">
        <v>20984</v>
      </c>
      <c r="C8276" s="2" t="s">
        <v>84</v>
      </c>
      <c r="D8276" s="2" t="s">
        <v>105</v>
      </c>
      <c r="E8276" s="4">
        <v>-32235</v>
      </c>
      <c r="F8276" s="3" t="s">
        <v>190</v>
      </c>
      <c r="G8276" s="3" t="s">
        <v>188</v>
      </c>
      <c r="H8276" s="2" t="s">
        <v>148</v>
      </c>
      <c r="I8276" s="2" t="s">
        <v>20985</v>
      </c>
      <c r="J8276" s="3" t="str">
        <f>HYPERLINK("https://www.boe.es/gazeta/dias/1811/09/28/pdfs/GEI-1811-125.pdf#page=8","Abrir facsímil")</f>
        <v>Abrir facsímil</v>
      </c>
      <c r="K8276" s="3" t="s">
        <v>150</v>
      </c>
    </row>
    <row r="8277" spans="1:11" ht="42" customHeight="1">
      <c r="A8277" s="2" t="s">
        <v>20986</v>
      </c>
      <c r="B8277" s="2" t="s">
        <v>20987</v>
      </c>
      <c r="C8277" s="2" t="s">
        <v>26</v>
      </c>
      <c r="D8277" s="2" t="s">
        <v>18</v>
      </c>
      <c r="E8277" s="4">
        <v>-32155</v>
      </c>
      <c r="F8277" s="3" t="s">
        <v>263</v>
      </c>
      <c r="G8277" s="3" t="s">
        <v>891</v>
      </c>
      <c r="H8277" s="2" t="s">
        <v>148</v>
      </c>
      <c r="I8277" s="2" t="s">
        <v>20988</v>
      </c>
      <c r="J8277" s="3" t="str">
        <f>HYPERLINK("https://www.boe.es/gazeta/dias/1811/12/17/pdfs/GEI-1811-163.pdf#page=1","Abrir facsímil")</f>
        <v>Abrir facsímil</v>
      </c>
      <c r="K8277" s="3" t="s">
        <v>150</v>
      </c>
    </row>
    <row r="8278" spans="1:11" ht="42" customHeight="1">
      <c r="A8278" s="2" t="s">
        <v>20989</v>
      </c>
      <c r="B8278" s="2" t="s">
        <v>20989</v>
      </c>
      <c r="C8278" s="2" t="s">
        <v>17</v>
      </c>
      <c r="D8278" s="2" t="s">
        <v>204</v>
      </c>
      <c r="E8278" s="4">
        <v>-32413</v>
      </c>
      <c r="F8278" s="3" t="s">
        <v>5311</v>
      </c>
      <c r="G8278" s="3" t="s">
        <v>19620</v>
      </c>
      <c r="H8278" s="2" t="s">
        <v>148</v>
      </c>
      <c r="I8278" s="2" t="s">
        <v>20990</v>
      </c>
      <c r="J8278" s="3" t="str">
        <f>HYPERLINK("https://www.boe.es/gazeta/dias/1811/04/03/pdfs/GMD-1811-93.pdf#page=1","Abrir facsímil")</f>
        <v>Abrir facsímil</v>
      </c>
      <c r="K8278" s="3" t="s">
        <v>150</v>
      </c>
    </row>
    <row r="8279" spans="1:11" ht="42" customHeight="1">
      <c r="A8279" s="2" t="s">
        <v>20991</v>
      </c>
      <c r="B8279" s="2" t="s">
        <v>20992</v>
      </c>
      <c r="C8279" s="2" t="s">
        <v>841</v>
      </c>
      <c r="D8279" s="2" t="s">
        <v>18</v>
      </c>
      <c r="E8279" s="4">
        <v>-32253</v>
      </c>
      <c r="F8279" s="3" t="s">
        <v>581</v>
      </c>
      <c r="G8279" s="3" t="s">
        <v>120</v>
      </c>
      <c r="H8279" s="2" t="s">
        <v>148</v>
      </c>
      <c r="I8279" s="2" t="s">
        <v>20993</v>
      </c>
      <c r="J8279" s="3" t="str">
        <f>HYPERLINK("https://www.boe.es/gazeta/dias/1811/09/10/pdfs/GEI-1811-117.pdf#page=6","Abrir facsímil")</f>
        <v>Abrir facsímil</v>
      </c>
      <c r="K8279" s="3" t="s">
        <v>150</v>
      </c>
    </row>
    <row r="8280" spans="1:11" ht="42" customHeight="1">
      <c r="A8280" s="2" t="s">
        <v>20994</v>
      </c>
      <c r="B8280" s="2" t="s">
        <v>20995</v>
      </c>
      <c r="C8280" s="2" t="s">
        <v>17</v>
      </c>
      <c r="D8280" s="2" t="s">
        <v>156</v>
      </c>
      <c r="E8280" s="4">
        <v>-32151</v>
      </c>
      <c r="F8280" s="3" t="s">
        <v>313</v>
      </c>
      <c r="G8280" s="3" t="s">
        <v>44</v>
      </c>
      <c r="H8280" s="2" t="s">
        <v>148</v>
      </c>
      <c r="I8280" s="2" t="s">
        <v>20996</v>
      </c>
      <c r="J8280" s="3" t="str">
        <f>HYPERLINK("https://www.boe.es/gazeta/dias/1811/12/21/pdfs/GEI-1811-165.pdf#page=7","Abrir facsímil")</f>
        <v>Abrir facsímil</v>
      </c>
      <c r="K8280" s="3" t="s">
        <v>150</v>
      </c>
    </row>
    <row r="8281" spans="1:11" ht="42" customHeight="1">
      <c r="A8281" s="2" t="s">
        <v>20997</v>
      </c>
      <c r="B8281" s="2" t="s">
        <v>20998</v>
      </c>
      <c r="C8281" s="2" t="s">
        <v>26</v>
      </c>
      <c r="D8281" s="2" t="s">
        <v>204</v>
      </c>
      <c r="E8281" s="4">
        <v>-32481</v>
      </c>
      <c r="F8281" s="3" t="s">
        <v>1687</v>
      </c>
      <c r="G8281" s="3" t="s">
        <v>4089</v>
      </c>
      <c r="H8281" s="2" t="s">
        <v>148</v>
      </c>
      <c r="I8281" s="2" t="s">
        <v>20999</v>
      </c>
      <c r="J8281" s="3" t="str">
        <f>HYPERLINK("https://www.boe.es/gazeta/dias/1811/01/25/pdfs/GMD-1811-25.pdf#page=4","Abrir facsímil")</f>
        <v>Abrir facsímil</v>
      </c>
      <c r="K8281" s="3" t="s">
        <v>150</v>
      </c>
    </row>
    <row r="8282" spans="1:11" ht="42" customHeight="1">
      <c r="A8282" s="2" t="s">
        <v>21000</v>
      </c>
      <c r="B8282" s="2" t="s">
        <v>21000</v>
      </c>
      <c r="C8282" s="2" t="s">
        <v>17</v>
      </c>
      <c r="D8282" s="2" t="s">
        <v>18</v>
      </c>
      <c r="E8282" s="4">
        <v>-32232</v>
      </c>
      <c r="F8282" s="3" t="s">
        <v>1879</v>
      </c>
      <c r="G8282" s="3" t="s">
        <v>120</v>
      </c>
      <c r="H8282" s="2" t="s">
        <v>148</v>
      </c>
      <c r="I8282" s="2" t="s">
        <v>21001</v>
      </c>
      <c r="J8282" s="3" t="str">
        <f>HYPERLINK("https://www.boe.es/gazeta/dias/1811/10/01/pdfs/GMD-1811-274.pdf#page=1","Abrir facsímil")</f>
        <v>Abrir facsímil</v>
      </c>
      <c r="K8282" s="3" t="s">
        <v>150</v>
      </c>
    </row>
    <row r="8283" spans="1:11" ht="42" customHeight="1">
      <c r="A8283" s="2" t="s">
        <v>21002</v>
      </c>
      <c r="B8283" s="2" t="s">
        <v>21002</v>
      </c>
      <c r="C8283" s="2" t="s">
        <v>104</v>
      </c>
      <c r="D8283" s="2" t="s">
        <v>18</v>
      </c>
      <c r="E8283" s="4">
        <v>-32358</v>
      </c>
      <c r="F8283" s="3" t="s">
        <v>2971</v>
      </c>
      <c r="G8283" s="3" t="s">
        <v>4089</v>
      </c>
      <c r="H8283" s="2" t="s">
        <v>148</v>
      </c>
      <c r="I8283" s="2" t="s">
        <v>21003</v>
      </c>
      <c r="J8283" s="3" t="str">
        <f>HYPERLINK("https://www.boe.es/gazeta/dias/1811/05/28/pdfs/GEI-1811-72.pdf#page=4","Abrir facsímil")</f>
        <v>Abrir facsímil</v>
      </c>
      <c r="K8283" s="3" t="s">
        <v>150</v>
      </c>
    </row>
    <row r="8284" spans="1:11" ht="42" customHeight="1">
      <c r="A8284" s="2" t="s">
        <v>21004</v>
      </c>
      <c r="B8284" s="2" t="s">
        <v>21005</v>
      </c>
      <c r="C8284" s="2" t="s">
        <v>26</v>
      </c>
      <c r="D8284" s="2" t="s">
        <v>141</v>
      </c>
      <c r="E8284" s="4">
        <v>-32280</v>
      </c>
      <c r="F8284" s="3" t="s">
        <v>142</v>
      </c>
      <c r="G8284" s="3" t="s">
        <v>47</v>
      </c>
      <c r="H8284" s="2" t="s">
        <v>148</v>
      </c>
      <c r="I8284" s="2" t="s">
        <v>21006</v>
      </c>
      <c r="J8284" s="3" t="str">
        <f>HYPERLINK("https://www.boe.es/gazeta/dias/1811/08/14/pdfs/GMD-C-1811-226.pdf#page=1","Abrir facsímil")</f>
        <v>Abrir facsímil</v>
      </c>
      <c r="K8284" s="3" t="s">
        <v>150</v>
      </c>
    </row>
    <row r="8285" spans="1:11" ht="42" customHeight="1">
      <c r="A8285" s="2" t="s">
        <v>21007</v>
      </c>
      <c r="B8285" s="2" t="s">
        <v>21008</v>
      </c>
      <c r="C8285" s="2" t="s">
        <v>17</v>
      </c>
      <c r="D8285" s="2" t="s">
        <v>18</v>
      </c>
      <c r="E8285" s="4">
        <v>-32186</v>
      </c>
      <c r="F8285" s="3" t="s">
        <v>1425</v>
      </c>
      <c r="G8285" s="3" t="s">
        <v>1928</v>
      </c>
      <c r="H8285" s="2" t="s">
        <v>21</v>
      </c>
      <c r="I8285" s="2" t="s">
        <v>21009</v>
      </c>
      <c r="J8285" s="3" t="str">
        <f>HYPERLINK("https://www.boe.es/gazeta/dias/1811/11/16/pdfs/GEI-1811-150.pdf#page=6","Abrir facsímil")</f>
        <v>Abrir facsímil</v>
      </c>
      <c r="K8285" s="3" t="s">
        <v>23</v>
      </c>
    </row>
    <row r="8286" spans="1:11" ht="42" customHeight="1">
      <c r="A8286" s="2" t="s">
        <v>21010</v>
      </c>
      <c r="B8286" s="2" t="s">
        <v>21011</v>
      </c>
      <c r="C8286" s="2" t="s">
        <v>26</v>
      </c>
      <c r="D8286" s="2" t="s">
        <v>18</v>
      </c>
      <c r="E8286" s="4">
        <v>-32293</v>
      </c>
      <c r="F8286" s="3" t="s">
        <v>3064</v>
      </c>
      <c r="G8286" s="3" t="s">
        <v>2318</v>
      </c>
      <c r="H8286" s="2" t="s">
        <v>148</v>
      </c>
      <c r="I8286" s="2" t="s">
        <v>21012</v>
      </c>
      <c r="J8286" s="3" t="str">
        <f>HYPERLINK("https://www.boe.es/gazeta/dias/1811/08/01/pdfs/GEI-1811-100.pdf#page=5","Abrir facsímil")</f>
        <v>Abrir facsímil</v>
      </c>
      <c r="K8286" s="3" t="s">
        <v>150</v>
      </c>
    </row>
    <row r="8287" spans="1:11" ht="42" customHeight="1">
      <c r="A8287" s="2" t="s">
        <v>21013</v>
      </c>
      <c r="B8287" s="2" t="s">
        <v>21013</v>
      </c>
      <c r="C8287" s="2" t="s">
        <v>26</v>
      </c>
      <c r="D8287" s="2" t="s">
        <v>141</v>
      </c>
      <c r="E8287" s="4">
        <v>-32280</v>
      </c>
      <c r="F8287" s="3" t="s">
        <v>142</v>
      </c>
      <c r="G8287" s="3" t="s">
        <v>47</v>
      </c>
      <c r="H8287" s="2" t="s">
        <v>148</v>
      </c>
      <c r="I8287" s="2" t="s">
        <v>21014</v>
      </c>
      <c r="J8287" s="3" t="str">
        <f>HYPERLINK("https://www.boe.es/gazeta/dias/1811/08/14/pdfs/GMD-C-1811-226.pdf#page=1","Abrir facsímil")</f>
        <v>Abrir facsímil</v>
      </c>
      <c r="K8287" s="3" t="s">
        <v>150</v>
      </c>
    </row>
    <row r="8288" spans="1:11" ht="42" customHeight="1">
      <c r="A8288" s="2" t="s">
        <v>21015</v>
      </c>
      <c r="B8288" s="2" t="s">
        <v>21015</v>
      </c>
      <c r="C8288" s="2" t="s">
        <v>17</v>
      </c>
      <c r="D8288" s="2" t="s">
        <v>18</v>
      </c>
      <c r="E8288" s="4">
        <v>-32337</v>
      </c>
      <c r="F8288" s="3" t="s">
        <v>786</v>
      </c>
      <c r="G8288" s="3" t="s">
        <v>787</v>
      </c>
      <c r="H8288" s="2" t="s">
        <v>148</v>
      </c>
      <c r="I8288" s="2" t="s">
        <v>21016</v>
      </c>
      <c r="J8288" s="3" t="str">
        <f>HYPERLINK("https://www.boe.es/gazeta/dias/1811/06/18/pdfs/GMD-1811-169.pdf#page=1","Abrir facsímil")</f>
        <v>Abrir facsímil</v>
      </c>
      <c r="K8288" s="3" t="s">
        <v>150</v>
      </c>
    </row>
    <row r="8289" spans="1:11" ht="42" customHeight="1">
      <c r="A8289" s="2" t="s">
        <v>21017</v>
      </c>
      <c r="B8289" s="2" t="s">
        <v>21018</v>
      </c>
      <c r="C8289" s="2" t="s">
        <v>17</v>
      </c>
      <c r="D8289" s="2" t="s">
        <v>156</v>
      </c>
      <c r="E8289" s="4">
        <v>-32281</v>
      </c>
      <c r="F8289" s="3" t="s">
        <v>982</v>
      </c>
      <c r="G8289" s="3" t="s">
        <v>983</v>
      </c>
      <c r="H8289" s="2" t="s">
        <v>148</v>
      </c>
      <c r="I8289" s="2" t="s">
        <v>21019</v>
      </c>
      <c r="J8289" s="3" t="str">
        <f>HYPERLINK("https://www.boe.es/gazeta/dias/1811/08/13/pdfs/GEI-1811-105.pdf#page=4","Abrir facsímil")</f>
        <v>Abrir facsímil</v>
      </c>
      <c r="K8289" s="3" t="s">
        <v>150</v>
      </c>
    </row>
    <row r="8290" spans="1:11" ht="42" customHeight="1">
      <c r="A8290" s="2" t="s">
        <v>21020</v>
      </c>
      <c r="B8290" s="2" t="s">
        <v>21021</v>
      </c>
      <c r="C8290" s="2" t="s">
        <v>104</v>
      </c>
      <c r="D8290" s="2" t="s">
        <v>18</v>
      </c>
      <c r="E8290" s="4">
        <v>-32153</v>
      </c>
      <c r="F8290" s="3" t="s">
        <v>235</v>
      </c>
      <c r="G8290" s="3" t="s">
        <v>1315</v>
      </c>
      <c r="H8290" s="2" t="s">
        <v>148</v>
      </c>
      <c r="I8290" s="2" t="s">
        <v>21022</v>
      </c>
      <c r="J8290" s="3" t="str">
        <f>HYPERLINK("https://www.boe.es/gazeta/dias/1811/12/19/pdfs/GEI-1811-164.pdf#page=2","Abrir facsímil")</f>
        <v>Abrir facsímil</v>
      </c>
      <c r="K8290" s="3" t="s">
        <v>150</v>
      </c>
    </row>
    <row r="8291" spans="1:11" ht="42" customHeight="1">
      <c r="A8291" s="2" t="s">
        <v>21023</v>
      </c>
      <c r="B8291" s="2" t="s">
        <v>21024</v>
      </c>
      <c r="C8291" s="2" t="s">
        <v>367</v>
      </c>
      <c r="D8291" s="2" t="s">
        <v>141</v>
      </c>
      <c r="E8291" s="4">
        <v>-32249</v>
      </c>
      <c r="F8291" s="3" t="s">
        <v>743</v>
      </c>
      <c r="G8291" s="3" t="s">
        <v>1021</v>
      </c>
      <c r="H8291" s="2" t="s">
        <v>21</v>
      </c>
      <c r="I8291" s="2" t="s">
        <v>21025</v>
      </c>
      <c r="J8291" s="3" t="str">
        <f>HYPERLINK("https://www.boe.es/gazeta/dias/1811/09/14/pdfs/GMD-C-1811-257.pdf#page=2","Abrir facsímil")</f>
        <v>Abrir facsímil</v>
      </c>
      <c r="K8291" s="3" t="s">
        <v>23</v>
      </c>
    </row>
    <row r="8292" spans="1:11" ht="42" customHeight="1">
      <c r="A8292" s="2" t="s">
        <v>21026</v>
      </c>
      <c r="B8292" s="2" t="s">
        <v>21027</v>
      </c>
      <c r="C8292" s="2" t="s">
        <v>26</v>
      </c>
      <c r="D8292" s="2" t="s">
        <v>18</v>
      </c>
      <c r="E8292" s="4">
        <v>-32442</v>
      </c>
      <c r="F8292" s="3" t="s">
        <v>634</v>
      </c>
      <c r="G8292" s="3" t="s">
        <v>245</v>
      </c>
      <c r="H8292" s="2" t="s">
        <v>148</v>
      </c>
      <c r="I8292" s="2" t="s">
        <v>21028</v>
      </c>
      <c r="J8292" s="3" t="str">
        <f>HYPERLINK("https://www.boe.es/gazeta/dias/1811/03/05/pdfs/GEI-1811-29.pdf#page=1","Abrir facsímil")</f>
        <v>Abrir facsímil</v>
      </c>
      <c r="K8292" s="3" t="s">
        <v>150</v>
      </c>
    </row>
    <row r="8293" spans="1:11" ht="42" customHeight="1">
      <c r="A8293" s="2" t="s">
        <v>21029</v>
      </c>
      <c r="B8293" s="2" t="s">
        <v>21029</v>
      </c>
      <c r="C8293" s="2" t="s">
        <v>367</v>
      </c>
      <c r="D8293" s="2" t="s">
        <v>18</v>
      </c>
      <c r="E8293" s="4">
        <v>-32452</v>
      </c>
      <c r="F8293" s="3" t="s">
        <v>15369</v>
      </c>
      <c r="G8293" s="3" t="s">
        <v>91</v>
      </c>
      <c r="H8293" s="2" t="s">
        <v>148</v>
      </c>
      <c r="I8293" s="2" t="s">
        <v>21030</v>
      </c>
      <c r="J8293" s="3" t="str">
        <f>HYPERLINK("https://www.boe.es/gazeta/dias/1811/02/23/pdfs/GMD-1811-54.pdf#page=1","Abrir facsímil")</f>
        <v>Abrir facsímil</v>
      </c>
      <c r="K8293" s="3" t="s">
        <v>150</v>
      </c>
    </row>
    <row r="8294" spans="1:11" ht="42" customHeight="1">
      <c r="A8294" s="2" t="s">
        <v>21029</v>
      </c>
      <c r="B8294" s="2" t="s">
        <v>21029</v>
      </c>
      <c r="C8294" s="2" t="s">
        <v>66</v>
      </c>
      <c r="D8294" s="2" t="s">
        <v>18</v>
      </c>
      <c r="E8294" s="4">
        <v>-32206</v>
      </c>
      <c r="F8294" s="3" t="s">
        <v>9976</v>
      </c>
      <c r="G8294" s="3" t="s">
        <v>553</v>
      </c>
      <c r="H8294" s="2" t="s">
        <v>148</v>
      </c>
      <c r="I8294" s="2" t="s">
        <v>21031</v>
      </c>
      <c r="J8294" s="3" t="str">
        <f>HYPERLINK("https://www.boe.es/gazeta/dias/1811/10/27/pdfs/GMD-1811-300.pdf#page=2","Abrir facsímil")</f>
        <v>Abrir facsímil</v>
      </c>
      <c r="K8294" s="3" t="s">
        <v>150</v>
      </c>
    </row>
    <row r="8295" spans="1:11" ht="42" customHeight="1">
      <c r="A8295" s="2" t="s">
        <v>21032</v>
      </c>
      <c r="B8295" s="2" t="s">
        <v>21033</v>
      </c>
      <c r="C8295" s="2" t="s">
        <v>26</v>
      </c>
      <c r="D8295" s="2" t="s">
        <v>141</v>
      </c>
      <c r="E8295" s="4">
        <v>-32249</v>
      </c>
      <c r="F8295" s="3" t="s">
        <v>743</v>
      </c>
      <c r="G8295" s="3" t="s">
        <v>1021</v>
      </c>
      <c r="H8295" s="2" t="s">
        <v>148</v>
      </c>
      <c r="I8295" s="2" t="s">
        <v>21034</v>
      </c>
      <c r="J8295" s="3" t="str">
        <f>HYPERLINK("https://www.boe.es/gazeta/dias/1811/09/14/pdfs/GMD-C-1811-257.pdf#page=2","Abrir facsímil")</f>
        <v>Abrir facsímil</v>
      </c>
      <c r="K8295" s="3" t="s">
        <v>150</v>
      </c>
    </row>
    <row r="8296" spans="1:11" ht="42" customHeight="1">
      <c r="A8296" s="2" t="s">
        <v>21032</v>
      </c>
      <c r="B8296" s="2" t="s">
        <v>21033</v>
      </c>
      <c r="C8296" s="2" t="s">
        <v>26</v>
      </c>
      <c r="D8296" s="2" t="s">
        <v>18</v>
      </c>
      <c r="E8296" s="4">
        <v>-32188</v>
      </c>
      <c r="F8296" s="3" t="s">
        <v>356</v>
      </c>
      <c r="G8296" s="3" t="s">
        <v>248</v>
      </c>
      <c r="H8296" s="2" t="s">
        <v>148</v>
      </c>
      <c r="I8296" s="2" t="s">
        <v>21035</v>
      </c>
      <c r="J8296" s="3" t="str">
        <f>HYPERLINK("https://www.boe.es/gazeta/dias/1811/11/14/pdfs/GMD-1811-318.pdf#page=5","Abrir facsímil")</f>
        <v>Abrir facsímil</v>
      </c>
      <c r="K8296" s="3" t="s">
        <v>150</v>
      </c>
    </row>
    <row r="8297" spans="1:11" ht="42" customHeight="1">
      <c r="A8297" s="2" t="s">
        <v>21036</v>
      </c>
      <c r="B8297" s="2" t="s">
        <v>21036</v>
      </c>
      <c r="C8297" s="2" t="s">
        <v>367</v>
      </c>
      <c r="D8297" s="2" t="s">
        <v>18</v>
      </c>
      <c r="E8297" s="4">
        <v>-32460</v>
      </c>
      <c r="F8297" s="3" t="s">
        <v>4783</v>
      </c>
      <c r="G8297" s="3" t="s">
        <v>39</v>
      </c>
      <c r="H8297" s="2" t="s">
        <v>148</v>
      </c>
      <c r="I8297" s="2" t="s">
        <v>21037</v>
      </c>
      <c r="J8297" s="3" t="str">
        <f>HYPERLINK("https://www.boe.es/gazeta/dias/1811/02/15/pdfs/GMD-1811-46.pdf#page=1","Abrir facsímil")</f>
        <v>Abrir facsímil</v>
      </c>
      <c r="K8297" s="3" t="s">
        <v>150</v>
      </c>
    </row>
    <row r="8298" spans="1:11" ht="42" customHeight="1">
      <c r="A8298" s="2" t="s">
        <v>21038</v>
      </c>
      <c r="B8298" s="2" t="s">
        <v>21038</v>
      </c>
      <c r="C8298" s="2" t="s">
        <v>26</v>
      </c>
      <c r="D8298" s="2" t="s">
        <v>18</v>
      </c>
      <c r="E8298" s="4">
        <v>-32362</v>
      </c>
      <c r="F8298" s="3" t="s">
        <v>11467</v>
      </c>
      <c r="G8298" s="3" t="s">
        <v>183</v>
      </c>
      <c r="H8298" s="2" t="s">
        <v>148</v>
      </c>
      <c r="I8298" s="2" t="s">
        <v>21039</v>
      </c>
      <c r="J8298" s="3" t="str">
        <f>HYPERLINK("https://www.boe.es/gazeta/dias/1811/05/24/pdfs/GMD-1811-144.pdf#page=4","Abrir facsímil")</f>
        <v>Abrir facsímil</v>
      </c>
      <c r="K8298" s="3" t="s">
        <v>150</v>
      </c>
    </row>
    <row r="8299" spans="1:11" ht="42" customHeight="1">
      <c r="A8299" s="2" t="s">
        <v>21040</v>
      </c>
      <c r="B8299" s="2" t="s">
        <v>21041</v>
      </c>
      <c r="C8299" s="2" t="s">
        <v>26</v>
      </c>
      <c r="D8299" s="2" t="s">
        <v>18</v>
      </c>
      <c r="E8299" s="4">
        <v>-32188</v>
      </c>
      <c r="F8299" s="3" t="s">
        <v>356</v>
      </c>
      <c r="G8299" s="3" t="s">
        <v>248</v>
      </c>
      <c r="H8299" s="2" t="s">
        <v>148</v>
      </c>
      <c r="I8299" s="2" t="s">
        <v>21042</v>
      </c>
      <c r="J8299" s="3" t="str">
        <f>HYPERLINK("https://www.boe.es/gazeta/dias/1811/11/14/pdfs/GMD-1811-318.pdf#page=5","Abrir facsímil")</f>
        <v>Abrir facsímil</v>
      </c>
      <c r="K8299" s="3" t="s">
        <v>150</v>
      </c>
    </row>
    <row r="8300" spans="1:11" ht="42" customHeight="1">
      <c r="A8300" s="2" t="s">
        <v>21043</v>
      </c>
      <c r="B8300" s="2" t="s">
        <v>21044</v>
      </c>
      <c r="C8300" s="2" t="s">
        <v>26</v>
      </c>
      <c r="D8300" s="2" t="s">
        <v>141</v>
      </c>
      <c r="E8300" s="4">
        <v>-32249</v>
      </c>
      <c r="F8300" s="3" t="s">
        <v>743</v>
      </c>
      <c r="G8300" s="3" t="s">
        <v>1021</v>
      </c>
      <c r="H8300" s="2" t="s">
        <v>148</v>
      </c>
      <c r="I8300" s="2" t="s">
        <v>21045</v>
      </c>
      <c r="J8300" s="3" t="str">
        <f>HYPERLINK("https://www.boe.es/gazeta/dias/1811/09/14/pdfs/GMD-C-1811-257.pdf#page=2","Abrir facsímil")</f>
        <v>Abrir facsímil</v>
      </c>
      <c r="K8300" s="3" t="s">
        <v>150</v>
      </c>
    </row>
    <row r="8301" spans="1:11" ht="42" customHeight="1">
      <c r="A8301" s="2" t="s">
        <v>21046</v>
      </c>
      <c r="B8301" s="2" t="s">
        <v>21046</v>
      </c>
      <c r="C8301" s="2" t="s">
        <v>26</v>
      </c>
      <c r="D8301" s="2" t="s">
        <v>18</v>
      </c>
      <c r="E8301" s="4">
        <v>-32338</v>
      </c>
      <c r="F8301" s="3" t="s">
        <v>3355</v>
      </c>
      <c r="G8301" s="3" t="s">
        <v>3408</v>
      </c>
      <c r="H8301" s="2" t="s">
        <v>148</v>
      </c>
      <c r="I8301" s="2" t="s">
        <v>21047</v>
      </c>
      <c r="J8301" s="3" t="str">
        <f>HYPERLINK("https://www.boe.es/gazeta/dias/1811/06/17/pdfs/GMD-1811-168.pdf#page=1","Abrir facsímil")</f>
        <v>Abrir facsímil</v>
      </c>
      <c r="K8301" s="3" t="s">
        <v>150</v>
      </c>
    </row>
    <row r="8302" spans="1:11" ht="42" customHeight="1">
      <c r="A8302" s="2" t="s">
        <v>21048</v>
      </c>
      <c r="B8302" s="2" t="s">
        <v>21048</v>
      </c>
      <c r="C8302" s="2" t="s">
        <v>104</v>
      </c>
      <c r="D8302" s="2" t="s">
        <v>18</v>
      </c>
      <c r="E8302" s="4">
        <v>-32379</v>
      </c>
      <c r="F8302" s="3" t="s">
        <v>462</v>
      </c>
      <c r="G8302" s="3" t="s">
        <v>1179</v>
      </c>
      <c r="H8302" s="2" t="s">
        <v>148</v>
      </c>
      <c r="I8302" s="2" t="s">
        <v>21049</v>
      </c>
      <c r="J8302" s="3" t="str">
        <f>HYPERLINK("https://www.boe.es/gazeta/dias/1811/05/07/pdfs/GEI-1811-60.pdf#page=1","Abrir facsímil")</f>
        <v>Abrir facsímil</v>
      </c>
      <c r="K8302" s="3" t="s">
        <v>150</v>
      </c>
    </row>
    <row r="8303" spans="1:11" ht="42" customHeight="1">
      <c r="A8303" s="2" t="s">
        <v>21050</v>
      </c>
      <c r="B8303" s="2" t="s">
        <v>21051</v>
      </c>
      <c r="C8303" s="2" t="s">
        <v>17</v>
      </c>
      <c r="D8303" s="2" t="s">
        <v>156</v>
      </c>
      <c r="E8303" s="4">
        <v>-32235</v>
      </c>
      <c r="F8303" s="3" t="s">
        <v>190</v>
      </c>
      <c r="G8303" s="3" t="s">
        <v>188</v>
      </c>
      <c r="H8303" s="2" t="s">
        <v>148</v>
      </c>
      <c r="I8303" s="2" t="s">
        <v>21052</v>
      </c>
      <c r="J8303" s="3" t="str">
        <f>HYPERLINK("https://www.boe.es/gazeta/dias/1811/09/28/pdfs/GEI-1811-125.pdf#page=8","Abrir facsímil")</f>
        <v>Abrir facsímil</v>
      </c>
      <c r="K8303" s="3" t="s">
        <v>150</v>
      </c>
    </row>
    <row r="8304" spans="1:11" ht="42" customHeight="1">
      <c r="A8304" s="2" t="s">
        <v>21053</v>
      </c>
      <c r="B8304" s="2" t="s">
        <v>21054</v>
      </c>
      <c r="C8304" s="2" t="s">
        <v>17</v>
      </c>
      <c r="D8304" s="2" t="s">
        <v>156</v>
      </c>
      <c r="E8304" s="4">
        <v>-32179</v>
      </c>
      <c r="F8304" s="3" t="s">
        <v>614</v>
      </c>
      <c r="G8304" s="3" t="s">
        <v>47</v>
      </c>
      <c r="H8304" s="2" t="s">
        <v>148</v>
      </c>
      <c r="I8304" s="2" t="s">
        <v>21055</v>
      </c>
      <c r="J8304" s="3" t="str">
        <f>HYPERLINK("https://www.boe.es/gazeta/dias/1811/11/23/pdfs/GEI-1811-153.pdf#page=8","Abrir facsímil")</f>
        <v>Abrir facsímil</v>
      </c>
      <c r="K8304" s="3" t="s">
        <v>150</v>
      </c>
    </row>
    <row r="8305" spans="1:11" ht="42" customHeight="1">
      <c r="A8305" s="2" t="s">
        <v>21056</v>
      </c>
      <c r="B8305" s="2" t="s">
        <v>21057</v>
      </c>
      <c r="C8305" s="2" t="s">
        <v>84</v>
      </c>
      <c r="D8305" s="2" t="s">
        <v>18</v>
      </c>
      <c r="E8305" s="4">
        <v>-32314</v>
      </c>
      <c r="F8305" s="3" t="s">
        <v>6914</v>
      </c>
      <c r="G8305" s="3" t="s">
        <v>248</v>
      </c>
      <c r="H8305" s="2" t="s">
        <v>148</v>
      </c>
      <c r="I8305" s="2" t="s">
        <v>21058</v>
      </c>
      <c r="J8305" s="3" t="str">
        <f>HYPERLINK("https://www.boe.es/gazeta/dias/1811/07/11/pdfs/GMD-1811-192.pdf#page=4","Abrir facsímil")</f>
        <v>Abrir facsímil</v>
      </c>
      <c r="K8305" s="3" t="s">
        <v>150</v>
      </c>
    </row>
    <row r="8306" spans="1:11" ht="42" customHeight="1">
      <c r="A8306" s="2" t="s">
        <v>21059</v>
      </c>
      <c r="B8306" s="2" t="s">
        <v>21060</v>
      </c>
      <c r="C8306" s="2" t="s">
        <v>26</v>
      </c>
      <c r="D8306" s="2" t="s">
        <v>141</v>
      </c>
      <c r="E8306" s="4">
        <v>-32396</v>
      </c>
      <c r="F8306" s="3" t="s">
        <v>804</v>
      </c>
      <c r="G8306" s="3" t="s">
        <v>178</v>
      </c>
      <c r="H8306" s="2" t="s">
        <v>148</v>
      </c>
      <c r="I8306" s="2" t="s">
        <v>21061</v>
      </c>
      <c r="J8306" s="3" t="str">
        <f>HYPERLINK("https://www.boe.es/gazeta/dias/1811/04/20/pdfs/GEI-D-1811-53.pdf#page=3","Abrir facsímil")</f>
        <v>Abrir facsímil</v>
      </c>
      <c r="K8306" s="3" t="s">
        <v>150</v>
      </c>
    </row>
    <row r="8307" spans="1:11" ht="42" customHeight="1">
      <c r="A8307" s="2" t="s">
        <v>21062</v>
      </c>
      <c r="B8307" s="2" t="s">
        <v>21063</v>
      </c>
      <c r="C8307" s="2" t="s">
        <v>17</v>
      </c>
      <c r="D8307" s="2" t="s">
        <v>18</v>
      </c>
      <c r="E8307" s="4">
        <v>-32144</v>
      </c>
      <c r="F8307" s="3" t="s">
        <v>1097</v>
      </c>
      <c r="G8307" s="3" t="s">
        <v>1098</v>
      </c>
      <c r="H8307" s="2" t="s">
        <v>148</v>
      </c>
      <c r="I8307" s="2" t="s">
        <v>21064</v>
      </c>
      <c r="J8307" s="3" t="str">
        <f>HYPERLINK("https://www.boe.es/gazeta/dias/1811/12/28/pdfs/GEI-1811-168.pdf#page=8","Abrir facsímil")</f>
        <v>Abrir facsímil</v>
      </c>
      <c r="K8307" s="3" t="s">
        <v>150</v>
      </c>
    </row>
    <row r="8308" spans="1:11" ht="42" customHeight="1">
      <c r="A8308" s="2" t="s">
        <v>21065</v>
      </c>
      <c r="B8308" s="2" t="s">
        <v>21065</v>
      </c>
      <c r="C8308" s="2" t="s">
        <v>17</v>
      </c>
      <c r="D8308" s="2" t="s">
        <v>105</v>
      </c>
      <c r="E8308" s="4">
        <v>-32225</v>
      </c>
      <c r="F8308" s="3" t="s">
        <v>390</v>
      </c>
      <c r="G8308" s="3" t="s">
        <v>3957</v>
      </c>
      <c r="H8308" s="2" t="s">
        <v>148</v>
      </c>
      <c r="I8308" s="2" t="s">
        <v>21066</v>
      </c>
      <c r="J8308" s="3" t="str">
        <f>HYPERLINK("https://www.boe.es/gazeta/dias/1811/10/08/pdfs/GEI-1811-129.pdf#page=4","Abrir facsímil")</f>
        <v>Abrir facsímil</v>
      </c>
      <c r="K8308" s="3" t="s">
        <v>150</v>
      </c>
    </row>
    <row r="8309" spans="1:11" ht="42" customHeight="1">
      <c r="A8309" s="2" t="s">
        <v>21067</v>
      </c>
      <c r="B8309" s="2" t="s">
        <v>21067</v>
      </c>
      <c r="C8309" s="2" t="s">
        <v>17</v>
      </c>
      <c r="D8309" s="2" t="s">
        <v>204</v>
      </c>
      <c r="E8309" s="4">
        <v>-32237</v>
      </c>
      <c r="F8309" s="3" t="s">
        <v>717</v>
      </c>
      <c r="G8309" s="3" t="s">
        <v>718</v>
      </c>
      <c r="H8309" s="2" t="s">
        <v>148</v>
      </c>
      <c r="I8309" s="2" t="s">
        <v>21068</v>
      </c>
      <c r="J8309" s="3" t="str">
        <f>HYPERLINK("https://www.boe.es/gazeta/dias/1811/09/26/pdfs/GEI-1811-124.pdf#page=5","Abrir facsímil")</f>
        <v>Abrir facsímil</v>
      </c>
      <c r="K8309" s="3" t="s">
        <v>150</v>
      </c>
    </row>
    <row r="8310" spans="1:11" ht="42" customHeight="1">
      <c r="A8310" s="2" t="s">
        <v>21069</v>
      </c>
      <c r="B8310" s="2" t="s">
        <v>21070</v>
      </c>
      <c r="C8310" s="2" t="s">
        <v>37</v>
      </c>
      <c r="D8310" s="2" t="s">
        <v>141</v>
      </c>
      <c r="E8310" s="4">
        <v>-32355</v>
      </c>
      <c r="F8310" s="3" t="s">
        <v>537</v>
      </c>
      <c r="G8310" s="3" t="s">
        <v>2225</v>
      </c>
      <c r="H8310" s="2" t="s">
        <v>148</v>
      </c>
      <c r="I8310" s="2" t="s">
        <v>21071</v>
      </c>
      <c r="J8310" s="3" t="str">
        <f>HYPERLINK("https://www.boe.es/gazeta/dias/1811/05/31/pdfs/GMD-C-1811-151.pdf#page=5","Abrir facsímil")</f>
        <v>Abrir facsímil</v>
      </c>
      <c r="K8310" s="3" t="s">
        <v>150</v>
      </c>
    </row>
    <row r="8311" spans="1:11" ht="42" customHeight="1">
      <c r="A8311" s="2" t="s">
        <v>21072</v>
      </c>
      <c r="B8311" s="2" t="s">
        <v>21072</v>
      </c>
      <c r="C8311" s="2" t="s">
        <v>26</v>
      </c>
      <c r="D8311" s="2" t="s">
        <v>18</v>
      </c>
      <c r="E8311" s="4">
        <v>-32483</v>
      </c>
      <c r="F8311" s="3" t="s">
        <v>1081</v>
      </c>
      <c r="G8311" s="3" t="s">
        <v>1688</v>
      </c>
      <c r="H8311" s="2" t="s">
        <v>148</v>
      </c>
      <c r="I8311" s="2" t="s">
        <v>21073</v>
      </c>
      <c r="J8311" s="3" t="str">
        <f>HYPERLINK("https://www.boe.es/gazeta/dias/1811/01/23/pdfs/GMD-1811-23.pdf#page=3","Abrir facsímil")</f>
        <v>Abrir facsímil</v>
      </c>
      <c r="K8311" s="3" t="s">
        <v>150</v>
      </c>
    </row>
    <row r="8312" spans="1:11" ht="42" customHeight="1">
      <c r="A8312" s="2" t="s">
        <v>21072</v>
      </c>
      <c r="B8312" s="2" t="s">
        <v>21072</v>
      </c>
      <c r="C8312" s="2" t="s">
        <v>122</v>
      </c>
      <c r="D8312" s="2" t="s">
        <v>18</v>
      </c>
      <c r="E8312" s="4">
        <v>-32187</v>
      </c>
      <c r="F8312" s="3" t="s">
        <v>1775</v>
      </c>
      <c r="G8312" s="3" t="s">
        <v>44</v>
      </c>
      <c r="H8312" s="2" t="s">
        <v>148</v>
      </c>
      <c r="I8312" s="2" t="s">
        <v>21074</v>
      </c>
      <c r="J8312" s="3" t="str">
        <f>HYPERLINK("https://www.boe.es/gazeta/dias/1811/11/15/pdfs/GMD-1811-319.pdf#page=2","Abrir facsímil")</f>
        <v>Abrir facsímil</v>
      </c>
      <c r="K8312" s="3" t="s">
        <v>150</v>
      </c>
    </row>
    <row r="8313" spans="1:11" ht="42" customHeight="1">
      <c r="A8313" s="2" t="s">
        <v>21075</v>
      </c>
      <c r="B8313" s="2" t="s">
        <v>21076</v>
      </c>
      <c r="C8313" s="2" t="s">
        <v>37</v>
      </c>
      <c r="D8313" s="2" t="s">
        <v>141</v>
      </c>
      <c r="E8313" s="4">
        <v>-32355</v>
      </c>
      <c r="F8313" s="3" t="s">
        <v>537</v>
      </c>
      <c r="G8313" s="3" t="s">
        <v>2225</v>
      </c>
      <c r="H8313" s="2" t="s">
        <v>148</v>
      </c>
      <c r="I8313" s="2" t="s">
        <v>21077</v>
      </c>
      <c r="J8313" s="3" t="str">
        <f>HYPERLINK("https://www.boe.es/gazeta/dias/1811/05/31/pdfs/GMD-C-1811-151.pdf#page=5","Abrir facsímil")</f>
        <v>Abrir facsímil</v>
      </c>
      <c r="K8313" s="3" t="s">
        <v>150</v>
      </c>
    </row>
    <row r="8314" spans="1:11" ht="42" customHeight="1">
      <c r="A8314" s="2" t="s">
        <v>21078</v>
      </c>
      <c r="B8314" s="2" t="s">
        <v>21079</v>
      </c>
      <c r="C8314" s="2" t="s">
        <v>26</v>
      </c>
      <c r="D8314" s="2" t="s">
        <v>18</v>
      </c>
      <c r="E8314" s="4">
        <v>-32447</v>
      </c>
      <c r="F8314" s="3" t="s">
        <v>3655</v>
      </c>
      <c r="G8314" s="3" t="s">
        <v>976</v>
      </c>
      <c r="H8314" s="2" t="s">
        <v>148</v>
      </c>
      <c r="I8314" s="2" t="s">
        <v>21080</v>
      </c>
      <c r="J8314" s="3" t="str">
        <f>HYPERLINK("https://www.boe.es/gazeta/dias/1811/02/28/pdfs/GEI-1811-26.pdf#page=6","Abrir facsímil")</f>
        <v>Abrir facsímil</v>
      </c>
      <c r="K8314" s="3" t="s">
        <v>150</v>
      </c>
    </row>
    <row r="8315" spans="1:11" ht="42" customHeight="1">
      <c r="A8315" s="2" t="s">
        <v>21081</v>
      </c>
      <c r="B8315" s="2" t="s">
        <v>21082</v>
      </c>
      <c r="C8315" s="2" t="s">
        <v>26</v>
      </c>
      <c r="D8315" s="2" t="s">
        <v>18</v>
      </c>
      <c r="E8315" s="4">
        <v>-32379</v>
      </c>
      <c r="F8315" s="3" t="s">
        <v>462</v>
      </c>
      <c r="G8315" s="3" t="s">
        <v>228</v>
      </c>
      <c r="H8315" s="2" t="s">
        <v>148</v>
      </c>
      <c r="I8315" s="2" t="s">
        <v>21083</v>
      </c>
      <c r="J8315" s="3" t="str">
        <f>HYPERLINK("https://www.boe.es/gazeta/dias/1811/05/07/pdfs/GEI-1811-60.pdf#page=3","Abrir facsímil")</f>
        <v>Abrir facsímil</v>
      </c>
      <c r="K8315" s="3" t="s">
        <v>150</v>
      </c>
    </row>
    <row r="8316" spans="1:11" ht="42" customHeight="1">
      <c r="A8316" s="2" t="s">
        <v>21084</v>
      </c>
      <c r="B8316" s="2" t="s">
        <v>21085</v>
      </c>
      <c r="C8316" s="2" t="s">
        <v>17</v>
      </c>
      <c r="D8316" s="2" t="s">
        <v>18</v>
      </c>
      <c r="E8316" s="4">
        <v>-32503</v>
      </c>
      <c r="F8316" s="3" t="s">
        <v>487</v>
      </c>
      <c r="G8316" s="3" t="s">
        <v>1930</v>
      </c>
      <c r="H8316" s="2" t="s">
        <v>148</v>
      </c>
      <c r="I8316" s="2" t="s">
        <v>21086</v>
      </c>
      <c r="J8316" s="3" t="str">
        <f>HYPERLINK("https://www.boe.es/gazeta/dias/1811/01/03/pdfs/GEI-1811-2.pdf#page=8","Abrir facsímil")</f>
        <v>Abrir facsímil</v>
      </c>
      <c r="K8316" s="3" t="s">
        <v>150</v>
      </c>
    </row>
    <row r="8317" spans="1:11" ht="42" customHeight="1">
      <c r="A8317" s="2" t="s">
        <v>21087</v>
      </c>
      <c r="B8317" s="2" t="s">
        <v>21088</v>
      </c>
      <c r="C8317" s="2" t="s">
        <v>17</v>
      </c>
      <c r="D8317" s="2" t="s">
        <v>156</v>
      </c>
      <c r="E8317" s="4">
        <v>-32235</v>
      </c>
      <c r="F8317" s="3" t="s">
        <v>190</v>
      </c>
      <c r="G8317" s="3" t="s">
        <v>188</v>
      </c>
      <c r="H8317" s="2" t="s">
        <v>148</v>
      </c>
      <c r="I8317" s="2" t="s">
        <v>21089</v>
      </c>
      <c r="J8317" s="3" t="str">
        <f>HYPERLINK("https://www.boe.es/gazeta/dias/1811/09/28/pdfs/GEI-1811-125.pdf#page=8","Abrir facsímil")</f>
        <v>Abrir facsímil</v>
      </c>
      <c r="K8317" s="3" t="s">
        <v>150</v>
      </c>
    </row>
    <row r="8318" spans="1:11" ht="42" customHeight="1">
      <c r="A8318" s="2" t="s">
        <v>21090</v>
      </c>
      <c r="B8318" s="2" t="s">
        <v>21091</v>
      </c>
      <c r="C8318" s="2" t="s">
        <v>26</v>
      </c>
      <c r="D8318" s="2" t="s">
        <v>18</v>
      </c>
      <c r="E8318" s="4">
        <v>-32200</v>
      </c>
      <c r="F8318" s="3" t="s">
        <v>109</v>
      </c>
      <c r="G8318" s="3" t="s">
        <v>110</v>
      </c>
      <c r="H8318" s="2" t="s">
        <v>148</v>
      </c>
      <c r="I8318" s="2" t="s">
        <v>21092</v>
      </c>
      <c r="J8318" s="3" t="str">
        <f>HYPERLINK("https://www.boe.es/gazeta/dias/1811/11/02/pdfs/GEI-1811-141.pdf#page=6","Abrir facsímil")</f>
        <v>Abrir facsímil</v>
      </c>
      <c r="K8318" s="3" t="s">
        <v>150</v>
      </c>
    </row>
    <row r="8319" spans="1:11" ht="42" customHeight="1">
      <c r="A8319" s="2" t="s">
        <v>21093</v>
      </c>
      <c r="B8319" s="2" t="s">
        <v>21093</v>
      </c>
      <c r="C8319" s="2" t="s">
        <v>37</v>
      </c>
      <c r="D8319" s="2" t="s">
        <v>18</v>
      </c>
      <c r="E8319" s="4">
        <v>-32326</v>
      </c>
      <c r="F8319" s="3" t="s">
        <v>43</v>
      </c>
      <c r="G8319" s="3" t="s">
        <v>47</v>
      </c>
      <c r="H8319" s="2" t="s">
        <v>148</v>
      </c>
      <c r="I8319" s="2" t="s">
        <v>21094</v>
      </c>
      <c r="J8319" s="3" t="str">
        <f>HYPERLINK("https://www.boe.es/gazeta/dias/1811/06/29/pdfs/GEI-1811-86.pdf#page=3","Abrir facsímil")</f>
        <v>Abrir facsímil</v>
      </c>
      <c r="K8319" s="3" t="s">
        <v>150</v>
      </c>
    </row>
    <row r="8320" spans="1:11" ht="42" customHeight="1">
      <c r="A8320" s="2" t="s">
        <v>21095</v>
      </c>
      <c r="B8320" s="2" t="s">
        <v>21096</v>
      </c>
      <c r="C8320" s="2" t="s">
        <v>841</v>
      </c>
      <c r="D8320" s="2" t="s">
        <v>18</v>
      </c>
      <c r="E8320" s="4">
        <v>-32288</v>
      </c>
      <c r="F8320" s="3" t="s">
        <v>95</v>
      </c>
      <c r="G8320" s="3" t="s">
        <v>47</v>
      </c>
      <c r="H8320" s="2" t="s">
        <v>148</v>
      </c>
      <c r="I8320" s="2" t="s">
        <v>21097</v>
      </c>
      <c r="J8320" s="3" t="str">
        <f>HYPERLINK("https://www.boe.es/gazeta/dias/1811/08/06/pdfs/GEI-1811-102.pdf#page=8","Abrir facsímil")</f>
        <v>Abrir facsímil</v>
      </c>
      <c r="K8320" s="3" t="s">
        <v>150</v>
      </c>
    </row>
    <row r="8321" spans="1:11" ht="42" customHeight="1">
      <c r="A8321" s="2" t="s">
        <v>21098</v>
      </c>
      <c r="B8321" s="2" t="s">
        <v>21099</v>
      </c>
      <c r="C8321" s="2" t="s">
        <v>17</v>
      </c>
      <c r="D8321" s="2" t="s">
        <v>18</v>
      </c>
      <c r="E8321" s="4">
        <v>-32438</v>
      </c>
      <c r="F8321" s="3" t="s">
        <v>114</v>
      </c>
      <c r="G8321" s="3" t="s">
        <v>115</v>
      </c>
      <c r="H8321" s="2" t="s">
        <v>148</v>
      </c>
      <c r="I8321" s="2" t="s">
        <v>21100</v>
      </c>
      <c r="J8321" s="3" t="str">
        <f>HYPERLINK("https://www.boe.es/gazeta/dias/1811/03/09/pdfs/GEI-1811-33.pdf#page=3","Abrir facsímil")</f>
        <v>Abrir facsímil</v>
      </c>
      <c r="K8321" s="3" t="s">
        <v>150</v>
      </c>
    </row>
    <row r="8322" spans="1:11" ht="42" customHeight="1">
      <c r="A8322" s="2" t="s">
        <v>21101</v>
      </c>
      <c r="B8322" s="2" t="s">
        <v>21102</v>
      </c>
      <c r="C8322" s="2" t="s">
        <v>104</v>
      </c>
      <c r="D8322" s="2" t="s">
        <v>18</v>
      </c>
      <c r="E8322" s="4">
        <v>-32218</v>
      </c>
      <c r="F8322" s="3" t="s">
        <v>545</v>
      </c>
      <c r="G8322" s="3" t="s">
        <v>546</v>
      </c>
      <c r="H8322" s="2" t="s">
        <v>148</v>
      </c>
      <c r="I8322" s="2" t="s">
        <v>21103</v>
      </c>
      <c r="J8322" s="3" t="str">
        <f>HYPERLINK("https://www.boe.es/gazeta/dias/1811/10/15/pdfs/GMD-1811-288.pdf#page=4","Abrir facsímil")</f>
        <v>Abrir facsímil</v>
      </c>
      <c r="K8322" s="3" t="s">
        <v>150</v>
      </c>
    </row>
    <row r="8323" spans="1:11" ht="42" customHeight="1">
      <c r="A8323" s="2" t="s">
        <v>21104</v>
      </c>
      <c r="B8323" s="2" t="s">
        <v>21105</v>
      </c>
      <c r="C8323" s="2" t="s">
        <v>26</v>
      </c>
      <c r="D8323" s="2" t="s">
        <v>141</v>
      </c>
      <c r="E8323" s="4">
        <v>-32249</v>
      </c>
      <c r="F8323" s="3" t="s">
        <v>743</v>
      </c>
      <c r="G8323" s="3" t="s">
        <v>1021</v>
      </c>
      <c r="H8323" s="2" t="s">
        <v>148</v>
      </c>
      <c r="I8323" s="2" t="s">
        <v>21106</v>
      </c>
      <c r="J8323" s="3" t="str">
        <f>HYPERLINK("https://www.boe.es/gazeta/dias/1811/09/14/pdfs/GMD-C-1811-257.pdf#page=2","Abrir facsímil")</f>
        <v>Abrir facsímil</v>
      </c>
      <c r="K8323" s="3" t="s">
        <v>150</v>
      </c>
    </row>
    <row r="8324" spans="1:11" ht="42" customHeight="1">
      <c r="A8324" s="2" t="s">
        <v>21107</v>
      </c>
      <c r="B8324" s="2" t="s">
        <v>21108</v>
      </c>
      <c r="C8324" s="2" t="s">
        <v>17</v>
      </c>
      <c r="D8324" s="2" t="s">
        <v>156</v>
      </c>
      <c r="E8324" s="4">
        <v>-32361</v>
      </c>
      <c r="F8324" s="3" t="s">
        <v>1104</v>
      </c>
      <c r="G8324" s="3" t="s">
        <v>2213</v>
      </c>
      <c r="H8324" s="2" t="s">
        <v>148</v>
      </c>
      <c r="I8324" s="2" t="s">
        <v>21109</v>
      </c>
      <c r="J8324" s="3" t="str">
        <f>HYPERLINK("https://www.boe.es/gazeta/dias/1811/05/25/pdfs/GEI-1811-71.pdf#page=8","Abrir facsímil")</f>
        <v>Abrir facsímil</v>
      </c>
      <c r="K8324" s="3" t="s">
        <v>150</v>
      </c>
    </row>
    <row r="8325" spans="1:11" ht="42" customHeight="1">
      <c r="A8325" s="2" t="s">
        <v>21110</v>
      </c>
      <c r="B8325" s="2" t="s">
        <v>21111</v>
      </c>
      <c r="C8325" s="2" t="s">
        <v>122</v>
      </c>
      <c r="D8325" s="2" t="s">
        <v>18</v>
      </c>
      <c r="E8325" s="4">
        <v>-32351</v>
      </c>
      <c r="F8325" s="3" t="s">
        <v>2163</v>
      </c>
      <c r="G8325" s="3" t="s">
        <v>4351</v>
      </c>
      <c r="H8325" s="2" t="s">
        <v>148</v>
      </c>
      <c r="I8325" s="2" t="s">
        <v>21112</v>
      </c>
      <c r="J8325" s="3" t="str">
        <f>HYPERLINK("https://www.boe.es/gazeta/dias/1811/06/04/pdfs/GEI-1811-75.pdf#page=8","Abrir facsímil")</f>
        <v>Abrir facsímil</v>
      </c>
      <c r="K8325" s="3" t="s">
        <v>150</v>
      </c>
    </row>
    <row r="8326" spans="1:11" ht="42" customHeight="1">
      <c r="A8326" s="2" t="s">
        <v>21113</v>
      </c>
      <c r="B8326" s="2" t="s">
        <v>21113</v>
      </c>
      <c r="C8326" s="2" t="s">
        <v>84</v>
      </c>
      <c r="D8326" s="2" t="s">
        <v>18</v>
      </c>
      <c r="E8326" s="4">
        <v>-32426</v>
      </c>
      <c r="F8326" s="3" t="s">
        <v>2729</v>
      </c>
      <c r="G8326" s="3" t="s">
        <v>2730</v>
      </c>
      <c r="H8326" s="2" t="s">
        <v>148</v>
      </c>
      <c r="I8326" s="2" t="s">
        <v>21114</v>
      </c>
      <c r="J8326" s="3" t="str">
        <f>HYPERLINK("https://www.boe.es/gazeta/dias/1811/03/21/pdfs/GEI-1811-40.pdf#page=6","Abrir facsímil")</f>
        <v>Abrir facsímil</v>
      </c>
      <c r="K8326" s="3" t="s">
        <v>150</v>
      </c>
    </row>
    <row r="8327" spans="1:11" ht="42" customHeight="1">
      <c r="A8327" s="2" t="s">
        <v>21115</v>
      </c>
      <c r="B8327" s="2" t="s">
        <v>21116</v>
      </c>
      <c r="C8327" s="2" t="s">
        <v>17</v>
      </c>
      <c r="D8327" s="2" t="s">
        <v>156</v>
      </c>
      <c r="E8327" s="4">
        <v>-32228</v>
      </c>
      <c r="F8327" s="3" t="s">
        <v>372</v>
      </c>
      <c r="G8327" s="3" t="s">
        <v>373</v>
      </c>
      <c r="H8327" s="2" t="s">
        <v>148</v>
      </c>
      <c r="I8327" s="2" t="s">
        <v>21117</v>
      </c>
      <c r="J8327" s="3" t="str">
        <f>HYPERLINK("https://www.boe.es/gazeta/dias/1811/10/05/pdfs/GEI-1811-128.pdf#page=7","Abrir facsímil")</f>
        <v>Abrir facsímil</v>
      </c>
      <c r="K8327" s="3" t="s">
        <v>150</v>
      </c>
    </row>
    <row r="8328" spans="1:11" ht="42" customHeight="1">
      <c r="A8328" s="2" t="s">
        <v>21118</v>
      </c>
      <c r="B8328" s="2" t="s">
        <v>21118</v>
      </c>
      <c r="C8328" s="2" t="s">
        <v>17</v>
      </c>
      <c r="D8328" s="2" t="s">
        <v>204</v>
      </c>
      <c r="E8328" s="4">
        <v>-32219</v>
      </c>
      <c r="F8328" s="3" t="s">
        <v>2681</v>
      </c>
      <c r="G8328" s="3" t="s">
        <v>12783</v>
      </c>
      <c r="H8328" s="2" t="s">
        <v>148</v>
      </c>
      <c r="I8328" s="2" t="s">
        <v>21119</v>
      </c>
      <c r="J8328" s="3" t="str">
        <f>HYPERLINK("https://www.boe.es/gazeta/dias/1811/10/14/pdfs/GMD-1811-287.pdf#page=1","Abrir facsímil")</f>
        <v>Abrir facsímil</v>
      </c>
      <c r="K8328" s="3" t="s">
        <v>150</v>
      </c>
    </row>
    <row r="8329" spans="1:11" ht="42" customHeight="1">
      <c r="A8329" s="2" t="s">
        <v>21120</v>
      </c>
      <c r="B8329" s="2" t="s">
        <v>21121</v>
      </c>
      <c r="C8329" s="2" t="s">
        <v>104</v>
      </c>
      <c r="D8329" s="2" t="s">
        <v>18</v>
      </c>
      <c r="E8329" s="4">
        <v>-32230</v>
      </c>
      <c r="F8329" s="3" t="s">
        <v>625</v>
      </c>
      <c r="G8329" s="3" t="s">
        <v>162</v>
      </c>
      <c r="H8329" s="2" t="s">
        <v>148</v>
      </c>
      <c r="I8329" s="2" t="s">
        <v>21122</v>
      </c>
      <c r="J8329" s="3" t="str">
        <f>HYPERLINK("https://www.boe.es/gazeta/dias/1811/10/03/pdfs/GEI-1811-127.pdf#page=7","Abrir facsímil")</f>
        <v>Abrir facsímil</v>
      </c>
      <c r="K8329" s="3" t="s">
        <v>150</v>
      </c>
    </row>
    <row r="8330" spans="1:11" ht="42" customHeight="1">
      <c r="A8330" s="2" t="s">
        <v>21123</v>
      </c>
      <c r="B8330" s="2" t="s">
        <v>21124</v>
      </c>
      <c r="C8330" s="2" t="s">
        <v>17</v>
      </c>
      <c r="D8330" s="2" t="s">
        <v>18</v>
      </c>
      <c r="E8330" s="4">
        <v>-32233</v>
      </c>
      <c r="F8330" s="3" t="s">
        <v>3504</v>
      </c>
      <c r="G8330" s="3" t="s">
        <v>515</v>
      </c>
      <c r="H8330" s="2" t="s">
        <v>21</v>
      </c>
      <c r="I8330" s="2" t="s">
        <v>21125</v>
      </c>
      <c r="J8330" s="3" t="str">
        <f>HYPERLINK("https://www.boe.es/gazeta/dias/1811/09/30/pdfs/GMD-1811-273.pdf#page=3","Abrir facsímil")</f>
        <v>Abrir facsímil</v>
      </c>
      <c r="K8330" s="3" t="s">
        <v>23</v>
      </c>
    </row>
    <row r="8331" spans="1:11" ht="42" customHeight="1">
      <c r="A8331" s="2" t="s">
        <v>21126</v>
      </c>
      <c r="B8331" s="2" t="s">
        <v>21127</v>
      </c>
      <c r="C8331" s="2" t="s">
        <v>26</v>
      </c>
      <c r="D8331" s="2" t="s">
        <v>18</v>
      </c>
      <c r="E8331" s="4">
        <v>-32249</v>
      </c>
      <c r="F8331" s="3" t="s">
        <v>182</v>
      </c>
      <c r="G8331" s="3" t="s">
        <v>183</v>
      </c>
      <c r="H8331" s="2" t="s">
        <v>21</v>
      </c>
      <c r="I8331" s="2" t="s">
        <v>21128</v>
      </c>
      <c r="J8331" s="3" t="str">
        <f>HYPERLINK("https://www.boe.es/gazeta/dias/1811/09/14/pdfs/GMD-1811-257.pdf#page=4","Abrir facsímil")</f>
        <v>Abrir facsímil</v>
      </c>
      <c r="K8331" s="3" t="s">
        <v>23</v>
      </c>
    </row>
    <row r="8332" spans="1:11" ht="42" customHeight="1">
      <c r="A8332" s="2" t="s">
        <v>21129</v>
      </c>
      <c r="B8332" s="2" t="s">
        <v>21130</v>
      </c>
      <c r="C8332" s="2" t="s">
        <v>17</v>
      </c>
      <c r="D8332" s="2" t="s">
        <v>156</v>
      </c>
      <c r="E8332" s="4">
        <v>-32144</v>
      </c>
      <c r="F8332" s="3" t="s">
        <v>1097</v>
      </c>
      <c r="G8332" s="3" t="s">
        <v>476</v>
      </c>
      <c r="H8332" s="2" t="s">
        <v>21</v>
      </c>
      <c r="I8332" s="2" t="s">
        <v>21131</v>
      </c>
      <c r="J8332" s="3" t="str">
        <f>HYPERLINK("https://www.boe.es/gazeta/dias/1811/12/28/pdfs/GEI-1811-168.pdf#page=7","Abrir facsímil")</f>
        <v>Abrir facsímil</v>
      </c>
      <c r="K8332" s="3" t="s">
        <v>23</v>
      </c>
    </row>
    <row r="8333" spans="1:11" ht="42" customHeight="1">
      <c r="A8333" s="2" t="s">
        <v>21132</v>
      </c>
      <c r="B8333" s="2" t="s">
        <v>21133</v>
      </c>
      <c r="C8333" s="2" t="s">
        <v>17</v>
      </c>
      <c r="D8333" s="2" t="s">
        <v>156</v>
      </c>
      <c r="E8333" s="4">
        <v>-32216</v>
      </c>
      <c r="F8333" s="3" t="s">
        <v>2739</v>
      </c>
      <c r="G8333" s="3" t="s">
        <v>510</v>
      </c>
      <c r="H8333" s="2" t="s">
        <v>21</v>
      </c>
      <c r="I8333" s="2" t="s">
        <v>21134</v>
      </c>
      <c r="J8333" s="3" t="str">
        <f>HYPERLINK("https://www.boe.es/gazeta/dias/1811/10/17/pdfs/GEI-1811-134.pdf#page=8","Abrir facsímil")</f>
        <v>Abrir facsímil</v>
      </c>
      <c r="K8333" s="3" t="s">
        <v>23</v>
      </c>
    </row>
    <row r="8334" spans="1:11" ht="42" customHeight="1">
      <c r="A8334" s="2" t="s">
        <v>21135</v>
      </c>
      <c r="B8334" s="2" t="s">
        <v>21136</v>
      </c>
      <c r="C8334" s="2" t="s">
        <v>122</v>
      </c>
      <c r="D8334" s="2" t="s">
        <v>18</v>
      </c>
      <c r="E8334" s="4">
        <v>-32473</v>
      </c>
      <c r="F8334" s="3" t="s">
        <v>1109</v>
      </c>
      <c r="G8334" s="3" t="s">
        <v>162</v>
      </c>
      <c r="H8334" s="2" t="s">
        <v>21</v>
      </c>
      <c r="I8334" s="2" t="s">
        <v>21137</v>
      </c>
      <c r="J8334" s="3" t="str">
        <f>HYPERLINK("https://www.boe.es/gazeta/dias/1811/02/02/pdfs/GMD-1811-33.pdf#page=3","Abrir facsímil")</f>
        <v>Abrir facsímil</v>
      </c>
      <c r="K8334" s="3" t="s">
        <v>23</v>
      </c>
    </row>
    <row r="8335" spans="1:11" ht="42" customHeight="1">
      <c r="A8335" s="2" t="s">
        <v>21138</v>
      </c>
      <c r="B8335" s="2" t="s">
        <v>21138</v>
      </c>
      <c r="C8335" s="2" t="s">
        <v>17</v>
      </c>
      <c r="D8335" s="2" t="s">
        <v>18</v>
      </c>
      <c r="E8335" s="4">
        <v>-32393</v>
      </c>
      <c r="F8335" s="3" t="s">
        <v>32</v>
      </c>
      <c r="G8335" s="3" t="s">
        <v>360</v>
      </c>
      <c r="H8335" s="2" t="s">
        <v>148</v>
      </c>
      <c r="I8335" s="2" t="s">
        <v>21139</v>
      </c>
      <c r="J8335" s="3" t="str">
        <f>HYPERLINK("https://www.boe.es/gazeta/dias/1811/04/23/pdfs/GEI-1811-54.pdf#page=7","Abrir facsímil")</f>
        <v>Abrir facsímil</v>
      </c>
      <c r="K8335" s="3" t="s">
        <v>150</v>
      </c>
    </row>
    <row r="8336" spans="1:11" ht="42" customHeight="1">
      <c r="A8336" s="2" t="s">
        <v>21140</v>
      </c>
      <c r="B8336" s="2" t="s">
        <v>21141</v>
      </c>
      <c r="C8336" s="2" t="s">
        <v>17</v>
      </c>
      <c r="D8336" s="2" t="s">
        <v>18</v>
      </c>
      <c r="E8336" s="4">
        <v>-32328</v>
      </c>
      <c r="F8336" s="3" t="s">
        <v>1653</v>
      </c>
      <c r="G8336" s="3" t="s">
        <v>2555</v>
      </c>
      <c r="H8336" s="2" t="s">
        <v>148</v>
      </c>
      <c r="I8336" s="2" t="s">
        <v>21142</v>
      </c>
      <c r="J8336" s="3" t="str">
        <f>HYPERLINK("https://www.boe.es/gazeta/dias/1811/06/27/pdfs/GEI-1811-85.pdf#page=7","Abrir facsímil")</f>
        <v>Abrir facsímil</v>
      </c>
      <c r="K8336" s="3" t="s">
        <v>150</v>
      </c>
    </row>
    <row r="8337" spans="1:11" ht="42" customHeight="1">
      <c r="A8337" s="2" t="s">
        <v>21143</v>
      </c>
      <c r="B8337" s="2" t="s">
        <v>21144</v>
      </c>
      <c r="C8337" s="2" t="s">
        <v>17</v>
      </c>
      <c r="D8337" s="2" t="s">
        <v>18</v>
      </c>
      <c r="E8337" s="4">
        <v>-32400</v>
      </c>
      <c r="F8337" s="3" t="s">
        <v>13774</v>
      </c>
      <c r="G8337" s="3" t="s">
        <v>134</v>
      </c>
      <c r="H8337" s="2" t="s">
        <v>148</v>
      </c>
      <c r="I8337" s="2" t="s">
        <v>21145</v>
      </c>
      <c r="J8337" s="3" t="str">
        <f>HYPERLINK("https://www.boe.es/gazeta/dias/1811/04/16/pdfs/GEI-1811-51.pdf#page=7","Abrir facsímil")</f>
        <v>Abrir facsímil</v>
      </c>
      <c r="K8337" s="3" t="s">
        <v>150</v>
      </c>
    </row>
    <row r="8338" spans="1:11" ht="42" customHeight="1">
      <c r="A8338" s="2" t="s">
        <v>21146</v>
      </c>
      <c r="B8338" s="2" t="s">
        <v>21147</v>
      </c>
      <c r="C8338" s="2" t="s">
        <v>26</v>
      </c>
      <c r="D8338" s="2" t="s">
        <v>141</v>
      </c>
      <c r="E8338" s="4">
        <v>-32188</v>
      </c>
      <c r="F8338" s="3" t="s">
        <v>505</v>
      </c>
      <c r="G8338" s="3" t="s">
        <v>47</v>
      </c>
      <c r="H8338" s="2" t="s">
        <v>148</v>
      </c>
      <c r="I8338" s="2" t="s">
        <v>21148</v>
      </c>
      <c r="J8338" s="3" t="str">
        <f>HYPERLINK("https://www.boe.es/gazeta/dias/1811/11/14/pdfs/GEI-D-1811-149.pdf#page=3","Abrir facsímil")</f>
        <v>Abrir facsímil</v>
      </c>
      <c r="K8338" s="3" t="s">
        <v>150</v>
      </c>
    </row>
    <row r="8339" spans="1:11" ht="42" customHeight="1">
      <c r="A8339" s="2" t="s">
        <v>21149</v>
      </c>
      <c r="B8339" s="2" t="s">
        <v>21149</v>
      </c>
      <c r="C8339" s="2" t="s">
        <v>17</v>
      </c>
      <c r="D8339" s="2" t="s">
        <v>156</v>
      </c>
      <c r="E8339" s="4">
        <v>-32393</v>
      </c>
      <c r="F8339" s="3" t="s">
        <v>32</v>
      </c>
      <c r="G8339" s="3" t="s">
        <v>21150</v>
      </c>
      <c r="H8339" s="2" t="s">
        <v>148</v>
      </c>
      <c r="I8339" s="2" t="s">
        <v>21151</v>
      </c>
      <c r="J8339" s="3" t="str">
        <f>HYPERLINK("https://www.boe.es/gazeta/dias/1811/04/23/pdfs/GEI-1811-54.pdf#page=5","Abrir facsímil")</f>
        <v>Abrir facsímil</v>
      </c>
      <c r="K8339" s="3" t="s">
        <v>150</v>
      </c>
    </row>
    <row r="8340" spans="1:11" ht="42" customHeight="1">
      <c r="A8340" s="2" t="s">
        <v>21152</v>
      </c>
      <c r="B8340" s="2" t="s">
        <v>21153</v>
      </c>
      <c r="C8340" s="2" t="s">
        <v>17</v>
      </c>
      <c r="D8340" s="2" t="s">
        <v>105</v>
      </c>
      <c r="E8340" s="4">
        <v>-32344</v>
      </c>
      <c r="F8340" s="3" t="s">
        <v>761</v>
      </c>
      <c r="G8340" s="3" t="s">
        <v>28</v>
      </c>
      <c r="H8340" s="2" t="s">
        <v>148</v>
      </c>
      <c r="I8340" s="2" t="s">
        <v>21154</v>
      </c>
      <c r="J8340" s="3" t="str">
        <f>HYPERLINK("https://www.boe.es/gazeta/dias/1811/06/11/pdfs/GEI-1811-78.pdf#page=8","Abrir facsímil")</f>
        <v>Abrir facsímil</v>
      </c>
      <c r="K8340" s="3" t="s">
        <v>150</v>
      </c>
    </row>
    <row r="8341" spans="1:11" ht="42" customHeight="1">
      <c r="A8341" s="2" t="s">
        <v>21155</v>
      </c>
      <c r="B8341" s="2" t="s">
        <v>21156</v>
      </c>
      <c r="C8341" s="2" t="s">
        <v>17</v>
      </c>
      <c r="D8341" s="2" t="s">
        <v>156</v>
      </c>
      <c r="E8341" s="4">
        <v>-32389</v>
      </c>
      <c r="F8341" s="3" t="s">
        <v>524</v>
      </c>
      <c r="G8341" s="3" t="s">
        <v>525</v>
      </c>
      <c r="H8341" s="2" t="s">
        <v>148</v>
      </c>
      <c r="I8341" s="2" t="s">
        <v>21157</v>
      </c>
      <c r="J8341" s="3" t="str">
        <f>HYPERLINK("https://www.boe.es/gazeta/dias/1811/04/27/pdfs/GEI-D-1811-56.pdf#page=4","Abrir facsímil")</f>
        <v>Abrir facsímil</v>
      </c>
      <c r="K8341" s="3" t="s">
        <v>150</v>
      </c>
    </row>
    <row r="8342" spans="1:11" ht="42" customHeight="1">
      <c r="A8342" s="2" t="s">
        <v>21158</v>
      </c>
      <c r="B8342" s="2" t="s">
        <v>21159</v>
      </c>
      <c r="C8342" s="2" t="s">
        <v>84</v>
      </c>
      <c r="D8342" s="2" t="s">
        <v>18</v>
      </c>
      <c r="E8342" s="4">
        <v>-32192</v>
      </c>
      <c r="F8342" s="3" t="s">
        <v>673</v>
      </c>
      <c r="G8342" s="3" t="s">
        <v>305</v>
      </c>
      <c r="H8342" s="2" t="s">
        <v>148</v>
      </c>
      <c r="I8342" s="2" t="s">
        <v>21160</v>
      </c>
      <c r="J8342" s="3" t="str">
        <f>HYPERLINK("https://www.boe.es/gazeta/dias/1811/11/10/pdfs/GMD-1811-314.pdf#page=4","Abrir facsímil")</f>
        <v>Abrir facsímil</v>
      </c>
      <c r="K8342" s="3" t="s">
        <v>150</v>
      </c>
    </row>
    <row r="8343" spans="1:11" ht="42" customHeight="1">
      <c r="A8343" s="2" t="s">
        <v>21161</v>
      </c>
      <c r="B8343" s="2" t="s">
        <v>21162</v>
      </c>
      <c r="C8343" s="2" t="s">
        <v>26</v>
      </c>
      <c r="D8343" s="2" t="s">
        <v>18</v>
      </c>
      <c r="E8343" s="4">
        <v>-32288</v>
      </c>
      <c r="F8343" s="3" t="s">
        <v>95</v>
      </c>
      <c r="G8343" s="3" t="s">
        <v>47</v>
      </c>
      <c r="H8343" s="2" t="s">
        <v>148</v>
      </c>
      <c r="I8343" s="2" t="s">
        <v>21163</v>
      </c>
      <c r="J8343" s="3" t="str">
        <f>HYPERLINK("https://www.boe.es/gazeta/dias/1811/08/06/pdfs/GEI-1811-102.pdf#page=8","Abrir facsímil")</f>
        <v>Abrir facsímil</v>
      </c>
      <c r="K8343" s="3" t="s">
        <v>150</v>
      </c>
    </row>
    <row r="8344" spans="1:11" ht="42" customHeight="1">
      <c r="A8344" s="2" t="s">
        <v>21164</v>
      </c>
      <c r="B8344" s="2" t="s">
        <v>21165</v>
      </c>
      <c r="C8344" s="2" t="s">
        <v>26</v>
      </c>
      <c r="D8344" s="2" t="s">
        <v>18</v>
      </c>
      <c r="E8344" s="4">
        <v>-32505</v>
      </c>
      <c r="F8344" s="3" t="s">
        <v>661</v>
      </c>
      <c r="G8344" s="3" t="s">
        <v>530</v>
      </c>
      <c r="H8344" s="2" t="s">
        <v>148</v>
      </c>
      <c r="I8344" s="2" t="s">
        <v>21166</v>
      </c>
      <c r="J8344" s="3" t="str">
        <f>HYPERLINK("https://www.boe.es/gazeta/dias/1811/01/01/pdfs/GMD-1811-1.pdf#page=3","Abrir facsímil")</f>
        <v>Abrir facsímil</v>
      </c>
      <c r="K8344" s="3" t="s">
        <v>150</v>
      </c>
    </row>
    <row r="8345" spans="1:11" ht="42" customHeight="1">
      <c r="A8345" s="2" t="s">
        <v>21167</v>
      </c>
      <c r="B8345" s="2" t="s">
        <v>21167</v>
      </c>
      <c r="C8345" s="2" t="s">
        <v>17</v>
      </c>
      <c r="D8345" s="2" t="s">
        <v>156</v>
      </c>
      <c r="E8345" s="4">
        <v>-32256</v>
      </c>
      <c r="F8345" s="3" t="s">
        <v>161</v>
      </c>
      <c r="G8345" s="3" t="s">
        <v>1984</v>
      </c>
      <c r="H8345" s="2" t="s">
        <v>148</v>
      </c>
      <c r="I8345" s="2" t="s">
        <v>21168</v>
      </c>
      <c r="J8345" s="3" t="str">
        <f>HYPERLINK("https://www.boe.es/gazeta/dias/1811/09/07/pdfs/GEI-1811-116.pdf#page=5","Abrir facsímil")</f>
        <v>Abrir facsímil</v>
      </c>
      <c r="K8345" s="3" t="s">
        <v>150</v>
      </c>
    </row>
    <row r="8346" spans="1:11" ht="42" customHeight="1">
      <c r="A8346" s="2" t="s">
        <v>21169</v>
      </c>
      <c r="B8346" s="2" t="s">
        <v>21170</v>
      </c>
      <c r="C8346" s="2" t="s">
        <v>17</v>
      </c>
      <c r="D8346" s="2" t="s">
        <v>18</v>
      </c>
      <c r="E8346" s="4">
        <v>-32246</v>
      </c>
      <c r="F8346" s="3" t="s">
        <v>19</v>
      </c>
      <c r="G8346" s="3" t="s">
        <v>20</v>
      </c>
      <c r="H8346" s="2" t="s">
        <v>148</v>
      </c>
      <c r="I8346" s="2" t="s">
        <v>21171</v>
      </c>
      <c r="J8346" s="3" t="str">
        <f>HYPERLINK("https://www.boe.es/gazeta/dias/1811/09/17/pdfs/GEI-1811-120.pdf#page=24","Abrir facsímil")</f>
        <v>Abrir facsímil</v>
      </c>
      <c r="K8346" s="3" t="s">
        <v>150</v>
      </c>
    </row>
    <row r="8347" spans="1:11" ht="42" customHeight="1">
      <c r="A8347" s="2" t="s">
        <v>21172</v>
      </c>
      <c r="B8347" s="2" t="s">
        <v>21173</v>
      </c>
      <c r="C8347" s="2" t="s">
        <v>26</v>
      </c>
      <c r="D8347" s="2" t="s">
        <v>141</v>
      </c>
      <c r="E8347" s="4">
        <v>-32355</v>
      </c>
      <c r="F8347" s="3" t="s">
        <v>537</v>
      </c>
      <c r="G8347" s="3" t="s">
        <v>44</v>
      </c>
      <c r="H8347" s="2" t="s">
        <v>148</v>
      </c>
      <c r="I8347" s="2" t="s">
        <v>21174</v>
      </c>
      <c r="J8347" s="3" t="str">
        <f>HYPERLINK("https://www.boe.es/gazeta/dias/1811/05/31/pdfs/GMD-C-1811-151.pdf#page=6","Abrir facsímil")</f>
        <v>Abrir facsímil</v>
      </c>
      <c r="K8347" s="3" t="s">
        <v>150</v>
      </c>
    </row>
    <row r="8348" spans="1:11" ht="42" customHeight="1">
      <c r="A8348" s="2" t="s">
        <v>21175</v>
      </c>
      <c r="B8348" s="2" t="s">
        <v>21175</v>
      </c>
      <c r="C8348" s="2" t="s">
        <v>17</v>
      </c>
      <c r="D8348" s="2" t="s">
        <v>18</v>
      </c>
      <c r="E8348" s="4">
        <v>-32393</v>
      </c>
      <c r="F8348" s="3" t="s">
        <v>32</v>
      </c>
      <c r="G8348" s="3" t="s">
        <v>360</v>
      </c>
      <c r="H8348" s="2" t="s">
        <v>148</v>
      </c>
      <c r="I8348" s="2" t="s">
        <v>21176</v>
      </c>
      <c r="J8348" s="3" t="str">
        <f>HYPERLINK("https://www.boe.es/gazeta/dias/1811/04/23/pdfs/GEI-1811-54.pdf#page=7","Abrir facsímil")</f>
        <v>Abrir facsímil</v>
      </c>
      <c r="K8348" s="3" t="s">
        <v>150</v>
      </c>
    </row>
    <row r="8349" spans="1:11" ht="42" customHeight="1">
      <c r="A8349" s="2" t="s">
        <v>21175</v>
      </c>
      <c r="B8349" s="2" t="s">
        <v>21175</v>
      </c>
      <c r="C8349" s="2" t="s">
        <v>17</v>
      </c>
      <c r="D8349" s="2" t="s">
        <v>18</v>
      </c>
      <c r="E8349" s="4">
        <v>-32393</v>
      </c>
      <c r="F8349" s="3" t="s">
        <v>32</v>
      </c>
      <c r="G8349" s="3" t="s">
        <v>33</v>
      </c>
      <c r="H8349" s="2" t="s">
        <v>148</v>
      </c>
      <c r="I8349" s="2" t="s">
        <v>21177</v>
      </c>
      <c r="J8349" s="3" t="str">
        <f>HYPERLINK("https://www.boe.es/gazeta/dias/1811/04/23/pdfs/GEI-1811-54.pdf#page=8","Abrir facsímil")</f>
        <v>Abrir facsímil</v>
      </c>
      <c r="K8349" s="3" t="s">
        <v>150</v>
      </c>
    </row>
    <row r="8350" spans="1:11" ht="42" customHeight="1">
      <c r="A8350" s="2" t="s">
        <v>21178</v>
      </c>
      <c r="B8350" s="2" t="s">
        <v>21179</v>
      </c>
      <c r="C8350" s="2" t="s">
        <v>17</v>
      </c>
      <c r="D8350" s="2" t="s">
        <v>18</v>
      </c>
      <c r="E8350" s="4">
        <v>-32461</v>
      </c>
      <c r="F8350" s="3" t="s">
        <v>2429</v>
      </c>
      <c r="G8350" s="3" t="s">
        <v>162</v>
      </c>
      <c r="H8350" s="2" t="s">
        <v>148</v>
      </c>
      <c r="I8350" s="2" t="s">
        <v>21180</v>
      </c>
      <c r="J8350" s="3" t="str">
        <f>HYPERLINK("https://www.boe.es/gazeta/dias/1811/02/14/pdfs/GEI-1811-20.pdf#page=3","Abrir facsímil")</f>
        <v>Abrir facsímil</v>
      </c>
      <c r="K8350" s="3" t="s">
        <v>150</v>
      </c>
    </row>
    <row r="8351" spans="1:11" ht="42" customHeight="1">
      <c r="A8351" s="2" t="s">
        <v>21181</v>
      </c>
      <c r="B8351" s="2" t="s">
        <v>21182</v>
      </c>
      <c r="C8351" s="2" t="s">
        <v>26</v>
      </c>
      <c r="D8351" s="2" t="s">
        <v>18</v>
      </c>
      <c r="E8351" s="4">
        <v>-32235</v>
      </c>
      <c r="F8351" s="3" t="s">
        <v>190</v>
      </c>
      <c r="G8351" s="3" t="s">
        <v>188</v>
      </c>
      <c r="H8351" s="2" t="s">
        <v>148</v>
      </c>
      <c r="I8351" s="2" t="s">
        <v>21183</v>
      </c>
      <c r="J8351" s="3" t="str">
        <f>HYPERLINK("https://www.boe.es/gazeta/dias/1811/09/28/pdfs/GEI-1811-125.pdf#page=8","Abrir facsímil")</f>
        <v>Abrir facsímil</v>
      </c>
      <c r="K8351" s="3" t="s">
        <v>150</v>
      </c>
    </row>
    <row r="8352" spans="1:11" ht="42" customHeight="1">
      <c r="A8352" s="2" t="s">
        <v>21184</v>
      </c>
      <c r="B8352" s="2" t="s">
        <v>21185</v>
      </c>
      <c r="C8352" s="2" t="s">
        <v>37</v>
      </c>
      <c r="D8352" s="2" t="s">
        <v>18</v>
      </c>
      <c r="E8352" s="4">
        <v>-32396</v>
      </c>
      <c r="F8352" s="3" t="s">
        <v>1267</v>
      </c>
      <c r="G8352" s="3" t="s">
        <v>1143</v>
      </c>
      <c r="H8352" s="2" t="s">
        <v>148</v>
      </c>
      <c r="I8352" s="2" t="s">
        <v>21186</v>
      </c>
      <c r="J8352" s="3" t="str">
        <f>HYPERLINK("https://www.boe.es/gazeta/dias/1811/04/20/pdfs/GMD-1811-110.pdf#page=3","Abrir facsímil")</f>
        <v>Abrir facsímil</v>
      </c>
      <c r="K8352" s="3" t="s">
        <v>150</v>
      </c>
    </row>
    <row r="8353" spans="1:11" ht="42" customHeight="1">
      <c r="A8353" s="2" t="s">
        <v>21187</v>
      </c>
      <c r="B8353" s="2" t="s">
        <v>21188</v>
      </c>
      <c r="C8353" s="2" t="s">
        <v>26</v>
      </c>
      <c r="D8353" s="2" t="s">
        <v>18</v>
      </c>
      <c r="E8353" s="4">
        <v>-32309</v>
      </c>
      <c r="F8353" s="3" t="s">
        <v>2496</v>
      </c>
      <c r="G8353" s="3" t="s">
        <v>91</v>
      </c>
      <c r="H8353" s="2" t="s">
        <v>148</v>
      </c>
      <c r="I8353" s="2" t="s">
        <v>21189</v>
      </c>
      <c r="J8353" s="3" t="str">
        <f>HYPERLINK("https://www.boe.es/gazeta/dias/1811/07/16/pdfs/GEI-1811-93.pdf#page=7","Abrir facsímil")</f>
        <v>Abrir facsímil</v>
      </c>
      <c r="K8353" s="3" t="s">
        <v>150</v>
      </c>
    </row>
    <row r="8354" spans="1:11" ht="42" customHeight="1">
      <c r="A8354" s="2" t="s">
        <v>21190</v>
      </c>
      <c r="B8354" s="2" t="s">
        <v>21191</v>
      </c>
      <c r="C8354" s="2" t="s">
        <v>17</v>
      </c>
      <c r="D8354" s="2" t="s">
        <v>18</v>
      </c>
      <c r="E8354" s="4">
        <v>-32463</v>
      </c>
      <c r="F8354" s="3" t="s">
        <v>734</v>
      </c>
      <c r="G8354" s="3" t="s">
        <v>735</v>
      </c>
      <c r="H8354" s="2" t="s">
        <v>148</v>
      </c>
      <c r="I8354" s="2" t="s">
        <v>21192</v>
      </c>
      <c r="J8354" s="3" t="str">
        <f>HYPERLINK("https://www.boe.es/gazeta/dias/1811/02/12/pdfs/GEI-1811-19.pdf#page=8","Abrir facsímil")</f>
        <v>Abrir facsímil</v>
      </c>
      <c r="K8354" s="3" t="s">
        <v>150</v>
      </c>
    </row>
    <row r="8355" spans="1:11" ht="42" customHeight="1">
      <c r="A8355" s="2" t="s">
        <v>21193</v>
      </c>
      <c r="B8355" s="2" t="s">
        <v>21194</v>
      </c>
      <c r="C8355" s="2" t="s">
        <v>17</v>
      </c>
      <c r="D8355" s="2" t="s">
        <v>18</v>
      </c>
      <c r="E8355" s="4">
        <v>-32379</v>
      </c>
      <c r="F8355" s="3" t="s">
        <v>462</v>
      </c>
      <c r="G8355" s="3" t="s">
        <v>228</v>
      </c>
      <c r="H8355" s="2" t="s">
        <v>148</v>
      </c>
      <c r="I8355" s="2" t="s">
        <v>21195</v>
      </c>
      <c r="J8355" s="3" t="str">
        <f>HYPERLINK("https://www.boe.es/gazeta/dias/1811/05/07/pdfs/GEI-1811-60.pdf#page=3","Abrir facsímil")</f>
        <v>Abrir facsímil</v>
      </c>
      <c r="K8355" s="3" t="s">
        <v>150</v>
      </c>
    </row>
    <row r="8356" spans="1:11" ht="42" customHeight="1">
      <c r="A8356" s="2" t="s">
        <v>21196</v>
      </c>
      <c r="B8356" s="2" t="s">
        <v>21197</v>
      </c>
      <c r="C8356" s="2" t="s">
        <v>104</v>
      </c>
      <c r="D8356" s="2" t="s">
        <v>18</v>
      </c>
      <c r="E8356" s="4">
        <v>-32501</v>
      </c>
      <c r="F8356" s="3" t="s">
        <v>509</v>
      </c>
      <c r="G8356" s="3" t="s">
        <v>510</v>
      </c>
      <c r="H8356" s="2" t="s">
        <v>148</v>
      </c>
      <c r="I8356" s="2" t="s">
        <v>21198</v>
      </c>
      <c r="J8356" s="3" t="str">
        <f>HYPERLINK("https://www.boe.es/gazeta/dias/1811/01/05/pdfs/GEI-1811-3.pdf#page=8","Abrir facsímil")</f>
        <v>Abrir facsímil</v>
      </c>
      <c r="K8356" s="3" t="s">
        <v>150</v>
      </c>
    </row>
    <row r="8357" spans="1:11" ht="42" customHeight="1">
      <c r="A8357" s="2" t="s">
        <v>21199</v>
      </c>
      <c r="B8357" s="2" t="s">
        <v>21200</v>
      </c>
      <c r="C8357" s="2" t="s">
        <v>26</v>
      </c>
      <c r="D8357" s="2" t="s">
        <v>141</v>
      </c>
      <c r="E8357" s="4">
        <v>-32188</v>
      </c>
      <c r="F8357" s="3" t="s">
        <v>505</v>
      </c>
      <c r="G8357" s="3" t="s">
        <v>162</v>
      </c>
      <c r="H8357" s="2" t="s">
        <v>148</v>
      </c>
      <c r="I8357" s="2" t="s">
        <v>21201</v>
      </c>
      <c r="J8357" s="3" t="str">
        <f>HYPERLINK("https://www.boe.es/gazeta/dias/1811/11/14/pdfs/GEI-D-1811-149.pdf#page=4","Abrir facsímil")</f>
        <v>Abrir facsímil</v>
      </c>
      <c r="K8357" s="3" t="s">
        <v>150</v>
      </c>
    </row>
    <row r="8358" spans="1:11" ht="42" customHeight="1">
      <c r="A8358" s="2" t="s">
        <v>21202</v>
      </c>
      <c r="B8358" s="2" t="s">
        <v>21203</v>
      </c>
      <c r="C8358" s="2" t="s">
        <v>26</v>
      </c>
      <c r="D8358" s="2" t="s">
        <v>141</v>
      </c>
      <c r="E8358" s="4">
        <v>-32280</v>
      </c>
      <c r="F8358" s="3" t="s">
        <v>142</v>
      </c>
      <c r="G8358" s="3" t="s">
        <v>597</v>
      </c>
      <c r="H8358" s="2" t="s">
        <v>148</v>
      </c>
      <c r="I8358" s="2" t="s">
        <v>21204</v>
      </c>
      <c r="J8358" s="3" t="str">
        <f>HYPERLINK("https://www.boe.es/gazeta/dias/1811/08/14/pdfs/GMD-C-1811-226.pdf#page=2","Abrir facsímil")</f>
        <v>Abrir facsímil</v>
      </c>
      <c r="K8358" s="3" t="s">
        <v>150</v>
      </c>
    </row>
    <row r="8359" spans="1:11" ht="42" customHeight="1">
      <c r="A8359" s="2" t="s">
        <v>21205</v>
      </c>
      <c r="B8359" s="2" t="s">
        <v>21205</v>
      </c>
      <c r="C8359" s="2" t="s">
        <v>17</v>
      </c>
      <c r="D8359" s="2" t="s">
        <v>18</v>
      </c>
      <c r="E8359" s="4">
        <v>-32459</v>
      </c>
      <c r="F8359" s="3" t="s">
        <v>227</v>
      </c>
      <c r="G8359" s="3" t="s">
        <v>488</v>
      </c>
      <c r="H8359" s="2" t="s">
        <v>148</v>
      </c>
      <c r="I8359" s="2" t="s">
        <v>21206</v>
      </c>
      <c r="J8359" s="3" t="str">
        <f>HYPERLINK("https://www.boe.es/gazeta/dias/1811/02/16/pdfs/GMD-1811-47.pdf#page=2","Abrir facsímil")</f>
        <v>Abrir facsímil</v>
      </c>
      <c r="K8359" s="3" t="s">
        <v>150</v>
      </c>
    </row>
    <row r="8360" spans="1:11" ht="42" customHeight="1">
      <c r="A8360" s="2" t="s">
        <v>21207</v>
      </c>
      <c r="B8360" s="2" t="s">
        <v>21208</v>
      </c>
      <c r="C8360" s="2" t="s">
        <v>26</v>
      </c>
      <c r="D8360" s="2" t="s">
        <v>18</v>
      </c>
      <c r="E8360" s="4">
        <v>-32501</v>
      </c>
      <c r="F8360" s="3" t="s">
        <v>509</v>
      </c>
      <c r="G8360" s="3" t="s">
        <v>510</v>
      </c>
      <c r="H8360" s="2" t="s">
        <v>148</v>
      </c>
      <c r="I8360" s="2" t="s">
        <v>21209</v>
      </c>
      <c r="J8360" s="3" t="str">
        <f>HYPERLINK("https://www.boe.es/gazeta/dias/1811/01/05/pdfs/GEI-1811-3.pdf#page=8","Abrir facsímil")</f>
        <v>Abrir facsímil</v>
      </c>
      <c r="K8360" s="3" t="s">
        <v>150</v>
      </c>
    </row>
    <row r="8361" spans="1:11" ht="42" customHeight="1">
      <c r="A8361" s="2" t="s">
        <v>21210</v>
      </c>
      <c r="B8361" s="2" t="s">
        <v>21211</v>
      </c>
      <c r="C8361" s="2" t="s">
        <v>26</v>
      </c>
      <c r="D8361" s="2" t="s">
        <v>18</v>
      </c>
      <c r="E8361" s="4">
        <v>-32505</v>
      </c>
      <c r="F8361" s="3" t="s">
        <v>475</v>
      </c>
      <c r="G8361" s="3" t="s">
        <v>755</v>
      </c>
      <c r="H8361" s="2" t="s">
        <v>148</v>
      </c>
      <c r="I8361" s="2" t="s">
        <v>21212</v>
      </c>
      <c r="J8361" s="3" t="str">
        <f>HYPERLINK("https://www.boe.es/gazeta/dias/1811/01/01/pdfs/GEI-1811-1.pdf#page=8","Abrir facsímil")</f>
        <v>Abrir facsímil</v>
      </c>
      <c r="K8361" s="3" t="s">
        <v>150</v>
      </c>
    </row>
    <row r="8362" spans="1:11" ht="42" customHeight="1">
      <c r="A8362" s="2" t="s">
        <v>21213</v>
      </c>
      <c r="B8362" s="2" t="s">
        <v>21214</v>
      </c>
      <c r="C8362" s="2" t="s">
        <v>17</v>
      </c>
      <c r="D8362" s="2" t="s">
        <v>156</v>
      </c>
      <c r="E8362" s="4">
        <v>-32300</v>
      </c>
      <c r="F8362" s="3" t="s">
        <v>61</v>
      </c>
      <c r="G8362" s="3" t="s">
        <v>221</v>
      </c>
      <c r="H8362" s="2" t="s">
        <v>148</v>
      </c>
      <c r="I8362" s="2" t="s">
        <v>21215</v>
      </c>
      <c r="J8362" s="3" t="str">
        <f>HYPERLINK("https://www.boe.es/gazeta/dias/1811/07/25/pdfs/GEI-1811-97.pdf#page=4","Abrir facsímil")</f>
        <v>Abrir facsímil</v>
      </c>
      <c r="K8362" s="3" t="s">
        <v>150</v>
      </c>
    </row>
    <row r="8363" spans="1:11" ht="42" customHeight="1">
      <c r="A8363" s="2" t="s">
        <v>21213</v>
      </c>
      <c r="B8363" s="2" t="s">
        <v>21214</v>
      </c>
      <c r="C8363" s="2" t="s">
        <v>17</v>
      </c>
      <c r="D8363" s="2" t="s">
        <v>18</v>
      </c>
      <c r="E8363" s="4">
        <v>-32300</v>
      </c>
      <c r="F8363" s="3" t="s">
        <v>61</v>
      </c>
      <c r="G8363" s="3" t="s">
        <v>62</v>
      </c>
      <c r="H8363" s="2" t="s">
        <v>148</v>
      </c>
      <c r="I8363" s="2" t="s">
        <v>21216</v>
      </c>
      <c r="J8363" s="3" t="str">
        <f>HYPERLINK("https://www.boe.es/gazeta/dias/1811/07/25/pdfs/GEI-1811-97.pdf#page=5","Abrir facsímil")</f>
        <v>Abrir facsímil</v>
      </c>
      <c r="K8363" s="3" t="s">
        <v>150</v>
      </c>
    </row>
    <row r="8364" spans="1:11" ht="42" customHeight="1">
      <c r="A8364" s="2" t="s">
        <v>21217</v>
      </c>
      <c r="B8364" s="2" t="s">
        <v>21217</v>
      </c>
      <c r="C8364" s="2" t="s">
        <v>84</v>
      </c>
      <c r="D8364" s="2" t="s">
        <v>105</v>
      </c>
      <c r="E8364" s="4">
        <v>-32295</v>
      </c>
      <c r="F8364" s="3" t="s">
        <v>279</v>
      </c>
      <c r="G8364" s="3" t="s">
        <v>44</v>
      </c>
      <c r="H8364" s="2" t="s">
        <v>148</v>
      </c>
      <c r="I8364" s="2" t="s">
        <v>21218</v>
      </c>
      <c r="J8364" s="3" t="str">
        <f>HYPERLINK("https://www.boe.es/gazeta/dias/1811/07/30/pdfs/GEI-1811-99.pdf#page=8","Abrir facsímil")</f>
        <v>Abrir facsímil</v>
      </c>
      <c r="K8364" s="3" t="s">
        <v>150</v>
      </c>
    </row>
    <row r="8365" spans="1:11" ht="42" customHeight="1">
      <c r="A8365" s="2" t="s">
        <v>21219</v>
      </c>
      <c r="B8365" s="2" t="s">
        <v>21219</v>
      </c>
      <c r="C8365" s="2" t="s">
        <v>17</v>
      </c>
      <c r="D8365" s="2" t="s">
        <v>18</v>
      </c>
      <c r="E8365" s="4">
        <v>-32434</v>
      </c>
      <c r="F8365" s="3" t="s">
        <v>1932</v>
      </c>
      <c r="G8365" s="3" t="s">
        <v>468</v>
      </c>
      <c r="H8365" s="2" t="s">
        <v>148</v>
      </c>
      <c r="I8365" s="2" t="s">
        <v>21220</v>
      </c>
      <c r="J8365" s="3" t="str">
        <f>HYPERLINK("https://www.boe.es/gazeta/dias/1811/03/13/pdfs/GMD-1811-72.pdf#page=4","Abrir facsímil")</f>
        <v>Abrir facsímil</v>
      </c>
      <c r="K8365" s="3" t="s">
        <v>150</v>
      </c>
    </row>
    <row r="8366" spans="1:11" ht="42" customHeight="1">
      <c r="A8366" s="2" t="s">
        <v>21219</v>
      </c>
      <c r="B8366" s="2" t="s">
        <v>21219</v>
      </c>
      <c r="C8366" s="2" t="s">
        <v>17</v>
      </c>
      <c r="D8366" s="2" t="s">
        <v>156</v>
      </c>
      <c r="E8366" s="4">
        <v>-32203</v>
      </c>
      <c r="F8366" s="3" t="s">
        <v>8645</v>
      </c>
      <c r="G8366" s="3" t="s">
        <v>44</v>
      </c>
      <c r="H8366" s="2" t="s">
        <v>148</v>
      </c>
      <c r="I8366" s="2" t="s">
        <v>21221</v>
      </c>
      <c r="J8366" s="3" t="str">
        <f>HYPERLINK("https://www.boe.es/gazeta/dias/1811/10/30/pdfs/GMD-1811-303.pdf#page=4","Abrir facsímil")</f>
        <v>Abrir facsímil</v>
      </c>
      <c r="K8366" s="3" t="s">
        <v>150</v>
      </c>
    </row>
    <row r="8367" spans="1:11" ht="42" customHeight="1">
      <c r="A8367" s="2" t="s">
        <v>21222</v>
      </c>
      <c r="B8367" s="2" t="s">
        <v>21223</v>
      </c>
      <c r="C8367" s="2" t="s">
        <v>26</v>
      </c>
      <c r="D8367" s="2" t="s">
        <v>18</v>
      </c>
      <c r="E8367" s="4">
        <v>-32279</v>
      </c>
      <c r="F8367" s="3" t="s">
        <v>540</v>
      </c>
      <c r="G8367" s="3" t="s">
        <v>20</v>
      </c>
      <c r="H8367" s="2" t="s">
        <v>148</v>
      </c>
      <c r="I8367" s="2" t="s">
        <v>21224</v>
      </c>
      <c r="J8367" s="3" t="str">
        <f>HYPERLINK("https://www.boe.es/gazeta/dias/1811/08/15/pdfs/GMD-1811-227.pdf#page=4","Abrir facsímil")</f>
        <v>Abrir facsímil</v>
      </c>
      <c r="K8367" s="3" t="s">
        <v>150</v>
      </c>
    </row>
    <row r="8368" spans="1:11" ht="42" customHeight="1">
      <c r="A8368" s="2" t="s">
        <v>21225</v>
      </c>
      <c r="B8368" s="2" t="s">
        <v>21226</v>
      </c>
      <c r="C8368" s="2" t="s">
        <v>84</v>
      </c>
      <c r="D8368" s="2" t="s">
        <v>141</v>
      </c>
      <c r="E8368" s="4">
        <v>-32314</v>
      </c>
      <c r="F8368" s="3" t="s">
        <v>2051</v>
      </c>
      <c r="G8368" s="3" t="s">
        <v>44</v>
      </c>
      <c r="H8368" s="2" t="s">
        <v>148</v>
      </c>
      <c r="I8368" s="2" t="s">
        <v>21227</v>
      </c>
      <c r="J8368" s="3" t="str">
        <f>HYPERLINK("https://www.boe.es/gazeta/dias/1811/07/11/pdfs/GMD-C-1811-192.pdf#page=2","Abrir facsímil")</f>
        <v>Abrir facsímil</v>
      </c>
      <c r="K8368" s="3" t="s">
        <v>150</v>
      </c>
    </row>
    <row r="8369" spans="1:11" ht="42" customHeight="1">
      <c r="A8369" s="2" t="s">
        <v>21228</v>
      </c>
      <c r="B8369" s="2" t="s">
        <v>21229</v>
      </c>
      <c r="C8369" s="2" t="s">
        <v>26</v>
      </c>
      <c r="D8369" s="2" t="s">
        <v>18</v>
      </c>
      <c r="E8369" s="4">
        <v>-32286</v>
      </c>
      <c r="F8369" s="3" t="s">
        <v>754</v>
      </c>
      <c r="G8369" s="3" t="s">
        <v>1728</v>
      </c>
      <c r="H8369" s="2" t="s">
        <v>148</v>
      </c>
      <c r="I8369" s="2" t="s">
        <v>21230</v>
      </c>
      <c r="J8369" s="3" t="str">
        <f>HYPERLINK("https://www.boe.es/gazeta/dias/1811/08/08/pdfs/GEI-1811-103.pdf#page=8","Abrir facsímil")</f>
        <v>Abrir facsímil</v>
      </c>
      <c r="K8369" s="3" t="s">
        <v>150</v>
      </c>
    </row>
    <row r="8370" spans="1:11" ht="42" customHeight="1">
      <c r="A8370" s="2" t="s">
        <v>21231</v>
      </c>
      <c r="B8370" s="2" t="s">
        <v>21232</v>
      </c>
      <c r="C8370" s="2" t="s">
        <v>26</v>
      </c>
      <c r="D8370" s="2" t="s">
        <v>105</v>
      </c>
      <c r="E8370" s="4">
        <v>-32195</v>
      </c>
      <c r="F8370" s="3" t="s">
        <v>439</v>
      </c>
      <c r="G8370" s="3" t="s">
        <v>2092</v>
      </c>
      <c r="H8370" s="2" t="s">
        <v>148</v>
      </c>
      <c r="I8370" s="2" t="s">
        <v>21233</v>
      </c>
      <c r="J8370" s="3" t="str">
        <f>HYPERLINK("https://www.boe.es/gazeta/dias/1811/11/07/pdfs/GEI-1811-144.pdf#page=7","Abrir facsímil")</f>
        <v>Abrir facsímil</v>
      </c>
      <c r="K8370" s="3" t="s">
        <v>150</v>
      </c>
    </row>
    <row r="8371" spans="1:11" ht="42" customHeight="1">
      <c r="A8371" s="2" t="s">
        <v>21234</v>
      </c>
      <c r="B8371" s="2" t="s">
        <v>21235</v>
      </c>
      <c r="C8371" s="2" t="s">
        <v>17</v>
      </c>
      <c r="D8371" s="2" t="s">
        <v>156</v>
      </c>
      <c r="E8371" s="4">
        <v>-32496</v>
      </c>
      <c r="F8371" s="3" t="s">
        <v>1927</v>
      </c>
      <c r="G8371" s="3" t="s">
        <v>1928</v>
      </c>
      <c r="H8371" s="2" t="s">
        <v>148</v>
      </c>
      <c r="I8371" s="2" t="s">
        <v>21236</v>
      </c>
      <c r="J8371" s="3" t="str">
        <f>HYPERLINK("https://www.boe.es/gazeta/dias/1811/01/10/pdfs/GEI-1811-5.pdf#page=6","Abrir facsímil")</f>
        <v>Abrir facsímil</v>
      </c>
      <c r="K8371" s="3" t="s">
        <v>150</v>
      </c>
    </row>
    <row r="8372" spans="1:11" ht="42" customHeight="1">
      <c r="A8372" s="2" t="s">
        <v>21237</v>
      </c>
      <c r="B8372" s="2" t="s">
        <v>21238</v>
      </c>
      <c r="C8372" s="2" t="s">
        <v>26</v>
      </c>
      <c r="D8372" s="2" t="s">
        <v>18</v>
      </c>
      <c r="E8372" s="4">
        <v>-32421</v>
      </c>
      <c r="F8372" s="3" t="s">
        <v>79</v>
      </c>
      <c r="G8372" s="3" t="s">
        <v>488</v>
      </c>
      <c r="H8372" s="2" t="s">
        <v>148</v>
      </c>
      <c r="I8372" s="2" t="s">
        <v>21239</v>
      </c>
      <c r="J8372" s="3" t="str">
        <f>HYPERLINK("https://www.boe.es/gazeta/dias/1811/03/26/pdfs/GEI-1811-42.pdf#page=8","Abrir facsímil")</f>
        <v>Abrir facsímil</v>
      </c>
      <c r="K8372" s="3" t="s">
        <v>150</v>
      </c>
    </row>
    <row r="8373" spans="1:11" ht="42" customHeight="1">
      <c r="A8373" s="2" t="s">
        <v>21240</v>
      </c>
      <c r="B8373" s="2" t="s">
        <v>21241</v>
      </c>
      <c r="C8373" s="2" t="s">
        <v>17</v>
      </c>
      <c r="D8373" s="2" t="s">
        <v>18</v>
      </c>
      <c r="E8373" s="4">
        <v>-32396</v>
      </c>
      <c r="F8373" s="3" t="s">
        <v>1267</v>
      </c>
      <c r="G8373" s="3" t="s">
        <v>382</v>
      </c>
      <c r="H8373" s="2" t="s">
        <v>148</v>
      </c>
      <c r="I8373" s="2" t="s">
        <v>21242</v>
      </c>
      <c r="J8373" s="3" t="str">
        <f>HYPERLINK("https://www.boe.es/gazeta/dias/1811/04/20/pdfs/GMD-1811-110.pdf#page=2","Abrir facsímil")</f>
        <v>Abrir facsímil</v>
      </c>
      <c r="K8373" s="3" t="s">
        <v>150</v>
      </c>
    </row>
    <row r="8374" spans="1:11" ht="42" customHeight="1">
      <c r="A8374" s="2" t="s">
        <v>21243</v>
      </c>
      <c r="B8374" s="2" t="s">
        <v>21244</v>
      </c>
      <c r="C8374" s="2" t="s">
        <v>26</v>
      </c>
      <c r="D8374" s="2" t="s">
        <v>18</v>
      </c>
      <c r="E8374" s="4">
        <v>-32501</v>
      </c>
      <c r="F8374" s="3" t="s">
        <v>509</v>
      </c>
      <c r="G8374" s="3" t="s">
        <v>510</v>
      </c>
      <c r="H8374" s="2" t="s">
        <v>148</v>
      </c>
      <c r="I8374" s="2" t="s">
        <v>21245</v>
      </c>
      <c r="J8374" s="3" t="str">
        <f>HYPERLINK("https://www.boe.es/gazeta/dias/1811/01/05/pdfs/GEI-1811-3.pdf#page=8","Abrir facsímil")</f>
        <v>Abrir facsímil</v>
      </c>
      <c r="K8374" s="3" t="s">
        <v>150</v>
      </c>
    </row>
    <row r="8375" spans="1:11" ht="42" customHeight="1">
      <c r="A8375" s="2" t="s">
        <v>21246</v>
      </c>
      <c r="B8375" s="2" t="s">
        <v>21246</v>
      </c>
      <c r="C8375" s="2" t="s">
        <v>17</v>
      </c>
      <c r="D8375" s="2" t="s">
        <v>18</v>
      </c>
      <c r="E8375" s="4">
        <v>-32293</v>
      </c>
      <c r="F8375" s="3" t="s">
        <v>3064</v>
      </c>
      <c r="G8375" s="3" t="s">
        <v>20</v>
      </c>
      <c r="H8375" s="2" t="s">
        <v>148</v>
      </c>
      <c r="I8375" s="2" t="s">
        <v>21247</v>
      </c>
      <c r="J8375" s="3" t="str">
        <f>HYPERLINK("https://www.boe.es/gazeta/dias/1811/08/01/pdfs/GEI-1811-100.pdf#page=8","Abrir facsímil")</f>
        <v>Abrir facsímil</v>
      </c>
      <c r="K8375" s="3" t="s">
        <v>150</v>
      </c>
    </row>
    <row r="8376" spans="1:11" ht="42" customHeight="1">
      <c r="A8376" s="2" t="s">
        <v>21248</v>
      </c>
      <c r="B8376" s="2" t="s">
        <v>21249</v>
      </c>
      <c r="C8376" s="2" t="s">
        <v>26</v>
      </c>
      <c r="D8376" s="2" t="s">
        <v>18</v>
      </c>
      <c r="E8376" s="4">
        <v>-32396</v>
      </c>
      <c r="F8376" s="3" t="s">
        <v>1267</v>
      </c>
      <c r="G8376" s="3" t="s">
        <v>1143</v>
      </c>
      <c r="H8376" s="2" t="s">
        <v>148</v>
      </c>
      <c r="I8376" s="2" t="s">
        <v>21250</v>
      </c>
      <c r="J8376" s="3" t="str">
        <f>HYPERLINK("https://www.boe.es/gazeta/dias/1811/04/20/pdfs/GMD-1811-110.pdf#page=3","Abrir facsímil")</f>
        <v>Abrir facsímil</v>
      </c>
      <c r="K8376" s="3" t="s">
        <v>150</v>
      </c>
    </row>
    <row r="8377" spans="1:11" ht="42" customHeight="1">
      <c r="A8377" s="2" t="s">
        <v>21251</v>
      </c>
      <c r="B8377" s="2" t="s">
        <v>21252</v>
      </c>
      <c r="C8377" s="2" t="s">
        <v>37</v>
      </c>
      <c r="D8377" s="2" t="s">
        <v>18</v>
      </c>
      <c r="E8377" s="4">
        <v>-32266</v>
      </c>
      <c r="F8377" s="3" t="s">
        <v>1234</v>
      </c>
      <c r="G8377" s="3" t="s">
        <v>1235</v>
      </c>
      <c r="H8377" s="2" t="s">
        <v>148</v>
      </c>
      <c r="I8377" s="2" t="s">
        <v>21253</v>
      </c>
      <c r="J8377" s="3" t="str">
        <f>HYPERLINK("https://www.boe.es/gazeta/dias/1811/08/28/pdfs/GMD-1811-240.pdf#page=4","Abrir facsímil")</f>
        <v>Abrir facsímil</v>
      </c>
      <c r="K8377" s="3" t="s">
        <v>150</v>
      </c>
    </row>
    <row r="8378" spans="1:11" ht="42" customHeight="1">
      <c r="A8378" s="2" t="s">
        <v>21254</v>
      </c>
      <c r="B8378" s="2" t="s">
        <v>21255</v>
      </c>
      <c r="C8378" s="2" t="s">
        <v>17</v>
      </c>
      <c r="D8378" s="2" t="s">
        <v>105</v>
      </c>
      <c r="E8378" s="4">
        <v>-32232</v>
      </c>
      <c r="F8378" s="3" t="s">
        <v>1816</v>
      </c>
      <c r="G8378" s="3" t="s">
        <v>1817</v>
      </c>
      <c r="H8378" s="2" t="s">
        <v>148</v>
      </c>
      <c r="I8378" s="2" t="s">
        <v>21256</v>
      </c>
      <c r="J8378" s="3" t="str">
        <f>HYPERLINK("https://www.boe.es/gazeta/dias/1811/10/01/pdfs/GEI-1811-126.pdf#page=8","Abrir facsímil")</f>
        <v>Abrir facsímil</v>
      </c>
      <c r="K8378" s="3" t="s">
        <v>150</v>
      </c>
    </row>
    <row r="8379" spans="1:11" ht="42" customHeight="1">
      <c r="A8379" s="2" t="s">
        <v>21257</v>
      </c>
      <c r="B8379" s="2" t="s">
        <v>21257</v>
      </c>
      <c r="C8379" s="2" t="s">
        <v>17</v>
      </c>
      <c r="D8379" s="2" t="s">
        <v>156</v>
      </c>
      <c r="E8379" s="4">
        <v>-32256</v>
      </c>
      <c r="F8379" s="3" t="s">
        <v>161</v>
      </c>
      <c r="G8379" s="3" t="s">
        <v>1984</v>
      </c>
      <c r="H8379" s="2" t="s">
        <v>148</v>
      </c>
      <c r="I8379" s="2" t="s">
        <v>21258</v>
      </c>
      <c r="J8379" s="3" t="str">
        <f>HYPERLINK("https://www.boe.es/gazeta/dias/1811/09/07/pdfs/GEI-1811-116.pdf#page=5","Abrir facsímil")</f>
        <v>Abrir facsímil</v>
      </c>
      <c r="K8379" s="3" t="s">
        <v>150</v>
      </c>
    </row>
    <row r="8380" spans="1:11" ht="42" customHeight="1">
      <c r="A8380" s="2" t="s">
        <v>21259</v>
      </c>
      <c r="B8380" s="2" t="s">
        <v>21260</v>
      </c>
      <c r="C8380" s="2" t="s">
        <v>26</v>
      </c>
      <c r="D8380" s="2" t="s">
        <v>18</v>
      </c>
      <c r="E8380" s="4">
        <v>-32179</v>
      </c>
      <c r="F8380" s="3" t="s">
        <v>614</v>
      </c>
      <c r="G8380" s="3" t="s">
        <v>47</v>
      </c>
      <c r="H8380" s="2" t="s">
        <v>148</v>
      </c>
      <c r="I8380" s="2" t="s">
        <v>21261</v>
      </c>
      <c r="J8380" s="3" t="str">
        <f>HYPERLINK("https://www.boe.es/gazeta/dias/1811/11/23/pdfs/GEI-1811-153.pdf#page=8","Abrir facsímil")</f>
        <v>Abrir facsímil</v>
      </c>
      <c r="K8380" s="3" t="s">
        <v>150</v>
      </c>
    </row>
    <row r="8381" spans="1:11" ht="42" customHeight="1">
      <c r="A8381" s="2" t="s">
        <v>21262</v>
      </c>
      <c r="B8381" s="2" t="s">
        <v>21263</v>
      </c>
      <c r="C8381" s="2" t="s">
        <v>26</v>
      </c>
      <c r="D8381" s="2" t="s">
        <v>18</v>
      </c>
      <c r="E8381" s="4">
        <v>-32141</v>
      </c>
      <c r="F8381" s="3" t="s">
        <v>327</v>
      </c>
      <c r="G8381" s="3" t="s">
        <v>20</v>
      </c>
      <c r="H8381" s="2" t="s">
        <v>148</v>
      </c>
      <c r="I8381" s="2" t="s">
        <v>21264</v>
      </c>
      <c r="J8381" s="3" t="str">
        <f>HYPERLINK("https://www.boe.es/gazeta/dias/1811/12/31/pdfs/GMD-1811-365.pdf#page=4","Abrir facsímil")</f>
        <v>Abrir facsímil</v>
      </c>
      <c r="K8381" s="3" t="s">
        <v>150</v>
      </c>
    </row>
    <row r="8382" spans="1:11" ht="42" customHeight="1">
      <c r="A8382" s="2" t="s">
        <v>21265</v>
      </c>
      <c r="B8382" s="2" t="s">
        <v>21265</v>
      </c>
      <c r="C8382" s="2" t="s">
        <v>17</v>
      </c>
      <c r="D8382" s="2" t="s">
        <v>18</v>
      </c>
      <c r="E8382" s="4">
        <v>-32349</v>
      </c>
      <c r="F8382" s="3" t="s">
        <v>3983</v>
      </c>
      <c r="G8382" s="3" t="s">
        <v>183</v>
      </c>
      <c r="H8382" s="2" t="s">
        <v>148</v>
      </c>
      <c r="I8382" s="2" t="s">
        <v>21266</v>
      </c>
      <c r="J8382" s="3" t="str">
        <f>HYPERLINK("https://www.boe.es/gazeta/dias/1811/06/06/pdfs/GMD-1811-157.pdf#page=4","Abrir facsímil")</f>
        <v>Abrir facsímil</v>
      </c>
      <c r="K8382" s="3" t="s">
        <v>150</v>
      </c>
    </row>
    <row r="8383" spans="1:11" ht="42" customHeight="1">
      <c r="A8383" s="2" t="s">
        <v>21267</v>
      </c>
      <c r="B8383" s="2" t="s">
        <v>21268</v>
      </c>
      <c r="C8383" s="2" t="s">
        <v>26</v>
      </c>
      <c r="D8383" s="2" t="s">
        <v>204</v>
      </c>
      <c r="E8383" s="4">
        <v>-32141</v>
      </c>
      <c r="F8383" s="3" t="s">
        <v>327</v>
      </c>
      <c r="G8383" s="3" t="s">
        <v>115</v>
      </c>
      <c r="H8383" s="2" t="s">
        <v>148</v>
      </c>
      <c r="I8383" s="2" t="s">
        <v>21269</v>
      </c>
      <c r="J8383" s="3" t="str">
        <f>HYPERLINK("https://www.boe.es/gazeta/dias/1811/12/31/pdfs/GMD-1811-365.pdf#page=3","Abrir facsímil")</f>
        <v>Abrir facsímil</v>
      </c>
      <c r="K8383" s="3" t="s">
        <v>150</v>
      </c>
    </row>
    <row r="8384" spans="1:11" ht="42" customHeight="1">
      <c r="A8384" s="2" t="s">
        <v>21270</v>
      </c>
      <c r="B8384" s="2" t="s">
        <v>21271</v>
      </c>
      <c r="C8384" s="2" t="s">
        <v>66</v>
      </c>
      <c r="D8384" s="2" t="s">
        <v>18</v>
      </c>
      <c r="E8384" s="4">
        <v>-32416</v>
      </c>
      <c r="F8384" s="3" t="s">
        <v>954</v>
      </c>
      <c r="G8384" s="3" t="s">
        <v>47</v>
      </c>
      <c r="H8384" s="2" t="s">
        <v>148</v>
      </c>
      <c r="I8384" s="2" t="s">
        <v>21272</v>
      </c>
      <c r="J8384" s="3" t="str">
        <f>HYPERLINK("https://www.boe.es/gazeta/dias/1811/03/31/pdfs/GMD-1811-90.pdf#page=3","Abrir facsímil")</f>
        <v>Abrir facsímil</v>
      </c>
      <c r="K8384" s="3" t="s">
        <v>150</v>
      </c>
    </row>
    <row r="8385" spans="1:11" ht="42" customHeight="1">
      <c r="A8385" s="2" t="s">
        <v>21273</v>
      </c>
      <c r="B8385" s="2" t="s">
        <v>21274</v>
      </c>
      <c r="C8385" s="2" t="s">
        <v>17</v>
      </c>
      <c r="D8385" s="2" t="s">
        <v>105</v>
      </c>
      <c r="E8385" s="4">
        <v>-32359</v>
      </c>
      <c r="F8385" s="3" t="s">
        <v>7795</v>
      </c>
      <c r="G8385" s="3" t="s">
        <v>515</v>
      </c>
      <c r="H8385" s="2" t="s">
        <v>148</v>
      </c>
      <c r="I8385" s="2" t="s">
        <v>21275</v>
      </c>
      <c r="J8385" s="3" t="str">
        <f>HYPERLINK("https://www.boe.es/gazeta/dias/1811/05/27/pdfs/GMD-1811-147.pdf#page=2","Abrir facsímil")</f>
        <v>Abrir facsímil</v>
      </c>
      <c r="K8385" s="3" t="s">
        <v>150</v>
      </c>
    </row>
    <row r="8386" spans="1:11" ht="42" customHeight="1">
      <c r="A8386" s="2" t="s">
        <v>21276</v>
      </c>
      <c r="B8386" s="2" t="s">
        <v>21277</v>
      </c>
      <c r="C8386" s="2" t="s">
        <v>17</v>
      </c>
      <c r="D8386" s="2" t="s">
        <v>18</v>
      </c>
      <c r="E8386" s="4">
        <v>-32463</v>
      </c>
      <c r="F8386" s="3" t="s">
        <v>734</v>
      </c>
      <c r="G8386" s="3" t="s">
        <v>515</v>
      </c>
      <c r="H8386" s="2" t="s">
        <v>148</v>
      </c>
      <c r="I8386" s="2" t="s">
        <v>21278</v>
      </c>
      <c r="J8386" s="3" t="str">
        <f>HYPERLINK("https://www.boe.es/gazeta/dias/1811/02/12/pdfs/GEI-1811-19.pdf#page=7","Abrir facsímil")</f>
        <v>Abrir facsímil</v>
      </c>
      <c r="K8386" s="3" t="s">
        <v>150</v>
      </c>
    </row>
    <row r="8387" spans="1:11" ht="42" customHeight="1">
      <c r="A8387" s="2" t="s">
        <v>21279</v>
      </c>
      <c r="B8387" s="2" t="s">
        <v>21280</v>
      </c>
      <c r="C8387" s="2" t="s">
        <v>26</v>
      </c>
      <c r="D8387" s="2" t="s">
        <v>141</v>
      </c>
      <c r="E8387" s="4">
        <v>-32249</v>
      </c>
      <c r="F8387" s="3" t="s">
        <v>743</v>
      </c>
      <c r="G8387" s="3" t="s">
        <v>1021</v>
      </c>
      <c r="H8387" s="2" t="s">
        <v>148</v>
      </c>
      <c r="I8387" s="2" t="s">
        <v>21281</v>
      </c>
      <c r="J8387" s="3" t="str">
        <f>HYPERLINK("https://www.boe.es/gazeta/dias/1811/09/14/pdfs/GMD-C-1811-257.pdf#page=2","Abrir facsímil")</f>
        <v>Abrir facsímil</v>
      </c>
      <c r="K8387" s="3" t="s">
        <v>150</v>
      </c>
    </row>
    <row r="8388" spans="1:11" ht="42" customHeight="1">
      <c r="A8388" s="2" t="s">
        <v>21282</v>
      </c>
      <c r="B8388" s="2" t="s">
        <v>21283</v>
      </c>
      <c r="C8388" s="2" t="s">
        <v>26</v>
      </c>
      <c r="D8388" s="2" t="s">
        <v>141</v>
      </c>
      <c r="E8388" s="4">
        <v>-32280</v>
      </c>
      <c r="F8388" s="3" t="s">
        <v>142</v>
      </c>
      <c r="G8388" s="3" t="s">
        <v>597</v>
      </c>
      <c r="H8388" s="2" t="s">
        <v>148</v>
      </c>
      <c r="I8388" s="2" t="s">
        <v>21284</v>
      </c>
      <c r="J8388" s="3" t="str">
        <f>HYPERLINK("https://www.boe.es/gazeta/dias/1811/08/14/pdfs/GMD-C-1811-226.pdf#page=2","Abrir facsímil")</f>
        <v>Abrir facsímil</v>
      </c>
      <c r="K8388" s="3" t="s">
        <v>150</v>
      </c>
    </row>
    <row r="8389" spans="1:11" ht="42" customHeight="1">
      <c r="A8389" s="2" t="s">
        <v>21285</v>
      </c>
      <c r="B8389" s="2" t="s">
        <v>21286</v>
      </c>
      <c r="C8389" s="2" t="s">
        <v>26</v>
      </c>
      <c r="D8389" s="2" t="s">
        <v>18</v>
      </c>
      <c r="E8389" s="4">
        <v>-32472</v>
      </c>
      <c r="F8389" s="3" t="s">
        <v>398</v>
      </c>
      <c r="G8389" s="3" t="s">
        <v>115</v>
      </c>
      <c r="H8389" s="2" t="s">
        <v>148</v>
      </c>
      <c r="I8389" s="2" t="s">
        <v>21287</v>
      </c>
      <c r="J8389" s="3" t="str">
        <f>HYPERLINK("https://www.boe.es/gazeta/dias/1811/02/03/pdfs/GMD-1811-34.pdf#page=3","Abrir facsímil")</f>
        <v>Abrir facsímil</v>
      </c>
      <c r="K8389" s="3" t="s">
        <v>150</v>
      </c>
    </row>
    <row r="8390" spans="1:11" ht="42" customHeight="1">
      <c r="A8390" s="2" t="s">
        <v>21288</v>
      </c>
      <c r="B8390" s="2" t="s">
        <v>21289</v>
      </c>
      <c r="C8390" s="2" t="s">
        <v>26</v>
      </c>
      <c r="D8390" s="2" t="s">
        <v>18</v>
      </c>
      <c r="E8390" s="4">
        <v>-32396</v>
      </c>
      <c r="F8390" s="3" t="s">
        <v>1267</v>
      </c>
      <c r="G8390" s="3" t="s">
        <v>382</v>
      </c>
      <c r="H8390" s="2" t="s">
        <v>148</v>
      </c>
      <c r="I8390" s="2" t="s">
        <v>21290</v>
      </c>
      <c r="J8390" s="3" t="str">
        <f>HYPERLINK("https://www.boe.es/gazeta/dias/1811/04/20/pdfs/GMD-1811-110.pdf#page=2","Abrir facsímil")</f>
        <v>Abrir facsímil</v>
      </c>
      <c r="K8390" s="3" t="s">
        <v>150</v>
      </c>
    </row>
    <row r="8391" spans="1:11" ht="42" customHeight="1">
      <c r="A8391" s="2" t="s">
        <v>21291</v>
      </c>
      <c r="B8391" s="2" t="s">
        <v>21292</v>
      </c>
      <c r="C8391" s="2" t="s">
        <v>17</v>
      </c>
      <c r="D8391" s="2" t="s">
        <v>18</v>
      </c>
      <c r="E8391" s="4">
        <v>-32221</v>
      </c>
      <c r="F8391" s="3" t="s">
        <v>775</v>
      </c>
      <c r="G8391" s="3" t="s">
        <v>7693</v>
      </c>
      <c r="H8391" s="2" t="s">
        <v>148</v>
      </c>
      <c r="I8391" s="2" t="s">
        <v>21293</v>
      </c>
      <c r="J8391" s="3" t="str">
        <f>HYPERLINK("https://www.boe.es/gazeta/dias/1811/10/12/pdfs/GMD-1811-285.pdf#page=3","Abrir facsímil")</f>
        <v>Abrir facsímil</v>
      </c>
      <c r="K8391" s="3" t="s">
        <v>150</v>
      </c>
    </row>
    <row r="8392" spans="1:11" ht="42" customHeight="1">
      <c r="A8392" s="2" t="s">
        <v>21294</v>
      </c>
      <c r="B8392" s="2" t="s">
        <v>21295</v>
      </c>
      <c r="C8392" s="2" t="s">
        <v>26</v>
      </c>
      <c r="D8392" s="2" t="s">
        <v>18</v>
      </c>
      <c r="E8392" s="4">
        <v>-32379</v>
      </c>
      <c r="F8392" s="3" t="s">
        <v>462</v>
      </c>
      <c r="G8392" s="3" t="s">
        <v>463</v>
      </c>
      <c r="H8392" s="2" t="s">
        <v>148</v>
      </c>
      <c r="I8392" s="2" t="s">
        <v>21296</v>
      </c>
      <c r="J8392" s="3" t="str">
        <f>HYPERLINK("https://www.boe.es/gazeta/dias/1811/05/07/pdfs/GEI-1811-60.pdf#page=8","Abrir facsímil")</f>
        <v>Abrir facsímil</v>
      </c>
      <c r="K8392" s="3" t="s">
        <v>150</v>
      </c>
    </row>
    <row r="8393" spans="1:11" ht="42" customHeight="1">
      <c r="A8393" s="2" t="s">
        <v>21297</v>
      </c>
      <c r="B8393" s="2" t="s">
        <v>21298</v>
      </c>
      <c r="C8393" s="2" t="s">
        <v>17</v>
      </c>
      <c r="D8393" s="2" t="s">
        <v>156</v>
      </c>
      <c r="E8393" s="4">
        <v>-32481</v>
      </c>
      <c r="F8393" s="3" t="s">
        <v>1687</v>
      </c>
      <c r="G8393" s="3" t="s">
        <v>178</v>
      </c>
      <c r="H8393" s="2" t="s">
        <v>148</v>
      </c>
      <c r="I8393" s="2" t="s">
        <v>21299</v>
      </c>
      <c r="J8393" s="3" t="str">
        <f>HYPERLINK("https://www.boe.es/gazeta/dias/1811/01/25/pdfs/GMD-1811-25.pdf#page=2","Abrir facsímil")</f>
        <v>Abrir facsímil</v>
      </c>
      <c r="K8393" s="3" t="s">
        <v>150</v>
      </c>
    </row>
    <row r="8394" spans="1:11" ht="42" customHeight="1">
      <c r="A8394" s="2" t="s">
        <v>21300</v>
      </c>
      <c r="B8394" s="2" t="s">
        <v>21301</v>
      </c>
      <c r="C8394" s="2" t="s">
        <v>104</v>
      </c>
      <c r="D8394" s="2" t="s">
        <v>18</v>
      </c>
      <c r="E8394" s="4">
        <v>-32181</v>
      </c>
      <c r="F8394" s="3" t="s">
        <v>1169</v>
      </c>
      <c r="G8394" s="3" t="s">
        <v>1170</v>
      </c>
      <c r="H8394" s="2" t="s">
        <v>148</v>
      </c>
      <c r="I8394" s="2" t="s">
        <v>21302</v>
      </c>
      <c r="J8394" s="3" t="str">
        <f>HYPERLINK("https://www.boe.es/gazeta/dias/1811/11/21/pdfs/GMD-1811-325.pdf#page=4","Abrir facsímil")</f>
        <v>Abrir facsímil</v>
      </c>
      <c r="K8394" s="3" t="s">
        <v>150</v>
      </c>
    </row>
    <row r="8395" spans="1:11" ht="42" customHeight="1">
      <c r="A8395" s="2" t="s">
        <v>21303</v>
      </c>
      <c r="B8395" s="2" t="s">
        <v>21303</v>
      </c>
      <c r="C8395" s="2" t="s">
        <v>26</v>
      </c>
      <c r="D8395" s="2" t="s">
        <v>18</v>
      </c>
      <c r="E8395" s="4">
        <v>-32180</v>
      </c>
      <c r="F8395" s="3" t="s">
        <v>9096</v>
      </c>
      <c r="G8395" s="3" t="s">
        <v>875</v>
      </c>
      <c r="H8395" s="2" t="s">
        <v>148</v>
      </c>
      <c r="I8395" s="2" t="s">
        <v>21304</v>
      </c>
      <c r="J8395" s="3" t="str">
        <f>HYPERLINK("https://www.boe.es/gazeta/dias/1811/11/22/pdfs/GMD-1811-326.pdf#page=2","Abrir facsímil")</f>
        <v>Abrir facsímil</v>
      </c>
      <c r="K8395" s="3" t="s">
        <v>150</v>
      </c>
    </row>
    <row r="8396" spans="1:11" ht="42" customHeight="1">
      <c r="A8396" s="2" t="s">
        <v>21305</v>
      </c>
      <c r="B8396" s="2" t="s">
        <v>21306</v>
      </c>
      <c r="C8396" s="2" t="s">
        <v>26</v>
      </c>
      <c r="D8396" s="2" t="s">
        <v>18</v>
      </c>
      <c r="E8396" s="4">
        <v>-32200</v>
      </c>
      <c r="F8396" s="3" t="s">
        <v>109</v>
      </c>
      <c r="G8396" s="3" t="s">
        <v>268</v>
      </c>
      <c r="H8396" s="2" t="s">
        <v>148</v>
      </c>
      <c r="I8396" s="2" t="s">
        <v>21307</v>
      </c>
      <c r="J8396" s="3" t="str">
        <f>HYPERLINK("https://www.boe.es/gazeta/dias/1811/11/02/pdfs/GEI-1811-141.pdf#page=7","Abrir facsímil")</f>
        <v>Abrir facsímil</v>
      </c>
      <c r="K8396" s="3" t="s">
        <v>150</v>
      </c>
    </row>
    <row r="8397" spans="1:11" ht="42" customHeight="1">
      <c r="A8397" s="2" t="s">
        <v>21308</v>
      </c>
      <c r="B8397" s="2" t="s">
        <v>21309</v>
      </c>
      <c r="C8397" s="2" t="s">
        <v>37</v>
      </c>
      <c r="D8397" s="2" t="s">
        <v>18</v>
      </c>
      <c r="E8397" s="4">
        <v>-32202</v>
      </c>
      <c r="F8397" s="3" t="s">
        <v>1634</v>
      </c>
      <c r="G8397" s="3" t="s">
        <v>178</v>
      </c>
      <c r="H8397" s="2" t="s">
        <v>148</v>
      </c>
      <c r="I8397" s="2" t="s">
        <v>21310</v>
      </c>
      <c r="J8397" s="3" t="str">
        <f>HYPERLINK("https://www.boe.es/gazeta/dias/1811/10/31/pdfs/GMD-1811-304.pdf#page=4","Abrir facsímil")</f>
        <v>Abrir facsímil</v>
      </c>
      <c r="K8397" s="3" t="s">
        <v>150</v>
      </c>
    </row>
    <row r="8398" spans="1:11" ht="42" customHeight="1">
      <c r="A8398" s="2" t="s">
        <v>21311</v>
      </c>
      <c r="B8398" s="2" t="s">
        <v>21312</v>
      </c>
      <c r="C8398" s="2" t="s">
        <v>104</v>
      </c>
      <c r="D8398" s="2" t="s">
        <v>141</v>
      </c>
      <c r="E8398" s="4">
        <v>-32249</v>
      </c>
      <c r="F8398" s="3" t="s">
        <v>743</v>
      </c>
      <c r="G8398" s="3" t="s">
        <v>468</v>
      </c>
      <c r="H8398" s="2" t="s">
        <v>148</v>
      </c>
      <c r="I8398" s="2" t="s">
        <v>21313</v>
      </c>
      <c r="J8398" s="3" t="str">
        <f>HYPERLINK("https://www.boe.es/gazeta/dias/1811/09/14/pdfs/GMD-C-1811-257.pdf#page=1","Abrir facsímil")</f>
        <v>Abrir facsímil</v>
      </c>
      <c r="K8398" s="3" t="s">
        <v>150</v>
      </c>
    </row>
    <row r="8399" spans="1:11" ht="42" customHeight="1">
      <c r="A8399" s="2" t="s">
        <v>21311</v>
      </c>
      <c r="B8399" s="2" t="s">
        <v>21312</v>
      </c>
      <c r="C8399" s="2" t="s">
        <v>26</v>
      </c>
      <c r="D8399" s="2" t="s">
        <v>18</v>
      </c>
      <c r="E8399" s="4">
        <v>-32188</v>
      </c>
      <c r="F8399" s="3" t="s">
        <v>356</v>
      </c>
      <c r="G8399" s="3" t="s">
        <v>248</v>
      </c>
      <c r="H8399" s="2" t="s">
        <v>148</v>
      </c>
      <c r="I8399" s="2" t="s">
        <v>21314</v>
      </c>
      <c r="J8399" s="3" t="str">
        <f>HYPERLINK("https://www.boe.es/gazeta/dias/1811/11/14/pdfs/GMD-1811-318.pdf#page=5","Abrir facsímil")</f>
        <v>Abrir facsímil</v>
      </c>
      <c r="K8399" s="3" t="s">
        <v>150</v>
      </c>
    </row>
    <row r="8400" spans="1:11" ht="42" customHeight="1">
      <c r="A8400" s="2" t="s">
        <v>21315</v>
      </c>
      <c r="B8400" s="2" t="s">
        <v>21315</v>
      </c>
      <c r="C8400" s="2" t="s">
        <v>17</v>
      </c>
      <c r="D8400" s="2" t="s">
        <v>18</v>
      </c>
      <c r="E8400" s="4">
        <v>-32414</v>
      </c>
      <c r="F8400" s="3" t="s">
        <v>213</v>
      </c>
      <c r="G8400" s="3" t="s">
        <v>91</v>
      </c>
      <c r="H8400" s="2" t="s">
        <v>148</v>
      </c>
      <c r="I8400" s="2" t="s">
        <v>21316</v>
      </c>
      <c r="J8400" s="3" t="str">
        <f>HYPERLINK("https://www.boe.es/gazeta/dias/1811/04/02/pdfs/GEI-1811-45.pdf#page=2","Abrir facsímil")</f>
        <v>Abrir facsímil</v>
      </c>
      <c r="K8400" s="3" t="s">
        <v>150</v>
      </c>
    </row>
    <row r="8401" spans="1:11" ht="42" customHeight="1">
      <c r="A8401" s="2" t="s">
        <v>21317</v>
      </c>
      <c r="B8401" s="2" t="s">
        <v>21317</v>
      </c>
      <c r="C8401" s="2" t="s">
        <v>17</v>
      </c>
      <c r="D8401" s="2" t="s">
        <v>18</v>
      </c>
      <c r="E8401" s="4">
        <v>-32293</v>
      </c>
      <c r="F8401" s="3" t="s">
        <v>3064</v>
      </c>
      <c r="G8401" s="3" t="s">
        <v>3065</v>
      </c>
      <c r="H8401" s="2" t="s">
        <v>148</v>
      </c>
      <c r="I8401" s="2" t="s">
        <v>21318</v>
      </c>
      <c r="J8401" s="3" t="str">
        <f>HYPERLINK("https://www.boe.es/gazeta/dias/1811/08/01/pdfs/GEI-1811-100.pdf#page=7","Abrir facsímil")</f>
        <v>Abrir facsímil</v>
      </c>
      <c r="K8401" s="3" t="s">
        <v>150</v>
      </c>
    </row>
    <row r="8402" spans="1:11" ht="42" customHeight="1">
      <c r="A8402" s="2" t="s">
        <v>21319</v>
      </c>
      <c r="B8402" s="2" t="s">
        <v>21320</v>
      </c>
      <c r="C8402" s="2" t="s">
        <v>26</v>
      </c>
      <c r="D8402" s="2" t="s">
        <v>18</v>
      </c>
      <c r="E8402" s="4">
        <v>-32235</v>
      </c>
      <c r="F8402" s="3" t="s">
        <v>190</v>
      </c>
      <c r="G8402" s="3" t="s">
        <v>188</v>
      </c>
      <c r="H8402" s="2" t="s">
        <v>148</v>
      </c>
      <c r="I8402" s="2" t="s">
        <v>21321</v>
      </c>
      <c r="J8402" s="3" t="str">
        <f>HYPERLINK("https://www.boe.es/gazeta/dias/1811/09/28/pdfs/GEI-1811-125.pdf#page=8","Abrir facsímil")</f>
        <v>Abrir facsímil</v>
      </c>
      <c r="K8402" s="3" t="s">
        <v>150</v>
      </c>
    </row>
    <row r="8403" spans="1:11" ht="42" customHeight="1">
      <c r="A8403" s="2" t="s">
        <v>21322</v>
      </c>
      <c r="B8403" s="2" t="s">
        <v>21323</v>
      </c>
      <c r="C8403" s="2" t="s">
        <v>26</v>
      </c>
      <c r="D8403" s="2" t="s">
        <v>18</v>
      </c>
      <c r="E8403" s="4">
        <v>-32470</v>
      </c>
      <c r="F8403" s="3" t="s">
        <v>1432</v>
      </c>
      <c r="G8403" s="3" t="s">
        <v>1433</v>
      </c>
      <c r="H8403" s="2" t="s">
        <v>148</v>
      </c>
      <c r="I8403" s="2" t="s">
        <v>21324</v>
      </c>
      <c r="J8403" s="3" t="str">
        <f>HYPERLINK("https://www.boe.es/gazeta/dias/1811/02/05/pdfs/GEI-1811-16.pdf#page=4","Abrir facsímil")</f>
        <v>Abrir facsímil</v>
      </c>
      <c r="K8403" s="3" t="s">
        <v>150</v>
      </c>
    </row>
    <row r="8404" spans="1:11" ht="42" customHeight="1">
      <c r="A8404" s="2" t="s">
        <v>21325</v>
      </c>
      <c r="B8404" s="2" t="s">
        <v>21326</v>
      </c>
      <c r="C8404" s="2" t="s">
        <v>17</v>
      </c>
      <c r="D8404" s="2" t="s">
        <v>18</v>
      </c>
      <c r="E8404" s="4">
        <v>-32494</v>
      </c>
      <c r="F8404" s="3" t="s">
        <v>3050</v>
      </c>
      <c r="G8404" s="3" t="s">
        <v>3619</v>
      </c>
      <c r="H8404" s="2" t="s">
        <v>148</v>
      </c>
      <c r="I8404" s="2" t="s">
        <v>21327</v>
      </c>
      <c r="J8404" s="3" t="str">
        <f>HYPERLINK("https://www.boe.es/gazeta/dias/1811/01/12/pdfs/GEI-1811-6.pdf#page=8","Abrir facsímil")</f>
        <v>Abrir facsímil</v>
      </c>
      <c r="K8404" s="3" t="s">
        <v>150</v>
      </c>
    </row>
    <row r="8405" spans="1:11" ht="42" customHeight="1">
      <c r="A8405" s="2" t="s">
        <v>21328</v>
      </c>
      <c r="B8405" s="2" t="s">
        <v>21329</v>
      </c>
      <c r="C8405" s="2" t="s">
        <v>17</v>
      </c>
      <c r="D8405" s="2" t="s">
        <v>18</v>
      </c>
      <c r="E8405" s="4">
        <v>-32323</v>
      </c>
      <c r="F8405" s="3" t="s">
        <v>322</v>
      </c>
      <c r="G8405" s="3" t="s">
        <v>2164</v>
      </c>
      <c r="H8405" s="2" t="s">
        <v>148</v>
      </c>
      <c r="I8405" s="2" t="s">
        <v>21330</v>
      </c>
      <c r="J8405" s="3" t="str">
        <f>HYPERLINK("https://www.boe.es/gazeta/dias/1811/07/02/pdfs/GEI-1811-87.pdf#page=7","Abrir facsímil")</f>
        <v>Abrir facsímil</v>
      </c>
      <c r="K8405" s="3" t="s">
        <v>150</v>
      </c>
    </row>
    <row r="8406" spans="1:11" ht="42" customHeight="1">
      <c r="A8406" s="2" t="s">
        <v>21331</v>
      </c>
      <c r="B8406" s="2" t="s">
        <v>21332</v>
      </c>
      <c r="C8406" s="2" t="s">
        <v>26</v>
      </c>
      <c r="D8406" s="2" t="s">
        <v>18</v>
      </c>
      <c r="E8406" s="4">
        <v>-32297</v>
      </c>
      <c r="F8406" s="3" t="s">
        <v>2174</v>
      </c>
      <c r="G8406" s="3" t="s">
        <v>183</v>
      </c>
      <c r="H8406" s="2" t="s">
        <v>148</v>
      </c>
      <c r="I8406" s="2" t="s">
        <v>21333</v>
      </c>
      <c r="J8406" s="3" t="str">
        <f>HYPERLINK("https://www.boe.es/gazeta/dias/1811/07/28/pdfs/GMD-1811-209.pdf#page=4","Abrir facsímil")</f>
        <v>Abrir facsímil</v>
      </c>
      <c r="K8406" s="3" t="s">
        <v>150</v>
      </c>
    </row>
    <row r="8407" spans="1:11" ht="42" customHeight="1">
      <c r="A8407" s="2" t="s">
        <v>21334</v>
      </c>
      <c r="B8407" s="2" t="s">
        <v>21335</v>
      </c>
      <c r="C8407" s="2" t="s">
        <v>104</v>
      </c>
      <c r="D8407" s="2" t="s">
        <v>18</v>
      </c>
      <c r="E8407" s="4">
        <v>-32384</v>
      </c>
      <c r="F8407" s="3" t="s">
        <v>338</v>
      </c>
      <c r="G8407" s="3" t="s">
        <v>339</v>
      </c>
      <c r="H8407" s="2" t="s">
        <v>148</v>
      </c>
      <c r="I8407" s="2" t="s">
        <v>21336</v>
      </c>
      <c r="J8407" s="3" t="str">
        <f>HYPERLINK("https://www.boe.es/gazeta/dias/1811/05/02/pdfs/GEI-1811-58.pdf#page=8","Abrir facsímil")</f>
        <v>Abrir facsímil</v>
      </c>
      <c r="K8407" s="3" t="s">
        <v>150</v>
      </c>
    </row>
    <row r="8408" spans="1:11" ht="42" customHeight="1">
      <c r="A8408" s="2" t="s">
        <v>21337</v>
      </c>
      <c r="B8408" s="2" t="s">
        <v>21338</v>
      </c>
      <c r="C8408" s="2" t="s">
        <v>17</v>
      </c>
      <c r="D8408" s="2" t="s">
        <v>18</v>
      </c>
      <c r="E8408" s="4">
        <v>-32300</v>
      </c>
      <c r="F8408" s="3" t="s">
        <v>492</v>
      </c>
      <c r="G8408" s="3" t="s">
        <v>493</v>
      </c>
      <c r="H8408" s="2" t="s">
        <v>148</v>
      </c>
      <c r="I8408" s="2" t="s">
        <v>21339</v>
      </c>
      <c r="J8408" s="3" t="str">
        <f>HYPERLINK("https://www.boe.es/gazeta/dias/1811/07/25/pdfs/GMD-1811-206.pdf#page=4","Abrir facsímil")</f>
        <v>Abrir facsímil</v>
      </c>
      <c r="K8408" s="3" t="s">
        <v>150</v>
      </c>
    </row>
    <row r="8409" spans="1:11" ht="42" customHeight="1">
      <c r="A8409" s="2" t="s">
        <v>21340</v>
      </c>
      <c r="B8409" s="2" t="s">
        <v>21341</v>
      </c>
      <c r="C8409" s="2" t="s">
        <v>26</v>
      </c>
      <c r="D8409" s="2" t="s">
        <v>18</v>
      </c>
      <c r="E8409" s="4">
        <v>-32447</v>
      </c>
      <c r="F8409" s="3" t="s">
        <v>665</v>
      </c>
      <c r="G8409" s="3" t="s">
        <v>57</v>
      </c>
      <c r="H8409" s="2" t="s">
        <v>148</v>
      </c>
      <c r="I8409" s="2" t="s">
        <v>21342</v>
      </c>
      <c r="J8409" s="3" t="str">
        <f>HYPERLINK("https://www.boe.es/gazeta/dias/1811/02/28/pdfs/GMD-1811-59.pdf#page=2","Abrir facsímil")</f>
        <v>Abrir facsímil</v>
      </c>
      <c r="K8409" s="3" t="s">
        <v>150</v>
      </c>
    </row>
    <row r="8410" spans="1:11" ht="42" customHeight="1">
      <c r="A8410" s="2" t="s">
        <v>21343</v>
      </c>
      <c r="B8410" s="2" t="s">
        <v>21343</v>
      </c>
      <c r="C8410" s="2" t="s">
        <v>17</v>
      </c>
      <c r="D8410" s="2" t="s">
        <v>156</v>
      </c>
      <c r="E8410" s="4">
        <v>-32434</v>
      </c>
      <c r="F8410" s="3" t="s">
        <v>1932</v>
      </c>
      <c r="G8410" s="3" t="s">
        <v>468</v>
      </c>
      <c r="H8410" s="2" t="s">
        <v>148</v>
      </c>
      <c r="I8410" s="2" t="s">
        <v>21344</v>
      </c>
      <c r="J8410" s="3" t="str">
        <f>HYPERLINK("https://www.boe.es/gazeta/dias/1811/03/13/pdfs/GMD-1811-72.pdf#page=4","Abrir facsímil")</f>
        <v>Abrir facsímil</v>
      </c>
      <c r="K8410" s="3" t="s">
        <v>150</v>
      </c>
    </row>
    <row r="8411" spans="1:11" ht="42" customHeight="1">
      <c r="A8411" s="2" t="s">
        <v>21345</v>
      </c>
      <c r="B8411" s="2" t="s">
        <v>21346</v>
      </c>
      <c r="C8411" s="2" t="s">
        <v>26</v>
      </c>
      <c r="D8411" s="2" t="s">
        <v>18</v>
      </c>
      <c r="E8411" s="4">
        <v>-32242</v>
      </c>
      <c r="F8411" s="3" t="s">
        <v>1295</v>
      </c>
      <c r="G8411" s="3" t="s">
        <v>1296</v>
      </c>
      <c r="H8411" s="2" t="s">
        <v>148</v>
      </c>
      <c r="I8411" s="2" t="s">
        <v>21347</v>
      </c>
      <c r="J8411" s="3" t="str">
        <f>HYPERLINK("https://www.boe.es/gazeta/dias/1811/09/21/pdfs/GEI-1811-122.pdf#page=8","Abrir facsímil")</f>
        <v>Abrir facsímil</v>
      </c>
      <c r="K8411" s="3" t="s">
        <v>150</v>
      </c>
    </row>
    <row r="8412" spans="1:11" ht="42" customHeight="1">
      <c r="A8412" s="2" t="s">
        <v>21348</v>
      </c>
      <c r="B8412" s="2" t="s">
        <v>21349</v>
      </c>
      <c r="C8412" s="2" t="s">
        <v>17</v>
      </c>
      <c r="D8412" s="2" t="s">
        <v>156</v>
      </c>
      <c r="E8412" s="4">
        <v>-32165</v>
      </c>
      <c r="F8412" s="3" t="s">
        <v>4621</v>
      </c>
      <c r="G8412" s="3" t="s">
        <v>553</v>
      </c>
      <c r="H8412" s="2" t="s">
        <v>148</v>
      </c>
      <c r="I8412" s="2" t="s">
        <v>21350</v>
      </c>
      <c r="J8412" s="3" t="str">
        <f>HYPERLINK("https://www.boe.es/gazeta/dias/1811/12/07/pdfs/GEI-1811-159.pdf#page=7","Abrir facsímil")</f>
        <v>Abrir facsímil</v>
      </c>
      <c r="K8412" s="3" t="s">
        <v>150</v>
      </c>
    </row>
    <row r="8413" spans="1:11" ht="42" customHeight="1">
      <c r="A8413" s="2" t="s">
        <v>21351</v>
      </c>
      <c r="B8413" s="2" t="s">
        <v>21352</v>
      </c>
      <c r="C8413" s="2" t="s">
        <v>26</v>
      </c>
      <c r="D8413" s="2" t="s">
        <v>18</v>
      </c>
      <c r="E8413" s="4">
        <v>-32155</v>
      </c>
      <c r="F8413" s="3" t="s">
        <v>263</v>
      </c>
      <c r="G8413" s="3" t="s">
        <v>1800</v>
      </c>
      <c r="H8413" s="2" t="s">
        <v>148</v>
      </c>
      <c r="I8413" s="2" t="s">
        <v>21353</v>
      </c>
      <c r="J8413" s="3" t="str">
        <f>HYPERLINK("https://www.boe.es/gazeta/dias/1811/12/17/pdfs/GEI-1811-163.pdf#page=7","Abrir facsímil")</f>
        <v>Abrir facsímil</v>
      </c>
      <c r="K8413" s="3" t="s">
        <v>150</v>
      </c>
    </row>
    <row r="8414" spans="1:11" ht="42" customHeight="1">
      <c r="A8414" s="2" t="s">
        <v>21354</v>
      </c>
      <c r="B8414" s="2" t="s">
        <v>21355</v>
      </c>
      <c r="C8414" s="2" t="s">
        <v>17</v>
      </c>
      <c r="D8414" s="2" t="s">
        <v>18</v>
      </c>
      <c r="E8414" s="4">
        <v>-32323</v>
      </c>
      <c r="F8414" s="3" t="s">
        <v>322</v>
      </c>
      <c r="G8414" s="3" t="s">
        <v>19553</v>
      </c>
      <c r="H8414" s="2" t="s">
        <v>148</v>
      </c>
      <c r="I8414" s="2" t="s">
        <v>21356</v>
      </c>
      <c r="J8414" s="3" t="str">
        <f>HYPERLINK("https://www.boe.es/gazeta/dias/1811/07/02/pdfs/GEI-1811-87.pdf#page=6","Abrir facsímil")</f>
        <v>Abrir facsímil</v>
      </c>
      <c r="K8414" s="3" t="s">
        <v>150</v>
      </c>
    </row>
    <row r="8415" spans="1:11" ht="42" customHeight="1">
      <c r="A8415" s="2" t="s">
        <v>21357</v>
      </c>
      <c r="B8415" s="2" t="s">
        <v>21358</v>
      </c>
      <c r="C8415" s="2" t="s">
        <v>17</v>
      </c>
      <c r="D8415" s="2" t="s">
        <v>156</v>
      </c>
      <c r="E8415" s="4">
        <v>-32323</v>
      </c>
      <c r="F8415" s="3" t="s">
        <v>322</v>
      </c>
      <c r="G8415" s="3" t="s">
        <v>2164</v>
      </c>
      <c r="H8415" s="2" t="s">
        <v>148</v>
      </c>
      <c r="I8415" s="2" t="s">
        <v>21359</v>
      </c>
      <c r="J8415" s="3" t="str">
        <f>HYPERLINK("https://www.boe.es/gazeta/dias/1811/07/02/pdfs/GEI-1811-87.pdf#page=7","Abrir facsímil")</f>
        <v>Abrir facsímil</v>
      </c>
      <c r="K8415" s="3" t="s">
        <v>150</v>
      </c>
    </row>
    <row r="8416" spans="1:11" ht="42" customHeight="1">
      <c r="A8416" s="2" t="s">
        <v>21360</v>
      </c>
      <c r="B8416" s="2" t="s">
        <v>21361</v>
      </c>
      <c r="C8416" s="2" t="s">
        <v>17</v>
      </c>
      <c r="D8416" s="2" t="s">
        <v>18</v>
      </c>
      <c r="E8416" s="4">
        <v>-32258</v>
      </c>
      <c r="F8416" s="3" t="s">
        <v>449</v>
      </c>
      <c r="G8416" s="3" t="s">
        <v>903</v>
      </c>
      <c r="H8416" s="2" t="s">
        <v>148</v>
      </c>
      <c r="I8416" s="2" t="s">
        <v>21362</v>
      </c>
      <c r="J8416" s="3" t="str">
        <f>HYPERLINK("https://www.boe.es/gazeta/dias/1811/09/05/pdfs/GEI-1811-115.pdf#page=4","Abrir facsímil")</f>
        <v>Abrir facsímil</v>
      </c>
      <c r="K8416" s="3" t="s">
        <v>150</v>
      </c>
    </row>
    <row r="8417" spans="1:11" ht="42" customHeight="1">
      <c r="A8417" s="2" t="s">
        <v>21363</v>
      </c>
      <c r="B8417" s="2" t="s">
        <v>21364</v>
      </c>
      <c r="C8417" s="2" t="s">
        <v>26</v>
      </c>
      <c r="D8417" s="2" t="s">
        <v>18</v>
      </c>
      <c r="E8417" s="4">
        <v>-32463</v>
      </c>
      <c r="F8417" s="3" t="s">
        <v>734</v>
      </c>
      <c r="G8417" s="3" t="s">
        <v>9100</v>
      </c>
      <c r="H8417" s="2" t="s">
        <v>148</v>
      </c>
      <c r="I8417" s="2" t="s">
        <v>21365</v>
      </c>
      <c r="J8417" s="3" t="str">
        <f>HYPERLINK("https://www.boe.es/gazeta/dias/1811/02/12/pdfs/GEI-1811-19.pdf#page=3","Abrir facsímil")</f>
        <v>Abrir facsímil</v>
      </c>
      <c r="K8417" s="3" t="s">
        <v>150</v>
      </c>
    </row>
    <row r="8418" spans="1:11" ht="42" customHeight="1">
      <c r="A8418" s="2" t="s">
        <v>21366</v>
      </c>
      <c r="B8418" s="2" t="s">
        <v>21367</v>
      </c>
      <c r="C8418" s="2" t="s">
        <v>26</v>
      </c>
      <c r="D8418" s="2" t="s">
        <v>18</v>
      </c>
      <c r="E8418" s="4">
        <v>-32379</v>
      </c>
      <c r="F8418" s="3" t="s">
        <v>462</v>
      </c>
      <c r="G8418" s="3" t="s">
        <v>463</v>
      </c>
      <c r="H8418" s="2" t="s">
        <v>148</v>
      </c>
      <c r="I8418" s="2" t="s">
        <v>21368</v>
      </c>
      <c r="J8418" s="3" t="str">
        <f>HYPERLINK("https://www.boe.es/gazeta/dias/1811/05/07/pdfs/GEI-1811-60.pdf#page=8","Abrir facsímil")</f>
        <v>Abrir facsímil</v>
      </c>
      <c r="K8418" s="3" t="s">
        <v>150</v>
      </c>
    </row>
    <row r="8419" spans="1:11" ht="42" customHeight="1">
      <c r="A8419" s="2" t="s">
        <v>21369</v>
      </c>
      <c r="B8419" s="2" t="s">
        <v>21370</v>
      </c>
      <c r="C8419" s="2" t="s">
        <v>26</v>
      </c>
      <c r="D8419" s="2" t="s">
        <v>141</v>
      </c>
      <c r="E8419" s="4">
        <v>-32188</v>
      </c>
      <c r="F8419" s="3" t="s">
        <v>505</v>
      </c>
      <c r="G8419" s="3" t="s">
        <v>162</v>
      </c>
      <c r="H8419" s="2" t="s">
        <v>148</v>
      </c>
      <c r="I8419" s="2" t="s">
        <v>21371</v>
      </c>
      <c r="J8419" s="3" t="str">
        <f>HYPERLINK("https://www.boe.es/gazeta/dias/1811/11/14/pdfs/GEI-D-1811-149.pdf#page=4","Abrir facsímil")</f>
        <v>Abrir facsímil</v>
      </c>
      <c r="K8419" s="3" t="s">
        <v>150</v>
      </c>
    </row>
    <row r="8420" spans="1:11" ht="42" customHeight="1">
      <c r="A8420" s="2" t="s">
        <v>21372</v>
      </c>
      <c r="B8420" s="2" t="s">
        <v>21372</v>
      </c>
      <c r="C8420" s="2" t="s">
        <v>26</v>
      </c>
      <c r="D8420" s="2" t="s">
        <v>18</v>
      </c>
      <c r="E8420" s="4">
        <v>-32233</v>
      </c>
      <c r="F8420" s="3" t="s">
        <v>3504</v>
      </c>
      <c r="G8420" s="3" t="s">
        <v>515</v>
      </c>
      <c r="H8420" s="2" t="s">
        <v>148</v>
      </c>
      <c r="I8420" s="2" t="s">
        <v>21373</v>
      </c>
      <c r="J8420" s="3" t="str">
        <f>HYPERLINK("https://www.boe.es/gazeta/dias/1811/09/30/pdfs/GMD-1811-273.pdf#page=3","Abrir facsímil")</f>
        <v>Abrir facsímil</v>
      </c>
      <c r="K8420" s="3" t="s">
        <v>150</v>
      </c>
    </row>
    <row r="8421" spans="1:11" ht="42" customHeight="1">
      <c r="A8421" s="2" t="s">
        <v>21374</v>
      </c>
      <c r="B8421" s="2" t="s">
        <v>21375</v>
      </c>
      <c r="C8421" s="2" t="s">
        <v>104</v>
      </c>
      <c r="D8421" s="2" t="s">
        <v>18</v>
      </c>
      <c r="E8421" s="4">
        <v>-32459</v>
      </c>
      <c r="F8421" s="3" t="s">
        <v>1034</v>
      </c>
      <c r="G8421" s="3" t="s">
        <v>510</v>
      </c>
      <c r="H8421" s="2" t="s">
        <v>148</v>
      </c>
      <c r="I8421" s="2" t="s">
        <v>21376</v>
      </c>
      <c r="J8421" s="3" t="str">
        <f>HYPERLINK("https://www.boe.es/gazeta/dias/1811/02/16/pdfs/GEI-1811-21.pdf#page=8","Abrir facsímil")</f>
        <v>Abrir facsímil</v>
      </c>
      <c r="K8421" s="3" t="s">
        <v>150</v>
      </c>
    </row>
    <row r="8422" spans="1:11" ht="42" customHeight="1">
      <c r="A8422" s="2" t="s">
        <v>21377</v>
      </c>
      <c r="B8422" s="2" t="s">
        <v>21378</v>
      </c>
      <c r="C8422" s="2" t="s">
        <v>26</v>
      </c>
      <c r="D8422" s="2" t="s">
        <v>18</v>
      </c>
      <c r="E8422" s="4">
        <v>-32505</v>
      </c>
      <c r="F8422" s="3" t="s">
        <v>475</v>
      </c>
      <c r="G8422" s="3" t="s">
        <v>755</v>
      </c>
      <c r="H8422" s="2" t="s">
        <v>148</v>
      </c>
      <c r="I8422" s="2" t="s">
        <v>21379</v>
      </c>
      <c r="J8422" s="3" t="str">
        <f>HYPERLINK("https://www.boe.es/gazeta/dias/1811/01/01/pdfs/GEI-1811-1.pdf#page=8","Abrir facsímil")</f>
        <v>Abrir facsímil</v>
      </c>
      <c r="K8422" s="3" t="s">
        <v>150</v>
      </c>
    </row>
    <row r="8423" spans="1:11" ht="42" customHeight="1">
      <c r="A8423" s="2" t="s">
        <v>21380</v>
      </c>
      <c r="B8423" s="2" t="s">
        <v>21381</v>
      </c>
      <c r="C8423" s="2" t="s">
        <v>104</v>
      </c>
      <c r="D8423" s="2" t="s">
        <v>18</v>
      </c>
      <c r="E8423" s="4">
        <v>-32377</v>
      </c>
      <c r="F8423" s="3" t="s">
        <v>2461</v>
      </c>
      <c r="G8423" s="3" t="s">
        <v>47</v>
      </c>
      <c r="H8423" s="2" t="s">
        <v>148</v>
      </c>
      <c r="I8423" s="2" t="s">
        <v>21382</v>
      </c>
      <c r="J8423" s="3" t="str">
        <f>HYPERLINK("https://www.boe.es/gazeta/dias/1811/05/09/pdfs/GMD-1811-129.pdf#page=3","Abrir facsímil")</f>
        <v>Abrir facsímil</v>
      </c>
      <c r="K8423" s="3" t="s">
        <v>150</v>
      </c>
    </row>
    <row r="8424" spans="1:11" ht="42" customHeight="1">
      <c r="A8424" s="2" t="s">
        <v>21383</v>
      </c>
      <c r="B8424" s="2" t="s">
        <v>21384</v>
      </c>
      <c r="C8424" s="2" t="s">
        <v>26</v>
      </c>
      <c r="D8424" s="2" t="s">
        <v>18</v>
      </c>
      <c r="E8424" s="4">
        <v>-32503</v>
      </c>
      <c r="F8424" s="3" t="s">
        <v>487</v>
      </c>
      <c r="G8424" s="3" t="s">
        <v>1930</v>
      </c>
      <c r="H8424" s="2" t="s">
        <v>148</v>
      </c>
      <c r="I8424" s="2" t="s">
        <v>21385</v>
      </c>
      <c r="J8424" s="3" t="str">
        <f>HYPERLINK("https://www.boe.es/gazeta/dias/1811/01/03/pdfs/GEI-1811-2.pdf#page=8","Abrir facsímil")</f>
        <v>Abrir facsímil</v>
      </c>
      <c r="K8424" s="3" t="s">
        <v>150</v>
      </c>
    </row>
    <row r="8425" spans="1:11" ht="42" customHeight="1">
      <c r="A8425" s="2" t="s">
        <v>21386</v>
      </c>
      <c r="B8425" s="2" t="s">
        <v>21387</v>
      </c>
      <c r="C8425" s="2" t="s">
        <v>26</v>
      </c>
      <c r="D8425" s="2" t="s">
        <v>18</v>
      </c>
      <c r="E8425" s="4">
        <v>-32153</v>
      </c>
      <c r="F8425" s="3" t="s">
        <v>123</v>
      </c>
      <c r="G8425" s="3" t="s">
        <v>1067</v>
      </c>
      <c r="H8425" s="2" t="s">
        <v>148</v>
      </c>
      <c r="I8425" s="2" t="s">
        <v>21388</v>
      </c>
      <c r="J8425" s="3" t="str">
        <f>HYPERLINK("https://www.boe.es/gazeta/dias/1811/12/19/pdfs/GMD-1811-353.pdf#page=5","Abrir facsímil")</f>
        <v>Abrir facsímil</v>
      </c>
      <c r="K8425" s="3" t="s">
        <v>150</v>
      </c>
    </row>
    <row r="8426" spans="1:11" ht="42" customHeight="1">
      <c r="A8426" s="2" t="s">
        <v>21389</v>
      </c>
      <c r="B8426" s="2" t="s">
        <v>21390</v>
      </c>
      <c r="C8426" s="2" t="s">
        <v>26</v>
      </c>
      <c r="D8426" s="2" t="s">
        <v>105</v>
      </c>
      <c r="E8426" s="4">
        <v>-32335</v>
      </c>
      <c r="F8426" s="3" t="s">
        <v>3776</v>
      </c>
      <c r="G8426" s="3" t="s">
        <v>488</v>
      </c>
      <c r="H8426" s="2" t="s">
        <v>148</v>
      </c>
      <c r="I8426" s="2" t="s">
        <v>21391</v>
      </c>
      <c r="J8426" s="3" t="str">
        <f>HYPERLINK("https://www.boe.es/gazeta/dias/1811/06/20/pdfs/GEI-1811-82.pdf#page=8","Abrir facsímil")</f>
        <v>Abrir facsímil</v>
      </c>
      <c r="K8426" s="3" t="s">
        <v>150</v>
      </c>
    </row>
    <row r="8427" spans="1:11" ht="42" customHeight="1">
      <c r="A8427" s="2" t="s">
        <v>21392</v>
      </c>
      <c r="B8427" s="2" t="s">
        <v>21393</v>
      </c>
      <c r="C8427" s="2" t="s">
        <v>17</v>
      </c>
      <c r="D8427" s="2" t="s">
        <v>18</v>
      </c>
      <c r="E8427" s="4">
        <v>-32407</v>
      </c>
      <c r="F8427" s="3" t="s">
        <v>38</v>
      </c>
      <c r="G8427" s="3" t="s">
        <v>39</v>
      </c>
      <c r="H8427" s="2" t="s">
        <v>148</v>
      </c>
      <c r="I8427" s="2" t="s">
        <v>21394</v>
      </c>
      <c r="J8427" s="3" t="str">
        <f>HYPERLINK("https://www.boe.es/gazeta/dias/1811/04/09/pdfs/GEI-1811-48.pdf#page=3","Abrir facsímil")</f>
        <v>Abrir facsímil</v>
      </c>
      <c r="K8427" s="3" t="s">
        <v>150</v>
      </c>
    </row>
    <row r="8428" spans="1:11" ht="42" customHeight="1">
      <c r="A8428" s="2" t="s">
        <v>21395</v>
      </c>
      <c r="B8428" s="2" t="s">
        <v>21396</v>
      </c>
      <c r="C8428" s="2" t="s">
        <v>17</v>
      </c>
      <c r="D8428" s="2" t="s">
        <v>18</v>
      </c>
      <c r="E8428" s="4">
        <v>-32363</v>
      </c>
      <c r="F8428" s="3" t="s">
        <v>1645</v>
      </c>
      <c r="G8428" s="3" t="s">
        <v>4347</v>
      </c>
      <c r="H8428" s="2" t="s">
        <v>148</v>
      </c>
      <c r="I8428" s="2" t="s">
        <v>21397</v>
      </c>
      <c r="J8428" s="3" t="str">
        <f>HYPERLINK("https://www.boe.es/gazeta/dias/1811/05/23/pdfs/GEI-1811-68.pdf#page=6","Abrir facsímil")</f>
        <v>Abrir facsímil</v>
      </c>
      <c r="K8428" s="3" t="s">
        <v>150</v>
      </c>
    </row>
    <row r="8429" spans="1:11" ht="42" customHeight="1">
      <c r="A8429" s="2" t="s">
        <v>21398</v>
      </c>
      <c r="B8429" s="2" t="s">
        <v>21399</v>
      </c>
      <c r="C8429" s="2" t="s">
        <v>26</v>
      </c>
      <c r="D8429" s="2" t="s">
        <v>18</v>
      </c>
      <c r="E8429" s="4">
        <v>-32463</v>
      </c>
      <c r="F8429" s="3" t="s">
        <v>734</v>
      </c>
      <c r="G8429" s="3" t="s">
        <v>735</v>
      </c>
      <c r="H8429" s="2" t="s">
        <v>148</v>
      </c>
      <c r="I8429" s="2" t="s">
        <v>21400</v>
      </c>
      <c r="J8429" s="3" t="str">
        <f>HYPERLINK("https://www.boe.es/gazeta/dias/1811/02/12/pdfs/GEI-1811-19.pdf#page=8","Abrir facsímil")</f>
        <v>Abrir facsímil</v>
      </c>
      <c r="K8429" s="3" t="s">
        <v>150</v>
      </c>
    </row>
    <row r="8430" spans="1:11" ht="42" customHeight="1">
      <c r="A8430" s="2" t="s">
        <v>21401</v>
      </c>
      <c r="B8430" s="2" t="s">
        <v>21402</v>
      </c>
      <c r="C8430" s="2" t="s">
        <v>26</v>
      </c>
      <c r="D8430" s="2" t="s">
        <v>18</v>
      </c>
      <c r="E8430" s="4">
        <v>-32463</v>
      </c>
      <c r="F8430" s="3" t="s">
        <v>734</v>
      </c>
      <c r="G8430" s="3" t="s">
        <v>735</v>
      </c>
      <c r="H8430" s="2" t="s">
        <v>148</v>
      </c>
      <c r="I8430" s="2" t="s">
        <v>21403</v>
      </c>
      <c r="J8430" s="3" t="str">
        <f>HYPERLINK("https://www.boe.es/gazeta/dias/1811/02/12/pdfs/GEI-1811-19.pdf#page=8","Abrir facsímil")</f>
        <v>Abrir facsímil</v>
      </c>
      <c r="K8430" s="3" t="s">
        <v>150</v>
      </c>
    </row>
    <row r="8431" spans="1:11" ht="42" customHeight="1">
      <c r="A8431" s="2" t="s">
        <v>21404</v>
      </c>
      <c r="B8431" s="2" t="s">
        <v>21405</v>
      </c>
      <c r="C8431" s="2" t="s">
        <v>26</v>
      </c>
      <c r="D8431" s="2" t="s">
        <v>18</v>
      </c>
      <c r="E8431" s="4">
        <v>-32361</v>
      </c>
      <c r="F8431" s="3" t="s">
        <v>1104</v>
      </c>
      <c r="G8431" s="3" t="s">
        <v>2213</v>
      </c>
      <c r="H8431" s="2" t="s">
        <v>148</v>
      </c>
      <c r="I8431" s="2" t="s">
        <v>21406</v>
      </c>
      <c r="J8431" s="3" t="str">
        <f>HYPERLINK("https://www.boe.es/gazeta/dias/1811/05/25/pdfs/GEI-1811-71.pdf#page=8","Abrir facsímil")</f>
        <v>Abrir facsímil</v>
      </c>
      <c r="K8431" s="3" t="s">
        <v>150</v>
      </c>
    </row>
    <row r="8432" spans="1:11" ht="42" customHeight="1">
      <c r="A8432" s="2" t="s">
        <v>21407</v>
      </c>
      <c r="B8432" s="2" t="s">
        <v>21408</v>
      </c>
      <c r="C8432" s="2" t="s">
        <v>26</v>
      </c>
      <c r="D8432" s="2" t="s">
        <v>18</v>
      </c>
      <c r="E8432" s="4">
        <v>-32501</v>
      </c>
      <c r="F8432" s="3" t="s">
        <v>509</v>
      </c>
      <c r="G8432" s="3" t="s">
        <v>510</v>
      </c>
      <c r="H8432" s="2" t="s">
        <v>148</v>
      </c>
      <c r="I8432" s="2" t="s">
        <v>21409</v>
      </c>
      <c r="J8432" s="3" t="str">
        <f>HYPERLINK("https://www.boe.es/gazeta/dias/1811/01/05/pdfs/GEI-1811-3.pdf#page=8","Abrir facsímil")</f>
        <v>Abrir facsímil</v>
      </c>
      <c r="K8432" s="3" t="s">
        <v>150</v>
      </c>
    </row>
    <row r="8433" spans="1:11" ht="42" customHeight="1">
      <c r="A8433" s="2" t="s">
        <v>21410</v>
      </c>
      <c r="B8433" s="2" t="s">
        <v>21411</v>
      </c>
      <c r="C8433" s="2" t="s">
        <v>26</v>
      </c>
      <c r="D8433" s="2" t="s">
        <v>18</v>
      </c>
      <c r="E8433" s="4">
        <v>-32235</v>
      </c>
      <c r="F8433" s="3" t="s">
        <v>190</v>
      </c>
      <c r="G8433" s="3" t="s">
        <v>188</v>
      </c>
      <c r="H8433" s="2" t="s">
        <v>148</v>
      </c>
      <c r="I8433" s="2" t="s">
        <v>21412</v>
      </c>
      <c r="J8433" s="3" t="str">
        <f>HYPERLINK("https://www.boe.es/gazeta/dias/1811/09/28/pdfs/GEI-1811-125.pdf#page=8","Abrir facsímil")</f>
        <v>Abrir facsímil</v>
      </c>
      <c r="K8433" s="3" t="s">
        <v>150</v>
      </c>
    </row>
    <row r="8434" spans="1:11" ht="42" customHeight="1">
      <c r="A8434" s="2" t="s">
        <v>21413</v>
      </c>
      <c r="B8434" s="2" t="s">
        <v>21414</v>
      </c>
      <c r="C8434" s="2" t="s">
        <v>17</v>
      </c>
      <c r="D8434" s="2" t="s">
        <v>18</v>
      </c>
      <c r="E8434" s="4">
        <v>-32145</v>
      </c>
      <c r="F8434" s="3" t="s">
        <v>417</v>
      </c>
      <c r="G8434" s="3" t="s">
        <v>418</v>
      </c>
      <c r="H8434" s="2" t="s">
        <v>148</v>
      </c>
      <c r="I8434" s="2" t="s">
        <v>21415</v>
      </c>
      <c r="J8434" s="3" t="str">
        <f>HYPERLINK("https://www.boe.es/gazeta/dias/1811/12/27/pdfs/GMD-1811-361.pdf#page=4","Abrir facsímil")</f>
        <v>Abrir facsímil</v>
      </c>
      <c r="K8434" s="3" t="s">
        <v>150</v>
      </c>
    </row>
    <row r="8435" spans="1:11" ht="42" customHeight="1">
      <c r="A8435" s="2" t="s">
        <v>21416</v>
      </c>
      <c r="B8435" s="2" t="s">
        <v>21417</v>
      </c>
      <c r="C8435" s="2" t="s">
        <v>26</v>
      </c>
      <c r="D8435" s="2" t="s">
        <v>18</v>
      </c>
      <c r="E8435" s="4">
        <v>-32257</v>
      </c>
      <c r="F8435" s="3" t="s">
        <v>1093</v>
      </c>
      <c r="G8435" s="3" t="s">
        <v>183</v>
      </c>
      <c r="H8435" s="2" t="s">
        <v>148</v>
      </c>
      <c r="I8435" s="2" t="s">
        <v>21418</v>
      </c>
      <c r="J8435" s="3" t="str">
        <f>HYPERLINK("https://www.boe.es/gazeta/dias/1811/09/06/pdfs/GMD-1811-249.pdf#page=4","Abrir facsímil")</f>
        <v>Abrir facsímil</v>
      </c>
      <c r="K8435" s="3" t="s">
        <v>150</v>
      </c>
    </row>
    <row r="8436" spans="1:11" ht="42" customHeight="1">
      <c r="A8436" s="2" t="s">
        <v>21419</v>
      </c>
      <c r="B8436" s="2" t="s">
        <v>21420</v>
      </c>
      <c r="C8436" s="2" t="s">
        <v>26</v>
      </c>
      <c r="D8436" s="2" t="s">
        <v>18</v>
      </c>
      <c r="E8436" s="4">
        <v>-32249</v>
      </c>
      <c r="F8436" s="3" t="s">
        <v>182</v>
      </c>
      <c r="G8436" s="3" t="s">
        <v>183</v>
      </c>
      <c r="H8436" s="2" t="s">
        <v>148</v>
      </c>
      <c r="I8436" s="2" t="s">
        <v>21421</v>
      </c>
      <c r="J8436" s="3" t="str">
        <f>HYPERLINK("https://www.boe.es/gazeta/dias/1811/09/14/pdfs/GMD-1811-257.pdf#page=4","Abrir facsímil")</f>
        <v>Abrir facsímil</v>
      </c>
      <c r="K8436" s="3" t="s">
        <v>150</v>
      </c>
    </row>
    <row r="8437" spans="1:11" ht="42" customHeight="1">
      <c r="A8437" s="2" t="s">
        <v>21422</v>
      </c>
      <c r="B8437" s="2" t="s">
        <v>21422</v>
      </c>
      <c r="C8437" s="2" t="s">
        <v>26</v>
      </c>
      <c r="D8437" s="2" t="s">
        <v>18</v>
      </c>
      <c r="E8437" s="4">
        <v>-32269</v>
      </c>
      <c r="F8437" s="3" t="s">
        <v>56</v>
      </c>
      <c r="G8437" s="3" t="s">
        <v>669</v>
      </c>
      <c r="H8437" s="2" t="s">
        <v>148</v>
      </c>
      <c r="I8437" s="2" t="s">
        <v>21423</v>
      </c>
      <c r="J8437" s="3" t="str">
        <f>HYPERLINK("https://www.boe.es/gazeta/dias/1811/08/25/pdfs/GMD-1811-237.pdf#page=4","Abrir facsímil")</f>
        <v>Abrir facsímil</v>
      </c>
      <c r="K8437" s="3" t="s">
        <v>150</v>
      </c>
    </row>
    <row r="8438" spans="1:11" ht="42" customHeight="1">
      <c r="A8438" s="2" t="s">
        <v>21422</v>
      </c>
      <c r="B8438" s="2" t="s">
        <v>21422</v>
      </c>
      <c r="C8438" s="2" t="s">
        <v>84</v>
      </c>
      <c r="D8438" s="2" t="s">
        <v>18</v>
      </c>
      <c r="E8438" s="4">
        <v>-32198</v>
      </c>
      <c r="F8438" s="3" t="s">
        <v>330</v>
      </c>
      <c r="G8438" s="3" t="s">
        <v>515</v>
      </c>
      <c r="H8438" s="2" t="s">
        <v>148</v>
      </c>
      <c r="I8438" s="2" t="s">
        <v>21424</v>
      </c>
      <c r="J8438" s="3" t="str">
        <f>HYPERLINK("https://www.boe.es/gazeta/dias/1811/11/04/pdfs/GMD-1811-308.pdf#page=4","Abrir facsímil")</f>
        <v>Abrir facsímil</v>
      </c>
      <c r="K8438" s="3" t="s">
        <v>150</v>
      </c>
    </row>
    <row r="8439" spans="1:11" ht="42" customHeight="1">
      <c r="A8439" s="2" t="s">
        <v>21425</v>
      </c>
      <c r="B8439" s="2" t="s">
        <v>21426</v>
      </c>
      <c r="C8439" s="2" t="s">
        <v>26</v>
      </c>
      <c r="D8439" s="2" t="s">
        <v>18</v>
      </c>
      <c r="E8439" s="4">
        <v>-32213</v>
      </c>
      <c r="F8439" s="3" t="s">
        <v>4653</v>
      </c>
      <c r="G8439" s="3" t="s">
        <v>1930</v>
      </c>
      <c r="H8439" s="2" t="s">
        <v>148</v>
      </c>
      <c r="I8439" s="2" t="s">
        <v>21427</v>
      </c>
      <c r="J8439" s="3" t="str">
        <f>HYPERLINK("https://www.boe.es/gazeta/dias/1811/10/20/pdfs/GMD-1811-293.pdf#page=4","Abrir facsímil")</f>
        <v>Abrir facsímil</v>
      </c>
      <c r="K8439" s="3" t="s">
        <v>150</v>
      </c>
    </row>
    <row r="8440" spans="1:11" ht="42" customHeight="1">
      <c r="A8440" s="2" t="s">
        <v>21428</v>
      </c>
      <c r="B8440" s="2" t="s">
        <v>21429</v>
      </c>
      <c r="C8440" s="2" t="s">
        <v>26</v>
      </c>
      <c r="D8440" s="2" t="s">
        <v>141</v>
      </c>
      <c r="E8440" s="4">
        <v>-32238</v>
      </c>
      <c r="F8440" s="3" t="s">
        <v>166</v>
      </c>
      <c r="G8440" s="3" t="s">
        <v>657</v>
      </c>
      <c r="H8440" s="2" t="s">
        <v>148</v>
      </c>
      <c r="I8440" s="2" t="s">
        <v>21430</v>
      </c>
      <c r="J8440" s="3" t="str">
        <f>HYPERLINK("https://www.boe.es/gazeta/dias/1811/09/25/pdfs/GMD-C-1811-268.pdf#page=3","Abrir facsímil")</f>
        <v>Abrir facsímil</v>
      </c>
      <c r="K8440" s="3" t="s">
        <v>150</v>
      </c>
    </row>
    <row r="8441" spans="1:11" ht="42" customHeight="1">
      <c r="A8441" s="2" t="s">
        <v>21431</v>
      </c>
      <c r="B8441" s="2" t="s">
        <v>21432</v>
      </c>
      <c r="C8441" s="2" t="s">
        <v>26</v>
      </c>
      <c r="D8441" s="2" t="s">
        <v>18</v>
      </c>
      <c r="E8441" s="4">
        <v>-32433</v>
      </c>
      <c r="F8441" s="3" t="s">
        <v>209</v>
      </c>
      <c r="G8441" s="3" t="s">
        <v>488</v>
      </c>
      <c r="H8441" s="2" t="s">
        <v>148</v>
      </c>
      <c r="I8441" s="2" t="s">
        <v>21433</v>
      </c>
      <c r="J8441" s="3" t="str">
        <f>HYPERLINK("https://www.boe.es/gazeta/dias/1811/03/14/pdfs/GMD-1811-73.pdf#page=2","Abrir facsímil")</f>
        <v>Abrir facsímil</v>
      </c>
      <c r="K8441" s="3" t="s">
        <v>150</v>
      </c>
    </row>
    <row r="8442" spans="1:11" ht="42" customHeight="1">
      <c r="A8442" s="2" t="s">
        <v>21434</v>
      </c>
      <c r="B8442" s="2" t="s">
        <v>21435</v>
      </c>
      <c r="C8442" s="2" t="s">
        <v>17</v>
      </c>
      <c r="D8442" s="2" t="s">
        <v>18</v>
      </c>
      <c r="E8442" s="4">
        <v>-32386</v>
      </c>
      <c r="F8442" s="3" t="s">
        <v>1934</v>
      </c>
      <c r="G8442" s="3" t="s">
        <v>2384</v>
      </c>
      <c r="H8442" s="2" t="s">
        <v>148</v>
      </c>
      <c r="I8442" s="2" t="s">
        <v>21436</v>
      </c>
      <c r="J8442" s="3" t="str">
        <f>HYPERLINK("https://www.boe.es/gazeta/dias/1811/04/30/pdfs/GEI-1811-57.pdf#page=5","Abrir facsímil")</f>
        <v>Abrir facsímil</v>
      </c>
      <c r="K8442" s="3" t="s">
        <v>150</v>
      </c>
    </row>
    <row r="8443" spans="1:11" ht="42" customHeight="1">
      <c r="A8443" s="2" t="s">
        <v>21437</v>
      </c>
      <c r="B8443" s="2" t="s">
        <v>21437</v>
      </c>
      <c r="C8443" s="2" t="s">
        <v>17</v>
      </c>
      <c r="D8443" s="2" t="s">
        <v>18</v>
      </c>
      <c r="E8443" s="4">
        <v>-32196</v>
      </c>
      <c r="F8443" s="3" t="s">
        <v>8418</v>
      </c>
      <c r="G8443" s="3" t="s">
        <v>8892</v>
      </c>
      <c r="H8443" s="2" t="s">
        <v>148</v>
      </c>
      <c r="I8443" s="2" t="s">
        <v>21438</v>
      </c>
      <c r="J8443" s="3" t="str">
        <f>HYPERLINK("https://www.boe.es/gazeta/dias/1811/11/06/pdfs/GMD-1811-310.pdf#page=4","Abrir facsímil")</f>
        <v>Abrir facsímil</v>
      </c>
      <c r="K8443" s="3" t="s">
        <v>150</v>
      </c>
    </row>
    <row r="8444" spans="1:11" ht="42" customHeight="1">
      <c r="A8444" s="2" t="s">
        <v>21439</v>
      </c>
      <c r="B8444" s="2" t="s">
        <v>21439</v>
      </c>
      <c r="C8444" s="2" t="s">
        <v>104</v>
      </c>
      <c r="D8444" s="2" t="s">
        <v>204</v>
      </c>
      <c r="E8444" s="4">
        <v>-32269</v>
      </c>
      <c r="F8444" s="3" t="s">
        <v>56</v>
      </c>
      <c r="G8444" s="3" t="s">
        <v>57</v>
      </c>
      <c r="H8444" s="2" t="s">
        <v>148</v>
      </c>
      <c r="I8444" s="2" t="s">
        <v>21440</v>
      </c>
      <c r="J8444" s="3" t="str">
        <f>HYPERLINK("https://www.boe.es/gazeta/dias/1811/08/25/pdfs/GMD-1811-237.pdf#page=2","Abrir facsímil")</f>
        <v>Abrir facsímil</v>
      </c>
      <c r="K8444" s="3" t="s">
        <v>150</v>
      </c>
    </row>
    <row r="8445" spans="1:11" ht="42" customHeight="1">
      <c r="A8445" s="2" t="s">
        <v>21441</v>
      </c>
      <c r="B8445" s="2" t="s">
        <v>21442</v>
      </c>
      <c r="C8445" s="2" t="s">
        <v>84</v>
      </c>
      <c r="D8445" s="2" t="s">
        <v>18</v>
      </c>
      <c r="E8445" s="4">
        <v>-32505</v>
      </c>
      <c r="F8445" s="3" t="s">
        <v>475</v>
      </c>
      <c r="G8445" s="3" t="s">
        <v>755</v>
      </c>
      <c r="H8445" s="2" t="s">
        <v>148</v>
      </c>
      <c r="I8445" s="2" t="s">
        <v>21443</v>
      </c>
      <c r="J8445" s="3" t="str">
        <f>HYPERLINK("https://www.boe.es/gazeta/dias/1811/01/01/pdfs/GEI-1811-1.pdf#page=8","Abrir facsímil")</f>
        <v>Abrir facsímil</v>
      </c>
      <c r="K8445" s="3" t="s">
        <v>150</v>
      </c>
    </row>
    <row r="8446" spans="1:11" ht="42" customHeight="1">
      <c r="A8446" s="2" t="s">
        <v>21444</v>
      </c>
      <c r="B8446" s="2" t="s">
        <v>21445</v>
      </c>
      <c r="C8446" s="2" t="s">
        <v>104</v>
      </c>
      <c r="D8446" s="2" t="s">
        <v>18</v>
      </c>
      <c r="E8446" s="4">
        <v>-32389</v>
      </c>
      <c r="F8446" s="3" t="s">
        <v>5334</v>
      </c>
      <c r="G8446" s="3" t="s">
        <v>6010</v>
      </c>
      <c r="H8446" s="2" t="s">
        <v>148</v>
      </c>
      <c r="I8446" s="2" t="s">
        <v>21446</v>
      </c>
      <c r="J8446" s="3" t="str">
        <f>HYPERLINK("https://www.boe.es/gazeta/dias/1811/04/27/pdfs/GEI-1811-56.pdf#page=5","Abrir facsímil")</f>
        <v>Abrir facsímil</v>
      </c>
      <c r="K8446" s="3" t="s">
        <v>150</v>
      </c>
    </row>
    <row r="8447" spans="1:11" ht="42" customHeight="1">
      <c r="A8447" s="2" t="s">
        <v>21447</v>
      </c>
      <c r="B8447" s="2" t="s">
        <v>21448</v>
      </c>
      <c r="C8447" s="2" t="s">
        <v>841</v>
      </c>
      <c r="D8447" s="2" t="s">
        <v>18</v>
      </c>
      <c r="E8447" s="4">
        <v>-32309</v>
      </c>
      <c r="F8447" s="3" t="s">
        <v>2496</v>
      </c>
      <c r="G8447" s="3" t="s">
        <v>2748</v>
      </c>
      <c r="H8447" s="2" t="s">
        <v>148</v>
      </c>
      <c r="I8447" s="2" t="s">
        <v>21449</v>
      </c>
      <c r="J8447" s="3" t="str">
        <f>HYPERLINK("https://www.boe.es/gazeta/dias/1811/07/16/pdfs/GEI-1811-93.pdf#page=2","Abrir facsímil")</f>
        <v>Abrir facsímil</v>
      </c>
      <c r="K8447" s="3" t="s">
        <v>150</v>
      </c>
    </row>
    <row r="8448" spans="1:11" ht="42" customHeight="1">
      <c r="A8448" s="2" t="s">
        <v>21450</v>
      </c>
      <c r="B8448" s="2" t="s">
        <v>21450</v>
      </c>
      <c r="C8448" s="2" t="s">
        <v>17</v>
      </c>
      <c r="D8448" s="2" t="s">
        <v>156</v>
      </c>
      <c r="E8448" s="4">
        <v>-32157</v>
      </c>
      <c r="F8448" s="3" t="s">
        <v>200</v>
      </c>
      <c r="G8448" s="3" t="s">
        <v>39</v>
      </c>
      <c r="H8448" s="2" t="s">
        <v>148</v>
      </c>
      <c r="I8448" s="2" t="s">
        <v>21451</v>
      </c>
      <c r="J8448" s="3" t="str">
        <f>HYPERLINK("https://www.boe.es/gazeta/dias/1811/12/15/pdfs/GMD-1811-349.pdf#page=1","Abrir facsímil")</f>
        <v>Abrir facsímil</v>
      </c>
      <c r="K8448" s="3" t="s">
        <v>150</v>
      </c>
    </row>
    <row r="8449" spans="1:11" ht="42" customHeight="1">
      <c r="A8449" s="2" t="s">
        <v>21452</v>
      </c>
      <c r="B8449" s="2" t="s">
        <v>21453</v>
      </c>
      <c r="C8449" s="2" t="s">
        <v>17</v>
      </c>
      <c r="D8449" s="2" t="s">
        <v>156</v>
      </c>
      <c r="E8449" s="4">
        <v>-32412</v>
      </c>
      <c r="F8449" s="3" t="s">
        <v>998</v>
      </c>
      <c r="G8449" s="3" t="s">
        <v>1939</v>
      </c>
      <c r="H8449" s="2" t="s">
        <v>148</v>
      </c>
      <c r="I8449" s="2" t="s">
        <v>21454</v>
      </c>
      <c r="J8449" s="3" t="str">
        <f>HYPERLINK("https://www.boe.es/gazeta/dias/1811/04/04/pdfs/GEI-1811-46.pdf#page=4","Abrir facsímil")</f>
        <v>Abrir facsímil</v>
      </c>
      <c r="K8449" s="3" t="s">
        <v>150</v>
      </c>
    </row>
    <row r="8450" spans="1:11" ht="42" customHeight="1">
      <c r="A8450" s="2" t="s">
        <v>21455</v>
      </c>
      <c r="B8450" s="2" t="s">
        <v>21456</v>
      </c>
      <c r="C8450" s="2" t="s">
        <v>17</v>
      </c>
      <c r="D8450" s="2" t="s">
        <v>18</v>
      </c>
      <c r="E8450" s="4">
        <v>-32379</v>
      </c>
      <c r="F8450" s="3" t="s">
        <v>462</v>
      </c>
      <c r="G8450" s="3" t="s">
        <v>2737</v>
      </c>
      <c r="H8450" s="2" t="s">
        <v>148</v>
      </c>
      <c r="I8450" s="2" t="s">
        <v>21457</v>
      </c>
      <c r="J8450" s="3" t="str">
        <f>HYPERLINK("https://www.boe.es/gazeta/dias/1811/05/07/pdfs/GEI-1811-60.pdf#page=7","Abrir facsímil")</f>
        <v>Abrir facsímil</v>
      </c>
      <c r="K8450" s="3" t="s">
        <v>150</v>
      </c>
    </row>
    <row r="8451" spans="1:11" ht="42" customHeight="1">
      <c r="A8451" s="2" t="s">
        <v>21455</v>
      </c>
      <c r="B8451" s="2" t="s">
        <v>21456</v>
      </c>
      <c r="C8451" s="2" t="s">
        <v>104</v>
      </c>
      <c r="D8451" s="2" t="s">
        <v>18</v>
      </c>
      <c r="E8451" s="4">
        <v>-32179</v>
      </c>
      <c r="F8451" s="3" t="s">
        <v>614</v>
      </c>
      <c r="G8451" s="3" t="s">
        <v>615</v>
      </c>
      <c r="H8451" s="2" t="s">
        <v>148</v>
      </c>
      <c r="I8451" s="2" t="s">
        <v>21458</v>
      </c>
      <c r="J8451" s="3" t="str">
        <f>HYPERLINK("https://www.boe.es/gazeta/dias/1811/11/23/pdfs/GEI-1811-153.pdf#page=4","Abrir facsímil")</f>
        <v>Abrir facsímil</v>
      </c>
      <c r="K8451" s="3" t="s">
        <v>150</v>
      </c>
    </row>
    <row r="8452" spans="1:11" ht="42" customHeight="1">
      <c r="A8452" s="2" t="s">
        <v>21459</v>
      </c>
      <c r="B8452" s="2" t="s">
        <v>21460</v>
      </c>
      <c r="C8452" s="2" t="s">
        <v>17</v>
      </c>
      <c r="D8452" s="2" t="s">
        <v>156</v>
      </c>
      <c r="E8452" s="4">
        <v>-32491</v>
      </c>
      <c r="F8452" s="3" t="s">
        <v>533</v>
      </c>
      <c r="G8452" s="3" t="s">
        <v>1928</v>
      </c>
      <c r="H8452" s="2" t="s">
        <v>148</v>
      </c>
      <c r="I8452" s="2" t="s">
        <v>21461</v>
      </c>
      <c r="J8452" s="3" t="str">
        <f>HYPERLINK("https://www.boe.es/gazeta/dias/1811/01/15/pdfs/GEI-1811-7.pdf#page=10","Abrir facsímil")</f>
        <v>Abrir facsímil</v>
      </c>
      <c r="K8452" s="3" t="s">
        <v>150</v>
      </c>
    </row>
    <row r="8453" spans="1:11" ht="42" customHeight="1">
      <c r="A8453" s="2" t="s">
        <v>21459</v>
      </c>
      <c r="B8453" s="2" t="s">
        <v>21460</v>
      </c>
      <c r="C8453" s="2" t="s">
        <v>104</v>
      </c>
      <c r="D8453" s="2" t="s">
        <v>18</v>
      </c>
      <c r="E8453" s="4">
        <v>-32442</v>
      </c>
      <c r="F8453" s="3" t="s">
        <v>634</v>
      </c>
      <c r="G8453" s="3" t="s">
        <v>391</v>
      </c>
      <c r="H8453" s="2" t="s">
        <v>148</v>
      </c>
      <c r="I8453" s="2" t="s">
        <v>21462</v>
      </c>
      <c r="J8453" s="3" t="str">
        <f>HYPERLINK("https://www.boe.es/gazeta/dias/1811/03/05/pdfs/GEI-1811-29.pdf#page=4","Abrir facsímil")</f>
        <v>Abrir facsímil</v>
      </c>
      <c r="K8453" s="3" t="s">
        <v>150</v>
      </c>
    </row>
    <row r="8454" spans="1:11" ht="42" customHeight="1">
      <c r="A8454" s="2" t="s">
        <v>21459</v>
      </c>
      <c r="B8454" s="2" t="s">
        <v>21460</v>
      </c>
      <c r="C8454" s="2" t="s">
        <v>17</v>
      </c>
      <c r="D8454" s="2" t="s">
        <v>156</v>
      </c>
      <c r="E8454" s="4">
        <v>-32389</v>
      </c>
      <c r="F8454" s="3" t="s">
        <v>5334</v>
      </c>
      <c r="G8454" s="3" t="s">
        <v>15219</v>
      </c>
      <c r="H8454" s="2" t="s">
        <v>148</v>
      </c>
      <c r="I8454" s="2" t="s">
        <v>21463</v>
      </c>
      <c r="J8454" s="3" t="str">
        <f>HYPERLINK("https://www.boe.es/gazeta/dias/1811/04/27/pdfs/GEI-1811-56.pdf#page=4","Abrir facsímil")</f>
        <v>Abrir facsímil</v>
      </c>
      <c r="K8454" s="3" t="s">
        <v>150</v>
      </c>
    </row>
    <row r="8455" spans="1:11" ht="42" customHeight="1">
      <c r="A8455" s="2" t="s">
        <v>21459</v>
      </c>
      <c r="B8455" s="2" t="s">
        <v>21460</v>
      </c>
      <c r="C8455" s="2" t="s">
        <v>26</v>
      </c>
      <c r="D8455" s="2" t="s">
        <v>18</v>
      </c>
      <c r="E8455" s="4">
        <v>-32319</v>
      </c>
      <c r="F8455" s="3" t="s">
        <v>975</v>
      </c>
      <c r="G8455" s="3" t="s">
        <v>2246</v>
      </c>
      <c r="H8455" s="2" t="s">
        <v>148</v>
      </c>
      <c r="I8455" s="2" t="s">
        <v>21464</v>
      </c>
      <c r="J8455" s="3" t="str">
        <f>HYPERLINK("https://www.boe.es/gazeta/dias/1811/07/06/pdfs/GEI-1811-89.pdf#page=5","Abrir facsímil")</f>
        <v>Abrir facsímil</v>
      </c>
      <c r="K8455" s="3" t="s">
        <v>150</v>
      </c>
    </row>
    <row r="8456" spans="1:11" ht="42" customHeight="1">
      <c r="A8456" s="2" t="s">
        <v>21465</v>
      </c>
      <c r="B8456" s="2" t="s">
        <v>21465</v>
      </c>
      <c r="C8456" s="2" t="s">
        <v>104</v>
      </c>
      <c r="D8456" s="2" t="s">
        <v>18</v>
      </c>
      <c r="E8456" s="4">
        <v>-32494</v>
      </c>
      <c r="F8456" s="3" t="s">
        <v>585</v>
      </c>
      <c r="G8456" s="3" t="s">
        <v>391</v>
      </c>
      <c r="H8456" s="2" t="s">
        <v>148</v>
      </c>
      <c r="I8456" s="2" t="s">
        <v>21466</v>
      </c>
      <c r="J8456" s="3" t="str">
        <f>HYPERLINK("https://www.boe.es/gazeta/dias/1811/01/12/pdfs/GMD-1811-12.pdf#page=3","Abrir facsímil")</f>
        <v>Abrir facsímil</v>
      </c>
      <c r="K8456" s="3" t="s">
        <v>150</v>
      </c>
    </row>
    <row r="8457" spans="1:11" ht="42" customHeight="1">
      <c r="A8457" s="2" t="s">
        <v>21467</v>
      </c>
      <c r="B8457" s="2" t="s">
        <v>21467</v>
      </c>
      <c r="C8457" s="2" t="s">
        <v>17</v>
      </c>
      <c r="D8457" s="2" t="s">
        <v>18</v>
      </c>
      <c r="E8457" s="4">
        <v>-32164</v>
      </c>
      <c r="F8457" s="3" t="s">
        <v>15392</v>
      </c>
      <c r="G8457" s="3" t="s">
        <v>12607</v>
      </c>
      <c r="H8457" s="2" t="s">
        <v>148</v>
      </c>
      <c r="I8457" s="2" t="s">
        <v>21468</v>
      </c>
      <c r="J8457" s="3" t="str">
        <f>HYPERLINK("https://www.boe.es/gazeta/dias/1811/12/08/pdfs/GMD-1811-342.pdf#page=3","Abrir facsímil")</f>
        <v>Abrir facsímil</v>
      </c>
      <c r="K8457" s="3" t="s">
        <v>150</v>
      </c>
    </row>
    <row r="8458" spans="1:11" ht="42" customHeight="1">
      <c r="A8458" s="2" t="s">
        <v>21469</v>
      </c>
      <c r="B8458" s="2" t="s">
        <v>21469</v>
      </c>
      <c r="C8458" s="2" t="s">
        <v>26</v>
      </c>
      <c r="D8458" s="2" t="s">
        <v>18</v>
      </c>
      <c r="E8458" s="4">
        <v>-32451</v>
      </c>
      <c r="F8458" s="3" t="s">
        <v>2651</v>
      </c>
      <c r="G8458" s="3" t="s">
        <v>9891</v>
      </c>
      <c r="H8458" s="2" t="s">
        <v>148</v>
      </c>
      <c r="I8458" s="2" t="s">
        <v>21470</v>
      </c>
      <c r="J8458" s="3" t="str">
        <f>HYPERLINK("https://www.boe.es/gazeta/dias/1811/02/24/pdfs/GMD-1811-55.pdf#page=2","Abrir facsímil")</f>
        <v>Abrir facsímil</v>
      </c>
      <c r="K8458" s="3" t="s">
        <v>150</v>
      </c>
    </row>
    <row r="8459" spans="1:11" ht="42" customHeight="1">
      <c r="A8459" s="2" t="s">
        <v>21471</v>
      </c>
      <c r="B8459" s="2" t="s">
        <v>21471</v>
      </c>
      <c r="C8459" s="2" t="s">
        <v>26</v>
      </c>
      <c r="D8459" s="2" t="s">
        <v>18</v>
      </c>
      <c r="E8459" s="4">
        <v>-32237</v>
      </c>
      <c r="F8459" s="3" t="s">
        <v>136</v>
      </c>
      <c r="G8459" s="3" t="s">
        <v>162</v>
      </c>
      <c r="H8459" s="2" t="s">
        <v>148</v>
      </c>
      <c r="I8459" s="2" t="s">
        <v>21472</v>
      </c>
      <c r="J8459" s="3" t="str">
        <f>HYPERLINK("https://www.boe.es/gazeta/dias/1811/09/26/pdfs/GMD-1811-269.pdf#page=4","Abrir facsímil")</f>
        <v>Abrir facsímil</v>
      </c>
      <c r="K8459" s="3" t="s">
        <v>150</v>
      </c>
    </row>
    <row r="8460" spans="1:11" ht="42" customHeight="1">
      <c r="A8460" s="2" t="s">
        <v>21473</v>
      </c>
      <c r="B8460" s="2" t="s">
        <v>21474</v>
      </c>
      <c r="C8460" s="2" t="s">
        <v>122</v>
      </c>
      <c r="D8460" s="2" t="s">
        <v>18</v>
      </c>
      <c r="E8460" s="4">
        <v>-32447</v>
      </c>
      <c r="F8460" s="3" t="s">
        <v>665</v>
      </c>
      <c r="G8460" s="3" t="s">
        <v>57</v>
      </c>
      <c r="H8460" s="2" t="s">
        <v>148</v>
      </c>
      <c r="I8460" s="2" t="s">
        <v>21475</v>
      </c>
      <c r="J8460" s="3" t="str">
        <f>HYPERLINK("https://www.boe.es/gazeta/dias/1811/02/28/pdfs/GMD-1811-59.pdf#page=2","Abrir facsímil")</f>
        <v>Abrir facsímil</v>
      </c>
      <c r="K8460" s="3" t="s">
        <v>150</v>
      </c>
    </row>
    <row r="8461" spans="1:11" ht="42" customHeight="1">
      <c r="A8461" s="2" t="s">
        <v>21476</v>
      </c>
      <c r="B8461" s="2" t="s">
        <v>21476</v>
      </c>
      <c r="C8461" s="2" t="s">
        <v>37</v>
      </c>
      <c r="D8461" s="2" t="s">
        <v>18</v>
      </c>
      <c r="E8461" s="4">
        <v>-32487</v>
      </c>
      <c r="F8461" s="3" t="s">
        <v>3104</v>
      </c>
      <c r="G8461" s="3" t="s">
        <v>409</v>
      </c>
      <c r="H8461" s="2" t="s">
        <v>148</v>
      </c>
      <c r="I8461" s="2" t="s">
        <v>21477</v>
      </c>
      <c r="J8461" s="3" t="str">
        <f>HYPERLINK("https://www.boe.es/gazeta/dias/1811/01/19/pdfs/GMD-1811-19.pdf#page=2","Abrir facsímil")</f>
        <v>Abrir facsímil</v>
      </c>
      <c r="K8461" s="3" t="s">
        <v>150</v>
      </c>
    </row>
    <row r="8462" spans="1:11" ht="42" customHeight="1">
      <c r="A8462" s="2" t="s">
        <v>21476</v>
      </c>
      <c r="B8462" s="2" t="s">
        <v>21476</v>
      </c>
      <c r="C8462" s="2" t="s">
        <v>17</v>
      </c>
      <c r="D8462" s="2" t="s">
        <v>18</v>
      </c>
      <c r="E8462" s="4">
        <v>-32174</v>
      </c>
      <c r="F8462" s="3" t="s">
        <v>172</v>
      </c>
      <c r="G8462" s="3" t="s">
        <v>21478</v>
      </c>
      <c r="H8462" s="2" t="s">
        <v>148</v>
      </c>
      <c r="I8462" s="2" t="s">
        <v>21479</v>
      </c>
      <c r="J8462" s="3" t="str">
        <f>HYPERLINK("https://www.boe.es/gazeta/dias/1811/11/28/pdfs/GEI-1811-155.pdf#page=2","Abrir facsímil")</f>
        <v>Abrir facsímil</v>
      </c>
      <c r="K8462" s="3" t="s">
        <v>150</v>
      </c>
    </row>
    <row r="8463" spans="1:11" ht="42" customHeight="1">
      <c r="A8463" s="2" t="s">
        <v>21480</v>
      </c>
      <c r="B8463" s="2" t="s">
        <v>21481</v>
      </c>
      <c r="C8463" s="2" t="s">
        <v>26</v>
      </c>
      <c r="D8463" s="2" t="s">
        <v>18</v>
      </c>
      <c r="E8463" s="4">
        <v>-32230</v>
      </c>
      <c r="F8463" s="3" t="s">
        <v>625</v>
      </c>
      <c r="G8463" s="3" t="s">
        <v>1258</v>
      </c>
      <c r="H8463" s="2" t="s">
        <v>148</v>
      </c>
      <c r="I8463" s="2" t="s">
        <v>21482</v>
      </c>
      <c r="J8463" s="3" t="str">
        <f>HYPERLINK("https://www.boe.es/gazeta/dias/1811/10/03/pdfs/GEI-1811-127.pdf#page=8","Abrir facsímil")</f>
        <v>Abrir facsímil</v>
      </c>
      <c r="K8463" s="3" t="s">
        <v>150</v>
      </c>
    </row>
    <row r="8464" spans="1:11" ht="42" customHeight="1">
      <c r="A8464" s="2" t="s">
        <v>21483</v>
      </c>
      <c r="B8464" s="2" t="s">
        <v>21484</v>
      </c>
      <c r="C8464" s="2" t="s">
        <v>26</v>
      </c>
      <c r="D8464" s="2" t="s">
        <v>105</v>
      </c>
      <c r="E8464" s="4">
        <v>-32238</v>
      </c>
      <c r="F8464" s="3" t="s">
        <v>166</v>
      </c>
      <c r="G8464" s="3" t="s">
        <v>39</v>
      </c>
      <c r="H8464" s="2" t="s">
        <v>148</v>
      </c>
      <c r="I8464" s="2" t="s">
        <v>21485</v>
      </c>
      <c r="J8464" s="3" t="str">
        <f>HYPERLINK("https://www.boe.es/gazeta/dias/1811/09/25/pdfs/GMD-C-1811-268.pdf#page=2","Abrir facsímil")</f>
        <v>Abrir facsímil</v>
      </c>
      <c r="K8464" s="3" t="s">
        <v>150</v>
      </c>
    </row>
    <row r="8465" spans="1:11" ht="42" customHeight="1">
      <c r="A8465" s="2" t="s">
        <v>21486</v>
      </c>
      <c r="B8465" s="2" t="s">
        <v>21487</v>
      </c>
      <c r="C8465" s="2" t="s">
        <v>37</v>
      </c>
      <c r="D8465" s="2" t="s">
        <v>18</v>
      </c>
      <c r="E8465" s="4">
        <v>-32396</v>
      </c>
      <c r="F8465" s="3" t="s">
        <v>1267</v>
      </c>
      <c r="G8465" s="3" t="s">
        <v>1143</v>
      </c>
      <c r="H8465" s="2" t="s">
        <v>148</v>
      </c>
      <c r="I8465" s="2" t="s">
        <v>21488</v>
      </c>
      <c r="J8465" s="3" t="str">
        <f>HYPERLINK("https://www.boe.es/gazeta/dias/1811/04/20/pdfs/GMD-1811-110.pdf#page=3","Abrir facsímil")</f>
        <v>Abrir facsímil</v>
      </c>
      <c r="K8465" s="3" t="s">
        <v>150</v>
      </c>
    </row>
    <row r="8466" spans="1:11" ht="42" customHeight="1">
      <c r="A8466" s="2" t="s">
        <v>21486</v>
      </c>
      <c r="B8466" s="2" t="s">
        <v>21487</v>
      </c>
      <c r="C8466" s="2" t="s">
        <v>26</v>
      </c>
      <c r="D8466" s="2" t="s">
        <v>18</v>
      </c>
      <c r="E8466" s="4">
        <v>-32152</v>
      </c>
      <c r="F8466" s="3" t="s">
        <v>1673</v>
      </c>
      <c r="G8466" s="3" t="s">
        <v>183</v>
      </c>
      <c r="H8466" s="2" t="s">
        <v>148</v>
      </c>
      <c r="I8466" s="2" t="s">
        <v>21489</v>
      </c>
      <c r="J8466" s="3" t="str">
        <f>HYPERLINK("https://www.boe.es/gazeta/dias/1811/12/20/pdfs/GMD-1811-354.pdf#page=4","Abrir facsímil")</f>
        <v>Abrir facsímil</v>
      </c>
      <c r="K8466" s="3" t="s">
        <v>150</v>
      </c>
    </row>
    <row r="8467" spans="1:11" ht="42" customHeight="1">
      <c r="A8467" s="2" t="s">
        <v>21490</v>
      </c>
      <c r="B8467" s="2" t="s">
        <v>21491</v>
      </c>
      <c r="C8467" s="2" t="s">
        <v>17</v>
      </c>
      <c r="D8467" s="2" t="s">
        <v>18</v>
      </c>
      <c r="E8467" s="4">
        <v>-32200</v>
      </c>
      <c r="F8467" s="3" t="s">
        <v>109</v>
      </c>
      <c r="G8467" s="3" t="s">
        <v>268</v>
      </c>
      <c r="H8467" s="2" t="s">
        <v>148</v>
      </c>
      <c r="I8467" s="2" t="s">
        <v>21492</v>
      </c>
      <c r="J8467" s="3" t="str">
        <f>HYPERLINK("https://www.boe.es/gazeta/dias/1811/11/02/pdfs/GEI-1811-141.pdf#page=7","Abrir facsímil")</f>
        <v>Abrir facsímil</v>
      </c>
      <c r="K8467" s="3" t="s">
        <v>150</v>
      </c>
    </row>
    <row r="8468" spans="1:11" ht="42" customHeight="1">
      <c r="A8468" s="2" t="s">
        <v>21493</v>
      </c>
      <c r="B8468" s="2" t="s">
        <v>21493</v>
      </c>
      <c r="C8468" s="2" t="s">
        <v>367</v>
      </c>
      <c r="D8468" s="2" t="s">
        <v>528</v>
      </c>
      <c r="E8468" s="4">
        <v>-32362</v>
      </c>
      <c r="F8468" s="3" t="s">
        <v>1990</v>
      </c>
      <c r="G8468" s="3" t="s">
        <v>2895</v>
      </c>
      <c r="H8468" s="2" t="s">
        <v>148</v>
      </c>
      <c r="I8468" s="2" t="s">
        <v>21494</v>
      </c>
      <c r="J8468" s="3" t="str">
        <f>HYPERLINK("https://www.boe.es/gazeta/dias/1811/05/24/pdfs/GEI-1811-70E.pdf#page=4","Abrir facsímil")</f>
        <v>Abrir facsímil</v>
      </c>
      <c r="K8468" s="3" t="s">
        <v>150</v>
      </c>
    </row>
    <row r="8469" spans="1:11" ht="42" customHeight="1">
      <c r="A8469" s="2" t="s">
        <v>21495</v>
      </c>
      <c r="B8469" s="2" t="s">
        <v>21495</v>
      </c>
      <c r="C8469" s="2" t="s">
        <v>17</v>
      </c>
      <c r="D8469" s="2" t="s">
        <v>18</v>
      </c>
      <c r="E8469" s="4">
        <v>-32413</v>
      </c>
      <c r="F8469" s="3" t="s">
        <v>5311</v>
      </c>
      <c r="G8469" s="3" t="s">
        <v>331</v>
      </c>
      <c r="H8469" s="2" t="s">
        <v>148</v>
      </c>
      <c r="I8469" s="2" t="s">
        <v>21496</v>
      </c>
      <c r="J8469" s="3" t="str">
        <f>HYPERLINK("https://www.boe.es/gazeta/dias/1811/04/03/pdfs/GMD-1811-93.pdf#page=3","Abrir facsímil")</f>
        <v>Abrir facsímil</v>
      </c>
      <c r="K8469" s="3" t="s">
        <v>150</v>
      </c>
    </row>
    <row r="8470" spans="1:11" ht="42" customHeight="1">
      <c r="A8470" s="2" t="s">
        <v>21497</v>
      </c>
      <c r="B8470" s="2" t="s">
        <v>21497</v>
      </c>
      <c r="C8470" s="2" t="s">
        <v>17</v>
      </c>
      <c r="D8470" s="2" t="s">
        <v>156</v>
      </c>
      <c r="E8470" s="4">
        <v>-32449</v>
      </c>
      <c r="F8470" s="3" t="s">
        <v>8369</v>
      </c>
      <c r="G8470" s="3" t="s">
        <v>129</v>
      </c>
      <c r="H8470" s="2" t="s">
        <v>148</v>
      </c>
      <c r="I8470" s="2" t="s">
        <v>21498</v>
      </c>
      <c r="J8470" s="3" t="str">
        <f>HYPERLINK("https://www.boe.es/gazeta/dias/1811/02/26/pdfs/GMD-1811-57.pdf#page=1","Abrir facsímil")</f>
        <v>Abrir facsímil</v>
      </c>
      <c r="K8470" s="3" t="s">
        <v>150</v>
      </c>
    </row>
    <row r="8471" spans="1:11" ht="42" customHeight="1">
      <c r="A8471" s="2" t="s">
        <v>21499</v>
      </c>
      <c r="B8471" s="2" t="s">
        <v>21499</v>
      </c>
      <c r="C8471" s="2" t="s">
        <v>17</v>
      </c>
      <c r="D8471" s="2" t="s">
        <v>156</v>
      </c>
      <c r="E8471" s="4">
        <v>-32391</v>
      </c>
      <c r="F8471" s="3" t="s">
        <v>2998</v>
      </c>
      <c r="G8471" s="3" t="s">
        <v>178</v>
      </c>
      <c r="H8471" s="2" t="s">
        <v>148</v>
      </c>
      <c r="I8471" s="2" t="s">
        <v>21500</v>
      </c>
      <c r="J8471" s="3" t="str">
        <f>HYPERLINK("https://www.boe.es/gazeta/dias/1811/04/25/pdfs/GMD-1811-115.pdf#page=3","Abrir facsímil")</f>
        <v>Abrir facsímil</v>
      </c>
      <c r="K8471" s="3" t="s">
        <v>150</v>
      </c>
    </row>
    <row r="8472" spans="1:11" ht="42" customHeight="1">
      <c r="A8472" s="2" t="s">
        <v>21501</v>
      </c>
      <c r="B8472" s="2" t="s">
        <v>21501</v>
      </c>
      <c r="C8472" s="2" t="s">
        <v>17</v>
      </c>
      <c r="D8472" s="2" t="s">
        <v>156</v>
      </c>
      <c r="E8472" s="4">
        <v>-32434</v>
      </c>
      <c r="F8472" s="3" t="s">
        <v>1932</v>
      </c>
      <c r="G8472" s="3" t="s">
        <v>178</v>
      </c>
      <c r="H8472" s="2" t="s">
        <v>148</v>
      </c>
      <c r="I8472" s="2" t="s">
        <v>21502</v>
      </c>
      <c r="J8472" s="3" t="str">
        <f>HYPERLINK("https://www.boe.es/gazeta/dias/1811/03/13/pdfs/GMD-1811-72.pdf#page=2","Abrir facsímil")</f>
        <v>Abrir facsímil</v>
      </c>
      <c r="K8472" s="3" t="s">
        <v>150</v>
      </c>
    </row>
    <row r="8473" spans="1:11" ht="42" customHeight="1">
      <c r="A8473" s="2" t="s">
        <v>21503</v>
      </c>
      <c r="B8473" s="2" t="s">
        <v>21504</v>
      </c>
      <c r="C8473" s="2" t="s">
        <v>17</v>
      </c>
      <c r="D8473" s="2" t="s">
        <v>18</v>
      </c>
      <c r="E8473" s="4">
        <v>-32144</v>
      </c>
      <c r="F8473" s="3" t="s">
        <v>1097</v>
      </c>
      <c r="G8473" s="3" t="s">
        <v>1098</v>
      </c>
      <c r="H8473" s="2" t="s">
        <v>148</v>
      </c>
      <c r="I8473" s="2" t="s">
        <v>21505</v>
      </c>
      <c r="J8473" s="3" t="str">
        <f>HYPERLINK("https://www.boe.es/gazeta/dias/1811/12/28/pdfs/GEI-1811-168.pdf#page=8","Abrir facsímil")</f>
        <v>Abrir facsímil</v>
      </c>
      <c r="K8473" s="3" t="s">
        <v>150</v>
      </c>
    </row>
    <row r="8474" spans="1:11" ht="42" customHeight="1">
      <c r="A8474" s="2" t="s">
        <v>21506</v>
      </c>
      <c r="B8474" s="2" t="s">
        <v>21506</v>
      </c>
      <c r="C8474" s="2" t="s">
        <v>37</v>
      </c>
      <c r="D8474" s="2" t="s">
        <v>18</v>
      </c>
      <c r="E8474" s="4">
        <v>-32331</v>
      </c>
      <c r="F8474" s="3" t="s">
        <v>781</v>
      </c>
      <c r="G8474" s="3" t="s">
        <v>5253</v>
      </c>
      <c r="H8474" s="2" t="s">
        <v>148</v>
      </c>
      <c r="I8474" s="2" t="s">
        <v>21507</v>
      </c>
      <c r="J8474" s="3" t="str">
        <f>HYPERLINK("https://www.boe.es/gazeta/dias/1811/06/24/pdfs/GMD-1811-175.pdf#page=3","Abrir facsímil")</f>
        <v>Abrir facsímil</v>
      </c>
      <c r="K8474" s="3" t="s">
        <v>150</v>
      </c>
    </row>
    <row r="8475" spans="1:11" ht="42" customHeight="1">
      <c r="A8475" s="2" t="s">
        <v>21508</v>
      </c>
      <c r="B8475" s="2" t="s">
        <v>21508</v>
      </c>
      <c r="C8475" s="2" t="s">
        <v>17</v>
      </c>
      <c r="D8475" s="2" t="s">
        <v>18</v>
      </c>
      <c r="E8475" s="4">
        <v>-32371</v>
      </c>
      <c r="F8475" s="3" t="s">
        <v>1518</v>
      </c>
      <c r="G8475" s="3" t="s">
        <v>597</v>
      </c>
      <c r="H8475" s="2" t="s">
        <v>148</v>
      </c>
      <c r="I8475" s="2" t="s">
        <v>21509</v>
      </c>
      <c r="J8475" s="3" t="str">
        <f>HYPERLINK("https://www.boe.es/gazeta/dias/1811/05/15/pdfs/GMD-1811-135.pdf#page=2","Abrir facsímil")</f>
        <v>Abrir facsímil</v>
      </c>
      <c r="K8475" s="3" t="s">
        <v>150</v>
      </c>
    </row>
    <row r="8476" spans="1:11" ht="42" customHeight="1">
      <c r="A8476" s="2" t="s">
        <v>21510</v>
      </c>
      <c r="B8476" s="2" t="s">
        <v>21511</v>
      </c>
      <c r="C8476" s="2" t="s">
        <v>26</v>
      </c>
      <c r="D8476" s="2" t="s">
        <v>18</v>
      </c>
      <c r="E8476" s="4">
        <v>-32421</v>
      </c>
      <c r="F8476" s="3" t="s">
        <v>79</v>
      </c>
      <c r="G8476" s="3" t="s">
        <v>80</v>
      </c>
      <c r="H8476" s="2" t="s">
        <v>148</v>
      </c>
      <c r="I8476" s="2" t="s">
        <v>21512</v>
      </c>
      <c r="J8476" s="3" t="str">
        <f>HYPERLINK("https://www.boe.es/gazeta/dias/1811/03/26/pdfs/GEI-1811-42.pdf#page=7","Abrir facsímil")</f>
        <v>Abrir facsímil</v>
      </c>
      <c r="K8476" s="3" t="s">
        <v>150</v>
      </c>
    </row>
    <row r="8477" spans="1:11" ht="42" customHeight="1">
      <c r="A8477" s="2" t="s">
        <v>21513</v>
      </c>
      <c r="B8477" s="2" t="s">
        <v>21514</v>
      </c>
      <c r="C8477" s="2" t="s">
        <v>26</v>
      </c>
      <c r="D8477" s="2" t="s">
        <v>18</v>
      </c>
      <c r="E8477" s="4">
        <v>-32447</v>
      </c>
      <c r="F8477" s="3" t="s">
        <v>665</v>
      </c>
      <c r="G8477" s="3" t="s">
        <v>57</v>
      </c>
      <c r="H8477" s="2" t="s">
        <v>148</v>
      </c>
      <c r="I8477" s="2" t="s">
        <v>21515</v>
      </c>
      <c r="J8477" s="3" t="str">
        <f>HYPERLINK("https://www.boe.es/gazeta/dias/1811/02/28/pdfs/GMD-1811-59.pdf#page=2","Abrir facsímil")</f>
        <v>Abrir facsímil</v>
      </c>
      <c r="K8477" s="3" t="s">
        <v>150</v>
      </c>
    </row>
    <row r="8478" spans="1:11" ht="42" customHeight="1">
      <c r="A8478" s="2" t="s">
        <v>21516</v>
      </c>
      <c r="B8478" s="2" t="s">
        <v>21517</v>
      </c>
      <c r="C8478" s="2" t="s">
        <v>104</v>
      </c>
      <c r="D8478" s="2" t="s">
        <v>18</v>
      </c>
      <c r="E8478" s="4">
        <v>-32433</v>
      </c>
      <c r="F8478" s="3" t="s">
        <v>209</v>
      </c>
      <c r="G8478" s="3" t="s">
        <v>115</v>
      </c>
      <c r="H8478" s="2" t="s">
        <v>148</v>
      </c>
      <c r="I8478" s="2" t="s">
        <v>21518</v>
      </c>
      <c r="J8478" s="3" t="str">
        <f>HYPERLINK("https://www.boe.es/gazeta/dias/1811/03/14/pdfs/GMD-1811-73.pdf#page=3","Abrir facsímil")</f>
        <v>Abrir facsímil</v>
      </c>
      <c r="K8478" s="3" t="s">
        <v>150</v>
      </c>
    </row>
    <row r="8479" spans="1:11" ht="42" customHeight="1">
      <c r="A8479" s="2" t="s">
        <v>21519</v>
      </c>
      <c r="B8479" s="2" t="s">
        <v>21520</v>
      </c>
      <c r="C8479" s="2" t="s">
        <v>17</v>
      </c>
      <c r="D8479" s="2" t="s">
        <v>18</v>
      </c>
      <c r="E8479" s="4">
        <v>-32300</v>
      </c>
      <c r="F8479" s="3" t="s">
        <v>61</v>
      </c>
      <c r="G8479" s="3" t="s">
        <v>9808</v>
      </c>
      <c r="H8479" s="2" t="s">
        <v>148</v>
      </c>
      <c r="I8479" s="2" t="s">
        <v>21521</v>
      </c>
      <c r="J8479" s="3" t="str">
        <f>HYPERLINK("https://www.boe.es/gazeta/dias/1811/07/25/pdfs/GEI-1811-97.pdf#page=6","Abrir facsímil")</f>
        <v>Abrir facsímil</v>
      </c>
      <c r="K8479" s="3" t="s">
        <v>150</v>
      </c>
    </row>
    <row r="8480" spans="1:11" ht="42" customHeight="1">
      <c r="A8480" s="2" t="s">
        <v>21522</v>
      </c>
      <c r="B8480" s="2" t="s">
        <v>21523</v>
      </c>
      <c r="C8480" s="2" t="s">
        <v>37</v>
      </c>
      <c r="D8480" s="2" t="s">
        <v>156</v>
      </c>
      <c r="E8480" s="4">
        <v>-32237</v>
      </c>
      <c r="F8480" s="3" t="s">
        <v>717</v>
      </c>
      <c r="G8480" s="3" t="s">
        <v>1128</v>
      </c>
      <c r="H8480" s="2" t="s">
        <v>148</v>
      </c>
      <c r="I8480" s="2" t="s">
        <v>21524</v>
      </c>
      <c r="J8480" s="3" t="str">
        <f>HYPERLINK("https://www.boe.es/gazeta/dias/1811/09/26/pdfs/GEI-1811-124.pdf#page=8","Abrir facsímil")</f>
        <v>Abrir facsímil</v>
      </c>
      <c r="K8480" s="3" t="s">
        <v>150</v>
      </c>
    </row>
    <row r="8481" spans="1:11" ht="42" customHeight="1">
      <c r="A8481" s="2" t="s">
        <v>21525</v>
      </c>
      <c r="B8481" s="2" t="s">
        <v>21525</v>
      </c>
      <c r="C8481" s="2" t="s">
        <v>17</v>
      </c>
      <c r="D8481" s="2" t="s">
        <v>156</v>
      </c>
      <c r="E8481" s="4">
        <v>-32410</v>
      </c>
      <c r="F8481" s="3" t="s">
        <v>2678</v>
      </c>
      <c r="G8481" s="3" t="s">
        <v>440</v>
      </c>
      <c r="H8481" s="2" t="s">
        <v>148</v>
      </c>
      <c r="I8481" s="2" t="s">
        <v>21526</v>
      </c>
      <c r="J8481" s="3" t="str">
        <f>HYPERLINK("https://www.boe.es/gazeta/dias/1811/04/06/pdfs/GEI-1811-47.pdf#page=4","Abrir facsímil")</f>
        <v>Abrir facsímil</v>
      </c>
      <c r="K8481" s="3" t="s">
        <v>150</v>
      </c>
    </row>
    <row r="8482" spans="1:11" ht="42" customHeight="1">
      <c r="A8482" s="2" t="s">
        <v>21527</v>
      </c>
      <c r="B8482" s="2" t="s">
        <v>21527</v>
      </c>
      <c r="C8482" s="2" t="s">
        <v>104</v>
      </c>
      <c r="D8482" s="2" t="s">
        <v>18</v>
      </c>
      <c r="E8482" s="4">
        <v>-32329</v>
      </c>
      <c r="F8482" s="3" t="s">
        <v>3214</v>
      </c>
      <c r="G8482" s="3" t="s">
        <v>178</v>
      </c>
      <c r="H8482" s="2" t="s">
        <v>148</v>
      </c>
      <c r="I8482" s="2" t="s">
        <v>21528</v>
      </c>
      <c r="J8482" s="3" t="str">
        <f>HYPERLINK("https://www.boe.es/gazeta/dias/1811/06/26/pdfs/GMD-1811-177.pdf#page=2","Abrir facsímil")</f>
        <v>Abrir facsímil</v>
      </c>
      <c r="K8482" s="3" t="s">
        <v>150</v>
      </c>
    </row>
    <row r="8483" spans="1:11" ht="42" customHeight="1">
      <c r="A8483" s="2" t="s">
        <v>21529</v>
      </c>
      <c r="B8483" s="2" t="s">
        <v>21529</v>
      </c>
      <c r="C8483" s="2" t="s">
        <v>26</v>
      </c>
      <c r="D8483" s="2" t="s">
        <v>18</v>
      </c>
      <c r="E8483" s="4">
        <v>-32153</v>
      </c>
      <c r="F8483" s="3" t="s">
        <v>123</v>
      </c>
      <c r="G8483" s="3" t="s">
        <v>124</v>
      </c>
      <c r="H8483" s="2" t="s">
        <v>148</v>
      </c>
      <c r="I8483" s="2" t="s">
        <v>21530</v>
      </c>
      <c r="J8483" s="3" t="str">
        <f>HYPERLINK("https://www.boe.es/gazeta/dias/1811/12/19/pdfs/GMD-1811-353.pdf#page=6","Abrir facsímil")</f>
        <v>Abrir facsímil</v>
      </c>
      <c r="K8483" s="3" t="s">
        <v>150</v>
      </c>
    </row>
    <row r="8484" spans="1:11" ht="42" customHeight="1">
      <c r="A8484" s="2" t="s">
        <v>21531</v>
      </c>
      <c r="B8484" s="2" t="s">
        <v>21531</v>
      </c>
      <c r="C8484" s="2" t="s">
        <v>37</v>
      </c>
      <c r="D8484" s="2" t="s">
        <v>156</v>
      </c>
      <c r="E8484" s="4">
        <v>-32494</v>
      </c>
      <c r="F8484" s="3" t="s">
        <v>3050</v>
      </c>
      <c r="G8484" s="3" t="s">
        <v>3619</v>
      </c>
      <c r="H8484" s="2" t="s">
        <v>148</v>
      </c>
      <c r="I8484" s="2" t="s">
        <v>21532</v>
      </c>
      <c r="J8484" s="3" t="str">
        <f>HYPERLINK("https://www.boe.es/gazeta/dias/1811/01/12/pdfs/GEI-1811-6.pdf#page=8","Abrir facsímil")</f>
        <v>Abrir facsímil</v>
      </c>
      <c r="K8484" s="3" t="s">
        <v>150</v>
      </c>
    </row>
    <row r="8485" spans="1:11" ht="42" customHeight="1">
      <c r="A8485" s="2" t="s">
        <v>21531</v>
      </c>
      <c r="B8485" s="2" t="s">
        <v>21531</v>
      </c>
      <c r="C8485" s="2" t="s">
        <v>26</v>
      </c>
      <c r="D8485" s="2" t="s">
        <v>18</v>
      </c>
      <c r="E8485" s="4">
        <v>-32428</v>
      </c>
      <c r="F8485" s="3" t="s">
        <v>351</v>
      </c>
      <c r="G8485" s="3" t="s">
        <v>115</v>
      </c>
      <c r="H8485" s="2" t="s">
        <v>148</v>
      </c>
      <c r="I8485" s="2" t="s">
        <v>21533</v>
      </c>
      <c r="J8485" s="3" t="str">
        <f>HYPERLINK("https://www.boe.es/gazeta/dias/1811/03/19/pdfs/GMD-1811-78.pdf#page=3","Abrir facsímil")</f>
        <v>Abrir facsímil</v>
      </c>
      <c r="K8485" s="3" t="s">
        <v>150</v>
      </c>
    </row>
    <row r="8486" spans="1:11" ht="42" customHeight="1">
      <c r="A8486" s="2" t="s">
        <v>21531</v>
      </c>
      <c r="B8486" s="2" t="s">
        <v>21531</v>
      </c>
      <c r="C8486" s="2" t="s">
        <v>26</v>
      </c>
      <c r="D8486" s="2" t="s">
        <v>18</v>
      </c>
      <c r="E8486" s="4">
        <v>-32300</v>
      </c>
      <c r="F8486" s="3" t="s">
        <v>61</v>
      </c>
      <c r="G8486" s="3" t="s">
        <v>62</v>
      </c>
      <c r="H8486" s="2" t="s">
        <v>148</v>
      </c>
      <c r="I8486" s="2" t="s">
        <v>21534</v>
      </c>
      <c r="J8486" s="3" t="str">
        <f>HYPERLINK("https://www.boe.es/gazeta/dias/1811/07/25/pdfs/GEI-1811-97.pdf#page=5","Abrir facsímil")</f>
        <v>Abrir facsímil</v>
      </c>
      <c r="K8486" s="3" t="s">
        <v>150</v>
      </c>
    </row>
    <row r="8487" spans="1:11" ht="42" customHeight="1">
      <c r="A8487" s="2" t="s">
        <v>21531</v>
      </c>
      <c r="B8487" s="2" t="s">
        <v>21531</v>
      </c>
      <c r="C8487" s="2" t="s">
        <v>37</v>
      </c>
      <c r="D8487" s="2" t="s">
        <v>18</v>
      </c>
      <c r="E8487" s="4">
        <v>-32175</v>
      </c>
      <c r="F8487" s="3" t="s">
        <v>1671</v>
      </c>
      <c r="G8487" s="3" t="s">
        <v>1184</v>
      </c>
      <c r="H8487" s="2" t="s">
        <v>148</v>
      </c>
      <c r="I8487" s="2" t="s">
        <v>21535</v>
      </c>
      <c r="J8487" s="3" t="str">
        <f>HYPERLINK("https://www.boe.es/gazeta/dias/1811/11/27/pdfs/GMD-1811-331.pdf#page=4","Abrir facsímil")</f>
        <v>Abrir facsímil</v>
      </c>
      <c r="K8487" s="3" t="s">
        <v>150</v>
      </c>
    </row>
    <row r="8488" spans="1:11" ht="42" customHeight="1">
      <c r="A8488" s="2" t="s">
        <v>21531</v>
      </c>
      <c r="B8488" s="2" t="s">
        <v>21531</v>
      </c>
      <c r="C8488" s="2" t="s">
        <v>17</v>
      </c>
      <c r="D8488" s="2" t="s">
        <v>156</v>
      </c>
      <c r="E8488" s="4">
        <v>-32171</v>
      </c>
      <c r="F8488" s="3" t="s">
        <v>157</v>
      </c>
      <c r="G8488" s="3" t="s">
        <v>44</v>
      </c>
      <c r="H8488" s="2" t="s">
        <v>148</v>
      </c>
      <c r="I8488" s="2" t="s">
        <v>21536</v>
      </c>
      <c r="J8488" s="3" t="str">
        <f>HYPERLINK("https://www.boe.es/gazeta/dias/1811/12/01/pdfs/GMD-1811-335.pdf#page=4","Abrir facsímil")</f>
        <v>Abrir facsímil</v>
      </c>
      <c r="K8488" s="3" t="s">
        <v>150</v>
      </c>
    </row>
    <row r="8489" spans="1:11" ht="42" customHeight="1">
      <c r="A8489" s="2" t="s">
        <v>21531</v>
      </c>
      <c r="B8489" s="2" t="s">
        <v>21531</v>
      </c>
      <c r="C8489" s="2" t="s">
        <v>104</v>
      </c>
      <c r="D8489" s="2" t="s">
        <v>18</v>
      </c>
      <c r="E8489" s="4">
        <v>-32165</v>
      </c>
      <c r="F8489" s="3" t="s">
        <v>1462</v>
      </c>
      <c r="G8489" s="3" t="s">
        <v>1463</v>
      </c>
      <c r="H8489" s="2" t="s">
        <v>148</v>
      </c>
      <c r="I8489" s="2" t="s">
        <v>21537</v>
      </c>
      <c r="J8489" s="3" t="str">
        <f>HYPERLINK("https://www.boe.es/gazeta/dias/1811/12/07/pdfs/GMD-1811-341.pdf#page=3","Abrir facsímil")</f>
        <v>Abrir facsímil</v>
      </c>
      <c r="K8489" s="3" t="s">
        <v>150</v>
      </c>
    </row>
    <row r="8490" spans="1:11" ht="42" customHeight="1">
      <c r="A8490" s="2" t="s">
        <v>21531</v>
      </c>
      <c r="B8490" s="2" t="s">
        <v>21531</v>
      </c>
      <c r="C8490" s="2" t="s">
        <v>84</v>
      </c>
      <c r="D8490" s="2" t="s">
        <v>18</v>
      </c>
      <c r="E8490" s="4">
        <v>-32153</v>
      </c>
      <c r="F8490" s="3" t="s">
        <v>123</v>
      </c>
      <c r="G8490" s="3" t="s">
        <v>124</v>
      </c>
      <c r="H8490" s="2" t="s">
        <v>148</v>
      </c>
      <c r="I8490" s="2" t="s">
        <v>21538</v>
      </c>
      <c r="J8490" s="3" t="str">
        <f>HYPERLINK("https://www.boe.es/gazeta/dias/1811/12/19/pdfs/GMD-1811-353.pdf#page=6","Abrir facsímil")</f>
        <v>Abrir facsímil</v>
      </c>
      <c r="K8490" s="3" t="s">
        <v>150</v>
      </c>
    </row>
    <row r="8491" spans="1:11" ht="42" customHeight="1">
      <c r="A8491" s="2" t="s">
        <v>21539</v>
      </c>
      <c r="B8491" s="2" t="s">
        <v>21540</v>
      </c>
      <c r="C8491" s="2" t="s">
        <v>17</v>
      </c>
      <c r="D8491" s="2" t="s">
        <v>156</v>
      </c>
      <c r="E8491" s="4">
        <v>-32279</v>
      </c>
      <c r="F8491" s="3" t="s">
        <v>444</v>
      </c>
      <c r="G8491" s="3" t="s">
        <v>445</v>
      </c>
      <c r="H8491" s="2" t="s">
        <v>148</v>
      </c>
      <c r="I8491" s="2" t="s">
        <v>21541</v>
      </c>
      <c r="J8491" s="3" t="str">
        <f>HYPERLINK("https://www.boe.es/gazeta/dias/1811/08/15/pdfs/GEI-1811-106.pdf#page=8","Abrir facsímil")</f>
        <v>Abrir facsímil</v>
      </c>
      <c r="K8491" s="3" t="s">
        <v>150</v>
      </c>
    </row>
    <row r="8492" spans="1:11" ht="42" customHeight="1">
      <c r="A8492" s="2" t="s">
        <v>21542</v>
      </c>
      <c r="B8492" s="2" t="s">
        <v>21543</v>
      </c>
      <c r="C8492" s="2" t="s">
        <v>17</v>
      </c>
      <c r="D8492" s="2" t="s">
        <v>156</v>
      </c>
      <c r="E8492" s="4">
        <v>-32230</v>
      </c>
      <c r="F8492" s="3" t="s">
        <v>625</v>
      </c>
      <c r="G8492" s="3" t="s">
        <v>1258</v>
      </c>
      <c r="H8492" s="2" t="s">
        <v>148</v>
      </c>
      <c r="I8492" s="2" t="s">
        <v>21544</v>
      </c>
      <c r="J8492" s="3" t="str">
        <f>HYPERLINK("https://www.boe.es/gazeta/dias/1811/10/03/pdfs/GEI-1811-127.pdf#page=8","Abrir facsímil")</f>
        <v>Abrir facsímil</v>
      </c>
      <c r="K8492" s="3" t="s">
        <v>150</v>
      </c>
    </row>
    <row r="8493" spans="1:11" ht="42" customHeight="1">
      <c r="A8493" s="2" t="s">
        <v>21545</v>
      </c>
      <c r="B8493" s="2" t="s">
        <v>21546</v>
      </c>
      <c r="C8493" s="2" t="s">
        <v>17</v>
      </c>
      <c r="D8493" s="2" t="s">
        <v>156</v>
      </c>
      <c r="E8493" s="4">
        <v>-32146</v>
      </c>
      <c r="F8493" s="3" t="s">
        <v>777</v>
      </c>
      <c r="G8493" s="3" t="s">
        <v>846</v>
      </c>
      <c r="H8493" s="2" t="s">
        <v>148</v>
      </c>
      <c r="I8493" s="2" t="s">
        <v>21547</v>
      </c>
      <c r="J8493" s="3" t="str">
        <f>HYPERLINK("https://www.boe.es/gazeta/dias/1811/12/26/pdfs/GEI-1811-167.pdf#page=8","Abrir facsímil")</f>
        <v>Abrir facsímil</v>
      </c>
      <c r="K8493" s="3" t="s">
        <v>150</v>
      </c>
    </row>
    <row r="8494" spans="1:11" ht="42" customHeight="1">
      <c r="A8494" s="2" t="s">
        <v>21548</v>
      </c>
      <c r="B8494" s="2" t="s">
        <v>21548</v>
      </c>
      <c r="C8494" s="2" t="s">
        <v>17</v>
      </c>
      <c r="D8494" s="2" t="s">
        <v>156</v>
      </c>
      <c r="E8494" s="4">
        <v>-32268</v>
      </c>
      <c r="F8494" s="3" t="s">
        <v>3683</v>
      </c>
      <c r="G8494" s="3" t="s">
        <v>2146</v>
      </c>
      <c r="H8494" s="2" t="s">
        <v>148</v>
      </c>
      <c r="I8494" s="2" t="s">
        <v>21549</v>
      </c>
      <c r="J8494" s="3" t="str">
        <f>HYPERLINK("https://www.boe.es/gazeta/dias/1811/08/26/pdfs/GMD-1811-238.pdf#page=4","Abrir facsímil")</f>
        <v>Abrir facsímil</v>
      </c>
      <c r="K8494" s="3" t="s">
        <v>150</v>
      </c>
    </row>
    <row r="8495" spans="1:11" ht="42" customHeight="1">
      <c r="A8495" s="2" t="s">
        <v>21550</v>
      </c>
      <c r="B8495" s="2" t="s">
        <v>21550</v>
      </c>
      <c r="C8495" s="2" t="s">
        <v>17</v>
      </c>
      <c r="D8495" s="2" t="s">
        <v>156</v>
      </c>
      <c r="E8495" s="4">
        <v>-32428</v>
      </c>
      <c r="F8495" s="3" t="s">
        <v>351</v>
      </c>
      <c r="G8495" s="3" t="s">
        <v>57</v>
      </c>
      <c r="H8495" s="2" t="s">
        <v>148</v>
      </c>
      <c r="I8495" s="2" t="s">
        <v>21551</v>
      </c>
      <c r="J8495" s="3" t="str">
        <f>HYPERLINK("https://www.boe.es/gazeta/dias/1811/03/19/pdfs/GMD-1811-78.pdf#page=2","Abrir facsímil")</f>
        <v>Abrir facsímil</v>
      </c>
      <c r="K8495" s="3" t="s">
        <v>150</v>
      </c>
    </row>
    <row r="8496" spans="1:11" ht="42" customHeight="1">
      <c r="A8496" s="2" t="s">
        <v>21550</v>
      </c>
      <c r="B8496" s="2" t="s">
        <v>21550</v>
      </c>
      <c r="C8496" s="2" t="s">
        <v>17</v>
      </c>
      <c r="D8496" s="2" t="s">
        <v>156</v>
      </c>
      <c r="E8496" s="4">
        <v>-32400</v>
      </c>
      <c r="F8496" s="3" t="s">
        <v>13774</v>
      </c>
      <c r="G8496" s="3" t="s">
        <v>44</v>
      </c>
      <c r="H8496" s="2" t="s">
        <v>148</v>
      </c>
      <c r="I8496" s="2" t="s">
        <v>21552</v>
      </c>
      <c r="J8496" s="3" t="str">
        <f>HYPERLINK("https://www.boe.es/gazeta/dias/1811/04/16/pdfs/GEI-1811-51.pdf#page=5","Abrir facsímil")</f>
        <v>Abrir facsímil</v>
      </c>
      <c r="K8496" s="3" t="s">
        <v>150</v>
      </c>
    </row>
    <row r="8497" spans="1:11" ht="42" customHeight="1">
      <c r="A8497" s="2" t="s">
        <v>21550</v>
      </c>
      <c r="B8497" s="2" t="s">
        <v>21550</v>
      </c>
      <c r="C8497" s="2" t="s">
        <v>17</v>
      </c>
      <c r="D8497" s="2" t="s">
        <v>156</v>
      </c>
      <c r="E8497" s="4">
        <v>-32388</v>
      </c>
      <c r="F8497" s="3" t="s">
        <v>2772</v>
      </c>
      <c r="G8497" s="3" t="s">
        <v>9331</v>
      </c>
      <c r="H8497" s="2" t="s">
        <v>148</v>
      </c>
      <c r="I8497" s="2" t="s">
        <v>21553</v>
      </c>
      <c r="J8497" s="3" t="str">
        <f>HYPERLINK("https://www.boe.es/gazeta/dias/1811/04/28/pdfs/GMD-1811-118.pdf#page=1","Abrir facsímil")</f>
        <v>Abrir facsímil</v>
      </c>
      <c r="K8497" s="3" t="s">
        <v>150</v>
      </c>
    </row>
    <row r="8498" spans="1:11" ht="42" customHeight="1">
      <c r="A8498" s="2" t="s">
        <v>21550</v>
      </c>
      <c r="B8498" s="2" t="s">
        <v>21550</v>
      </c>
      <c r="C8498" s="2" t="s">
        <v>17</v>
      </c>
      <c r="D8498" s="2" t="s">
        <v>156</v>
      </c>
      <c r="E8498" s="4">
        <v>-32349</v>
      </c>
      <c r="F8498" s="3" t="s">
        <v>239</v>
      </c>
      <c r="G8498" s="3" t="s">
        <v>162</v>
      </c>
      <c r="H8498" s="2" t="s">
        <v>148</v>
      </c>
      <c r="I8498" s="2" t="s">
        <v>21554</v>
      </c>
      <c r="J8498" s="3" t="str">
        <f>HYPERLINK("https://www.boe.es/gazeta/dias/1811/06/06/pdfs/GEI-1811-76.pdf#page=2","Abrir facsímil")</f>
        <v>Abrir facsímil</v>
      </c>
      <c r="K8498" s="3" t="s">
        <v>150</v>
      </c>
    </row>
    <row r="8499" spans="1:11" ht="42" customHeight="1">
      <c r="A8499" s="2" t="s">
        <v>21550</v>
      </c>
      <c r="B8499" s="2" t="s">
        <v>21550</v>
      </c>
      <c r="C8499" s="2" t="s">
        <v>104</v>
      </c>
      <c r="D8499" s="2" t="s">
        <v>18</v>
      </c>
      <c r="E8499" s="4">
        <v>-32279</v>
      </c>
      <c r="F8499" s="3" t="s">
        <v>540</v>
      </c>
      <c r="G8499" s="3" t="s">
        <v>91</v>
      </c>
      <c r="H8499" s="2" t="s">
        <v>148</v>
      </c>
      <c r="I8499" s="2" t="s">
        <v>21555</v>
      </c>
      <c r="J8499" s="3" t="str">
        <f>HYPERLINK("https://www.boe.es/gazeta/dias/1811/08/15/pdfs/GMD-1811-227.pdf#page=3","Abrir facsímil")</f>
        <v>Abrir facsímil</v>
      </c>
      <c r="K8499" s="3" t="s">
        <v>150</v>
      </c>
    </row>
    <row r="8500" spans="1:11" ht="42" customHeight="1">
      <c r="A8500" s="2" t="s">
        <v>21550</v>
      </c>
      <c r="B8500" s="2" t="s">
        <v>21550</v>
      </c>
      <c r="C8500" s="2" t="s">
        <v>26</v>
      </c>
      <c r="D8500" s="2" t="s">
        <v>105</v>
      </c>
      <c r="E8500" s="4">
        <v>-32222</v>
      </c>
      <c r="F8500" s="3" t="s">
        <v>4460</v>
      </c>
      <c r="G8500" s="3" t="s">
        <v>4461</v>
      </c>
      <c r="H8500" s="2" t="s">
        <v>148</v>
      </c>
      <c r="I8500" s="2" t="s">
        <v>21556</v>
      </c>
      <c r="J8500" s="3" t="str">
        <f>HYPERLINK("https://www.boe.es/gazeta/dias/1811/10/11/pdfs/GMD-1811-284.pdf#page=3","Abrir facsímil")</f>
        <v>Abrir facsímil</v>
      </c>
      <c r="K8500" s="3" t="s">
        <v>150</v>
      </c>
    </row>
    <row r="8501" spans="1:11" ht="42" customHeight="1">
      <c r="A8501" s="2" t="s">
        <v>21550</v>
      </c>
      <c r="B8501" s="2" t="s">
        <v>21550</v>
      </c>
      <c r="C8501" s="2" t="s">
        <v>17</v>
      </c>
      <c r="D8501" s="2" t="s">
        <v>204</v>
      </c>
      <c r="E8501" s="4">
        <v>-32158</v>
      </c>
      <c r="F8501" s="3" t="s">
        <v>2014</v>
      </c>
      <c r="G8501" s="3" t="s">
        <v>20</v>
      </c>
      <c r="H8501" s="2" t="s">
        <v>148</v>
      </c>
      <c r="I8501" s="2" t="s">
        <v>21557</v>
      </c>
      <c r="J8501" s="3" t="str">
        <f>HYPERLINK("https://www.boe.es/gazeta/dias/1811/12/14/pdfs/GMD-1811-348.pdf#page=1","Abrir facsímil")</f>
        <v>Abrir facsímil</v>
      </c>
      <c r="K8501" s="3" t="s">
        <v>150</v>
      </c>
    </row>
    <row r="8502" spans="1:11" ht="42" customHeight="1">
      <c r="A8502" s="2" t="s">
        <v>21558</v>
      </c>
      <c r="B8502" s="2" t="s">
        <v>21558</v>
      </c>
      <c r="C8502" s="2" t="s">
        <v>17</v>
      </c>
      <c r="D8502" s="2" t="s">
        <v>18</v>
      </c>
      <c r="E8502" s="4">
        <v>-32144</v>
      </c>
      <c r="F8502" s="3" t="s">
        <v>1097</v>
      </c>
      <c r="G8502" s="3" t="s">
        <v>476</v>
      </c>
      <c r="H8502" s="2" t="s">
        <v>148</v>
      </c>
      <c r="I8502" s="2" t="s">
        <v>21559</v>
      </c>
      <c r="J8502" s="3" t="str">
        <f>HYPERLINK("https://www.boe.es/gazeta/dias/1811/12/28/pdfs/GEI-1811-168.pdf#page=7","Abrir facsímil")</f>
        <v>Abrir facsímil</v>
      </c>
      <c r="K8502" s="3" t="s">
        <v>150</v>
      </c>
    </row>
    <row r="8503" spans="1:11" ht="42" customHeight="1">
      <c r="A8503" s="2" t="s">
        <v>21560</v>
      </c>
      <c r="B8503" s="2" t="s">
        <v>21561</v>
      </c>
      <c r="C8503" s="2" t="s">
        <v>26</v>
      </c>
      <c r="D8503" s="2" t="s">
        <v>18</v>
      </c>
      <c r="E8503" s="4">
        <v>-32288</v>
      </c>
      <c r="F8503" s="3" t="s">
        <v>95</v>
      </c>
      <c r="G8503" s="3" t="s">
        <v>47</v>
      </c>
      <c r="H8503" s="2" t="s">
        <v>148</v>
      </c>
      <c r="I8503" s="2" t="s">
        <v>21562</v>
      </c>
      <c r="J8503" s="3" t="str">
        <f>HYPERLINK("https://www.boe.es/gazeta/dias/1811/08/06/pdfs/GEI-1811-102.pdf#page=8","Abrir facsímil")</f>
        <v>Abrir facsímil</v>
      </c>
      <c r="K8503" s="3" t="s">
        <v>150</v>
      </c>
    </row>
    <row r="8504" spans="1:11" ht="42" customHeight="1">
      <c r="A8504" s="2" t="s">
        <v>21563</v>
      </c>
      <c r="B8504" s="2" t="s">
        <v>21564</v>
      </c>
      <c r="C8504" s="2" t="s">
        <v>17</v>
      </c>
      <c r="D8504" s="2" t="s">
        <v>18</v>
      </c>
      <c r="E8504" s="4">
        <v>-32279</v>
      </c>
      <c r="F8504" s="3" t="s">
        <v>540</v>
      </c>
      <c r="G8504" s="3" t="s">
        <v>91</v>
      </c>
      <c r="H8504" s="2" t="s">
        <v>148</v>
      </c>
      <c r="I8504" s="2" t="s">
        <v>21565</v>
      </c>
      <c r="J8504" s="3" t="str">
        <f>HYPERLINK("https://www.boe.es/gazeta/dias/1811/08/15/pdfs/GMD-1811-227.pdf#page=3","Abrir facsímil")</f>
        <v>Abrir facsímil</v>
      </c>
      <c r="K8504" s="3" t="s">
        <v>150</v>
      </c>
    </row>
    <row r="8505" spans="1:11" ht="42" customHeight="1">
      <c r="A8505" s="2" t="s">
        <v>21566</v>
      </c>
      <c r="B8505" s="2" t="s">
        <v>21567</v>
      </c>
      <c r="C8505" s="2" t="s">
        <v>26</v>
      </c>
      <c r="D8505" s="2" t="s">
        <v>141</v>
      </c>
      <c r="E8505" s="4">
        <v>-32238</v>
      </c>
      <c r="F8505" s="3" t="s">
        <v>166</v>
      </c>
      <c r="G8505" s="3" t="s">
        <v>178</v>
      </c>
      <c r="H8505" s="2" t="s">
        <v>148</v>
      </c>
      <c r="I8505" s="2" t="s">
        <v>21568</v>
      </c>
      <c r="J8505" s="3" t="str">
        <f>HYPERLINK("https://www.boe.es/gazeta/dias/1811/09/25/pdfs/GMD-C-1811-268.pdf#page=4","Abrir facsímil")</f>
        <v>Abrir facsímil</v>
      </c>
      <c r="K8505" s="3" t="s">
        <v>150</v>
      </c>
    </row>
    <row r="8506" spans="1:11" ht="42" customHeight="1">
      <c r="A8506" s="2" t="s">
        <v>21569</v>
      </c>
      <c r="B8506" s="2" t="s">
        <v>21570</v>
      </c>
      <c r="C8506" s="2" t="s">
        <v>26</v>
      </c>
      <c r="D8506" s="2" t="s">
        <v>18</v>
      </c>
      <c r="E8506" s="4">
        <v>-32155</v>
      </c>
      <c r="F8506" s="3" t="s">
        <v>263</v>
      </c>
      <c r="G8506" s="3" t="s">
        <v>1800</v>
      </c>
      <c r="H8506" s="2" t="s">
        <v>148</v>
      </c>
      <c r="I8506" s="2" t="s">
        <v>21571</v>
      </c>
      <c r="J8506" s="3" t="str">
        <f>HYPERLINK("https://www.boe.es/gazeta/dias/1811/12/17/pdfs/GEI-1811-163.pdf#page=7","Abrir facsímil")</f>
        <v>Abrir facsímil</v>
      </c>
      <c r="K8506" s="3" t="s">
        <v>150</v>
      </c>
    </row>
    <row r="8507" spans="1:11" ht="42" customHeight="1">
      <c r="A8507" s="2" t="s">
        <v>21572</v>
      </c>
      <c r="B8507" s="2" t="s">
        <v>21573</v>
      </c>
      <c r="C8507" s="2" t="s">
        <v>17</v>
      </c>
      <c r="D8507" s="2" t="s">
        <v>18</v>
      </c>
      <c r="E8507" s="4">
        <v>-32176</v>
      </c>
      <c r="F8507" s="3" t="s">
        <v>638</v>
      </c>
      <c r="G8507" s="3" t="s">
        <v>639</v>
      </c>
      <c r="H8507" s="2" t="s">
        <v>148</v>
      </c>
      <c r="I8507" s="2" t="s">
        <v>21574</v>
      </c>
      <c r="J8507" s="3" t="str">
        <f>HYPERLINK("https://www.boe.es/gazeta/dias/1811/11/26/pdfs/GEI-1811-154.pdf#page=7","Abrir facsímil")</f>
        <v>Abrir facsímil</v>
      </c>
      <c r="K8507" s="3" t="s">
        <v>150</v>
      </c>
    </row>
    <row r="8508" spans="1:11" ht="42" customHeight="1">
      <c r="A8508" s="2" t="s">
        <v>21575</v>
      </c>
      <c r="B8508" s="2" t="s">
        <v>21576</v>
      </c>
      <c r="C8508" s="2" t="s">
        <v>17</v>
      </c>
      <c r="D8508" s="2" t="s">
        <v>105</v>
      </c>
      <c r="E8508" s="4">
        <v>-32494</v>
      </c>
      <c r="F8508" s="3" t="s">
        <v>3050</v>
      </c>
      <c r="G8508" s="3" t="s">
        <v>1179</v>
      </c>
      <c r="H8508" s="2" t="s">
        <v>148</v>
      </c>
      <c r="I8508" s="2" t="s">
        <v>21577</v>
      </c>
      <c r="J8508" s="3" t="str">
        <f>HYPERLINK("https://www.boe.es/gazeta/dias/1811/01/12/pdfs/GEI-1811-6.pdf#page=7","Abrir facsímil")</f>
        <v>Abrir facsímil</v>
      </c>
      <c r="K8508" s="3" t="s">
        <v>150</v>
      </c>
    </row>
    <row r="8509" spans="1:11" ht="42" customHeight="1">
      <c r="A8509" s="2" t="s">
        <v>21578</v>
      </c>
      <c r="B8509" s="2" t="s">
        <v>21579</v>
      </c>
      <c r="C8509" s="2" t="s">
        <v>26</v>
      </c>
      <c r="D8509" s="2" t="s">
        <v>18</v>
      </c>
      <c r="E8509" s="4">
        <v>-32188</v>
      </c>
      <c r="F8509" s="3" t="s">
        <v>356</v>
      </c>
      <c r="G8509" s="3" t="s">
        <v>248</v>
      </c>
      <c r="H8509" s="2" t="s">
        <v>148</v>
      </c>
      <c r="I8509" s="2" t="s">
        <v>21580</v>
      </c>
      <c r="J8509" s="3" t="str">
        <f>HYPERLINK("https://www.boe.es/gazeta/dias/1811/11/14/pdfs/GMD-1811-318.pdf#page=5","Abrir facsímil")</f>
        <v>Abrir facsímil</v>
      </c>
      <c r="K8509" s="3" t="s">
        <v>150</v>
      </c>
    </row>
    <row r="8510" spans="1:11" ht="42" customHeight="1">
      <c r="A8510" s="2" t="s">
        <v>21581</v>
      </c>
      <c r="B8510" s="2" t="s">
        <v>21582</v>
      </c>
      <c r="C8510" s="2" t="s">
        <v>17</v>
      </c>
      <c r="D8510" s="2" t="s">
        <v>18</v>
      </c>
      <c r="E8510" s="4">
        <v>-32309</v>
      </c>
      <c r="F8510" s="3" t="s">
        <v>2496</v>
      </c>
      <c r="G8510" s="3" t="s">
        <v>91</v>
      </c>
      <c r="H8510" s="2" t="s">
        <v>148</v>
      </c>
      <c r="I8510" s="2" t="s">
        <v>21583</v>
      </c>
      <c r="J8510" s="3" t="str">
        <f>HYPERLINK("https://www.boe.es/gazeta/dias/1811/07/16/pdfs/GEI-1811-93.pdf#page=7","Abrir facsímil")</f>
        <v>Abrir facsímil</v>
      </c>
      <c r="K8510" s="3" t="s">
        <v>150</v>
      </c>
    </row>
    <row r="8511" spans="1:11" ht="42" customHeight="1">
      <c r="A8511" s="2" t="s">
        <v>21584</v>
      </c>
      <c r="B8511" s="2" t="s">
        <v>21585</v>
      </c>
      <c r="C8511" s="2" t="s">
        <v>26</v>
      </c>
      <c r="D8511" s="2" t="s">
        <v>18</v>
      </c>
      <c r="E8511" s="4">
        <v>-32188</v>
      </c>
      <c r="F8511" s="3" t="s">
        <v>356</v>
      </c>
      <c r="G8511" s="3" t="s">
        <v>468</v>
      </c>
      <c r="H8511" s="2" t="s">
        <v>148</v>
      </c>
      <c r="I8511" s="2" t="s">
        <v>21586</v>
      </c>
      <c r="J8511" s="3" t="str">
        <f>HYPERLINK("https://www.boe.es/gazeta/dias/1811/11/14/pdfs/GMD-1811-318.pdf#page=6","Abrir facsímil")</f>
        <v>Abrir facsímil</v>
      </c>
      <c r="K8511" s="3" t="s">
        <v>150</v>
      </c>
    </row>
    <row r="8512" spans="1:11" ht="42" customHeight="1">
      <c r="A8512" s="2" t="s">
        <v>21587</v>
      </c>
      <c r="B8512" s="2" t="s">
        <v>21588</v>
      </c>
      <c r="C8512" s="2" t="s">
        <v>26</v>
      </c>
      <c r="D8512" s="2" t="s">
        <v>18</v>
      </c>
      <c r="E8512" s="4">
        <v>-32165</v>
      </c>
      <c r="F8512" s="3" t="s">
        <v>1462</v>
      </c>
      <c r="G8512" s="3" t="s">
        <v>1463</v>
      </c>
      <c r="H8512" s="2" t="s">
        <v>148</v>
      </c>
      <c r="I8512" s="2" t="s">
        <v>21589</v>
      </c>
      <c r="J8512" s="3" t="str">
        <f>HYPERLINK("https://www.boe.es/gazeta/dias/1811/12/07/pdfs/GMD-1811-341.pdf#page=3","Abrir facsímil")</f>
        <v>Abrir facsímil</v>
      </c>
      <c r="K8512" s="3" t="s">
        <v>150</v>
      </c>
    </row>
    <row r="8513" spans="1:11" ht="42" customHeight="1">
      <c r="A8513" s="2" t="s">
        <v>21590</v>
      </c>
      <c r="B8513" s="2" t="s">
        <v>21591</v>
      </c>
      <c r="C8513" s="2" t="s">
        <v>17</v>
      </c>
      <c r="D8513" s="2" t="s">
        <v>18</v>
      </c>
      <c r="E8513" s="4">
        <v>-32417</v>
      </c>
      <c r="F8513" s="3" t="s">
        <v>604</v>
      </c>
      <c r="G8513" s="3" t="s">
        <v>178</v>
      </c>
      <c r="H8513" s="2" t="s">
        <v>148</v>
      </c>
      <c r="I8513" s="2" t="s">
        <v>21592</v>
      </c>
      <c r="J8513" s="3" t="str">
        <f>HYPERLINK("https://www.boe.es/gazeta/dias/1811/03/30/pdfs/GMD-1811-89.pdf#page=3","Abrir facsímil")</f>
        <v>Abrir facsímil</v>
      </c>
      <c r="K8513" s="3" t="s">
        <v>150</v>
      </c>
    </row>
    <row r="8514" spans="1:11" ht="42" customHeight="1">
      <c r="A8514" s="2" t="s">
        <v>21593</v>
      </c>
      <c r="B8514" s="2" t="s">
        <v>21594</v>
      </c>
      <c r="C8514" s="2" t="s">
        <v>26</v>
      </c>
      <c r="D8514" s="2" t="s">
        <v>18</v>
      </c>
      <c r="E8514" s="4">
        <v>-32496</v>
      </c>
      <c r="F8514" s="3" t="s">
        <v>5478</v>
      </c>
      <c r="G8514" s="3" t="s">
        <v>6383</v>
      </c>
      <c r="H8514" s="2" t="s">
        <v>21</v>
      </c>
      <c r="I8514" s="2" t="s">
        <v>21595</v>
      </c>
      <c r="J8514" s="3" t="str">
        <f>HYPERLINK("https://www.boe.es/gazeta/dias/1811/01/10/pdfs/GMD-1811-10.pdf#page=2","Abrir facsímil")</f>
        <v>Abrir facsímil</v>
      </c>
      <c r="K8514" s="3" t="s">
        <v>23</v>
      </c>
    </row>
    <row r="8515" spans="1:11" ht="42" customHeight="1">
      <c r="A8515" s="2" t="s">
        <v>21596</v>
      </c>
      <c r="B8515" s="2" t="s">
        <v>21597</v>
      </c>
      <c r="C8515" s="2" t="s">
        <v>17</v>
      </c>
      <c r="D8515" s="2" t="s">
        <v>204</v>
      </c>
      <c r="E8515" s="4">
        <v>-32274</v>
      </c>
      <c r="F8515" s="3" t="s">
        <v>988</v>
      </c>
      <c r="G8515" s="3" t="s">
        <v>2906</v>
      </c>
      <c r="H8515" s="2" t="s">
        <v>148</v>
      </c>
      <c r="I8515" s="2" t="s">
        <v>21598</v>
      </c>
      <c r="J8515" s="3" t="str">
        <f>HYPERLINK("https://www.boe.es/gazeta/dias/1811/08/20/pdfs/GMD-1811-232.pdf#page=1","Abrir facsímil")</f>
        <v>Abrir facsímil</v>
      </c>
      <c r="K8515" s="3" t="s">
        <v>150</v>
      </c>
    </row>
    <row r="8516" spans="1:11" ht="42" customHeight="1">
      <c r="A8516" s="2" t="s">
        <v>21599</v>
      </c>
      <c r="B8516" s="2" t="s">
        <v>21599</v>
      </c>
      <c r="C8516" s="2" t="s">
        <v>17</v>
      </c>
      <c r="D8516" s="2" t="s">
        <v>204</v>
      </c>
      <c r="E8516" s="4">
        <v>-32469</v>
      </c>
      <c r="F8516" s="3" t="s">
        <v>3448</v>
      </c>
      <c r="G8516" s="3" t="s">
        <v>115</v>
      </c>
      <c r="H8516" s="2" t="s">
        <v>148</v>
      </c>
      <c r="I8516" s="2" t="s">
        <v>21600</v>
      </c>
      <c r="J8516" s="3" t="str">
        <f>HYPERLINK("https://www.boe.es/gazeta/dias/1811/02/06/pdfs/GMD-1811-37.pdf#page=3","Abrir facsímil")</f>
        <v>Abrir facsímil</v>
      </c>
      <c r="K8516" s="3" t="s">
        <v>150</v>
      </c>
    </row>
    <row r="8517" spans="1:11" ht="42" customHeight="1">
      <c r="A8517" s="2" t="s">
        <v>21601</v>
      </c>
      <c r="B8517" s="2" t="s">
        <v>21602</v>
      </c>
      <c r="C8517" s="2" t="s">
        <v>17</v>
      </c>
      <c r="D8517" s="2" t="s">
        <v>18</v>
      </c>
      <c r="E8517" s="4">
        <v>-32176</v>
      </c>
      <c r="F8517" s="3" t="s">
        <v>638</v>
      </c>
      <c r="G8517" s="3" t="s">
        <v>639</v>
      </c>
      <c r="H8517" s="2" t="s">
        <v>148</v>
      </c>
      <c r="I8517" s="2" t="s">
        <v>21603</v>
      </c>
      <c r="J8517" s="3" t="str">
        <f>HYPERLINK("https://www.boe.es/gazeta/dias/1811/11/26/pdfs/GEI-1811-154.pdf#page=7","Abrir facsímil")</f>
        <v>Abrir facsímil</v>
      </c>
      <c r="K8517" s="3" t="s">
        <v>150</v>
      </c>
    </row>
    <row r="8518" spans="1:11" ht="42" customHeight="1">
      <c r="A8518" s="2" t="s">
        <v>21604</v>
      </c>
      <c r="B8518" s="2" t="s">
        <v>21605</v>
      </c>
      <c r="C8518" s="2" t="s">
        <v>17</v>
      </c>
      <c r="D8518" s="2" t="s">
        <v>156</v>
      </c>
      <c r="E8518" s="4">
        <v>-32272</v>
      </c>
      <c r="F8518" s="3" t="s">
        <v>1121</v>
      </c>
      <c r="G8518" s="3" t="s">
        <v>510</v>
      </c>
      <c r="H8518" s="2" t="s">
        <v>148</v>
      </c>
      <c r="I8518" s="2" t="s">
        <v>21606</v>
      </c>
      <c r="J8518" s="3" t="str">
        <f>HYPERLINK("https://www.boe.es/gazeta/dias/1811/08/22/pdfs/GEI-1811-109.pdf#page=8","Abrir facsímil")</f>
        <v>Abrir facsímil</v>
      </c>
      <c r="K8518" s="3" t="s">
        <v>150</v>
      </c>
    </row>
    <row r="8519" spans="1:11" ht="42" customHeight="1">
      <c r="A8519" s="2" t="s">
        <v>21607</v>
      </c>
      <c r="B8519" s="2" t="s">
        <v>21607</v>
      </c>
      <c r="C8519" s="2" t="s">
        <v>17</v>
      </c>
      <c r="D8519" s="2" t="s">
        <v>18</v>
      </c>
      <c r="E8519" s="4">
        <v>-32442</v>
      </c>
      <c r="F8519" s="3" t="s">
        <v>634</v>
      </c>
      <c r="G8519" s="3" t="s">
        <v>20</v>
      </c>
      <c r="H8519" s="2" t="s">
        <v>148</v>
      </c>
      <c r="I8519" s="2" t="s">
        <v>21608</v>
      </c>
      <c r="J8519" s="3" t="str">
        <f>HYPERLINK("https://www.boe.es/gazeta/dias/1811/03/05/pdfs/GEI-1811-29.pdf#page=8","Abrir facsímil")</f>
        <v>Abrir facsímil</v>
      </c>
      <c r="K8519" s="3" t="s">
        <v>150</v>
      </c>
    </row>
    <row r="8520" spans="1:11" ht="42" customHeight="1">
      <c r="A8520" s="2" t="s">
        <v>21609</v>
      </c>
      <c r="B8520" s="2" t="s">
        <v>21610</v>
      </c>
      <c r="C8520" s="2" t="s">
        <v>26</v>
      </c>
      <c r="D8520" s="2" t="s">
        <v>18</v>
      </c>
      <c r="E8520" s="4">
        <v>-32237</v>
      </c>
      <c r="F8520" s="3" t="s">
        <v>717</v>
      </c>
      <c r="G8520" s="3" t="s">
        <v>718</v>
      </c>
      <c r="H8520" s="2" t="s">
        <v>148</v>
      </c>
      <c r="I8520" s="2" t="s">
        <v>21611</v>
      </c>
      <c r="J8520" s="3" t="str">
        <f>HYPERLINK("https://www.boe.es/gazeta/dias/1811/09/26/pdfs/GEI-1811-124.pdf#page=5","Abrir facsímil")</f>
        <v>Abrir facsímil</v>
      </c>
      <c r="K8520" s="3" t="s">
        <v>150</v>
      </c>
    </row>
    <row r="8521" spans="1:11" ht="42" customHeight="1">
      <c r="A8521" s="2" t="s">
        <v>21612</v>
      </c>
      <c r="B8521" s="2" t="s">
        <v>21613</v>
      </c>
      <c r="C8521" s="2" t="s">
        <v>26</v>
      </c>
      <c r="D8521" s="2" t="s">
        <v>18</v>
      </c>
      <c r="E8521" s="4">
        <v>-32379</v>
      </c>
      <c r="F8521" s="3" t="s">
        <v>462</v>
      </c>
      <c r="G8521" s="3" t="s">
        <v>1179</v>
      </c>
      <c r="H8521" s="2" t="s">
        <v>148</v>
      </c>
      <c r="I8521" s="2" t="s">
        <v>21614</v>
      </c>
      <c r="J8521" s="3" t="str">
        <f>HYPERLINK("https://www.boe.es/gazeta/dias/1811/05/07/pdfs/GEI-1811-60.pdf#page=6","Abrir facsímil")</f>
        <v>Abrir facsímil</v>
      </c>
      <c r="K8521" s="3" t="s">
        <v>150</v>
      </c>
    </row>
    <row r="8522" spans="1:11" ht="42" customHeight="1">
      <c r="A8522" s="2" t="s">
        <v>21615</v>
      </c>
      <c r="B8522" s="2" t="s">
        <v>21616</v>
      </c>
      <c r="C8522" s="2" t="s">
        <v>17</v>
      </c>
      <c r="D8522" s="2" t="s">
        <v>18</v>
      </c>
      <c r="E8522" s="4">
        <v>-32370</v>
      </c>
      <c r="F8522" s="3" t="s">
        <v>146</v>
      </c>
      <c r="G8522" s="3" t="s">
        <v>162</v>
      </c>
      <c r="H8522" s="2" t="s">
        <v>148</v>
      </c>
      <c r="I8522" s="2" t="s">
        <v>21617</v>
      </c>
      <c r="J8522" s="3" t="str">
        <f>HYPERLINK("https://www.boe.es/gazeta/dias/1811/05/16/pdfs/GEI-1811-64.pdf#page=1","Abrir facsímil")</f>
        <v>Abrir facsímil</v>
      </c>
      <c r="K8522" s="3" t="s">
        <v>150</v>
      </c>
    </row>
    <row r="8523" spans="1:11" ht="42" customHeight="1">
      <c r="A8523" s="2" t="s">
        <v>21618</v>
      </c>
      <c r="B8523" s="2" t="s">
        <v>21619</v>
      </c>
      <c r="C8523" s="2" t="s">
        <v>26</v>
      </c>
      <c r="D8523" s="2" t="s">
        <v>18</v>
      </c>
      <c r="E8523" s="4">
        <v>-32426</v>
      </c>
      <c r="F8523" s="3" t="s">
        <v>2729</v>
      </c>
      <c r="G8523" s="3" t="s">
        <v>4715</v>
      </c>
      <c r="H8523" s="2" t="s">
        <v>148</v>
      </c>
      <c r="I8523" s="2" t="s">
        <v>21620</v>
      </c>
      <c r="J8523" s="3" t="str">
        <f>HYPERLINK("https://www.boe.es/gazeta/dias/1811/03/21/pdfs/GEI-1811-40.pdf#page=5","Abrir facsímil")</f>
        <v>Abrir facsímil</v>
      </c>
      <c r="K8523" s="3" t="s">
        <v>150</v>
      </c>
    </row>
    <row r="8524" spans="1:11" ht="42" customHeight="1">
      <c r="A8524" s="2" t="s">
        <v>21621</v>
      </c>
      <c r="B8524" s="2" t="s">
        <v>21622</v>
      </c>
      <c r="C8524" s="2" t="s">
        <v>26</v>
      </c>
      <c r="D8524" s="2" t="s">
        <v>18</v>
      </c>
      <c r="E8524" s="4">
        <v>-32235</v>
      </c>
      <c r="F8524" s="3" t="s">
        <v>190</v>
      </c>
      <c r="G8524" s="3" t="s">
        <v>188</v>
      </c>
      <c r="H8524" s="2" t="s">
        <v>148</v>
      </c>
      <c r="I8524" s="2" t="s">
        <v>21623</v>
      </c>
      <c r="J8524" s="3" t="str">
        <f>HYPERLINK("https://www.boe.es/gazeta/dias/1811/09/28/pdfs/GEI-1811-125.pdf#page=8","Abrir facsímil")</f>
        <v>Abrir facsímil</v>
      </c>
      <c r="K8524" s="3" t="s">
        <v>150</v>
      </c>
    </row>
    <row r="8525" spans="1:11" ht="42" customHeight="1">
      <c r="A8525" s="2" t="s">
        <v>21624</v>
      </c>
      <c r="B8525" s="2" t="s">
        <v>21624</v>
      </c>
      <c r="C8525" s="2" t="s">
        <v>17</v>
      </c>
      <c r="D8525" s="2" t="s">
        <v>18</v>
      </c>
      <c r="E8525" s="4">
        <v>-32442</v>
      </c>
      <c r="F8525" s="3" t="s">
        <v>634</v>
      </c>
      <c r="G8525" s="3" t="s">
        <v>20</v>
      </c>
      <c r="H8525" s="2" t="s">
        <v>148</v>
      </c>
      <c r="I8525" s="2" t="s">
        <v>21625</v>
      </c>
      <c r="J8525" s="3" t="str">
        <f>HYPERLINK("https://www.boe.es/gazeta/dias/1811/03/05/pdfs/GEI-1811-29.pdf#page=8","Abrir facsímil")</f>
        <v>Abrir facsímil</v>
      </c>
      <c r="K8525" s="3" t="s">
        <v>150</v>
      </c>
    </row>
    <row r="8526" spans="1:11" ht="42" customHeight="1">
      <c r="A8526" s="2" t="s">
        <v>21626</v>
      </c>
      <c r="B8526" s="2" t="s">
        <v>21627</v>
      </c>
      <c r="C8526" s="2" t="s">
        <v>26</v>
      </c>
      <c r="D8526" s="2" t="s">
        <v>18</v>
      </c>
      <c r="E8526" s="4">
        <v>-32438</v>
      </c>
      <c r="F8526" s="3" t="s">
        <v>114</v>
      </c>
      <c r="G8526" s="3" t="s">
        <v>2516</v>
      </c>
      <c r="H8526" s="2" t="s">
        <v>148</v>
      </c>
      <c r="I8526" s="2" t="s">
        <v>21628</v>
      </c>
      <c r="J8526" s="3" t="str">
        <f>HYPERLINK("https://www.boe.es/gazeta/dias/1811/03/09/pdfs/GEI-1811-33.pdf#page=7","Abrir facsímil")</f>
        <v>Abrir facsímil</v>
      </c>
      <c r="K8526" s="3" t="s">
        <v>150</v>
      </c>
    </row>
    <row r="8527" spans="1:11" ht="42" customHeight="1">
      <c r="A8527" s="2" t="s">
        <v>21629</v>
      </c>
      <c r="B8527" s="2" t="s">
        <v>21630</v>
      </c>
      <c r="C8527" s="2" t="s">
        <v>367</v>
      </c>
      <c r="D8527" s="2" t="s">
        <v>204</v>
      </c>
      <c r="E8527" s="4">
        <v>-32141</v>
      </c>
      <c r="F8527" s="3" t="s">
        <v>327</v>
      </c>
      <c r="G8527" s="3" t="s">
        <v>115</v>
      </c>
      <c r="H8527" s="2" t="s">
        <v>148</v>
      </c>
      <c r="I8527" s="2" t="s">
        <v>21631</v>
      </c>
      <c r="J8527" s="3" t="str">
        <f>HYPERLINK("https://www.boe.es/gazeta/dias/1811/12/31/pdfs/GMD-1811-365.pdf#page=3","Abrir facsímil")</f>
        <v>Abrir facsímil</v>
      </c>
      <c r="K8527" s="3" t="s">
        <v>150</v>
      </c>
    </row>
    <row r="8528" spans="1:11" ht="42" customHeight="1">
      <c r="A8528" s="2" t="s">
        <v>21632</v>
      </c>
      <c r="B8528" s="2" t="s">
        <v>21632</v>
      </c>
      <c r="C8528" s="2" t="s">
        <v>17</v>
      </c>
      <c r="D8528" s="2" t="s">
        <v>18</v>
      </c>
      <c r="E8528" s="4">
        <v>-32381</v>
      </c>
      <c r="F8528" s="3" t="s">
        <v>1698</v>
      </c>
      <c r="G8528" s="3" t="s">
        <v>134</v>
      </c>
      <c r="H8528" s="2" t="s">
        <v>148</v>
      </c>
      <c r="I8528" s="2" t="s">
        <v>21633</v>
      </c>
      <c r="J8528" s="3" t="str">
        <f>HYPERLINK("https://www.boe.es/gazeta/dias/1811/05/05/pdfs/GMD-1811-125.pdf#page=3","Abrir facsímil")</f>
        <v>Abrir facsímil</v>
      </c>
      <c r="K8528" s="3" t="s">
        <v>150</v>
      </c>
    </row>
    <row r="8529" spans="1:11" ht="42" customHeight="1">
      <c r="A8529" s="2" t="s">
        <v>21634</v>
      </c>
      <c r="B8529" s="2" t="s">
        <v>21634</v>
      </c>
      <c r="C8529" s="2" t="s">
        <v>17</v>
      </c>
      <c r="D8529" s="2" t="s">
        <v>156</v>
      </c>
      <c r="E8529" s="4">
        <v>-32389</v>
      </c>
      <c r="F8529" s="3" t="s">
        <v>5683</v>
      </c>
      <c r="G8529" s="3" t="s">
        <v>20</v>
      </c>
      <c r="H8529" s="2" t="s">
        <v>148</v>
      </c>
      <c r="I8529" s="2" t="s">
        <v>21635</v>
      </c>
      <c r="J8529" s="3" t="str">
        <f>HYPERLINK("https://www.boe.es/gazeta/dias/1811/04/27/pdfs/GMD-1811-117.pdf#page=3","Abrir facsímil")</f>
        <v>Abrir facsímil</v>
      </c>
      <c r="K8529" s="3" t="s">
        <v>150</v>
      </c>
    </row>
    <row r="8530" spans="1:11" ht="42" customHeight="1">
      <c r="A8530" s="2" t="s">
        <v>21636</v>
      </c>
      <c r="B8530" s="2" t="s">
        <v>21637</v>
      </c>
      <c r="C8530" s="2" t="s">
        <v>26</v>
      </c>
      <c r="D8530" s="2" t="s">
        <v>18</v>
      </c>
      <c r="E8530" s="4">
        <v>-32286</v>
      </c>
      <c r="F8530" s="3" t="s">
        <v>754</v>
      </c>
      <c r="G8530" s="3" t="s">
        <v>1728</v>
      </c>
      <c r="H8530" s="2" t="s">
        <v>148</v>
      </c>
      <c r="I8530" s="2" t="s">
        <v>21638</v>
      </c>
      <c r="J8530" s="3" t="str">
        <f>HYPERLINK("https://www.boe.es/gazeta/dias/1811/08/08/pdfs/GEI-1811-103.pdf#page=8","Abrir facsímil")</f>
        <v>Abrir facsímil</v>
      </c>
      <c r="K8530" s="3" t="s">
        <v>150</v>
      </c>
    </row>
    <row r="8531" spans="1:11" ht="42" customHeight="1">
      <c r="A8531" s="2" t="s">
        <v>21639</v>
      </c>
      <c r="B8531" s="2" t="s">
        <v>21639</v>
      </c>
      <c r="C8531" s="2" t="s">
        <v>17</v>
      </c>
      <c r="D8531" s="2" t="s">
        <v>18</v>
      </c>
      <c r="E8531" s="4">
        <v>-32440</v>
      </c>
      <c r="F8531" s="3" t="s">
        <v>1254</v>
      </c>
      <c r="G8531" s="3" t="s">
        <v>21640</v>
      </c>
      <c r="H8531" s="2" t="s">
        <v>148</v>
      </c>
      <c r="I8531" s="2" t="s">
        <v>21641</v>
      </c>
      <c r="J8531" s="3" t="str">
        <f>HYPERLINK("https://www.boe.es/gazeta/dias/1811/03/07/pdfs/GEI-1811-32.pdf#page=6","Abrir facsímil")</f>
        <v>Abrir facsímil</v>
      </c>
      <c r="K8531" s="3" t="s">
        <v>150</v>
      </c>
    </row>
    <row r="8532" spans="1:11" ht="42" customHeight="1">
      <c r="A8532" s="2" t="s">
        <v>21642</v>
      </c>
      <c r="B8532" s="2" t="s">
        <v>21643</v>
      </c>
      <c r="C8532" s="2" t="s">
        <v>26</v>
      </c>
      <c r="D8532" s="2" t="s">
        <v>18</v>
      </c>
      <c r="E8532" s="4">
        <v>-32449</v>
      </c>
      <c r="F8532" s="3" t="s">
        <v>381</v>
      </c>
      <c r="G8532" s="3" t="s">
        <v>21644</v>
      </c>
      <c r="H8532" s="2" t="s">
        <v>148</v>
      </c>
      <c r="I8532" s="2" t="s">
        <v>21645</v>
      </c>
      <c r="J8532" s="3" t="str">
        <f>HYPERLINK("https://www.boe.es/gazeta/dias/1811/02/26/pdfs/GEI-1811-25.pdf#page=6","Abrir facsímil")</f>
        <v>Abrir facsímil</v>
      </c>
      <c r="K8532" s="3" t="s">
        <v>150</v>
      </c>
    </row>
    <row r="8533" spans="1:11" ht="42" customHeight="1">
      <c r="A8533" s="2" t="s">
        <v>21642</v>
      </c>
      <c r="B8533" s="2" t="s">
        <v>21643</v>
      </c>
      <c r="C8533" s="2" t="s">
        <v>104</v>
      </c>
      <c r="D8533" s="2" t="s">
        <v>18</v>
      </c>
      <c r="E8533" s="4">
        <v>-32442</v>
      </c>
      <c r="F8533" s="3" t="s">
        <v>634</v>
      </c>
      <c r="G8533" s="3" t="s">
        <v>391</v>
      </c>
      <c r="H8533" s="2" t="s">
        <v>148</v>
      </c>
      <c r="I8533" s="2" t="s">
        <v>21646</v>
      </c>
      <c r="J8533" s="3" t="str">
        <f>HYPERLINK("https://www.boe.es/gazeta/dias/1811/03/05/pdfs/GEI-1811-29.pdf#page=4","Abrir facsímil")</f>
        <v>Abrir facsímil</v>
      </c>
      <c r="K8533" s="3" t="s">
        <v>150</v>
      </c>
    </row>
    <row r="8534" spans="1:11" ht="42" customHeight="1">
      <c r="A8534" s="2" t="s">
        <v>21642</v>
      </c>
      <c r="B8534" s="2" t="s">
        <v>21643</v>
      </c>
      <c r="C8534" s="2" t="s">
        <v>84</v>
      </c>
      <c r="D8534" s="2" t="s">
        <v>18</v>
      </c>
      <c r="E8534" s="4">
        <v>-32442</v>
      </c>
      <c r="F8534" s="3" t="s">
        <v>634</v>
      </c>
      <c r="G8534" s="3" t="s">
        <v>3243</v>
      </c>
      <c r="H8534" s="2" t="s">
        <v>148</v>
      </c>
      <c r="I8534" s="2" t="s">
        <v>21647</v>
      </c>
      <c r="J8534" s="3" t="str">
        <f>HYPERLINK("https://www.boe.es/gazeta/dias/1811/03/05/pdfs/GEI-1811-29.pdf#page=5","Abrir facsímil")</f>
        <v>Abrir facsímil</v>
      </c>
      <c r="K8534" s="3" t="s">
        <v>150</v>
      </c>
    </row>
    <row r="8535" spans="1:11" ht="42" customHeight="1">
      <c r="A8535" s="2" t="s">
        <v>21648</v>
      </c>
      <c r="B8535" s="2" t="s">
        <v>21649</v>
      </c>
      <c r="C8535" s="2" t="s">
        <v>26</v>
      </c>
      <c r="D8535" s="2" t="s">
        <v>18</v>
      </c>
      <c r="E8535" s="4">
        <v>-32419</v>
      </c>
      <c r="F8535" s="3" t="s">
        <v>2585</v>
      </c>
      <c r="G8535" s="3" t="s">
        <v>4529</v>
      </c>
      <c r="H8535" s="2" t="s">
        <v>148</v>
      </c>
      <c r="I8535" s="2" t="s">
        <v>21650</v>
      </c>
      <c r="J8535" s="3" t="str">
        <f>HYPERLINK("https://www.boe.es/gazeta/dias/1811/03/28/pdfs/GEI-1811-43.pdf#page=8","Abrir facsímil")</f>
        <v>Abrir facsímil</v>
      </c>
      <c r="K8535" s="3" t="s">
        <v>150</v>
      </c>
    </row>
    <row r="8536" spans="1:11" ht="42" customHeight="1">
      <c r="A8536" s="2" t="s">
        <v>21651</v>
      </c>
      <c r="B8536" s="2" t="s">
        <v>21652</v>
      </c>
      <c r="C8536" s="2" t="s">
        <v>26</v>
      </c>
      <c r="D8536" s="2" t="s">
        <v>141</v>
      </c>
      <c r="E8536" s="4">
        <v>-32238</v>
      </c>
      <c r="F8536" s="3" t="s">
        <v>166</v>
      </c>
      <c r="G8536" s="3" t="s">
        <v>178</v>
      </c>
      <c r="H8536" s="2" t="s">
        <v>148</v>
      </c>
      <c r="I8536" s="2" t="s">
        <v>21653</v>
      </c>
      <c r="J8536" s="3" t="str">
        <f>HYPERLINK("https://www.boe.es/gazeta/dias/1811/09/25/pdfs/GMD-C-1811-268.pdf#page=4","Abrir facsímil")</f>
        <v>Abrir facsímil</v>
      </c>
      <c r="K8536" s="3" t="s">
        <v>150</v>
      </c>
    </row>
    <row r="8537" spans="1:11" ht="42" customHeight="1">
      <c r="A8537" s="2" t="s">
        <v>21654</v>
      </c>
      <c r="B8537" s="2" t="s">
        <v>21654</v>
      </c>
      <c r="C8537" s="2" t="s">
        <v>17</v>
      </c>
      <c r="D8537" s="2" t="s">
        <v>156</v>
      </c>
      <c r="E8537" s="4">
        <v>-32381</v>
      </c>
      <c r="F8537" s="3" t="s">
        <v>1698</v>
      </c>
      <c r="G8537" s="3" t="s">
        <v>134</v>
      </c>
      <c r="H8537" s="2" t="s">
        <v>148</v>
      </c>
      <c r="I8537" s="2" t="s">
        <v>21655</v>
      </c>
      <c r="J8537" s="3" t="str">
        <f>HYPERLINK("https://www.boe.es/gazeta/dias/1811/05/05/pdfs/GMD-1811-125.pdf#page=3","Abrir facsímil")</f>
        <v>Abrir facsímil</v>
      </c>
      <c r="K8537" s="3" t="s">
        <v>150</v>
      </c>
    </row>
    <row r="8538" spans="1:11" ht="42" customHeight="1">
      <c r="A8538" s="2" t="s">
        <v>21656</v>
      </c>
      <c r="B8538" s="2" t="s">
        <v>21656</v>
      </c>
      <c r="C8538" s="2" t="s">
        <v>17</v>
      </c>
      <c r="D8538" s="2" t="s">
        <v>18</v>
      </c>
      <c r="E8538" s="4">
        <v>-32473</v>
      </c>
      <c r="F8538" s="3" t="s">
        <v>3399</v>
      </c>
      <c r="G8538" s="3" t="s">
        <v>282</v>
      </c>
      <c r="H8538" s="2" t="s">
        <v>148</v>
      </c>
      <c r="I8538" s="2" t="s">
        <v>21657</v>
      </c>
      <c r="J8538" s="3" t="str">
        <f>HYPERLINK("https://www.boe.es/gazeta/dias/1811/02/02/pdfs/GEI-1811-15.pdf#page=4","Abrir facsímil")</f>
        <v>Abrir facsímil</v>
      </c>
      <c r="K8538" s="3" t="s">
        <v>150</v>
      </c>
    </row>
    <row r="8539" spans="1:11" ht="42" customHeight="1">
      <c r="A8539" s="2" t="s">
        <v>21656</v>
      </c>
      <c r="B8539" s="2" t="s">
        <v>21656</v>
      </c>
      <c r="C8539" s="2" t="s">
        <v>17</v>
      </c>
      <c r="D8539" s="2" t="s">
        <v>18</v>
      </c>
      <c r="E8539" s="4">
        <v>-32426</v>
      </c>
      <c r="F8539" s="3" t="s">
        <v>2729</v>
      </c>
      <c r="G8539" s="3" t="s">
        <v>1784</v>
      </c>
      <c r="H8539" s="2" t="s">
        <v>148</v>
      </c>
      <c r="I8539" s="2" t="s">
        <v>21658</v>
      </c>
      <c r="J8539" s="3" t="str">
        <f>HYPERLINK("https://www.boe.es/gazeta/dias/1811/03/21/pdfs/GEI-1811-40.pdf#page=7","Abrir facsímil")</f>
        <v>Abrir facsímil</v>
      </c>
      <c r="K8539" s="3" t="s">
        <v>150</v>
      </c>
    </row>
    <row r="8540" spans="1:11" ht="42" customHeight="1">
      <c r="A8540" s="2" t="s">
        <v>21659</v>
      </c>
      <c r="B8540" s="2" t="s">
        <v>21660</v>
      </c>
      <c r="C8540" s="2" t="s">
        <v>17</v>
      </c>
      <c r="D8540" s="2" t="s">
        <v>18</v>
      </c>
      <c r="E8540" s="4">
        <v>-32202</v>
      </c>
      <c r="F8540" s="3" t="s">
        <v>2194</v>
      </c>
      <c r="G8540" s="3" t="s">
        <v>7693</v>
      </c>
      <c r="H8540" s="2" t="s">
        <v>148</v>
      </c>
      <c r="I8540" s="2" t="s">
        <v>21661</v>
      </c>
      <c r="J8540" s="3" t="str">
        <f>HYPERLINK("https://www.boe.es/gazeta/dias/1811/10/31/pdfs/GEI-1811-140.pdf#page=3","Abrir facsímil")</f>
        <v>Abrir facsímil</v>
      </c>
      <c r="K8540" s="3" t="s">
        <v>150</v>
      </c>
    </row>
    <row r="8541" spans="1:11" ht="42" customHeight="1">
      <c r="A8541" s="2" t="s">
        <v>21662</v>
      </c>
      <c r="B8541" s="2" t="s">
        <v>21663</v>
      </c>
      <c r="C8541" s="2" t="s">
        <v>26</v>
      </c>
      <c r="D8541" s="2" t="s">
        <v>18</v>
      </c>
      <c r="E8541" s="4">
        <v>-32300</v>
      </c>
      <c r="F8541" s="3" t="s">
        <v>61</v>
      </c>
      <c r="G8541" s="3" t="s">
        <v>62</v>
      </c>
      <c r="H8541" s="2" t="s">
        <v>148</v>
      </c>
      <c r="I8541" s="2" t="s">
        <v>21664</v>
      </c>
      <c r="J8541" s="3" t="str">
        <f>HYPERLINK("https://www.boe.es/gazeta/dias/1811/07/25/pdfs/GEI-1811-97.pdf#page=5","Abrir facsímil")</f>
        <v>Abrir facsímil</v>
      </c>
      <c r="K8541" s="3" t="s">
        <v>150</v>
      </c>
    </row>
    <row r="8542" spans="1:11" ht="42" customHeight="1">
      <c r="A8542" s="2" t="s">
        <v>21665</v>
      </c>
      <c r="B8542" s="2" t="s">
        <v>21666</v>
      </c>
      <c r="C8542" s="2" t="s">
        <v>17</v>
      </c>
      <c r="D8542" s="2" t="s">
        <v>18</v>
      </c>
      <c r="E8542" s="4">
        <v>-32300</v>
      </c>
      <c r="F8542" s="3" t="s">
        <v>61</v>
      </c>
      <c r="G8542" s="3" t="s">
        <v>62</v>
      </c>
      <c r="H8542" s="2" t="s">
        <v>148</v>
      </c>
      <c r="I8542" s="2" t="s">
        <v>21667</v>
      </c>
      <c r="J8542" s="3" t="str">
        <f>HYPERLINK("https://www.boe.es/gazeta/dias/1811/07/25/pdfs/GEI-1811-97.pdf#page=5","Abrir facsímil")</f>
        <v>Abrir facsímil</v>
      </c>
      <c r="K8542" s="3" t="s">
        <v>150</v>
      </c>
    </row>
    <row r="8543" spans="1:11" ht="42" customHeight="1">
      <c r="A8543" s="2" t="s">
        <v>21668</v>
      </c>
      <c r="B8543" s="2" t="s">
        <v>21669</v>
      </c>
      <c r="C8543" s="2" t="s">
        <v>26</v>
      </c>
      <c r="D8543" s="2" t="s">
        <v>18</v>
      </c>
      <c r="E8543" s="4">
        <v>-32382</v>
      </c>
      <c r="F8543" s="3" t="s">
        <v>1269</v>
      </c>
      <c r="G8543" s="3" t="s">
        <v>183</v>
      </c>
      <c r="H8543" s="2" t="s">
        <v>148</v>
      </c>
      <c r="I8543" s="2" t="s">
        <v>21670</v>
      </c>
      <c r="J8543" s="3" t="str">
        <f>HYPERLINK("https://www.boe.es/gazeta/dias/1811/05/04/pdfs/GEI-1811-59.pdf#page=4","Abrir facsímil")</f>
        <v>Abrir facsímil</v>
      </c>
      <c r="K8543" s="3" t="s">
        <v>150</v>
      </c>
    </row>
    <row r="8544" spans="1:11" ht="42" customHeight="1">
      <c r="A8544" s="2" t="s">
        <v>21671</v>
      </c>
      <c r="B8544" s="2" t="s">
        <v>21672</v>
      </c>
      <c r="C8544" s="2" t="s">
        <v>26</v>
      </c>
      <c r="D8544" s="2" t="s">
        <v>18</v>
      </c>
      <c r="E8544" s="4">
        <v>-32382</v>
      </c>
      <c r="F8544" s="3" t="s">
        <v>1269</v>
      </c>
      <c r="G8544" s="3" t="s">
        <v>14818</v>
      </c>
      <c r="H8544" s="2" t="s">
        <v>148</v>
      </c>
      <c r="I8544" s="2" t="s">
        <v>21673</v>
      </c>
      <c r="J8544" s="3" t="str">
        <f>HYPERLINK("https://www.boe.es/gazeta/dias/1811/05/04/pdfs/GEI-1811-59.pdf#page=5","Abrir facsímil")</f>
        <v>Abrir facsímil</v>
      </c>
      <c r="K8544" s="3" t="s">
        <v>150</v>
      </c>
    </row>
    <row r="8545" spans="1:11" ht="42" customHeight="1">
      <c r="A8545" s="2" t="s">
        <v>21671</v>
      </c>
      <c r="B8545" s="2" t="s">
        <v>21672</v>
      </c>
      <c r="C8545" s="2" t="s">
        <v>17</v>
      </c>
      <c r="D8545" s="2" t="s">
        <v>156</v>
      </c>
      <c r="E8545" s="4">
        <v>-32179</v>
      </c>
      <c r="F8545" s="3" t="s">
        <v>2924</v>
      </c>
      <c r="G8545" s="3" t="s">
        <v>39</v>
      </c>
      <c r="H8545" s="2" t="s">
        <v>148</v>
      </c>
      <c r="I8545" s="2" t="s">
        <v>21674</v>
      </c>
      <c r="J8545" s="3" t="str">
        <f>HYPERLINK("https://www.boe.es/gazeta/dias/1811/11/23/pdfs/GEI-D-1811-153.pdf#page=1","Abrir facsímil")</f>
        <v>Abrir facsímil</v>
      </c>
      <c r="K8545" s="3" t="s">
        <v>150</v>
      </c>
    </row>
    <row r="8546" spans="1:11" ht="42" customHeight="1">
      <c r="A8546" s="2" t="s">
        <v>21675</v>
      </c>
      <c r="B8546" s="2" t="s">
        <v>21675</v>
      </c>
      <c r="C8546" s="2" t="s">
        <v>17</v>
      </c>
      <c r="D8546" s="2" t="s">
        <v>18</v>
      </c>
      <c r="E8546" s="4">
        <v>-32501</v>
      </c>
      <c r="F8546" s="3" t="s">
        <v>509</v>
      </c>
      <c r="G8546" s="3" t="s">
        <v>39</v>
      </c>
      <c r="H8546" s="2" t="s">
        <v>148</v>
      </c>
      <c r="I8546" s="2" t="s">
        <v>21676</v>
      </c>
      <c r="J8546" s="3" t="str">
        <f>HYPERLINK("https://www.boe.es/gazeta/dias/1811/01/05/pdfs/GEI-1811-3.pdf#page=1","Abrir facsímil")</f>
        <v>Abrir facsímil</v>
      </c>
      <c r="K8546" s="3" t="s">
        <v>150</v>
      </c>
    </row>
    <row r="8547" spans="1:11" ht="42" customHeight="1">
      <c r="A8547" s="2" t="s">
        <v>21675</v>
      </c>
      <c r="B8547" s="2" t="s">
        <v>21675</v>
      </c>
      <c r="C8547" s="2" t="s">
        <v>17</v>
      </c>
      <c r="D8547" s="2" t="s">
        <v>156</v>
      </c>
      <c r="E8547" s="4">
        <v>-32498</v>
      </c>
      <c r="F8547" s="3" t="s">
        <v>828</v>
      </c>
      <c r="G8547" s="3" t="s">
        <v>57</v>
      </c>
      <c r="H8547" s="2" t="s">
        <v>148</v>
      </c>
      <c r="I8547" s="2" t="s">
        <v>21677</v>
      </c>
      <c r="J8547" s="3" t="str">
        <f>HYPERLINK("https://www.boe.es/gazeta/dias/1811/01/08/pdfs/GEI-1811-4.pdf#page=2","Abrir facsímil")</f>
        <v>Abrir facsímil</v>
      </c>
      <c r="K8547" s="3" t="s">
        <v>150</v>
      </c>
    </row>
    <row r="8548" spans="1:11" ht="42" customHeight="1">
      <c r="A8548" s="2" t="s">
        <v>21675</v>
      </c>
      <c r="B8548" s="2" t="s">
        <v>21675</v>
      </c>
      <c r="C8548" s="2" t="s">
        <v>17</v>
      </c>
      <c r="D8548" s="2" t="s">
        <v>18</v>
      </c>
      <c r="E8548" s="4">
        <v>-32435</v>
      </c>
      <c r="F8548" s="3" t="s">
        <v>224</v>
      </c>
      <c r="G8548" s="3" t="s">
        <v>129</v>
      </c>
      <c r="H8548" s="2" t="s">
        <v>148</v>
      </c>
      <c r="I8548" s="2" t="s">
        <v>21678</v>
      </c>
      <c r="J8548" s="3" t="str">
        <f>HYPERLINK("https://www.boe.es/gazeta/dias/1811/03/12/pdfs/GEI-1811-35.pdf#page=2","Abrir facsímil")</f>
        <v>Abrir facsímil</v>
      </c>
      <c r="K8548" s="3" t="s">
        <v>150</v>
      </c>
    </row>
    <row r="8549" spans="1:11" ht="42" customHeight="1">
      <c r="A8549" s="2" t="s">
        <v>21675</v>
      </c>
      <c r="B8549" s="2" t="s">
        <v>21675</v>
      </c>
      <c r="C8549" s="2" t="s">
        <v>17</v>
      </c>
      <c r="D8549" s="2" t="s">
        <v>18</v>
      </c>
      <c r="E8549" s="4">
        <v>-32435</v>
      </c>
      <c r="F8549" s="3" t="s">
        <v>224</v>
      </c>
      <c r="G8549" s="3" t="s">
        <v>10544</v>
      </c>
      <c r="H8549" s="2" t="s">
        <v>148</v>
      </c>
      <c r="I8549" s="2" t="s">
        <v>21679</v>
      </c>
      <c r="J8549" s="3" t="str">
        <f>HYPERLINK("https://www.boe.es/gazeta/dias/1811/03/12/pdfs/GEI-1811-35.pdf#page=3","Abrir facsímil")</f>
        <v>Abrir facsímil</v>
      </c>
      <c r="K8549" s="3" t="s">
        <v>150</v>
      </c>
    </row>
    <row r="8550" spans="1:11" ht="42" customHeight="1">
      <c r="A8550" s="2" t="s">
        <v>21675</v>
      </c>
      <c r="B8550" s="2" t="s">
        <v>21675</v>
      </c>
      <c r="C8550" s="2" t="s">
        <v>17</v>
      </c>
      <c r="D8550" s="2" t="s">
        <v>18</v>
      </c>
      <c r="E8550" s="4">
        <v>-32354</v>
      </c>
      <c r="F8550" s="3" t="s">
        <v>2914</v>
      </c>
      <c r="G8550" s="3" t="s">
        <v>2594</v>
      </c>
      <c r="H8550" s="2" t="s">
        <v>148</v>
      </c>
      <c r="I8550" s="2" t="s">
        <v>21680</v>
      </c>
      <c r="J8550" s="3" t="str">
        <f>HYPERLINK("https://www.boe.es/gazeta/dias/1811/06/01/pdfs/GEI-1811-74.pdf#page=4","Abrir facsímil")</f>
        <v>Abrir facsímil</v>
      </c>
      <c r="K8550" s="3" t="s">
        <v>150</v>
      </c>
    </row>
    <row r="8551" spans="1:11" ht="42" customHeight="1">
      <c r="A8551" s="2" t="s">
        <v>21675</v>
      </c>
      <c r="B8551" s="2" t="s">
        <v>21675</v>
      </c>
      <c r="C8551" s="2" t="s">
        <v>17</v>
      </c>
      <c r="D8551" s="2" t="s">
        <v>18</v>
      </c>
      <c r="E8551" s="4">
        <v>-32221</v>
      </c>
      <c r="F8551" s="3" t="s">
        <v>747</v>
      </c>
      <c r="G8551" s="3" t="s">
        <v>248</v>
      </c>
      <c r="H8551" s="2" t="s">
        <v>148</v>
      </c>
      <c r="I8551" s="2" t="s">
        <v>21681</v>
      </c>
      <c r="J8551" s="3" t="str">
        <f>HYPERLINK("https://www.boe.es/gazeta/dias/1811/10/12/pdfs/GEI-1811-131.pdf#page=7","Abrir facsímil")</f>
        <v>Abrir facsímil</v>
      </c>
      <c r="K8551" s="3" t="s">
        <v>150</v>
      </c>
    </row>
    <row r="8552" spans="1:11" ht="42" customHeight="1">
      <c r="A8552" s="2" t="s">
        <v>21682</v>
      </c>
      <c r="B8552" s="2" t="s">
        <v>21683</v>
      </c>
      <c r="C8552" s="2" t="s">
        <v>17</v>
      </c>
      <c r="D8552" s="2" t="s">
        <v>156</v>
      </c>
      <c r="E8552" s="4">
        <v>-32498</v>
      </c>
      <c r="F8552" s="3" t="s">
        <v>828</v>
      </c>
      <c r="G8552" s="3" t="s">
        <v>1296</v>
      </c>
      <c r="H8552" s="2" t="s">
        <v>148</v>
      </c>
      <c r="I8552" s="2" t="s">
        <v>21684</v>
      </c>
      <c r="J8552" s="3" t="str">
        <f>HYPERLINK("https://www.boe.es/gazeta/dias/1811/01/08/pdfs/GEI-1811-4.pdf#page=4","Abrir facsímil")</f>
        <v>Abrir facsímil</v>
      </c>
      <c r="K8552" s="3" t="s">
        <v>150</v>
      </c>
    </row>
    <row r="8553" spans="1:11" ht="42" customHeight="1">
      <c r="A8553" s="2" t="s">
        <v>21682</v>
      </c>
      <c r="B8553" s="2" t="s">
        <v>21683</v>
      </c>
      <c r="C8553" s="2" t="s">
        <v>17</v>
      </c>
      <c r="D8553" s="2" t="s">
        <v>156</v>
      </c>
      <c r="E8553" s="4">
        <v>-32330</v>
      </c>
      <c r="F8553" s="3" t="s">
        <v>1824</v>
      </c>
      <c r="G8553" s="3" t="s">
        <v>891</v>
      </c>
      <c r="H8553" s="2" t="s">
        <v>148</v>
      </c>
      <c r="I8553" s="2" t="s">
        <v>21685</v>
      </c>
      <c r="J8553" s="3" t="str">
        <f>HYPERLINK("https://www.boe.es/gazeta/dias/1811/06/25/pdfs/GEI-1811-84.pdf#page=2","Abrir facsímil")</f>
        <v>Abrir facsímil</v>
      </c>
      <c r="K8553" s="3" t="s">
        <v>150</v>
      </c>
    </row>
    <row r="8554" spans="1:11" ht="42" customHeight="1">
      <c r="A8554" s="2" t="s">
        <v>21686</v>
      </c>
      <c r="B8554" s="2" t="s">
        <v>21687</v>
      </c>
      <c r="C8554" s="2" t="s">
        <v>26</v>
      </c>
      <c r="D8554" s="2" t="s">
        <v>105</v>
      </c>
      <c r="E8554" s="4">
        <v>-32242</v>
      </c>
      <c r="F8554" s="3" t="s">
        <v>3015</v>
      </c>
      <c r="G8554" s="3" t="s">
        <v>7851</v>
      </c>
      <c r="H8554" s="2" t="s">
        <v>148</v>
      </c>
      <c r="I8554" s="2" t="s">
        <v>21688</v>
      </c>
      <c r="J8554" s="3" t="str">
        <f>HYPERLINK("https://www.boe.es/gazeta/dias/1811/09/21/pdfs/GMD-1811-264.pdf#page=3","Abrir facsímil")</f>
        <v>Abrir facsímil</v>
      </c>
      <c r="K8554" s="3" t="s">
        <v>150</v>
      </c>
    </row>
    <row r="8555" spans="1:11" ht="42" customHeight="1">
      <c r="A8555" s="2" t="s">
        <v>21689</v>
      </c>
      <c r="B8555" s="2" t="s">
        <v>21689</v>
      </c>
      <c r="C8555" s="2" t="s">
        <v>17</v>
      </c>
      <c r="D8555" s="2" t="s">
        <v>18</v>
      </c>
      <c r="E8555" s="4">
        <v>-32419</v>
      </c>
      <c r="F8555" s="3" t="s">
        <v>2585</v>
      </c>
      <c r="G8555" s="3" t="s">
        <v>20</v>
      </c>
      <c r="H8555" s="2" t="s">
        <v>148</v>
      </c>
      <c r="I8555" s="2" t="s">
        <v>21690</v>
      </c>
      <c r="J8555" s="3" t="str">
        <f>HYPERLINK("https://www.boe.es/gazeta/dias/1811/03/28/pdfs/GEI-1811-43.pdf#page=4","Abrir facsímil")</f>
        <v>Abrir facsímil</v>
      </c>
      <c r="K8555" s="3" t="s">
        <v>150</v>
      </c>
    </row>
    <row r="8556" spans="1:11" ht="42" customHeight="1">
      <c r="A8556" s="2" t="s">
        <v>21691</v>
      </c>
      <c r="B8556" s="2" t="s">
        <v>21692</v>
      </c>
      <c r="C8556" s="2" t="s">
        <v>26</v>
      </c>
      <c r="D8556" s="2" t="s">
        <v>18</v>
      </c>
      <c r="E8556" s="4">
        <v>-32283</v>
      </c>
      <c r="F8556" s="3" t="s">
        <v>90</v>
      </c>
      <c r="G8556" s="3" t="s">
        <v>91</v>
      </c>
      <c r="H8556" s="2" t="s">
        <v>148</v>
      </c>
      <c r="I8556" s="2" t="s">
        <v>21693</v>
      </c>
      <c r="J8556" s="3" t="str">
        <f>HYPERLINK("https://www.boe.es/gazeta/dias/1811/08/11/pdfs/GMD-1811-223.pdf#page=4","Abrir facsímil")</f>
        <v>Abrir facsímil</v>
      </c>
      <c r="K8556" s="3" t="s">
        <v>150</v>
      </c>
    </row>
    <row r="8557" spans="1:11" ht="42" customHeight="1">
      <c r="A8557" s="2" t="s">
        <v>21694</v>
      </c>
      <c r="B8557" s="2" t="s">
        <v>21694</v>
      </c>
      <c r="C8557" s="2" t="s">
        <v>17</v>
      </c>
      <c r="D8557" s="2" t="s">
        <v>18</v>
      </c>
      <c r="E8557" s="4">
        <v>-32484</v>
      </c>
      <c r="F8557" s="3" t="s">
        <v>467</v>
      </c>
      <c r="G8557" s="3" t="s">
        <v>875</v>
      </c>
      <c r="H8557" s="2" t="s">
        <v>148</v>
      </c>
      <c r="I8557" s="2" t="s">
        <v>21695</v>
      </c>
      <c r="J8557" s="3" t="str">
        <f>HYPERLINK("https://www.boe.es/gazeta/dias/1811/01/22/pdfs/GEI-1811-10.pdf#page=4","Abrir facsímil")</f>
        <v>Abrir facsímil</v>
      </c>
      <c r="K8557" s="3" t="s">
        <v>150</v>
      </c>
    </row>
    <row r="8558" spans="1:11" ht="42" customHeight="1">
      <c r="A8558" s="2" t="s">
        <v>21696</v>
      </c>
      <c r="B8558" s="2" t="s">
        <v>21697</v>
      </c>
      <c r="C8558" s="2" t="s">
        <v>26</v>
      </c>
      <c r="D8558" s="2" t="s">
        <v>18</v>
      </c>
      <c r="E8558" s="4">
        <v>-32307</v>
      </c>
      <c r="F8558" s="3" t="s">
        <v>1112</v>
      </c>
      <c r="G8558" s="3" t="s">
        <v>282</v>
      </c>
      <c r="H8558" s="2" t="s">
        <v>148</v>
      </c>
      <c r="I8558" s="2" t="s">
        <v>21698</v>
      </c>
      <c r="J8558" s="3" t="str">
        <f>HYPERLINK("https://www.boe.es/gazeta/dias/1811/07/18/pdfs/GEI-1811-94.pdf#page=4","Abrir facsímil")</f>
        <v>Abrir facsímil</v>
      </c>
      <c r="K8558" s="3" t="s">
        <v>150</v>
      </c>
    </row>
    <row r="8559" spans="1:11" ht="42" customHeight="1">
      <c r="A8559" s="2" t="s">
        <v>21699</v>
      </c>
      <c r="B8559" s="2" t="s">
        <v>21700</v>
      </c>
      <c r="C8559" s="2" t="s">
        <v>17</v>
      </c>
      <c r="D8559" s="2" t="s">
        <v>156</v>
      </c>
      <c r="E8559" s="4">
        <v>-32491</v>
      </c>
      <c r="F8559" s="3" t="s">
        <v>533</v>
      </c>
      <c r="G8559" s="3" t="s">
        <v>248</v>
      </c>
      <c r="H8559" s="2" t="s">
        <v>148</v>
      </c>
      <c r="I8559" s="2" t="s">
        <v>21701</v>
      </c>
      <c r="J8559" s="3" t="str">
        <f>HYPERLINK("https://www.boe.es/gazeta/dias/1811/01/15/pdfs/GEI-1811-7.pdf#page=9","Abrir facsímil")</f>
        <v>Abrir facsímil</v>
      </c>
      <c r="K8559" s="3" t="s">
        <v>150</v>
      </c>
    </row>
    <row r="8560" spans="1:11" ht="42" customHeight="1">
      <c r="A8560" s="2" t="s">
        <v>21702</v>
      </c>
      <c r="B8560" s="2" t="s">
        <v>21703</v>
      </c>
      <c r="C8560" s="2" t="s">
        <v>26</v>
      </c>
      <c r="D8560" s="2" t="s">
        <v>18</v>
      </c>
      <c r="E8560" s="4">
        <v>-32447</v>
      </c>
      <c r="F8560" s="3" t="s">
        <v>3655</v>
      </c>
      <c r="G8560" s="3" t="s">
        <v>8991</v>
      </c>
      <c r="H8560" s="2" t="s">
        <v>148</v>
      </c>
      <c r="I8560" s="2" t="s">
        <v>21704</v>
      </c>
      <c r="J8560" s="3" t="str">
        <f>HYPERLINK("https://www.boe.es/gazeta/dias/1811/02/28/pdfs/GEI-1811-26.pdf#page=8","Abrir facsímil")</f>
        <v>Abrir facsímil</v>
      </c>
      <c r="K8560" s="3" t="s">
        <v>150</v>
      </c>
    </row>
    <row r="8561" spans="1:11" ht="42" customHeight="1">
      <c r="A8561" s="2" t="s">
        <v>21705</v>
      </c>
      <c r="B8561" s="2" t="s">
        <v>21706</v>
      </c>
      <c r="C8561" s="2" t="s">
        <v>17</v>
      </c>
      <c r="D8561" s="2" t="s">
        <v>18</v>
      </c>
      <c r="E8561" s="4">
        <v>-32316</v>
      </c>
      <c r="F8561" s="3" t="s">
        <v>5337</v>
      </c>
      <c r="G8561" s="3" t="s">
        <v>183</v>
      </c>
      <c r="H8561" s="2" t="s">
        <v>148</v>
      </c>
      <c r="I8561" s="2" t="s">
        <v>21707</v>
      </c>
      <c r="J8561" s="3" t="str">
        <f>HYPERLINK("https://www.boe.es/gazeta/dias/1811/07/09/pdfs/GEI-1811-90.pdf#page=4","Abrir facsímil")</f>
        <v>Abrir facsímil</v>
      </c>
      <c r="K8561" s="3" t="s">
        <v>150</v>
      </c>
    </row>
    <row r="8562" spans="1:11" ht="42" customHeight="1">
      <c r="A8562" s="2" t="s">
        <v>21708</v>
      </c>
      <c r="B8562" s="2" t="s">
        <v>21709</v>
      </c>
      <c r="C8562" s="2" t="s">
        <v>17</v>
      </c>
      <c r="D8562" s="2" t="s">
        <v>156</v>
      </c>
      <c r="E8562" s="4">
        <v>-32323</v>
      </c>
      <c r="F8562" s="3" t="s">
        <v>322</v>
      </c>
      <c r="G8562" s="3" t="s">
        <v>21710</v>
      </c>
      <c r="H8562" s="2" t="s">
        <v>148</v>
      </c>
      <c r="I8562" s="2" t="s">
        <v>21711</v>
      </c>
      <c r="J8562" s="3" t="str">
        <f>HYPERLINK("https://www.boe.es/gazeta/dias/1811/07/02/pdfs/GEI-1811-87.pdf#page=4","Abrir facsímil")</f>
        <v>Abrir facsímil</v>
      </c>
      <c r="K8562" s="3" t="s">
        <v>150</v>
      </c>
    </row>
    <row r="8563" spans="1:11" ht="42" customHeight="1">
      <c r="A8563" s="2" t="s">
        <v>21712</v>
      </c>
      <c r="B8563" s="2" t="s">
        <v>21713</v>
      </c>
      <c r="C8563" s="2" t="s">
        <v>26</v>
      </c>
      <c r="D8563" s="2" t="s">
        <v>18</v>
      </c>
      <c r="E8563" s="4">
        <v>-32431</v>
      </c>
      <c r="F8563" s="3" t="s">
        <v>342</v>
      </c>
      <c r="G8563" s="3" t="s">
        <v>21714</v>
      </c>
      <c r="H8563" s="2" t="s">
        <v>148</v>
      </c>
      <c r="I8563" s="2" t="s">
        <v>21715</v>
      </c>
      <c r="J8563" s="3" t="str">
        <f>HYPERLINK("https://www.boe.es/gazeta/dias/1811/03/16/pdfs/GEI-1811-38.pdf#page=6","Abrir facsímil")</f>
        <v>Abrir facsímil</v>
      </c>
      <c r="K8563" s="3" t="s">
        <v>150</v>
      </c>
    </row>
    <row r="8564" spans="1:11" ht="42" customHeight="1">
      <c r="A8564" s="2" t="s">
        <v>21716</v>
      </c>
      <c r="B8564" s="2" t="s">
        <v>21717</v>
      </c>
      <c r="C8564" s="2" t="s">
        <v>26</v>
      </c>
      <c r="D8564" s="2" t="s">
        <v>141</v>
      </c>
      <c r="E8564" s="4">
        <v>-32280</v>
      </c>
      <c r="F8564" s="3" t="s">
        <v>142</v>
      </c>
      <c r="G8564" s="3" t="s">
        <v>47</v>
      </c>
      <c r="H8564" s="2" t="s">
        <v>148</v>
      </c>
      <c r="I8564" s="2" t="s">
        <v>21718</v>
      </c>
      <c r="J8564" s="3" t="str">
        <f>HYPERLINK("https://www.boe.es/gazeta/dias/1811/08/14/pdfs/GMD-C-1811-226.pdf#page=1","Abrir facsímil")</f>
        <v>Abrir facsímil</v>
      </c>
      <c r="K8564" s="3" t="s">
        <v>150</v>
      </c>
    </row>
    <row r="8565" spans="1:11" ht="42" customHeight="1">
      <c r="A8565" s="2" t="s">
        <v>21719</v>
      </c>
      <c r="B8565" s="2" t="s">
        <v>21720</v>
      </c>
      <c r="C8565" s="2" t="s">
        <v>17</v>
      </c>
      <c r="D8565" s="2" t="s">
        <v>156</v>
      </c>
      <c r="E8565" s="4">
        <v>-32150</v>
      </c>
      <c r="F8565" s="3" t="s">
        <v>1174</v>
      </c>
      <c r="G8565" s="3" t="s">
        <v>20</v>
      </c>
      <c r="H8565" s="2" t="s">
        <v>148</v>
      </c>
      <c r="I8565" s="2" t="s">
        <v>21721</v>
      </c>
      <c r="J8565" s="3" t="str">
        <f>HYPERLINK("https://www.boe.es/gazeta/dias/1811/12/22/pdfs/GMD-1811-356.pdf#page=4","Abrir facsímil")</f>
        <v>Abrir facsímil</v>
      </c>
      <c r="K8565" s="3" t="s">
        <v>150</v>
      </c>
    </row>
    <row r="8566" spans="1:11" ht="42" customHeight="1">
      <c r="A8566" s="2" t="s">
        <v>21722</v>
      </c>
      <c r="B8566" s="2" t="s">
        <v>21723</v>
      </c>
      <c r="C8566" s="2" t="s">
        <v>26</v>
      </c>
      <c r="D8566" s="2" t="s">
        <v>18</v>
      </c>
      <c r="E8566" s="4">
        <v>-32503</v>
      </c>
      <c r="F8566" s="3" t="s">
        <v>487</v>
      </c>
      <c r="G8566" s="3" t="s">
        <v>1930</v>
      </c>
      <c r="H8566" s="2" t="s">
        <v>148</v>
      </c>
      <c r="I8566" s="2" t="s">
        <v>21724</v>
      </c>
      <c r="J8566" s="3" t="str">
        <f>HYPERLINK("https://www.boe.es/gazeta/dias/1811/01/03/pdfs/GEI-1811-2.pdf#page=8","Abrir facsímil")</f>
        <v>Abrir facsímil</v>
      </c>
      <c r="K8566" s="3" t="s">
        <v>150</v>
      </c>
    </row>
    <row r="8567" spans="1:11" ht="42" customHeight="1">
      <c r="A8567" s="2" t="s">
        <v>21725</v>
      </c>
      <c r="B8567" s="2" t="s">
        <v>21726</v>
      </c>
      <c r="C8567" s="2" t="s">
        <v>26</v>
      </c>
      <c r="D8567" s="2" t="s">
        <v>141</v>
      </c>
      <c r="E8567" s="4">
        <v>-32396</v>
      </c>
      <c r="F8567" s="3" t="s">
        <v>804</v>
      </c>
      <c r="G8567" s="3" t="s">
        <v>805</v>
      </c>
      <c r="H8567" s="2" t="s">
        <v>148</v>
      </c>
      <c r="I8567" s="2" t="s">
        <v>21727</v>
      </c>
      <c r="J8567" s="3" t="str">
        <f>HYPERLINK("https://www.boe.es/gazeta/dias/1811/04/20/pdfs/GEI-D-1811-53.pdf#page=4","Abrir facsímil")</f>
        <v>Abrir facsímil</v>
      </c>
      <c r="K8567" s="3" t="s">
        <v>150</v>
      </c>
    </row>
    <row r="8568" spans="1:11" ht="42" customHeight="1">
      <c r="A8568" s="2" t="s">
        <v>21728</v>
      </c>
      <c r="B8568" s="2" t="s">
        <v>21728</v>
      </c>
      <c r="C8568" s="2" t="s">
        <v>17</v>
      </c>
      <c r="D8568" s="2" t="s">
        <v>18</v>
      </c>
      <c r="E8568" s="4">
        <v>-32307</v>
      </c>
      <c r="F8568" s="3" t="s">
        <v>1112</v>
      </c>
      <c r="G8568" s="3" t="s">
        <v>256</v>
      </c>
      <c r="H8568" s="2" t="s">
        <v>148</v>
      </c>
      <c r="I8568" s="2" t="s">
        <v>21729</v>
      </c>
      <c r="J8568" s="3" t="str">
        <f>HYPERLINK("https://www.boe.es/gazeta/dias/1811/07/18/pdfs/GEI-1811-94.pdf#page=7","Abrir facsímil")</f>
        <v>Abrir facsímil</v>
      </c>
      <c r="K8568" s="3" t="s">
        <v>150</v>
      </c>
    </row>
    <row r="8569" spans="1:11" ht="42" customHeight="1">
      <c r="A8569" s="2" t="s">
        <v>21728</v>
      </c>
      <c r="B8569" s="2" t="s">
        <v>21728</v>
      </c>
      <c r="C8569" s="2" t="s">
        <v>17</v>
      </c>
      <c r="D8569" s="2" t="s">
        <v>18</v>
      </c>
      <c r="E8569" s="4">
        <v>-32144</v>
      </c>
      <c r="F8569" s="3" t="s">
        <v>1097</v>
      </c>
      <c r="G8569" s="3" t="s">
        <v>476</v>
      </c>
      <c r="H8569" s="2" t="s">
        <v>148</v>
      </c>
      <c r="I8569" s="2" t="s">
        <v>21730</v>
      </c>
      <c r="J8569" s="3" t="str">
        <f>HYPERLINK("https://www.boe.es/gazeta/dias/1811/12/28/pdfs/GEI-1811-168.pdf#page=7","Abrir facsímil")</f>
        <v>Abrir facsímil</v>
      </c>
      <c r="K8569" s="3" t="s">
        <v>150</v>
      </c>
    </row>
    <row r="8570" spans="1:11" ht="42" customHeight="1">
      <c r="A8570" s="2" t="s">
        <v>21731</v>
      </c>
      <c r="B8570" s="2" t="s">
        <v>21731</v>
      </c>
      <c r="C8570" s="2" t="s">
        <v>17</v>
      </c>
      <c r="D8570" s="2" t="s">
        <v>156</v>
      </c>
      <c r="E8570" s="4">
        <v>-32381</v>
      </c>
      <c r="F8570" s="3" t="s">
        <v>1698</v>
      </c>
      <c r="G8570" s="3" t="s">
        <v>4184</v>
      </c>
      <c r="H8570" s="2" t="s">
        <v>148</v>
      </c>
      <c r="I8570" s="2" t="s">
        <v>21732</v>
      </c>
      <c r="J8570" s="3" t="str">
        <f>HYPERLINK("https://www.boe.es/gazeta/dias/1811/05/05/pdfs/GMD-1811-125.pdf#page=2","Abrir facsímil")</f>
        <v>Abrir facsímil</v>
      </c>
      <c r="K8570" s="3" t="s">
        <v>150</v>
      </c>
    </row>
    <row r="8571" spans="1:11" ht="42" customHeight="1">
      <c r="A8571" s="2" t="s">
        <v>21733</v>
      </c>
      <c r="B8571" s="2" t="s">
        <v>21733</v>
      </c>
      <c r="C8571" s="2" t="s">
        <v>17</v>
      </c>
      <c r="D8571" s="2" t="s">
        <v>18</v>
      </c>
      <c r="E8571" s="4">
        <v>-32381</v>
      </c>
      <c r="F8571" s="3" t="s">
        <v>1698</v>
      </c>
      <c r="G8571" s="3" t="s">
        <v>4184</v>
      </c>
      <c r="H8571" s="2" t="s">
        <v>148</v>
      </c>
      <c r="I8571" s="2" t="s">
        <v>21734</v>
      </c>
      <c r="J8571" s="3" t="str">
        <f>HYPERLINK("https://www.boe.es/gazeta/dias/1811/05/05/pdfs/GMD-1811-125.pdf#page=2","Abrir facsímil")</f>
        <v>Abrir facsímil</v>
      </c>
      <c r="K8571" s="3" t="s">
        <v>150</v>
      </c>
    </row>
    <row r="8572" spans="1:11" ht="42" customHeight="1">
      <c r="A8572" s="2" t="s">
        <v>21735</v>
      </c>
      <c r="B8572" s="2" t="s">
        <v>21736</v>
      </c>
      <c r="C8572" s="2" t="s">
        <v>26</v>
      </c>
      <c r="D8572" s="2" t="s">
        <v>18</v>
      </c>
      <c r="E8572" s="4">
        <v>-32188</v>
      </c>
      <c r="F8572" s="3" t="s">
        <v>356</v>
      </c>
      <c r="G8572" s="3" t="s">
        <v>468</v>
      </c>
      <c r="H8572" s="2" t="s">
        <v>148</v>
      </c>
      <c r="I8572" s="2" t="s">
        <v>21737</v>
      </c>
      <c r="J8572" s="3" t="str">
        <f>HYPERLINK("https://www.boe.es/gazeta/dias/1811/11/14/pdfs/GMD-1811-318.pdf#page=6","Abrir facsímil")</f>
        <v>Abrir facsímil</v>
      </c>
      <c r="K8572" s="3" t="s">
        <v>150</v>
      </c>
    </row>
    <row r="8573" spans="1:11" ht="42" customHeight="1">
      <c r="A8573" s="2" t="s">
        <v>21738</v>
      </c>
      <c r="B8573" s="2" t="s">
        <v>21739</v>
      </c>
      <c r="C8573" s="2" t="s">
        <v>26</v>
      </c>
      <c r="D8573" s="2" t="s">
        <v>18</v>
      </c>
      <c r="E8573" s="4">
        <v>-32200</v>
      </c>
      <c r="F8573" s="3" t="s">
        <v>109</v>
      </c>
      <c r="G8573" s="3" t="s">
        <v>268</v>
      </c>
      <c r="H8573" s="2" t="s">
        <v>148</v>
      </c>
      <c r="I8573" s="2" t="s">
        <v>21740</v>
      </c>
      <c r="J8573" s="3" t="str">
        <f>HYPERLINK("https://www.boe.es/gazeta/dias/1811/11/02/pdfs/GEI-1811-141.pdf#page=7","Abrir facsímil")</f>
        <v>Abrir facsímil</v>
      </c>
      <c r="K8573" s="3" t="s">
        <v>150</v>
      </c>
    </row>
    <row r="8574" spans="1:11" ht="42" customHeight="1">
      <c r="A8574" s="2" t="s">
        <v>21741</v>
      </c>
      <c r="B8574" s="2" t="s">
        <v>21741</v>
      </c>
      <c r="C8574" s="2" t="s">
        <v>26</v>
      </c>
      <c r="D8574" s="2" t="s">
        <v>105</v>
      </c>
      <c r="E8574" s="4">
        <v>-32242</v>
      </c>
      <c r="F8574" s="3" t="s">
        <v>3015</v>
      </c>
      <c r="G8574" s="3" t="s">
        <v>178</v>
      </c>
      <c r="H8574" s="2" t="s">
        <v>148</v>
      </c>
      <c r="I8574" s="2" t="s">
        <v>21742</v>
      </c>
      <c r="J8574" s="3" t="str">
        <f>HYPERLINK("https://www.boe.es/gazeta/dias/1811/09/21/pdfs/GMD-1811-264.pdf#page=4","Abrir facsímil")</f>
        <v>Abrir facsímil</v>
      </c>
      <c r="K8574" s="3" t="s">
        <v>150</v>
      </c>
    </row>
    <row r="8575" spans="1:11" ht="42" customHeight="1">
      <c r="A8575" s="2" t="s">
        <v>21743</v>
      </c>
      <c r="B8575" s="2" t="s">
        <v>21743</v>
      </c>
      <c r="C8575" s="2" t="s">
        <v>17</v>
      </c>
      <c r="D8575" s="2" t="s">
        <v>156</v>
      </c>
      <c r="E8575" s="4">
        <v>-32405</v>
      </c>
      <c r="F8575" s="3" t="s">
        <v>1413</v>
      </c>
      <c r="G8575" s="3" t="s">
        <v>1623</v>
      </c>
      <c r="H8575" s="2" t="s">
        <v>148</v>
      </c>
      <c r="I8575" s="2" t="s">
        <v>21744</v>
      </c>
      <c r="J8575" s="3" t="str">
        <f>HYPERLINK("https://www.boe.es/gazeta/dias/1811/04/11/pdfs/GEI-1811-49.pdf#page=3","Abrir facsímil")</f>
        <v>Abrir facsímil</v>
      </c>
      <c r="K8575" s="3" t="s">
        <v>150</v>
      </c>
    </row>
    <row r="8576" spans="1:11" ht="42" customHeight="1">
      <c r="A8576" s="2" t="s">
        <v>21745</v>
      </c>
      <c r="B8576" s="2" t="s">
        <v>21746</v>
      </c>
      <c r="C8576" s="2" t="s">
        <v>26</v>
      </c>
      <c r="D8576" s="2" t="s">
        <v>18</v>
      </c>
      <c r="E8576" s="4">
        <v>-32379</v>
      </c>
      <c r="F8576" s="3" t="s">
        <v>462</v>
      </c>
      <c r="G8576" s="3" t="s">
        <v>463</v>
      </c>
      <c r="H8576" s="2" t="s">
        <v>148</v>
      </c>
      <c r="I8576" s="2" t="s">
        <v>21747</v>
      </c>
      <c r="J8576" s="3" t="str">
        <f>HYPERLINK("https://www.boe.es/gazeta/dias/1811/05/07/pdfs/GEI-1811-60.pdf#page=8","Abrir facsímil")</f>
        <v>Abrir facsímil</v>
      </c>
      <c r="K8576" s="3" t="s">
        <v>150</v>
      </c>
    </row>
    <row r="8577" spans="1:11" ht="42" customHeight="1">
      <c r="A8577" s="2" t="s">
        <v>21748</v>
      </c>
      <c r="B8577" s="2" t="s">
        <v>21749</v>
      </c>
      <c r="C8577" s="2" t="s">
        <v>26</v>
      </c>
      <c r="D8577" s="2" t="s">
        <v>18</v>
      </c>
      <c r="E8577" s="4">
        <v>-32225</v>
      </c>
      <c r="F8577" s="3" t="s">
        <v>390</v>
      </c>
      <c r="G8577" s="3" t="s">
        <v>1368</v>
      </c>
      <c r="H8577" s="2" t="s">
        <v>148</v>
      </c>
      <c r="I8577" s="2" t="s">
        <v>21750</v>
      </c>
      <c r="J8577" s="3" t="str">
        <f>HYPERLINK("https://www.boe.es/gazeta/dias/1811/10/08/pdfs/GEI-1811-129.pdf#page=8","Abrir facsímil")</f>
        <v>Abrir facsímil</v>
      </c>
      <c r="K8577" s="3" t="s">
        <v>150</v>
      </c>
    </row>
    <row r="8578" spans="1:11" ht="42" customHeight="1">
      <c r="A8578" s="2" t="s">
        <v>21751</v>
      </c>
      <c r="B8578" s="2" t="s">
        <v>21751</v>
      </c>
      <c r="C8578" s="2" t="s">
        <v>17</v>
      </c>
      <c r="D8578" s="2" t="s">
        <v>105</v>
      </c>
      <c r="E8578" s="4">
        <v>-32434</v>
      </c>
      <c r="F8578" s="3" t="s">
        <v>1932</v>
      </c>
      <c r="G8578" s="3" t="s">
        <v>468</v>
      </c>
      <c r="H8578" s="2" t="s">
        <v>148</v>
      </c>
      <c r="I8578" s="2" t="s">
        <v>21752</v>
      </c>
      <c r="J8578" s="3" t="str">
        <f>HYPERLINK("https://www.boe.es/gazeta/dias/1811/03/13/pdfs/GMD-1811-72.pdf#page=4","Abrir facsímil")</f>
        <v>Abrir facsímil</v>
      </c>
      <c r="K8578" s="3" t="s">
        <v>150</v>
      </c>
    </row>
    <row r="8579" spans="1:11" ht="42" customHeight="1">
      <c r="A8579" s="2" t="s">
        <v>21751</v>
      </c>
      <c r="B8579" s="2" t="s">
        <v>21751</v>
      </c>
      <c r="C8579" s="2" t="s">
        <v>17</v>
      </c>
      <c r="D8579" s="2" t="s">
        <v>18</v>
      </c>
      <c r="E8579" s="4">
        <v>-32391</v>
      </c>
      <c r="F8579" s="3" t="s">
        <v>2998</v>
      </c>
      <c r="G8579" s="3" t="s">
        <v>178</v>
      </c>
      <c r="H8579" s="2" t="s">
        <v>148</v>
      </c>
      <c r="I8579" s="2" t="s">
        <v>21753</v>
      </c>
      <c r="J8579" s="3" t="str">
        <f>HYPERLINK("https://www.boe.es/gazeta/dias/1811/04/25/pdfs/GMD-1811-115.pdf#page=3","Abrir facsímil")</f>
        <v>Abrir facsímil</v>
      </c>
      <c r="K8579" s="3" t="s">
        <v>150</v>
      </c>
    </row>
    <row r="8580" spans="1:11" ht="42" customHeight="1">
      <c r="A8580" s="2" t="s">
        <v>21754</v>
      </c>
      <c r="B8580" s="2" t="s">
        <v>21754</v>
      </c>
      <c r="C8580" s="2" t="s">
        <v>26</v>
      </c>
      <c r="D8580" s="2" t="s">
        <v>204</v>
      </c>
      <c r="E8580" s="4">
        <v>-32492</v>
      </c>
      <c r="F8580" s="3" t="s">
        <v>1512</v>
      </c>
      <c r="G8580" s="3" t="s">
        <v>2805</v>
      </c>
      <c r="H8580" s="2" t="s">
        <v>148</v>
      </c>
      <c r="I8580" s="2" t="s">
        <v>21755</v>
      </c>
      <c r="J8580" s="3" t="str">
        <f>HYPERLINK("https://www.boe.es/gazeta/dias/1811/01/14/pdfs/GMD-1811-14.pdf#page=2","Abrir facsímil")</f>
        <v>Abrir facsímil</v>
      </c>
      <c r="K8580" s="3" t="s">
        <v>150</v>
      </c>
    </row>
    <row r="8581" spans="1:11" ht="42" customHeight="1">
      <c r="A8581" s="2" t="s">
        <v>21756</v>
      </c>
      <c r="B8581" s="2" t="s">
        <v>21757</v>
      </c>
      <c r="C8581" s="2" t="s">
        <v>17</v>
      </c>
      <c r="D8581" s="2" t="s">
        <v>18</v>
      </c>
      <c r="E8581" s="4">
        <v>-32494</v>
      </c>
      <c r="F8581" s="3" t="s">
        <v>3050</v>
      </c>
      <c r="G8581" s="3" t="s">
        <v>3619</v>
      </c>
      <c r="H8581" s="2" t="s">
        <v>148</v>
      </c>
      <c r="I8581" s="2" t="s">
        <v>21758</v>
      </c>
      <c r="J8581" s="3" t="str">
        <f>HYPERLINK("https://www.boe.es/gazeta/dias/1811/01/12/pdfs/GEI-1811-6.pdf#page=8","Abrir facsímil")</f>
        <v>Abrir facsímil</v>
      </c>
      <c r="K8581" s="3" t="s">
        <v>150</v>
      </c>
    </row>
    <row r="8582" spans="1:11" ht="42" customHeight="1">
      <c r="A8582" s="2" t="s">
        <v>21759</v>
      </c>
      <c r="B8582" s="2" t="s">
        <v>21759</v>
      </c>
      <c r="C8582" s="2" t="s">
        <v>17</v>
      </c>
      <c r="D8582" s="2" t="s">
        <v>156</v>
      </c>
      <c r="E8582" s="4">
        <v>-32434</v>
      </c>
      <c r="F8582" s="3" t="s">
        <v>1932</v>
      </c>
      <c r="G8582" s="3" t="s">
        <v>468</v>
      </c>
      <c r="H8582" s="2" t="s">
        <v>148</v>
      </c>
      <c r="I8582" s="2" t="s">
        <v>21760</v>
      </c>
      <c r="J8582" s="3" t="str">
        <f>HYPERLINK("https://www.boe.es/gazeta/dias/1811/03/13/pdfs/GMD-1811-72.pdf#page=4","Abrir facsímil")</f>
        <v>Abrir facsímil</v>
      </c>
      <c r="K8582" s="3" t="s">
        <v>150</v>
      </c>
    </row>
    <row r="8583" spans="1:11" ht="42" customHeight="1">
      <c r="A8583" s="2" t="s">
        <v>21761</v>
      </c>
      <c r="B8583" s="2" t="s">
        <v>21761</v>
      </c>
      <c r="C8583" s="2" t="s">
        <v>17</v>
      </c>
      <c r="D8583" s="2" t="s">
        <v>18</v>
      </c>
      <c r="E8583" s="4">
        <v>-32396</v>
      </c>
      <c r="F8583" s="3" t="s">
        <v>2393</v>
      </c>
      <c r="G8583" s="3" t="s">
        <v>2394</v>
      </c>
      <c r="H8583" s="2" t="s">
        <v>148</v>
      </c>
      <c r="I8583" s="2" t="s">
        <v>21762</v>
      </c>
      <c r="J8583" s="3" t="str">
        <f>HYPERLINK("https://www.boe.es/gazeta/dias/1811/04/20/pdfs/GEI-1811-53.pdf#page=7","Abrir facsímil")</f>
        <v>Abrir facsímil</v>
      </c>
      <c r="K8583" s="3" t="s">
        <v>150</v>
      </c>
    </row>
    <row r="8584" spans="1:11" ht="42" customHeight="1">
      <c r="A8584" s="2" t="s">
        <v>21763</v>
      </c>
      <c r="B8584" s="2" t="s">
        <v>21763</v>
      </c>
      <c r="C8584" s="2" t="s">
        <v>26</v>
      </c>
      <c r="D8584" s="2" t="s">
        <v>18</v>
      </c>
      <c r="E8584" s="4">
        <v>-32242</v>
      </c>
      <c r="F8584" s="3" t="s">
        <v>1295</v>
      </c>
      <c r="G8584" s="3" t="s">
        <v>4640</v>
      </c>
      <c r="H8584" s="2" t="s">
        <v>148</v>
      </c>
      <c r="I8584" s="2" t="s">
        <v>21764</v>
      </c>
      <c r="J8584" s="3" t="str">
        <f>HYPERLINK("https://www.boe.es/gazeta/dias/1811/09/21/pdfs/GEI-1811-122.pdf#page=3","Abrir facsímil")</f>
        <v>Abrir facsímil</v>
      </c>
      <c r="K8584" s="3" t="s">
        <v>150</v>
      </c>
    </row>
    <row r="8585" spans="1:11" ht="42" customHeight="1">
      <c r="A8585" s="2" t="s">
        <v>21765</v>
      </c>
      <c r="B8585" s="2" t="s">
        <v>21766</v>
      </c>
      <c r="C8585" s="2" t="s">
        <v>17</v>
      </c>
      <c r="D8585" s="2" t="s">
        <v>18</v>
      </c>
      <c r="E8585" s="4">
        <v>-32300</v>
      </c>
      <c r="F8585" s="3" t="s">
        <v>492</v>
      </c>
      <c r="G8585" s="3" t="s">
        <v>20</v>
      </c>
      <c r="H8585" s="2" t="s">
        <v>148</v>
      </c>
      <c r="I8585" s="2" t="s">
        <v>21767</v>
      </c>
      <c r="J8585" s="3" t="str">
        <f>HYPERLINK("https://www.boe.es/gazeta/dias/1811/07/25/pdfs/GMD-1811-206.pdf#page=3","Abrir facsímil")</f>
        <v>Abrir facsímil</v>
      </c>
      <c r="K8585" s="3" t="s">
        <v>150</v>
      </c>
    </row>
    <row r="8586" spans="1:11" ht="42" customHeight="1">
      <c r="A8586" s="2" t="s">
        <v>21768</v>
      </c>
      <c r="B8586" s="2" t="s">
        <v>21768</v>
      </c>
      <c r="C8586" s="2" t="s">
        <v>17</v>
      </c>
      <c r="D8586" s="2" t="s">
        <v>18</v>
      </c>
      <c r="E8586" s="4">
        <v>-32363</v>
      </c>
      <c r="F8586" s="3" t="s">
        <v>1645</v>
      </c>
      <c r="G8586" s="3" t="s">
        <v>20</v>
      </c>
      <c r="H8586" s="2" t="s">
        <v>148</v>
      </c>
      <c r="I8586" s="2" t="s">
        <v>21769</v>
      </c>
      <c r="J8586" s="3" t="str">
        <f>HYPERLINK("https://www.boe.es/gazeta/dias/1811/05/23/pdfs/GEI-1811-68.pdf#page=4","Abrir facsímil")</f>
        <v>Abrir facsímil</v>
      </c>
      <c r="K8586" s="3" t="s">
        <v>150</v>
      </c>
    </row>
    <row r="8587" spans="1:11" ht="42" customHeight="1">
      <c r="A8587" s="2" t="s">
        <v>21770</v>
      </c>
      <c r="B8587" s="2" t="s">
        <v>21771</v>
      </c>
      <c r="C8587" s="2" t="s">
        <v>17</v>
      </c>
      <c r="D8587" s="2" t="s">
        <v>18</v>
      </c>
      <c r="E8587" s="4">
        <v>-32267</v>
      </c>
      <c r="F8587" s="3" t="s">
        <v>1045</v>
      </c>
      <c r="G8587" s="3" t="s">
        <v>2535</v>
      </c>
      <c r="H8587" s="2" t="s">
        <v>148</v>
      </c>
      <c r="I8587" s="2" t="s">
        <v>21772</v>
      </c>
      <c r="J8587" s="3" t="str">
        <f>HYPERLINK("https://www.boe.es/gazeta/dias/1811/08/27/pdfs/GEI-1811-111.pdf#page=6","Abrir facsímil")</f>
        <v>Abrir facsímil</v>
      </c>
      <c r="K8587" s="3" t="s">
        <v>150</v>
      </c>
    </row>
    <row r="8588" spans="1:11" ht="42" customHeight="1">
      <c r="A8588" s="2" t="s">
        <v>21773</v>
      </c>
      <c r="B8588" s="2" t="s">
        <v>21774</v>
      </c>
      <c r="C8588" s="2" t="s">
        <v>17</v>
      </c>
      <c r="D8588" s="2" t="s">
        <v>156</v>
      </c>
      <c r="E8588" s="4">
        <v>-32295</v>
      </c>
      <c r="F8588" s="3" t="s">
        <v>279</v>
      </c>
      <c r="G8588" s="3" t="s">
        <v>44</v>
      </c>
      <c r="H8588" s="2" t="s">
        <v>21</v>
      </c>
      <c r="I8588" s="2" t="s">
        <v>21775</v>
      </c>
      <c r="J8588" s="3" t="str">
        <f>HYPERLINK("https://www.boe.es/gazeta/dias/1811/07/30/pdfs/GEI-1811-99.pdf#page=8","Abrir facsímil")</f>
        <v>Abrir facsímil</v>
      </c>
      <c r="K8588" s="3" t="s">
        <v>23</v>
      </c>
    </row>
    <row r="8589" spans="1:11" ht="42" customHeight="1">
      <c r="A8589" s="2" t="s">
        <v>21776</v>
      </c>
      <c r="B8589" s="2" t="s">
        <v>21777</v>
      </c>
      <c r="C8589" s="2" t="s">
        <v>26</v>
      </c>
      <c r="D8589" s="2" t="s">
        <v>18</v>
      </c>
      <c r="E8589" s="4">
        <v>-32215</v>
      </c>
      <c r="F8589" s="3" t="s">
        <v>6300</v>
      </c>
      <c r="G8589" s="3" t="s">
        <v>4049</v>
      </c>
      <c r="H8589" s="2" t="s">
        <v>148</v>
      </c>
      <c r="I8589" s="2" t="s">
        <v>21778</v>
      </c>
      <c r="J8589" s="3" t="str">
        <f>HYPERLINK("https://www.boe.es/gazeta/dias/1811/10/18/pdfs/GMD-1811-291.pdf#page=4","Abrir facsímil")</f>
        <v>Abrir facsímil</v>
      </c>
      <c r="K8589" s="3" t="s">
        <v>150</v>
      </c>
    </row>
    <row r="8590" spans="1:11" ht="42" customHeight="1">
      <c r="A8590" s="2" t="s">
        <v>21779</v>
      </c>
      <c r="B8590" s="2" t="s">
        <v>21780</v>
      </c>
      <c r="C8590" s="2" t="s">
        <v>17</v>
      </c>
      <c r="D8590" s="2" t="s">
        <v>18</v>
      </c>
      <c r="E8590" s="4">
        <v>-32204</v>
      </c>
      <c r="F8590" s="3" t="s">
        <v>1053</v>
      </c>
      <c r="G8590" s="3" t="s">
        <v>8703</v>
      </c>
      <c r="H8590" s="2" t="s">
        <v>148</v>
      </c>
      <c r="I8590" s="2" t="s">
        <v>21781</v>
      </c>
      <c r="J8590" s="3" t="str">
        <f>HYPERLINK("https://www.boe.es/gazeta/dias/1811/10/29/pdfs/GEI-1811-139.pdf#page=3","Abrir facsímil")</f>
        <v>Abrir facsímil</v>
      </c>
      <c r="K8590" s="3" t="s">
        <v>150</v>
      </c>
    </row>
    <row r="8591" spans="1:11" ht="42" customHeight="1">
      <c r="A8591" s="2" t="s">
        <v>21782</v>
      </c>
      <c r="B8591" s="2" t="s">
        <v>21782</v>
      </c>
      <c r="C8591" s="2" t="s">
        <v>367</v>
      </c>
      <c r="D8591" s="2" t="s">
        <v>18</v>
      </c>
      <c r="E8591" s="4">
        <v>-32389</v>
      </c>
      <c r="F8591" s="3" t="s">
        <v>5683</v>
      </c>
      <c r="G8591" s="3" t="s">
        <v>20</v>
      </c>
      <c r="H8591" s="2" t="s">
        <v>148</v>
      </c>
      <c r="I8591" s="2" t="s">
        <v>21783</v>
      </c>
      <c r="J8591" s="3" t="str">
        <f>HYPERLINK("https://www.boe.es/gazeta/dias/1811/04/27/pdfs/GMD-1811-117.pdf#page=3","Abrir facsímil")</f>
        <v>Abrir facsímil</v>
      </c>
      <c r="K8591" s="3" t="s">
        <v>150</v>
      </c>
    </row>
    <row r="8592" spans="1:11" ht="42" customHeight="1">
      <c r="A8592" s="2" t="s">
        <v>21784</v>
      </c>
      <c r="B8592" s="2" t="s">
        <v>21785</v>
      </c>
      <c r="C8592" s="2" t="s">
        <v>26</v>
      </c>
      <c r="D8592" s="2" t="s">
        <v>18</v>
      </c>
      <c r="E8592" s="4">
        <v>-32394</v>
      </c>
      <c r="F8592" s="3" t="s">
        <v>1709</v>
      </c>
      <c r="G8592" s="3" t="s">
        <v>115</v>
      </c>
      <c r="H8592" s="2" t="s">
        <v>148</v>
      </c>
      <c r="I8592" s="2" t="s">
        <v>21786</v>
      </c>
      <c r="J8592" s="3" t="str">
        <f>HYPERLINK("https://www.boe.es/gazeta/dias/1811/04/22/pdfs/GMD-1811-112.pdf#page=3","Abrir facsímil")</f>
        <v>Abrir facsímil</v>
      </c>
      <c r="K8592" s="3" t="s">
        <v>150</v>
      </c>
    </row>
    <row r="8593" spans="1:11" ht="42" customHeight="1">
      <c r="A8593" s="2" t="s">
        <v>21787</v>
      </c>
      <c r="B8593" s="2" t="s">
        <v>21788</v>
      </c>
      <c r="C8593" s="2" t="s">
        <v>17</v>
      </c>
      <c r="D8593" s="2" t="s">
        <v>156</v>
      </c>
      <c r="E8593" s="4">
        <v>-32282</v>
      </c>
      <c r="F8593" s="3" t="s">
        <v>10800</v>
      </c>
      <c r="G8593" s="3" t="s">
        <v>20</v>
      </c>
      <c r="H8593" s="2" t="s">
        <v>148</v>
      </c>
      <c r="I8593" s="2" t="s">
        <v>21789</v>
      </c>
      <c r="J8593" s="3" t="str">
        <f>HYPERLINK("https://www.boe.es/gazeta/dias/1811/08/12/pdfs/GMD-1811-224.pdf#page=4","Abrir facsímil")</f>
        <v>Abrir facsímil</v>
      </c>
      <c r="K8593" s="3" t="s">
        <v>150</v>
      </c>
    </row>
    <row r="8594" spans="1:11" ht="42" customHeight="1">
      <c r="A8594" s="2" t="s">
        <v>21790</v>
      </c>
      <c r="B8594" s="2" t="s">
        <v>21791</v>
      </c>
      <c r="C8594" s="2" t="s">
        <v>37</v>
      </c>
      <c r="D8594" s="2" t="s">
        <v>18</v>
      </c>
      <c r="E8594" s="4">
        <v>-32237</v>
      </c>
      <c r="F8594" s="3" t="s">
        <v>717</v>
      </c>
      <c r="G8594" s="3" t="s">
        <v>1128</v>
      </c>
      <c r="H8594" s="2" t="s">
        <v>148</v>
      </c>
      <c r="I8594" s="2" t="s">
        <v>21792</v>
      </c>
      <c r="J8594" s="3" t="str">
        <f>HYPERLINK("https://www.boe.es/gazeta/dias/1811/09/26/pdfs/GEI-1811-124.pdf#page=8","Abrir facsímil")</f>
        <v>Abrir facsímil</v>
      </c>
      <c r="K8594" s="3" t="s">
        <v>150</v>
      </c>
    </row>
    <row r="8595" spans="1:11" ht="42" customHeight="1">
      <c r="A8595" s="2" t="s">
        <v>21793</v>
      </c>
      <c r="B8595" s="2" t="s">
        <v>21793</v>
      </c>
      <c r="C8595" s="2" t="s">
        <v>17</v>
      </c>
      <c r="D8595" s="2" t="s">
        <v>204</v>
      </c>
      <c r="E8595" s="4">
        <v>-32350</v>
      </c>
      <c r="F8595" s="3" t="s">
        <v>4957</v>
      </c>
      <c r="G8595" s="3" t="s">
        <v>44</v>
      </c>
      <c r="H8595" s="2" t="s">
        <v>148</v>
      </c>
      <c r="I8595" s="2" t="s">
        <v>21794</v>
      </c>
      <c r="J8595" s="3" t="str">
        <f>HYPERLINK("https://www.boe.es/gazeta/dias/1811/06/05/pdfs/GMD-1811-156.pdf#page=1","Abrir facsímil")</f>
        <v>Abrir facsímil</v>
      </c>
      <c r="K8595" s="3" t="s">
        <v>150</v>
      </c>
    </row>
    <row r="8596" spans="1:11" ht="42" customHeight="1">
      <c r="A8596" s="2" t="s">
        <v>21795</v>
      </c>
      <c r="B8596" s="2" t="s">
        <v>21796</v>
      </c>
      <c r="C8596" s="2" t="s">
        <v>841</v>
      </c>
      <c r="D8596" s="2" t="s">
        <v>18</v>
      </c>
      <c r="E8596" s="4">
        <v>-32162</v>
      </c>
      <c r="F8596" s="3" t="s">
        <v>317</v>
      </c>
      <c r="G8596" s="3" t="s">
        <v>318</v>
      </c>
      <c r="H8596" s="2" t="s">
        <v>148</v>
      </c>
      <c r="I8596" s="2" t="s">
        <v>21797</v>
      </c>
      <c r="J8596" s="3" t="str">
        <f>HYPERLINK("https://www.boe.es/gazeta/dias/1811/12/10/pdfs/GEI-1811-160.pdf#page=8","Abrir facsímil")</f>
        <v>Abrir facsímil</v>
      </c>
      <c r="K8596" s="3" t="s">
        <v>150</v>
      </c>
    </row>
    <row r="8597" spans="1:11" ht="42" customHeight="1">
      <c r="A8597" s="2" t="s">
        <v>21798</v>
      </c>
      <c r="B8597" s="2" t="s">
        <v>21798</v>
      </c>
      <c r="C8597" s="2" t="s">
        <v>17</v>
      </c>
      <c r="D8597" s="2" t="s">
        <v>156</v>
      </c>
      <c r="E8597" s="4">
        <v>-32418</v>
      </c>
      <c r="F8597" s="3" t="s">
        <v>9181</v>
      </c>
      <c r="G8597" s="3" t="s">
        <v>47</v>
      </c>
      <c r="H8597" s="2" t="s">
        <v>148</v>
      </c>
      <c r="I8597" s="2" t="s">
        <v>21799</v>
      </c>
      <c r="J8597" s="3" t="str">
        <f>HYPERLINK("https://www.boe.es/gazeta/dias/1811/03/29/pdfs/GMD-1811-88.pdf#page=3","Abrir facsímil")</f>
        <v>Abrir facsímil</v>
      </c>
      <c r="K8597" s="3" t="s">
        <v>150</v>
      </c>
    </row>
    <row r="8598" spans="1:11" ht="42" customHeight="1">
      <c r="A8598" s="2" t="s">
        <v>21800</v>
      </c>
      <c r="B8598" s="2" t="s">
        <v>21800</v>
      </c>
      <c r="C8598" s="2" t="s">
        <v>17</v>
      </c>
      <c r="D8598" s="2" t="s">
        <v>18</v>
      </c>
      <c r="E8598" s="4">
        <v>-32418</v>
      </c>
      <c r="F8598" s="3" t="s">
        <v>9181</v>
      </c>
      <c r="G8598" s="3" t="s">
        <v>47</v>
      </c>
      <c r="H8598" s="2" t="s">
        <v>148</v>
      </c>
      <c r="I8598" s="2" t="s">
        <v>21801</v>
      </c>
      <c r="J8598" s="3" t="str">
        <f>HYPERLINK("https://www.boe.es/gazeta/dias/1811/03/29/pdfs/GMD-1811-88.pdf#page=3","Abrir facsímil")</f>
        <v>Abrir facsímil</v>
      </c>
      <c r="K8598" s="3" t="s">
        <v>150</v>
      </c>
    </row>
    <row r="8599" spans="1:11" ht="42" customHeight="1">
      <c r="A8599" s="2" t="s">
        <v>21800</v>
      </c>
      <c r="B8599" s="2" t="s">
        <v>21800</v>
      </c>
      <c r="C8599" s="2" t="s">
        <v>17</v>
      </c>
      <c r="D8599" s="2" t="s">
        <v>18</v>
      </c>
      <c r="E8599" s="4">
        <v>-32354</v>
      </c>
      <c r="F8599" s="3" t="s">
        <v>2914</v>
      </c>
      <c r="G8599" s="3" t="s">
        <v>5643</v>
      </c>
      <c r="H8599" s="2" t="s">
        <v>148</v>
      </c>
      <c r="I8599" s="2" t="s">
        <v>21802</v>
      </c>
      <c r="J8599" s="3" t="str">
        <f>HYPERLINK("https://www.boe.es/gazeta/dias/1811/06/01/pdfs/GEI-1811-74.pdf#page=3","Abrir facsímil")</f>
        <v>Abrir facsímil</v>
      </c>
      <c r="K8599" s="3" t="s">
        <v>150</v>
      </c>
    </row>
    <row r="8600" spans="1:11" ht="42" customHeight="1">
      <c r="A8600" s="2" t="s">
        <v>21803</v>
      </c>
      <c r="B8600" s="2" t="s">
        <v>21804</v>
      </c>
      <c r="C8600" s="2" t="s">
        <v>26</v>
      </c>
      <c r="D8600" s="2" t="s">
        <v>18</v>
      </c>
      <c r="E8600" s="4">
        <v>-32155</v>
      </c>
      <c r="F8600" s="3" t="s">
        <v>263</v>
      </c>
      <c r="G8600" s="3" t="s">
        <v>264</v>
      </c>
      <c r="H8600" s="2" t="s">
        <v>148</v>
      </c>
      <c r="I8600" s="2" t="s">
        <v>21805</v>
      </c>
      <c r="J8600" s="3" t="str">
        <f>HYPERLINK("https://www.boe.es/gazeta/dias/1811/12/17/pdfs/GEI-1811-163.pdf#page=8","Abrir facsímil")</f>
        <v>Abrir facsímil</v>
      </c>
      <c r="K8600" s="3" t="s">
        <v>150</v>
      </c>
    </row>
    <row r="8601" spans="1:11" ht="42" customHeight="1">
      <c r="A8601" s="2" t="s">
        <v>21806</v>
      </c>
      <c r="B8601" s="2" t="s">
        <v>21807</v>
      </c>
      <c r="C8601" s="2" t="s">
        <v>37</v>
      </c>
      <c r="D8601" s="2" t="s">
        <v>18</v>
      </c>
      <c r="E8601" s="4">
        <v>-32416</v>
      </c>
      <c r="F8601" s="3" t="s">
        <v>954</v>
      </c>
      <c r="G8601" s="3" t="s">
        <v>47</v>
      </c>
      <c r="H8601" s="2" t="s">
        <v>148</v>
      </c>
      <c r="I8601" s="2" t="s">
        <v>21808</v>
      </c>
      <c r="J8601" s="3" t="str">
        <f>HYPERLINK("https://www.boe.es/gazeta/dias/1811/03/31/pdfs/GMD-1811-90.pdf#page=3","Abrir facsímil")</f>
        <v>Abrir facsímil</v>
      </c>
      <c r="K8601" s="3" t="s">
        <v>150</v>
      </c>
    </row>
    <row r="8602" spans="1:11" ht="42" customHeight="1">
      <c r="A8602" s="2" t="s">
        <v>21809</v>
      </c>
      <c r="B8602" s="2" t="s">
        <v>21810</v>
      </c>
      <c r="C8602" s="2" t="s">
        <v>26</v>
      </c>
      <c r="D8602" s="2" t="s">
        <v>18</v>
      </c>
      <c r="E8602" s="4">
        <v>-32200</v>
      </c>
      <c r="F8602" s="3" t="s">
        <v>109</v>
      </c>
      <c r="G8602" s="3" t="s">
        <v>268</v>
      </c>
      <c r="H8602" s="2" t="s">
        <v>148</v>
      </c>
      <c r="I8602" s="2" t="s">
        <v>21811</v>
      </c>
      <c r="J8602" s="3" t="str">
        <f>HYPERLINK("https://www.boe.es/gazeta/dias/1811/11/02/pdfs/GEI-1811-141.pdf#page=7","Abrir facsímil")</f>
        <v>Abrir facsímil</v>
      </c>
      <c r="K8602" s="3" t="s">
        <v>150</v>
      </c>
    </row>
    <row r="8603" spans="1:11" ht="42" customHeight="1">
      <c r="A8603" s="2" t="s">
        <v>21812</v>
      </c>
      <c r="B8603" s="2" t="s">
        <v>21813</v>
      </c>
      <c r="C8603" s="2" t="s">
        <v>26</v>
      </c>
      <c r="D8603" s="2" t="s">
        <v>18</v>
      </c>
      <c r="E8603" s="4">
        <v>-32157</v>
      </c>
      <c r="F8603" s="3" t="s">
        <v>200</v>
      </c>
      <c r="G8603" s="3" t="s">
        <v>6869</v>
      </c>
      <c r="H8603" s="2" t="s">
        <v>148</v>
      </c>
      <c r="I8603" s="2" t="s">
        <v>21814</v>
      </c>
      <c r="J8603" s="3" t="str">
        <f>HYPERLINK("https://www.boe.es/gazeta/dias/1811/12/15/pdfs/GMD-1811-349.pdf#page=2","Abrir facsímil")</f>
        <v>Abrir facsímil</v>
      </c>
      <c r="K8603" s="3" t="s">
        <v>150</v>
      </c>
    </row>
    <row r="8604" spans="1:11" ht="42" customHeight="1">
      <c r="A8604" s="2" t="s">
        <v>21815</v>
      </c>
      <c r="B8604" s="2" t="s">
        <v>21816</v>
      </c>
      <c r="C8604" s="2" t="s">
        <v>26</v>
      </c>
      <c r="D8604" s="2" t="s">
        <v>18</v>
      </c>
      <c r="E8604" s="4">
        <v>-32195</v>
      </c>
      <c r="F8604" s="3" t="s">
        <v>439</v>
      </c>
      <c r="G8604" s="3" t="s">
        <v>440</v>
      </c>
      <c r="H8604" s="2" t="s">
        <v>148</v>
      </c>
      <c r="I8604" s="2" t="s">
        <v>21817</v>
      </c>
      <c r="J8604" s="3" t="str">
        <f>HYPERLINK("https://www.boe.es/gazeta/dias/1811/11/07/pdfs/GEI-1811-144.pdf#page=8","Abrir facsímil")</f>
        <v>Abrir facsímil</v>
      </c>
      <c r="K8604" s="3" t="s">
        <v>150</v>
      </c>
    </row>
    <row r="8605" spans="1:11" ht="42" customHeight="1">
      <c r="A8605" s="2" t="s">
        <v>21818</v>
      </c>
      <c r="B8605" s="2" t="s">
        <v>21818</v>
      </c>
      <c r="C8605" s="2" t="s">
        <v>17</v>
      </c>
      <c r="D8605" s="2" t="s">
        <v>18</v>
      </c>
      <c r="E8605" s="4">
        <v>-32419</v>
      </c>
      <c r="F8605" s="3" t="s">
        <v>2585</v>
      </c>
      <c r="G8605" s="3" t="s">
        <v>47</v>
      </c>
      <c r="H8605" s="2" t="s">
        <v>148</v>
      </c>
      <c r="I8605" s="2" t="s">
        <v>21819</v>
      </c>
      <c r="J8605" s="3" t="str">
        <f>HYPERLINK("https://www.boe.es/gazeta/dias/1811/03/28/pdfs/GEI-1811-43.pdf#page=5","Abrir facsímil")</f>
        <v>Abrir facsímil</v>
      </c>
      <c r="K8605" s="3" t="s">
        <v>150</v>
      </c>
    </row>
    <row r="8606" spans="1:11" ht="42" customHeight="1">
      <c r="A8606" s="2" t="s">
        <v>21820</v>
      </c>
      <c r="B8606" s="2" t="s">
        <v>21821</v>
      </c>
      <c r="C8606" s="2" t="s">
        <v>26</v>
      </c>
      <c r="D8606" s="2" t="s">
        <v>18</v>
      </c>
      <c r="E8606" s="4">
        <v>-32235</v>
      </c>
      <c r="F8606" s="3" t="s">
        <v>190</v>
      </c>
      <c r="G8606" s="3" t="s">
        <v>188</v>
      </c>
      <c r="H8606" s="2" t="s">
        <v>148</v>
      </c>
      <c r="I8606" s="2" t="s">
        <v>21822</v>
      </c>
      <c r="J8606" s="3" t="str">
        <f>HYPERLINK("https://www.boe.es/gazeta/dias/1811/09/28/pdfs/GEI-1811-125.pdf#page=8","Abrir facsímil")</f>
        <v>Abrir facsímil</v>
      </c>
      <c r="K8606" s="3" t="s">
        <v>150</v>
      </c>
    </row>
    <row r="8607" spans="1:11" ht="42" customHeight="1">
      <c r="A8607" s="2" t="s">
        <v>21823</v>
      </c>
      <c r="B8607" s="2" t="s">
        <v>21823</v>
      </c>
      <c r="C8607" s="2" t="s">
        <v>17</v>
      </c>
      <c r="D8607" s="2" t="s">
        <v>18</v>
      </c>
      <c r="E8607" s="4">
        <v>-32223</v>
      </c>
      <c r="F8607" s="3" t="s">
        <v>5139</v>
      </c>
      <c r="G8607" s="3" t="s">
        <v>8549</v>
      </c>
      <c r="H8607" s="2" t="s">
        <v>148</v>
      </c>
      <c r="I8607" s="2" t="s">
        <v>21824</v>
      </c>
      <c r="J8607" s="3" t="str">
        <f>HYPERLINK("https://www.boe.es/gazeta/dias/1811/10/10/pdfs/GMD-1811-283.pdf#page=1","Abrir facsímil")</f>
        <v>Abrir facsímil</v>
      </c>
      <c r="K8607" s="3" t="s">
        <v>150</v>
      </c>
    </row>
    <row r="8608" spans="1:11" ht="42" customHeight="1">
      <c r="A8608" s="2" t="s">
        <v>21825</v>
      </c>
      <c r="B8608" s="2" t="s">
        <v>21825</v>
      </c>
      <c r="C8608" s="2" t="s">
        <v>17</v>
      </c>
      <c r="D8608" s="2" t="s">
        <v>18</v>
      </c>
      <c r="E8608" s="4">
        <v>-32358</v>
      </c>
      <c r="F8608" s="3" t="s">
        <v>2971</v>
      </c>
      <c r="G8608" s="3" t="s">
        <v>515</v>
      </c>
      <c r="H8608" s="2" t="s">
        <v>148</v>
      </c>
      <c r="I8608" s="2" t="s">
        <v>21826</v>
      </c>
      <c r="J8608" s="3" t="str">
        <f>HYPERLINK("https://www.boe.es/gazeta/dias/1811/05/28/pdfs/GEI-1811-72.pdf#page=1","Abrir facsímil")</f>
        <v>Abrir facsímil</v>
      </c>
      <c r="K8608" s="3" t="s">
        <v>150</v>
      </c>
    </row>
    <row r="8609" spans="1:11" ht="42" customHeight="1">
      <c r="A8609" s="2" t="s">
        <v>21827</v>
      </c>
      <c r="B8609" s="2" t="s">
        <v>21828</v>
      </c>
      <c r="C8609" s="2" t="s">
        <v>17</v>
      </c>
      <c r="D8609" s="2" t="s">
        <v>156</v>
      </c>
      <c r="E8609" s="4">
        <v>-32221</v>
      </c>
      <c r="F8609" s="3" t="s">
        <v>747</v>
      </c>
      <c r="G8609" s="3" t="s">
        <v>10299</v>
      </c>
      <c r="H8609" s="2" t="s">
        <v>148</v>
      </c>
      <c r="I8609" s="2" t="s">
        <v>21829</v>
      </c>
      <c r="J8609" s="3" t="str">
        <f>HYPERLINK("https://www.boe.es/gazeta/dias/1811/10/12/pdfs/GEI-1811-131.pdf#page=2","Abrir facsímil")</f>
        <v>Abrir facsímil</v>
      </c>
      <c r="K8609" s="3" t="s">
        <v>150</v>
      </c>
    </row>
    <row r="8610" spans="1:11" ht="42" customHeight="1">
      <c r="A8610" s="2" t="s">
        <v>21830</v>
      </c>
      <c r="B8610" s="2" t="s">
        <v>21830</v>
      </c>
      <c r="C8610" s="2" t="s">
        <v>17</v>
      </c>
      <c r="D8610" s="2" t="s">
        <v>18</v>
      </c>
      <c r="E8610" s="4">
        <v>-32211</v>
      </c>
      <c r="F8610" s="3" t="s">
        <v>1230</v>
      </c>
      <c r="G8610" s="3" t="s">
        <v>2921</v>
      </c>
      <c r="H8610" s="2" t="s">
        <v>148</v>
      </c>
      <c r="I8610" s="2" t="s">
        <v>21831</v>
      </c>
      <c r="J8610" s="3" t="str">
        <f>HYPERLINK("https://www.boe.es/gazeta/dias/1811/10/22/pdfs/GMD-1811-295.pdf#page=3","Abrir facsímil")</f>
        <v>Abrir facsímil</v>
      </c>
      <c r="K8610" s="3" t="s">
        <v>150</v>
      </c>
    </row>
    <row r="8611" spans="1:11" ht="42" customHeight="1">
      <c r="A8611" s="2" t="s">
        <v>21832</v>
      </c>
      <c r="B8611" s="2" t="s">
        <v>21832</v>
      </c>
      <c r="C8611" s="2" t="s">
        <v>17</v>
      </c>
      <c r="D8611" s="2" t="s">
        <v>204</v>
      </c>
      <c r="E8611" s="4">
        <v>-32147</v>
      </c>
      <c r="F8611" s="3" t="s">
        <v>1922</v>
      </c>
      <c r="G8611" s="3" t="s">
        <v>382</v>
      </c>
      <c r="H8611" s="2" t="s">
        <v>148</v>
      </c>
      <c r="I8611" s="2" t="s">
        <v>21833</v>
      </c>
      <c r="J8611" s="3" t="str">
        <f>HYPERLINK("https://www.boe.es/gazeta/dias/1811/12/25/pdfs/GMD-1811-359.pdf#page=3","Abrir facsímil")</f>
        <v>Abrir facsímil</v>
      </c>
      <c r="K8611" s="3" t="s">
        <v>150</v>
      </c>
    </row>
    <row r="8612" spans="1:11" ht="42" customHeight="1">
      <c r="A8612" s="2" t="s">
        <v>21834</v>
      </c>
      <c r="B8612" s="2" t="s">
        <v>21834</v>
      </c>
      <c r="C8612" s="2" t="s">
        <v>17</v>
      </c>
      <c r="D8612" s="2" t="s">
        <v>18</v>
      </c>
      <c r="E8612" s="4">
        <v>-32222</v>
      </c>
      <c r="F8612" s="3" t="s">
        <v>4460</v>
      </c>
      <c r="G8612" s="3" t="s">
        <v>409</v>
      </c>
      <c r="H8612" s="2" t="s">
        <v>148</v>
      </c>
      <c r="I8612" s="2" t="s">
        <v>21835</v>
      </c>
      <c r="J8612" s="3" t="str">
        <f>HYPERLINK("https://www.boe.es/gazeta/dias/1811/10/11/pdfs/GMD-1811-284.pdf#page=2","Abrir facsímil")</f>
        <v>Abrir facsímil</v>
      </c>
      <c r="K8612" s="3" t="s">
        <v>150</v>
      </c>
    </row>
    <row r="8613" spans="1:11" ht="42" customHeight="1">
      <c r="A8613" s="2" t="s">
        <v>21836</v>
      </c>
      <c r="B8613" s="2" t="s">
        <v>21836</v>
      </c>
      <c r="C8613" s="2" t="s">
        <v>26</v>
      </c>
      <c r="D8613" s="2" t="s">
        <v>18</v>
      </c>
      <c r="E8613" s="4">
        <v>-32240</v>
      </c>
      <c r="F8613" s="3" t="s">
        <v>2753</v>
      </c>
      <c r="G8613" s="3" t="s">
        <v>4151</v>
      </c>
      <c r="H8613" s="2" t="s">
        <v>148</v>
      </c>
      <c r="I8613" s="2" t="s">
        <v>21837</v>
      </c>
      <c r="J8613" s="3" t="str">
        <f>HYPERLINK("https://www.boe.es/gazeta/dias/1811/09/23/pdfs/GMD-1811-266.pdf#page=3","Abrir facsímil")</f>
        <v>Abrir facsímil</v>
      </c>
      <c r="K8613" s="3" t="s">
        <v>150</v>
      </c>
    </row>
    <row r="8614" spans="1:11" ht="42" customHeight="1">
      <c r="A8614" s="2" t="s">
        <v>21838</v>
      </c>
      <c r="B8614" s="2" t="s">
        <v>21838</v>
      </c>
      <c r="C8614" s="2" t="s">
        <v>26</v>
      </c>
      <c r="D8614" s="2" t="s">
        <v>18</v>
      </c>
      <c r="E8614" s="4">
        <v>-32477</v>
      </c>
      <c r="F8614" s="3" t="s">
        <v>589</v>
      </c>
      <c r="G8614" s="3" t="s">
        <v>115</v>
      </c>
      <c r="H8614" s="2" t="s">
        <v>148</v>
      </c>
      <c r="I8614" s="2" t="s">
        <v>21839</v>
      </c>
      <c r="J8614" s="3" t="str">
        <f>HYPERLINK("https://www.boe.es/gazeta/dias/1811/01/29/pdfs/GMD-1811-29.pdf#page=3","Abrir facsímil")</f>
        <v>Abrir facsímil</v>
      </c>
      <c r="K8614" s="3" t="s">
        <v>150</v>
      </c>
    </row>
    <row r="8615" spans="1:11" ht="42" customHeight="1">
      <c r="A8615" s="2" t="s">
        <v>21840</v>
      </c>
      <c r="B8615" s="2" t="s">
        <v>21841</v>
      </c>
      <c r="C8615" s="2" t="s">
        <v>17</v>
      </c>
      <c r="D8615" s="2" t="s">
        <v>105</v>
      </c>
      <c r="E8615" s="4">
        <v>-32494</v>
      </c>
      <c r="F8615" s="3" t="s">
        <v>3050</v>
      </c>
      <c r="G8615" s="3" t="s">
        <v>1179</v>
      </c>
      <c r="H8615" s="2" t="s">
        <v>148</v>
      </c>
      <c r="I8615" s="2" t="s">
        <v>21842</v>
      </c>
      <c r="J8615" s="3" t="str">
        <f>HYPERLINK("https://www.boe.es/gazeta/dias/1811/01/12/pdfs/GEI-1811-6.pdf#page=7","Abrir facsímil")</f>
        <v>Abrir facsímil</v>
      </c>
      <c r="K8615" s="3" t="s">
        <v>150</v>
      </c>
    </row>
    <row r="8616" spans="1:11" ht="42" customHeight="1">
      <c r="A8616" s="2" t="s">
        <v>21843</v>
      </c>
      <c r="B8616" s="2" t="s">
        <v>21844</v>
      </c>
      <c r="C8616" s="2" t="s">
        <v>26</v>
      </c>
      <c r="D8616" s="2" t="s">
        <v>18</v>
      </c>
      <c r="E8616" s="4">
        <v>-32155</v>
      </c>
      <c r="F8616" s="3" t="s">
        <v>263</v>
      </c>
      <c r="G8616" s="3" t="s">
        <v>1800</v>
      </c>
      <c r="H8616" s="2" t="s">
        <v>21</v>
      </c>
      <c r="I8616" s="2" t="s">
        <v>21845</v>
      </c>
      <c r="J8616" s="3" t="str">
        <f>HYPERLINK("https://www.boe.es/gazeta/dias/1811/12/17/pdfs/GEI-1811-163.pdf#page=7","Abrir facsímil")</f>
        <v>Abrir facsímil</v>
      </c>
      <c r="K8616" s="3" t="s">
        <v>23</v>
      </c>
    </row>
    <row r="8617" spans="1:11" ht="42" customHeight="1">
      <c r="A8617" s="2" t="s">
        <v>21846</v>
      </c>
      <c r="B8617" s="2" t="s">
        <v>21846</v>
      </c>
      <c r="C8617" s="2" t="s">
        <v>17</v>
      </c>
      <c r="D8617" s="2" t="s">
        <v>18</v>
      </c>
      <c r="E8617" s="4">
        <v>-32322</v>
      </c>
      <c r="F8617" s="3" t="s">
        <v>13477</v>
      </c>
      <c r="G8617" s="3" t="s">
        <v>3643</v>
      </c>
      <c r="H8617" s="2" t="s">
        <v>148</v>
      </c>
      <c r="I8617" s="2" t="s">
        <v>21847</v>
      </c>
      <c r="J8617" s="3" t="str">
        <f>HYPERLINK("https://www.boe.es/gazeta/dias/1811/07/03/pdfs/GMD-1811-184.pdf#page=3","Abrir facsímil")</f>
        <v>Abrir facsímil</v>
      </c>
      <c r="K8617" s="3" t="s">
        <v>150</v>
      </c>
    </row>
    <row r="8618" spans="1:11" ht="42" customHeight="1">
      <c r="A8618" s="2" t="s">
        <v>21848</v>
      </c>
      <c r="B8618" s="2" t="s">
        <v>21848</v>
      </c>
      <c r="C8618" s="2" t="s">
        <v>26</v>
      </c>
      <c r="D8618" s="2" t="s">
        <v>204</v>
      </c>
      <c r="E8618" s="4">
        <v>-32364</v>
      </c>
      <c r="F8618" s="3" t="s">
        <v>2783</v>
      </c>
      <c r="G8618" s="3" t="s">
        <v>39</v>
      </c>
      <c r="H8618" s="2" t="s">
        <v>148</v>
      </c>
      <c r="I8618" s="2" t="s">
        <v>21849</v>
      </c>
      <c r="J8618" s="3" t="str">
        <f>HYPERLINK("https://www.boe.es/gazeta/dias/1811/05/22/pdfs/GMD-1811-142.pdf#page=1","Abrir facsímil")</f>
        <v>Abrir facsímil</v>
      </c>
      <c r="K8618" s="3" t="s">
        <v>150</v>
      </c>
    </row>
    <row r="8619" spans="1:11" ht="42" customHeight="1">
      <c r="A8619" s="2" t="s">
        <v>21850</v>
      </c>
      <c r="B8619" s="2" t="s">
        <v>21850</v>
      </c>
      <c r="C8619" s="2" t="s">
        <v>17</v>
      </c>
      <c r="D8619" s="2" t="s">
        <v>18</v>
      </c>
      <c r="E8619" s="4">
        <v>-32152</v>
      </c>
      <c r="F8619" s="3" t="s">
        <v>1673</v>
      </c>
      <c r="G8619" s="3" t="s">
        <v>57</v>
      </c>
      <c r="H8619" s="2" t="s">
        <v>148</v>
      </c>
      <c r="I8619" s="2" t="s">
        <v>21851</v>
      </c>
      <c r="J8619" s="3" t="str">
        <f>HYPERLINK("https://www.boe.es/gazeta/dias/1811/12/20/pdfs/GMD-1811-354.pdf#page=2","Abrir facsímil")</f>
        <v>Abrir facsímil</v>
      </c>
      <c r="K8619" s="3" t="s">
        <v>150</v>
      </c>
    </row>
    <row r="8620" spans="1:11" ht="42" customHeight="1">
      <c r="A8620" s="2" t="s">
        <v>21852</v>
      </c>
      <c r="B8620" s="2" t="s">
        <v>21852</v>
      </c>
      <c r="C8620" s="2" t="s">
        <v>17</v>
      </c>
      <c r="D8620" s="2" t="s">
        <v>18</v>
      </c>
      <c r="E8620" s="4">
        <v>-32450</v>
      </c>
      <c r="F8620" s="3" t="s">
        <v>794</v>
      </c>
      <c r="G8620" s="3" t="s">
        <v>39</v>
      </c>
      <c r="H8620" s="2" t="s">
        <v>148</v>
      </c>
      <c r="I8620" s="2" t="s">
        <v>21853</v>
      </c>
      <c r="J8620" s="3" t="str">
        <f>HYPERLINK("https://www.boe.es/gazeta/dias/1811/02/25/pdfs/GMD-1811-56.pdf#page=1","Abrir facsímil")</f>
        <v>Abrir facsímil</v>
      </c>
      <c r="K8620" s="3" t="s">
        <v>150</v>
      </c>
    </row>
    <row r="8621" spans="1:11" ht="42" customHeight="1">
      <c r="A8621" s="2" t="s">
        <v>21854</v>
      </c>
      <c r="B8621" s="2" t="s">
        <v>21855</v>
      </c>
      <c r="C8621" s="2" t="s">
        <v>26</v>
      </c>
      <c r="D8621" s="2" t="s">
        <v>18</v>
      </c>
      <c r="E8621" s="4">
        <v>-32407</v>
      </c>
      <c r="F8621" s="3" t="s">
        <v>38</v>
      </c>
      <c r="G8621" s="3" t="s">
        <v>2379</v>
      </c>
      <c r="H8621" s="2" t="s">
        <v>148</v>
      </c>
      <c r="I8621" s="2" t="s">
        <v>21856</v>
      </c>
      <c r="J8621" s="3" t="str">
        <f>HYPERLINK("https://www.boe.es/gazeta/dias/1811/04/09/pdfs/GEI-1811-48.pdf#page=10","Abrir facsímil")</f>
        <v>Abrir facsímil</v>
      </c>
      <c r="K8621" s="3" t="s">
        <v>150</v>
      </c>
    </row>
    <row r="8622" spans="1:11" ht="42" customHeight="1">
      <c r="A8622" s="2" t="s">
        <v>21857</v>
      </c>
      <c r="B8622" s="2" t="s">
        <v>21858</v>
      </c>
      <c r="C8622" s="2" t="s">
        <v>17</v>
      </c>
      <c r="D8622" s="2" t="s">
        <v>18</v>
      </c>
      <c r="E8622" s="4">
        <v>-32482</v>
      </c>
      <c r="F8622" s="3" t="s">
        <v>924</v>
      </c>
      <c r="G8622" s="3" t="s">
        <v>846</v>
      </c>
      <c r="H8622" s="2" t="s">
        <v>148</v>
      </c>
      <c r="I8622" s="2" t="s">
        <v>21859</v>
      </c>
      <c r="J8622" s="3" t="str">
        <f>HYPERLINK("https://www.boe.es/gazeta/dias/1811/01/24/pdfs/GEI-1811-11.pdf#page=8","Abrir facsímil")</f>
        <v>Abrir facsímil</v>
      </c>
      <c r="K8622" s="3" t="s">
        <v>150</v>
      </c>
    </row>
    <row r="8623" spans="1:11" ht="42" customHeight="1">
      <c r="A8623" s="2" t="s">
        <v>21860</v>
      </c>
      <c r="B8623" s="2" t="s">
        <v>21860</v>
      </c>
      <c r="C8623" s="2" t="s">
        <v>17</v>
      </c>
      <c r="D8623" s="2" t="s">
        <v>156</v>
      </c>
      <c r="E8623" s="4">
        <v>-32356</v>
      </c>
      <c r="F8623" s="3" t="s">
        <v>1992</v>
      </c>
      <c r="G8623" s="3" t="s">
        <v>3613</v>
      </c>
      <c r="H8623" s="2" t="s">
        <v>148</v>
      </c>
      <c r="I8623" s="2" t="s">
        <v>21861</v>
      </c>
      <c r="J8623" s="3" t="str">
        <f>HYPERLINK("https://www.boe.es/gazeta/dias/1811/05/30/pdfs/GEI-1811-73.pdf#page=5","Abrir facsímil")</f>
        <v>Abrir facsímil</v>
      </c>
      <c r="K8623" s="3" t="s">
        <v>150</v>
      </c>
    </row>
    <row r="8624" spans="1:11" ht="42" customHeight="1">
      <c r="A8624" s="2" t="s">
        <v>21862</v>
      </c>
      <c r="B8624" s="2" t="s">
        <v>21862</v>
      </c>
      <c r="C8624" s="2" t="s">
        <v>367</v>
      </c>
      <c r="D8624" s="2" t="s">
        <v>18</v>
      </c>
      <c r="E8624" s="4">
        <v>-32307</v>
      </c>
      <c r="F8624" s="3" t="s">
        <v>2614</v>
      </c>
      <c r="G8624" s="3" t="s">
        <v>6574</v>
      </c>
      <c r="H8624" s="2" t="s">
        <v>148</v>
      </c>
      <c r="I8624" s="2" t="s">
        <v>21863</v>
      </c>
      <c r="J8624" s="3" t="str">
        <f>HYPERLINK("https://www.boe.es/gazeta/dias/1811/07/18/pdfs/GMD-1811-199.pdf#page=1","Abrir facsímil")</f>
        <v>Abrir facsímil</v>
      </c>
      <c r="K8624" s="3" t="s">
        <v>150</v>
      </c>
    </row>
    <row r="8625" spans="1:11" ht="42" customHeight="1">
      <c r="A8625" s="2" t="s">
        <v>21864</v>
      </c>
      <c r="B8625" s="2" t="s">
        <v>21865</v>
      </c>
      <c r="C8625" s="2" t="s">
        <v>367</v>
      </c>
      <c r="D8625" s="2" t="s">
        <v>18</v>
      </c>
      <c r="E8625" s="4">
        <v>-32307</v>
      </c>
      <c r="F8625" s="3" t="s">
        <v>2614</v>
      </c>
      <c r="G8625" s="3" t="s">
        <v>6574</v>
      </c>
      <c r="H8625" s="2" t="s">
        <v>148</v>
      </c>
      <c r="I8625" s="2" t="s">
        <v>21866</v>
      </c>
      <c r="J8625" s="3" t="str">
        <f>HYPERLINK("https://www.boe.es/gazeta/dias/1811/07/18/pdfs/GMD-1811-199.pdf#page=1","Abrir facsímil")</f>
        <v>Abrir facsímil</v>
      </c>
      <c r="K8625" s="3" t="s">
        <v>150</v>
      </c>
    </row>
    <row r="8626" spans="1:11" ht="42" customHeight="1">
      <c r="A8626" s="2" t="s">
        <v>21867</v>
      </c>
      <c r="B8626" s="2" t="s">
        <v>21867</v>
      </c>
      <c r="C8626" s="2" t="s">
        <v>367</v>
      </c>
      <c r="D8626" s="2" t="s">
        <v>18</v>
      </c>
      <c r="E8626" s="4">
        <v>-32452</v>
      </c>
      <c r="F8626" s="3" t="s">
        <v>15369</v>
      </c>
      <c r="G8626" s="3" t="s">
        <v>91</v>
      </c>
      <c r="H8626" s="2" t="s">
        <v>148</v>
      </c>
      <c r="I8626" s="2" t="s">
        <v>21868</v>
      </c>
      <c r="J8626" s="3" t="str">
        <f>HYPERLINK("https://www.boe.es/gazeta/dias/1811/02/23/pdfs/GMD-1811-54.pdf#page=1","Abrir facsímil")</f>
        <v>Abrir facsímil</v>
      </c>
      <c r="K8626" s="3" t="s">
        <v>150</v>
      </c>
    </row>
    <row r="8627" spans="1:11" ht="42" customHeight="1">
      <c r="A8627" s="2" t="s">
        <v>21867</v>
      </c>
      <c r="B8627" s="2" t="s">
        <v>21867</v>
      </c>
      <c r="C8627" s="2" t="s">
        <v>37</v>
      </c>
      <c r="D8627" s="2" t="s">
        <v>156</v>
      </c>
      <c r="E8627" s="4">
        <v>-32448</v>
      </c>
      <c r="F8627" s="3" t="s">
        <v>21869</v>
      </c>
      <c r="G8627" s="3" t="s">
        <v>468</v>
      </c>
      <c r="H8627" s="2" t="s">
        <v>148</v>
      </c>
      <c r="I8627" s="2" t="s">
        <v>21870</v>
      </c>
      <c r="J8627" s="3" t="str">
        <f>HYPERLINK("https://www.boe.es/gazeta/dias/1811/02/27/pdfs/GMD-1811-58.pdf#page=1","Abrir facsímil")</f>
        <v>Abrir facsímil</v>
      </c>
      <c r="K8627" s="3" t="s">
        <v>150</v>
      </c>
    </row>
    <row r="8628" spans="1:11" ht="42" customHeight="1">
      <c r="A8628" s="2" t="s">
        <v>21871</v>
      </c>
      <c r="B8628" s="2" t="s">
        <v>21871</v>
      </c>
      <c r="C8628" s="2" t="s">
        <v>26</v>
      </c>
      <c r="D8628" s="2" t="s">
        <v>204</v>
      </c>
      <c r="E8628" s="4">
        <v>-32420</v>
      </c>
      <c r="F8628" s="3" t="s">
        <v>5076</v>
      </c>
      <c r="G8628" s="3" t="s">
        <v>582</v>
      </c>
      <c r="H8628" s="2" t="s">
        <v>148</v>
      </c>
      <c r="I8628" s="2" t="s">
        <v>21872</v>
      </c>
      <c r="J8628" s="3" t="str">
        <f>HYPERLINK("https://www.boe.es/gazeta/dias/1811/03/27/pdfs/GMD-1811-86.pdf#page=1","Abrir facsímil")</f>
        <v>Abrir facsímil</v>
      </c>
      <c r="K8628" s="3" t="s">
        <v>150</v>
      </c>
    </row>
    <row r="8629" spans="1:11" ht="42" customHeight="1">
      <c r="A8629" s="2" t="s">
        <v>21867</v>
      </c>
      <c r="B8629" s="2" t="s">
        <v>21867</v>
      </c>
      <c r="C8629" s="2" t="s">
        <v>37</v>
      </c>
      <c r="D8629" s="2" t="s">
        <v>18</v>
      </c>
      <c r="E8629" s="4">
        <v>-32382</v>
      </c>
      <c r="F8629" s="3" t="s">
        <v>6451</v>
      </c>
      <c r="G8629" s="3" t="s">
        <v>91</v>
      </c>
      <c r="H8629" s="2" t="s">
        <v>148</v>
      </c>
      <c r="I8629" s="2" t="s">
        <v>21873</v>
      </c>
      <c r="J8629" s="3" t="str">
        <f>HYPERLINK("https://www.boe.es/gazeta/dias/1811/05/04/pdfs/GMD-1811-124.pdf#page=1","Abrir facsímil")</f>
        <v>Abrir facsímil</v>
      </c>
      <c r="K8629" s="3" t="s">
        <v>150</v>
      </c>
    </row>
    <row r="8630" spans="1:11" ht="42" customHeight="1">
      <c r="A8630" s="2" t="s">
        <v>21867</v>
      </c>
      <c r="B8630" s="2" t="s">
        <v>21867</v>
      </c>
      <c r="C8630" s="2" t="s">
        <v>26</v>
      </c>
      <c r="D8630" s="2" t="s">
        <v>18</v>
      </c>
      <c r="E8630" s="4">
        <v>-32339</v>
      </c>
      <c r="F8630" s="3" t="s">
        <v>1853</v>
      </c>
      <c r="G8630" s="3" t="s">
        <v>44</v>
      </c>
      <c r="H8630" s="2" t="s">
        <v>148</v>
      </c>
      <c r="I8630" s="2" t="s">
        <v>21874</v>
      </c>
      <c r="J8630" s="3" t="str">
        <f>HYPERLINK("https://www.boe.es/gazeta/dias/1811/06/16/pdfs/GMD-1811-167.pdf#page=2","Abrir facsímil")</f>
        <v>Abrir facsímil</v>
      </c>
      <c r="K8630" s="3" t="s">
        <v>150</v>
      </c>
    </row>
    <row r="8631" spans="1:11" ht="42" customHeight="1">
      <c r="A8631" s="2" t="s">
        <v>21867</v>
      </c>
      <c r="B8631" s="2" t="s">
        <v>21867</v>
      </c>
      <c r="C8631" s="2" t="s">
        <v>26</v>
      </c>
      <c r="D8631" s="2" t="s">
        <v>18</v>
      </c>
      <c r="E8631" s="4">
        <v>-32187</v>
      </c>
      <c r="F8631" s="3" t="s">
        <v>1775</v>
      </c>
      <c r="G8631" s="3" t="s">
        <v>44</v>
      </c>
      <c r="H8631" s="2" t="s">
        <v>148</v>
      </c>
      <c r="I8631" s="2" t="s">
        <v>21875</v>
      </c>
      <c r="J8631" s="3" t="str">
        <f>HYPERLINK("https://www.boe.es/gazeta/dias/1811/11/15/pdfs/GMD-1811-319.pdf#page=2","Abrir facsímil")</f>
        <v>Abrir facsímil</v>
      </c>
      <c r="K8631" s="3" t="s">
        <v>150</v>
      </c>
    </row>
    <row r="8632" spans="1:11" ht="42" customHeight="1">
      <c r="A8632" s="2" t="s">
        <v>21876</v>
      </c>
      <c r="B8632" s="2" t="s">
        <v>21876</v>
      </c>
      <c r="C8632" s="2" t="s">
        <v>367</v>
      </c>
      <c r="D8632" s="2" t="s">
        <v>156</v>
      </c>
      <c r="E8632" s="4">
        <v>-32177</v>
      </c>
      <c r="F8632" s="3" t="s">
        <v>402</v>
      </c>
      <c r="G8632" s="3" t="s">
        <v>47</v>
      </c>
      <c r="H8632" s="2" t="s">
        <v>148</v>
      </c>
      <c r="I8632" s="2" t="s">
        <v>21877</v>
      </c>
      <c r="J8632" s="3" t="str">
        <f>HYPERLINK("https://www.boe.es/gazeta/dias/1811/11/25/pdfs/GMD-1811-329.pdf#page=2","Abrir facsímil")</f>
        <v>Abrir facsímil</v>
      </c>
      <c r="K8632" s="3" t="s">
        <v>150</v>
      </c>
    </row>
    <row r="8633" spans="1:11" ht="42" customHeight="1">
      <c r="A8633" s="2" t="s">
        <v>21878</v>
      </c>
      <c r="B8633" s="2" t="s">
        <v>21878</v>
      </c>
      <c r="C8633" s="2" t="s">
        <v>17</v>
      </c>
      <c r="D8633" s="2" t="s">
        <v>18</v>
      </c>
      <c r="E8633" s="4">
        <v>-32149</v>
      </c>
      <c r="F8633" s="3" t="s">
        <v>2292</v>
      </c>
      <c r="G8633" s="3" t="s">
        <v>183</v>
      </c>
      <c r="H8633" s="2" t="s">
        <v>148</v>
      </c>
      <c r="I8633" s="2" t="s">
        <v>21879</v>
      </c>
      <c r="J8633" s="3" t="str">
        <f>HYPERLINK("https://www.boe.es/gazeta/dias/1811/12/23/pdfs/GMD-1811-357.pdf#page=4","Abrir facsímil")</f>
        <v>Abrir facsímil</v>
      </c>
      <c r="K8633" s="3" t="s">
        <v>150</v>
      </c>
    </row>
    <row r="8634" spans="1:11" ht="42" customHeight="1">
      <c r="A8634" s="2" t="s">
        <v>21880</v>
      </c>
      <c r="B8634" s="2" t="s">
        <v>21880</v>
      </c>
      <c r="C8634" s="2" t="s">
        <v>84</v>
      </c>
      <c r="D8634" s="2" t="s">
        <v>18</v>
      </c>
      <c r="E8634" s="4">
        <v>-32374</v>
      </c>
      <c r="F8634" s="3" t="s">
        <v>10021</v>
      </c>
      <c r="G8634" s="3" t="s">
        <v>57</v>
      </c>
      <c r="H8634" s="2" t="s">
        <v>148</v>
      </c>
      <c r="I8634" s="2" t="s">
        <v>21881</v>
      </c>
      <c r="J8634" s="3" t="str">
        <f>HYPERLINK("https://www.boe.es/gazeta/dias/1811/05/12/pdfs/GMD-1811-132.pdf#page=2","Abrir facsímil")</f>
        <v>Abrir facsímil</v>
      </c>
      <c r="K8634" s="3" t="s">
        <v>150</v>
      </c>
    </row>
    <row r="8635" spans="1:11" ht="42" customHeight="1">
      <c r="A8635" s="2" t="s">
        <v>21882</v>
      </c>
      <c r="B8635" s="2" t="s">
        <v>21882</v>
      </c>
      <c r="C8635" s="2" t="s">
        <v>17</v>
      </c>
      <c r="D8635" s="2" t="s">
        <v>156</v>
      </c>
      <c r="E8635" s="4">
        <v>-32391</v>
      </c>
      <c r="F8635" s="3" t="s">
        <v>252</v>
      </c>
      <c r="G8635" s="3" t="s">
        <v>657</v>
      </c>
      <c r="H8635" s="2" t="s">
        <v>148</v>
      </c>
      <c r="I8635" s="2" t="s">
        <v>21883</v>
      </c>
      <c r="J8635" s="3" t="str">
        <f>HYPERLINK("https://www.boe.es/gazeta/dias/1811/04/25/pdfs/GEI-1811-55.pdf#page=2","Abrir facsímil")</f>
        <v>Abrir facsímil</v>
      </c>
      <c r="K8635" s="3" t="s">
        <v>150</v>
      </c>
    </row>
    <row r="8636" spans="1:11" ht="42" customHeight="1">
      <c r="A8636" s="2" t="s">
        <v>21882</v>
      </c>
      <c r="B8636" s="2" t="s">
        <v>21882</v>
      </c>
      <c r="C8636" s="2" t="s">
        <v>17</v>
      </c>
      <c r="D8636" s="2" t="s">
        <v>18</v>
      </c>
      <c r="E8636" s="4">
        <v>-32224</v>
      </c>
      <c r="F8636" s="3" t="s">
        <v>12889</v>
      </c>
      <c r="G8636" s="3" t="s">
        <v>21884</v>
      </c>
      <c r="H8636" s="2" t="s">
        <v>148</v>
      </c>
      <c r="I8636" s="2" t="s">
        <v>21885</v>
      </c>
      <c r="J8636" s="3" t="str">
        <f>HYPERLINK("https://www.boe.es/gazeta/dias/1811/10/09/pdfs/GMD-1811-282.pdf#page=1","Abrir facsímil")</f>
        <v>Abrir facsímil</v>
      </c>
      <c r="K8636" s="3" t="s">
        <v>150</v>
      </c>
    </row>
    <row r="8637" spans="1:11" ht="42" customHeight="1">
      <c r="A8637" s="2" t="s">
        <v>21886</v>
      </c>
      <c r="B8637" s="2" t="s">
        <v>21886</v>
      </c>
      <c r="C8637" s="2" t="s">
        <v>17</v>
      </c>
      <c r="D8637" s="2" t="s">
        <v>156</v>
      </c>
      <c r="E8637" s="4">
        <v>-32391</v>
      </c>
      <c r="F8637" s="3" t="s">
        <v>252</v>
      </c>
      <c r="G8637" s="3" t="s">
        <v>657</v>
      </c>
      <c r="H8637" s="2" t="s">
        <v>148</v>
      </c>
      <c r="I8637" s="2" t="s">
        <v>21887</v>
      </c>
      <c r="J8637" s="3" t="str">
        <f>HYPERLINK("https://www.boe.es/gazeta/dias/1811/04/25/pdfs/GEI-1811-55.pdf#page=2","Abrir facsímil")</f>
        <v>Abrir facsímil</v>
      </c>
      <c r="K8637" s="3" t="s">
        <v>150</v>
      </c>
    </row>
    <row r="8638" spans="1:11" ht="42" customHeight="1">
      <c r="A8638" s="2" t="s">
        <v>21888</v>
      </c>
      <c r="B8638" s="2" t="s">
        <v>21888</v>
      </c>
      <c r="C8638" s="2" t="s">
        <v>17</v>
      </c>
      <c r="D8638" s="2" t="s">
        <v>18</v>
      </c>
      <c r="E8638" s="4">
        <v>-32386</v>
      </c>
      <c r="F8638" s="3" t="s">
        <v>1934</v>
      </c>
      <c r="G8638" s="3" t="s">
        <v>2384</v>
      </c>
      <c r="H8638" s="2" t="s">
        <v>148</v>
      </c>
      <c r="I8638" s="2" t="s">
        <v>21889</v>
      </c>
      <c r="J8638" s="3" t="str">
        <f>HYPERLINK("https://www.boe.es/gazeta/dias/1811/04/30/pdfs/GEI-1811-57.pdf#page=5","Abrir facsímil")</f>
        <v>Abrir facsímil</v>
      </c>
      <c r="K8638" s="3" t="s">
        <v>150</v>
      </c>
    </row>
    <row r="8639" spans="1:11" ht="42" customHeight="1">
      <c r="A8639" s="2" t="s">
        <v>21888</v>
      </c>
      <c r="B8639" s="2" t="s">
        <v>21888</v>
      </c>
      <c r="C8639" s="2" t="s">
        <v>17</v>
      </c>
      <c r="D8639" s="2" t="s">
        <v>18</v>
      </c>
      <c r="E8639" s="4">
        <v>-32372</v>
      </c>
      <c r="F8639" s="3" t="s">
        <v>2690</v>
      </c>
      <c r="G8639" s="3" t="s">
        <v>57</v>
      </c>
      <c r="H8639" s="2" t="s">
        <v>148</v>
      </c>
      <c r="I8639" s="2" t="s">
        <v>21890</v>
      </c>
      <c r="J8639" s="3" t="str">
        <f>HYPERLINK("https://www.boe.es/gazeta/dias/1811/05/14/pdfs/GEI-1811-63.pdf#page=2","Abrir facsímil")</f>
        <v>Abrir facsímil</v>
      </c>
      <c r="K8639" s="3" t="s">
        <v>150</v>
      </c>
    </row>
    <row r="8640" spans="1:11" ht="42" customHeight="1">
      <c r="A8640" s="2" t="s">
        <v>21891</v>
      </c>
      <c r="B8640" s="2" t="s">
        <v>21891</v>
      </c>
      <c r="C8640" s="2" t="s">
        <v>17</v>
      </c>
      <c r="D8640" s="2" t="s">
        <v>18</v>
      </c>
      <c r="E8640" s="4">
        <v>-32149</v>
      </c>
      <c r="F8640" s="3" t="s">
        <v>2292</v>
      </c>
      <c r="G8640" s="3" t="s">
        <v>183</v>
      </c>
      <c r="H8640" s="2" t="s">
        <v>148</v>
      </c>
      <c r="I8640" s="2" t="s">
        <v>21892</v>
      </c>
      <c r="J8640" s="3" t="str">
        <f>HYPERLINK("https://www.boe.es/gazeta/dias/1811/12/23/pdfs/GMD-1811-357.pdf#page=4","Abrir facsímil")</f>
        <v>Abrir facsímil</v>
      </c>
      <c r="K8640" s="3" t="s">
        <v>150</v>
      </c>
    </row>
    <row r="8641" spans="1:11" ht="42" customHeight="1">
      <c r="A8641" s="2" t="s">
        <v>21893</v>
      </c>
      <c r="B8641" s="2" t="s">
        <v>21893</v>
      </c>
      <c r="C8641" s="2" t="s">
        <v>17</v>
      </c>
      <c r="D8641" s="2" t="s">
        <v>204</v>
      </c>
      <c r="E8641" s="4">
        <v>-32459</v>
      </c>
      <c r="F8641" s="3" t="s">
        <v>227</v>
      </c>
      <c r="G8641" s="3" t="s">
        <v>488</v>
      </c>
      <c r="H8641" s="2" t="s">
        <v>148</v>
      </c>
      <c r="I8641" s="2" t="s">
        <v>21894</v>
      </c>
      <c r="J8641" s="3" t="str">
        <f>HYPERLINK("https://www.boe.es/gazeta/dias/1811/02/16/pdfs/GMD-1811-47.pdf#page=2","Abrir facsímil")</f>
        <v>Abrir facsímil</v>
      </c>
      <c r="K8641" s="3" t="s">
        <v>150</v>
      </c>
    </row>
    <row r="8642" spans="1:11" ht="42" customHeight="1">
      <c r="A8642" s="2" t="s">
        <v>21895</v>
      </c>
      <c r="B8642" s="2" t="s">
        <v>21895</v>
      </c>
      <c r="C8642" s="2" t="s">
        <v>17</v>
      </c>
      <c r="D8642" s="2" t="s">
        <v>204</v>
      </c>
      <c r="E8642" s="4">
        <v>-32487</v>
      </c>
      <c r="F8642" s="3" t="s">
        <v>3104</v>
      </c>
      <c r="G8642" s="3" t="s">
        <v>3105</v>
      </c>
      <c r="H8642" s="2" t="s">
        <v>148</v>
      </c>
      <c r="I8642" s="2" t="s">
        <v>21896</v>
      </c>
      <c r="J8642" s="3" t="str">
        <f>HYPERLINK("https://www.boe.es/gazeta/dias/1811/01/19/pdfs/GMD-1811-19.pdf#page=1","Abrir facsímil")</f>
        <v>Abrir facsímil</v>
      </c>
      <c r="K8642" s="3" t="s">
        <v>150</v>
      </c>
    </row>
    <row r="8643" spans="1:11" ht="42" customHeight="1">
      <c r="A8643" s="2" t="s">
        <v>21897</v>
      </c>
      <c r="B8643" s="2" t="s">
        <v>21897</v>
      </c>
      <c r="C8643" s="2" t="s">
        <v>17</v>
      </c>
      <c r="D8643" s="2" t="s">
        <v>18</v>
      </c>
      <c r="E8643" s="4">
        <v>-32386</v>
      </c>
      <c r="F8643" s="3" t="s">
        <v>6053</v>
      </c>
      <c r="G8643" s="3" t="s">
        <v>115</v>
      </c>
      <c r="H8643" s="2" t="s">
        <v>148</v>
      </c>
      <c r="I8643" s="2" t="s">
        <v>21898</v>
      </c>
      <c r="J8643" s="3" t="str">
        <f>HYPERLINK("https://www.boe.es/gazeta/dias/1811/04/30/pdfs/GMD-1811-120.pdf#page=3","Abrir facsímil")</f>
        <v>Abrir facsímil</v>
      </c>
      <c r="K8643" s="3" t="s">
        <v>150</v>
      </c>
    </row>
    <row r="8644" spans="1:11" ht="42" customHeight="1">
      <c r="A8644" s="2" t="s">
        <v>21899</v>
      </c>
      <c r="B8644" s="2" t="s">
        <v>21899</v>
      </c>
      <c r="C8644" s="2" t="s">
        <v>26</v>
      </c>
      <c r="D8644" s="2" t="s">
        <v>18</v>
      </c>
      <c r="E8644" s="4">
        <v>-32300</v>
      </c>
      <c r="F8644" s="3" t="s">
        <v>492</v>
      </c>
      <c r="G8644" s="3" t="s">
        <v>983</v>
      </c>
      <c r="H8644" s="2" t="s">
        <v>148</v>
      </c>
      <c r="I8644" s="2" t="s">
        <v>21900</v>
      </c>
      <c r="J8644" s="3" t="str">
        <f>HYPERLINK("https://www.boe.es/gazeta/dias/1811/07/25/pdfs/GMD-1811-206.pdf#page=2","Abrir facsímil")</f>
        <v>Abrir facsímil</v>
      </c>
      <c r="K8644" s="3" t="s">
        <v>150</v>
      </c>
    </row>
    <row r="8645" spans="1:11" ht="42" customHeight="1">
      <c r="A8645" s="2" t="s">
        <v>21901</v>
      </c>
      <c r="B8645" s="2" t="s">
        <v>21901</v>
      </c>
      <c r="C8645" s="2" t="s">
        <v>17</v>
      </c>
      <c r="D8645" s="2" t="s">
        <v>18</v>
      </c>
      <c r="E8645" s="4">
        <v>-32230</v>
      </c>
      <c r="F8645" s="3" t="s">
        <v>625</v>
      </c>
      <c r="G8645" s="3" t="s">
        <v>626</v>
      </c>
      <c r="H8645" s="2" t="s">
        <v>148</v>
      </c>
      <c r="I8645" s="2" t="s">
        <v>21902</v>
      </c>
      <c r="J8645" s="3" t="str">
        <f>HYPERLINK("https://www.boe.es/gazeta/dias/1811/10/03/pdfs/GEI-1811-127.pdf#page=3","Abrir facsímil")</f>
        <v>Abrir facsímil</v>
      </c>
      <c r="K8645" s="3" t="s">
        <v>150</v>
      </c>
    </row>
    <row r="8646" spans="1:11" ht="42" customHeight="1">
      <c r="A8646" s="2" t="s">
        <v>21903</v>
      </c>
      <c r="B8646" s="2" t="s">
        <v>21903</v>
      </c>
      <c r="C8646" s="2" t="s">
        <v>17</v>
      </c>
      <c r="D8646" s="2" t="s">
        <v>18</v>
      </c>
      <c r="E8646" s="4">
        <v>-32386</v>
      </c>
      <c r="F8646" s="3" t="s">
        <v>1934</v>
      </c>
      <c r="G8646" s="3" t="s">
        <v>134</v>
      </c>
      <c r="H8646" s="2" t="s">
        <v>148</v>
      </c>
      <c r="I8646" s="2" t="s">
        <v>21904</v>
      </c>
      <c r="J8646" s="3" t="str">
        <f>HYPERLINK("https://www.boe.es/gazeta/dias/1811/04/30/pdfs/GEI-1811-57.pdf#page=8","Abrir facsímil")</f>
        <v>Abrir facsímil</v>
      </c>
      <c r="K8646" s="3" t="s">
        <v>150</v>
      </c>
    </row>
    <row r="8647" spans="1:11" ht="42" customHeight="1">
      <c r="A8647" s="2" t="s">
        <v>21905</v>
      </c>
      <c r="B8647" s="2" t="s">
        <v>21905</v>
      </c>
      <c r="C8647" s="2" t="s">
        <v>17</v>
      </c>
      <c r="D8647" s="2" t="s">
        <v>18</v>
      </c>
      <c r="E8647" s="4">
        <v>-32315</v>
      </c>
      <c r="F8647" s="3" t="s">
        <v>3189</v>
      </c>
      <c r="G8647" s="3" t="s">
        <v>57</v>
      </c>
      <c r="H8647" s="2" t="s">
        <v>148</v>
      </c>
      <c r="I8647" s="2" t="s">
        <v>21906</v>
      </c>
      <c r="J8647" s="3" t="str">
        <f>HYPERLINK("https://www.boe.es/gazeta/dias/1811/07/10/pdfs/GMD-1811-191.pdf#page=2","Abrir facsímil")</f>
        <v>Abrir facsímil</v>
      </c>
      <c r="K8647" s="3" t="s">
        <v>150</v>
      </c>
    </row>
    <row r="8648" spans="1:11" ht="42" customHeight="1">
      <c r="A8648" s="2" t="s">
        <v>21907</v>
      </c>
      <c r="B8648" s="2" t="s">
        <v>21908</v>
      </c>
      <c r="C8648" s="2" t="s">
        <v>104</v>
      </c>
      <c r="D8648" s="2" t="s">
        <v>18</v>
      </c>
      <c r="E8648" s="4">
        <v>-32349</v>
      </c>
      <c r="F8648" s="3" t="s">
        <v>239</v>
      </c>
      <c r="G8648" s="3" t="s">
        <v>2604</v>
      </c>
      <c r="H8648" s="2" t="s">
        <v>148</v>
      </c>
      <c r="I8648" s="2" t="s">
        <v>21909</v>
      </c>
      <c r="J8648" s="3" t="str">
        <f>HYPERLINK("https://www.boe.es/gazeta/dias/1811/06/06/pdfs/GEI-1811-76.pdf#page=1","Abrir facsímil")</f>
        <v>Abrir facsímil</v>
      </c>
      <c r="K8648" s="3" t="s">
        <v>150</v>
      </c>
    </row>
    <row r="8649" spans="1:11" ht="42" customHeight="1">
      <c r="A8649" s="2" t="s">
        <v>21910</v>
      </c>
      <c r="B8649" s="2" t="s">
        <v>21911</v>
      </c>
      <c r="C8649" s="2" t="s">
        <v>17</v>
      </c>
      <c r="D8649" s="2" t="s">
        <v>105</v>
      </c>
      <c r="E8649" s="4">
        <v>-32349</v>
      </c>
      <c r="F8649" s="3" t="s">
        <v>239</v>
      </c>
      <c r="G8649" s="3" t="s">
        <v>2604</v>
      </c>
      <c r="H8649" s="2" t="s">
        <v>148</v>
      </c>
      <c r="I8649" s="2" t="s">
        <v>21912</v>
      </c>
      <c r="J8649" s="3" t="str">
        <f>HYPERLINK("https://www.boe.es/gazeta/dias/1811/06/06/pdfs/GEI-1811-76.pdf#page=1","Abrir facsímil")</f>
        <v>Abrir facsímil</v>
      </c>
      <c r="K8649" s="3" t="s">
        <v>150</v>
      </c>
    </row>
    <row r="8650" spans="1:11" ht="42" customHeight="1">
      <c r="A8650" s="2" t="s">
        <v>21910</v>
      </c>
      <c r="B8650" s="2" t="s">
        <v>21911</v>
      </c>
      <c r="C8650" s="2" t="s">
        <v>26</v>
      </c>
      <c r="D8650" s="2" t="s">
        <v>18</v>
      </c>
      <c r="E8650" s="4">
        <v>-32349</v>
      </c>
      <c r="F8650" s="3" t="s">
        <v>239</v>
      </c>
      <c r="G8650" s="3" t="s">
        <v>162</v>
      </c>
      <c r="H8650" s="2" t="s">
        <v>148</v>
      </c>
      <c r="I8650" s="2" t="s">
        <v>21913</v>
      </c>
      <c r="J8650" s="3" t="str">
        <f>HYPERLINK("https://www.boe.es/gazeta/dias/1811/06/06/pdfs/GEI-1811-76.pdf#page=2","Abrir facsímil")</f>
        <v>Abrir facsímil</v>
      </c>
      <c r="K8650" s="3" t="s">
        <v>150</v>
      </c>
    </row>
    <row r="8651" spans="1:11" ht="42" customHeight="1">
      <c r="A8651" s="2" t="s">
        <v>21914</v>
      </c>
      <c r="B8651" s="2" t="s">
        <v>21914</v>
      </c>
      <c r="C8651" s="2" t="s">
        <v>17</v>
      </c>
      <c r="D8651" s="2" t="s">
        <v>18</v>
      </c>
      <c r="E8651" s="4">
        <v>-32502</v>
      </c>
      <c r="F8651" s="3" t="s">
        <v>6190</v>
      </c>
      <c r="G8651" s="3" t="s">
        <v>39</v>
      </c>
      <c r="H8651" s="2" t="s">
        <v>148</v>
      </c>
      <c r="I8651" s="2" t="s">
        <v>21915</v>
      </c>
      <c r="J8651" s="3" t="str">
        <f>HYPERLINK("https://www.boe.es/gazeta/dias/1811/01/04/pdfs/GMD-1811-4.pdf#page=1","Abrir facsímil")</f>
        <v>Abrir facsímil</v>
      </c>
      <c r="K8651" s="3" t="s">
        <v>150</v>
      </c>
    </row>
    <row r="8652" spans="1:11" ht="42" customHeight="1">
      <c r="A8652" s="2" t="s">
        <v>21914</v>
      </c>
      <c r="B8652" s="2" t="s">
        <v>21914</v>
      </c>
      <c r="C8652" s="2" t="s">
        <v>17</v>
      </c>
      <c r="D8652" s="2" t="s">
        <v>18</v>
      </c>
      <c r="E8652" s="4">
        <v>-32475</v>
      </c>
      <c r="F8652" s="3" t="s">
        <v>6882</v>
      </c>
      <c r="G8652" s="3" t="s">
        <v>134</v>
      </c>
      <c r="H8652" s="2" t="s">
        <v>148</v>
      </c>
      <c r="I8652" s="2" t="s">
        <v>21916</v>
      </c>
      <c r="J8652" s="3" t="str">
        <f>HYPERLINK("https://www.boe.es/gazeta/dias/1811/01/31/pdfs/GEI-1811-14.pdf#page=3","Abrir facsímil")</f>
        <v>Abrir facsímil</v>
      </c>
      <c r="K8652" s="3" t="s">
        <v>150</v>
      </c>
    </row>
    <row r="8653" spans="1:11" ht="42" customHeight="1">
      <c r="A8653" s="2" t="s">
        <v>21914</v>
      </c>
      <c r="B8653" s="2" t="s">
        <v>21914</v>
      </c>
      <c r="C8653" s="2" t="s">
        <v>17</v>
      </c>
      <c r="D8653" s="2" t="s">
        <v>18</v>
      </c>
      <c r="E8653" s="4">
        <v>-32166</v>
      </c>
      <c r="F8653" s="3" t="s">
        <v>2263</v>
      </c>
      <c r="G8653" s="3" t="s">
        <v>6383</v>
      </c>
      <c r="H8653" s="2" t="s">
        <v>148</v>
      </c>
      <c r="I8653" s="2" t="s">
        <v>21917</v>
      </c>
      <c r="J8653" s="3" t="str">
        <f>HYPERLINK("https://www.boe.es/gazeta/dias/1811/12/06/pdfs/GMD-1811-340.pdf#page=3","Abrir facsímil")</f>
        <v>Abrir facsímil</v>
      </c>
      <c r="K8653" s="3" t="s">
        <v>150</v>
      </c>
    </row>
    <row r="8654" spans="1:11" ht="42" customHeight="1">
      <c r="A8654" s="2" t="s">
        <v>21918</v>
      </c>
      <c r="B8654" s="2" t="s">
        <v>21918</v>
      </c>
      <c r="C8654" s="2" t="s">
        <v>26</v>
      </c>
      <c r="D8654" s="2" t="s">
        <v>18</v>
      </c>
      <c r="E8654" s="4">
        <v>-32386</v>
      </c>
      <c r="F8654" s="3" t="s">
        <v>1934</v>
      </c>
      <c r="G8654" s="3" t="s">
        <v>134</v>
      </c>
      <c r="H8654" s="2" t="s">
        <v>148</v>
      </c>
      <c r="I8654" s="2" t="s">
        <v>21919</v>
      </c>
      <c r="J8654" s="3" t="str">
        <f>HYPERLINK("https://www.boe.es/gazeta/dias/1811/04/30/pdfs/GEI-1811-57.pdf#page=8","Abrir facsímil")</f>
        <v>Abrir facsímil</v>
      </c>
      <c r="K8654" s="3" t="s">
        <v>150</v>
      </c>
    </row>
    <row r="8655" spans="1:11" ht="42" customHeight="1">
      <c r="A8655" s="2" t="s">
        <v>21920</v>
      </c>
      <c r="B8655" s="2" t="s">
        <v>21921</v>
      </c>
      <c r="C8655" s="2" t="s">
        <v>26</v>
      </c>
      <c r="D8655" s="2" t="s">
        <v>18</v>
      </c>
      <c r="E8655" s="4">
        <v>-32286</v>
      </c>
      <c r="F8655" s="3" t="s">
        <v>754</v>
      </c>
      <c r="G8655" s="3" t="s">
        <v>1728</v>
      </c>
      <c r="H8655" s="2" t="s">
        <v>148</v>
      </c>
      <c r="I8655" s="2" t="s">
        <v>21922</v>
      </c>
      <c r="J8655" s="3" t="str">
        <f>HYPERLINK("https://www.boe.es/gazeta/dias/1811/08/08/pdfs/GEI-1811-103.pdf#page=8","Abrir facsímil")</f>
        <v>Abrir facsímil</v>
      </c>
      <c r="K8655" s="3" t="s">
        <v>150</v>
      </c>
    </row>
    <row r="8656" spans="1:11" ht="42" customHeight="1">
      <c r="A8656" s="2" t="s">
        <v>21923</v>
      </c>
      <c r="B8656" s="2" t="s">
        <v>21923</v>
      </c>
      <c r="C8656" s="2" t="s">
        <v>104</v>
      </c>
      <c r="D8656" s="2" t="s">
        <v>18</v>
      </c>
      <c r="E8656" s="4">
        <v>-32349</v>
      </c>
      <c r="F8656" s="3" t="s">
        <v>3983</v>
      </c>
      <c r="G8656" s="3" t="s">
        <v>44</v>
      </c>
      <c r="H8656" s="2" t="s">
        <v>148</v>
      </c>
      <c r="I8656" s="2" t="s">
        <v>21924</v>
      </c>
      <c r="J8656" s="3" t="str">
        <f>HYPERLINK("https://www.boe.es/gazeta/dias/1811/06/06/pdfs/GMD-1811-157.pdf#page=1","Abrir facsímil")</f>
        <v>Abrir facsímil</v>
      </c>
      <c r="K8656" s="3" t="s">
        <v>150</v>
      </c>
    </row>
    <row r="8657" spans="1:11" ht="42" customHeight="1">
      <c r="A8657" s="2" t="s">
        <v>21925</v>
      </c>
      <c r="B8657" s="2" t="s">
        <v>21925</v>
      </c>
      <c r="C8657" s="2" t="s">
        <v>84</v>
      </c>
      <c r="D8657" s="2" t="s">
        <v>18</v>
      </c>
      <c r="E8657" s="4">
        <v>-32201</v>
      </c>
      <c r="F8657" s="3" t="s">
        <v>2643</v>
      </c>
      <c r="G8657" s="3" t="s">
        <v>5207</v>
      </c>
      <c r="H8657" s="2" t="s">
        <v>148</v>
      </c>
      <c r="I8657" s="2" t="s">
        <v>21926</v>
      </c>
      <c r="J8657" s="3" t="str">
        <f>HYPERLINK("https://www.boe.es/gazeta/dias/1811/11/01/pdfs/GMD-1811-305.pdf#page=1","Abrir facsímil")</f>
        <v>Abrir facsímil</v>
      </c>
      <c r="K8657" s="3" t="s">
        <v>150</v>
      </c>
    </row>
    <row r="8658" spans="1:11" ht="42" customHeight="1">
      <c r="A8658" s="2" t="s">
        <v>21927</v>
      </c>
      <c r="B8658" s="2" t="s">
        <v>21927</v>
      </c>
      <c r="C8658" s="2" t="s">
        <v>17</v>
      </c>
      <c r="D8658" s="2" t="s">
        <v>18</v>
      </c>
      <c r="E8658" s="4">
        <v>-32449</v>
      </c>
      <c r="F8658" s="3" t="s">
        <v>381</v>
      </c>
      <c r="G8658" s="3" t="s">
        <v>91</v>
      </c>
      <c r="H8658" s="2" t="s">
        <v>148</v>
      </c>
      <c r="I8658" s="2" t="s">
        <v>21928</v>
      </c>
      <c r="J8658" s="3" t="str">
        <f>HYPERLINK("https://www.boe.es/gazeta/dias/1811/02/26/pdfs/GEI-1811-25.pdf#page=1","Abrir facsímil")</f>
        <v>Abrir facsímil</v>
      </c>
      <c r="K8658" s="3" t="s">
        <v>150</v>
      </c>
    </row>
    <row r="8659" spans="1:11" ht="42" customHeight="1">
      <c r="A8659" s="2" t="s">
        <v>21929</v>
      </c>
      <c r="B8659" s="2" t="s">
        <v>21929</v>
      </c>
      <c r="C8659" s="2" t="s">
        <v>17</v>
      </c>
      <c r="D8659" s="2" t="s">
        <v>18</v>
      </c>
      <c r="E8659" s="4">
        <v>-32438</v>
      </c>
      <c r="F8659" s="3" t="s">
        <v>4284</v>
      </c>
      <c r="G8659" s="3" t="s">
        <v>2379</v>
      </c>
      <c r="H8659" s="2" t="s">
        <v>148</v>
      </c>
      <c r="I8659" s="2" t="s">
        <v>21930</v>
      </c>
      <c r="J8659" s="3" t="str">
        <f>HYPERLINK("https://www.boe.es/gazeta/dias/1811/03/09/pdfs/GMD-1811-68.pdf#page=2","Abrir facsímil")</f>
        <v>Abrir facsímil</v>
      </c>
      <c r="K8659" s="3" t="s">
        <v>150</v>
      </c>
    </row>
    <row r="8660" spans="1:11" ht="42" customHeight="1">
      <c r="A8660" s="2" t="s">
        <v>21931</v>
      </c>
      <c r="B8660" s="2" t="s">
        <v>21931</v>
      </c>
      <c r="C8660" s="2" t="s">
        <v>17</v>
      </c>
      <c r="D8660" s="2" t="s">
        <v>18</v>
      </c>
      <c r="E8660" s="4">
        <v>-32386</v>
      </c>
      <c r="F8660" s="3" t="s">
        <v>1934</v>
      </c>
      <c r="G8660" s="3" t="s">
        <v>2442</v>
      </c>
      <c r="H8660" s="2" t="s">
        <v>148</v>
      </c>
      <c r="I8660" s="2" t="s">
        <v>21932</v>
      </c>
      <c r="J8660" s="3" t="str">
        <f>HYPERLINK("https://www.boe.es/gazeta/dias/1811/04/30/pdfs/GEI-1811-57.pdf#page=4","Abrir facsímil")</f>
        <v>Abrir facsímil</v>
      </c>
      <c r="K8660" s="3" t="s">
        <v>150</v>
      </c>
    </row>
    <row r="8661" spans="1:11" ht="42" customHeight="1">
      <c r="A8661" s="2" t="s">
        <v>21933</v>
      </c>
      <c r="B8661" s="2" t="s">
        <v>21933</v>
      </c>
      <c r="C8661" s="2" t="s">
        <v>17</v>
      </c>
      <c r="D8661" s="2" t="s">
        <v>18</v>
      </c>
      <c r="E8661" s="4">
        <v>-32438</v>
      </c>
      <c r="F8661" s="3" t="s">
        <v>4284</v>
      </c>
      <c r="G8661" s="3" t="s">
        <v>2379</v>
      </c>
      <c r="H8661" s="2" t="s">
        <v>148</v>
      </c>
      <c r="I8661" s="2" t="s">
        <v>21934</v>
      </c>
      <c r="J8661" s="3" t="str">
        <f>HYPERLINK("https://www.boe.es/gazeta/dias/1811/03/09/pdfs/GMD-1811-68.pdf#page=2","Abrir facsímil")</f>
        <v>Abrir facsímil</v>
      </c>
      <c r="K8661" s="3" t="s">
        <v>150</v>
      </c>
    </row>
    <row r="8662" spans="1:11" ht="42" customHeight="1">
      <c r="A8662" s="2" t="s">
        <v>21933</v>
      </c>
      <c r="B8662" s="2" t="s">
        <v>21933</v>
      </c>
      <c r="C8662" s="2" t="s">
        <v>84</v>
      </c>
      <c r="D8662" s="2" t="s">
        <v>18</v>
      </c>
      <c r="E8662" s="4">
        <v>-32236</v>
      </c>
      <c r="F8662" s="3" t="s">
        <v>8973</v>
      </c>
      <c r="G8662" s="3" t="s">
        <v>162</v>
      </c>
      <c r="H8662" s="2" t="s">
        <v>148</v>
      </c>
      <c r="I8662" s="2" t="s">
        <v>21935</v>
      </c>
      <c r="J8662" s="3" t="str">
        <f>HYPERLINK("https://www.boe.es/gazeta/dias/1811/09/27/pdfs/GMD-1811-270.pdf#page=2","Abrir facsímil")</f>
        <v>Abrir facsímil</v>
      </c>
      <c r="K8662" s="3" t="s">
        <v>150</v>
      </c>
    </row>
    <row r="8663" spans="1:11" ht="42" customHeight="1">
      <c r="A8663" s="2" t="s">
        <v>21936</v>
      </c>
      <c r="B8663" s="2" t="s">
        <v>21936</v>
      </c>
      <c r="C8663" s="2" t="s">
        <v>26</v>
      </c>
      <c r="D8663" s="2" t="s">
        <v>18</v>
      </c>
      <c r="E8663" s="4">
        <v>-32163</v>
      </c>
      <c r="F8663" s="3" t="s">
        <v>497</v>
      </c>
      <c r="G8663" s="3" t="s">
        <v>468</v>
      </c>
      <c r="H8663" s="2" t="s">
        <v>148</v>
      </c>
      <c r="I8663" s="2" t="s">
        <v>21937</v>
      </c>
      <c r="J8663" s="3" t="str">
        <f>HYPERLINK("https://www.boe.es/gazeta/dias/1811/12/09/pdfs/GMD-1811-343.pdf#page=3","Abrir facsímil")</f>
        <v>Abrir facsímil</v>
      </c>
      <c r="K8663" s="3" t="s">
        <v>150</v>
      </c>
    </row>
    <row r="8664" spans="1:11" ht="42" customHeight="1">
      <c r="A8664" s="2" t="s">
        <v>21938</v>
      </c>
      <c r="B8664" s="2" t="s">
        <v>21938</v>
      </c>
      <c r="C8664" s="2" t="s">
        <v>17</v>
      </c>
      <c r="D8664" s="2" t="s">
        <v>156</v>
      </c>
      <c r="E8664" s="4">
        <v>-32356</v>
      </c>
      <c r="F8664" s="3" t="s">
        <v>1992</v>
      </c>
      <c r="G8664" s="3" t="s">
        <v>409</v>
      </c>
      <c r="H8664" s="2" t="s">
        <v>148</v>
      </c>
      <c r="I8664" s="2" t="s">
        <v>21939</v>
      </c>
      <c r="J8664" s="3" t="str">
        <f>HYPERLINK("https://www.boe.es/gazeta/dias/1811/05/30/pdfs/GEI-1811-73.pdf#page=2","Abrir facsímil")</f>
        <v>Abrir facsímil</v>
      </c>
      <c r="K8664" s="3" t="s">
        <v>150</v>
      </c>
    </row>
    <row r="8665" spans="1:11" ht="42" customHeight="1">
      <c r="A8665" s="2" t="s">
        <v>21940</v>
      </c>
      <c r="B8665" s="2" t="s">
        <v>21940</v>
      </c>
      <c r="C8665" s="2" t="s">
        <v>17</v>
      </c>
      <c r="D8665" s="2" t="s">
        <v>18</v>
      </c>
      <c r="E8665" s="4">
        <v>-32405</v>
      </c>
      <c r="F8665" s="3" t="s">
        <v>1413</v>
      </c>
      <c r="G8665" s="3" t="s">
        <v>8834</v>
      </c>
      <c r="H8665" s="2" t="s">
        <v>148</v>
      </c>
      <c r="I8665" s="2" t="s">
        <v>21941</v>
      </c>
      <c r="J8665" s="3" t="str">
        <f>HYPERLINK("https://www.boe.es/gazeta/dias/1811/04/11/pdfs/GEI-1811-49.pdf#page=4","Abrir facsímil")</f>
        <v>Abrir facsímil</v>
      </c>
      <c r="K8665" s="3" t="s">
        <v>150</v>
      </c>
    </row>
    <row r="8666" spans="1:11" ht="42" customHeight="1">
      <c r="A8666" s="2" t="s">
        <v>21940</v>
      </c>
      <c r="B8666" s="2" t="s">
        <v>21940</v>
      </c>
      <c r="C8666" s="2" t="s">
        <v>17</v>
      </c>
      <c r="D8666" s="2" t="s">
        <v>156</v>
      </c>
      <c r="E8666" s="4">
        <v>-32405</v>
      </c>
      <c r="F8666" s="3" t="s">
        <v>1413</v>
      </c>
      <c r="G8666" s="3" t="s">
        <v>248</v>
      </c>
      <c r="H8666" s="2" t="s">
        <v>148</v>
      </c>
      <c r="I8666" s="2" t="s">
        <v>21942</v>
      </c>
      <c r="J8666" s="3" t="str">
        <f>HYPERLINK("https://www.boe.es/gazeta/dias/1811/04/11/pdfs/GEI-1811-49.pdf#page=7","Abrir facsímil")</f>
        <v>Abrir facsímil</v>
      </c>
      <c r="K8666" s="3" t="s">
        <v>150</v>
      </c>
    </row>
    <row r="8667" spans="1:11" ht="42" customHeight="1">
      <c r="A8667" s="2" t="s">
        <v>21940</v>
      </c>
      <c r="B8667" s="2" t="s">
        <v>21940</v>
      </c>
      <c r="C8667" s="2" t="s">
        <v>17</v>
      </c>
      <c r="D8667" s="2" t="s">
        <v>156</v>
      </c>
      <c r="E8667" s="4">
        <v>-32356</v>
      </c>
      <c r="F8667" s="3" t="s">
        <v>1992</v>
      </c>
      <c r="G8667" s="3" t="s">
        <v>2396</v>
      </c>
      <c r="H8667" s="2" t="s">
        <v>148</v>
      </c>
      <c r="I8667" s="2" t="s">
        <v>21943</v>
      </c>
      <c r="J8667" s="3" t="str">
        <f>HYPERLINK("https://www.boe.es/gazeta/dias/1811/05/30/pdfs/GEI-1811-73.pdf#page=6","Abrir facsímil")</f>
        <v>Abrir facsímil</v>
      </c>
      <c r="K8667" s="3" t="s">
        <v>150</v>
      </c>
    </row>
    <row r="8668" spans="1:11" ht="42" customHeight="1">
      <c r="A8668" s="2" t="s">
        <v>21940</v>
      </c>
      <c r="B8668" s="2" t="s">
        <v>21940</v>
      </c>
      <c r="C8668" s="2" t="s">
        <v>17</v>
      </c>
      <c r="D8668" s="2" t="s">
        <v>156</v>
      </c>
      <c r="E8668" s="4">
        <v>-32207</v>
      </c>
      <c r="F8668" s="3" t="s">
        <v>152</v>
      </c>
      <c r="G8668" s="3" t="s">
        <v>607</v>
      </c>
      <c r="H8668" s="2" t="s">
        <v>148</v>
      </c>
      <c r="I8668" s="2" t="s">
        <v>21944</v>
      </c>
      <c r="J8668" s="3" t="str">
        <f>HYPERLINK("https://www.boe.es/gazeta/dias/1811/10/26/pdfs/GEI-1811-138.pdf#page=4","Abrir facsímil")</f>
        <v>Abrir facsímil</v>
      </c>
      <c r="K8668" s="3" t="s">
        <v>150</v>
      </c>
    </row>
    <row r="8669" spans="1:11" ht="42" customHeight="1">
      <c r="A8669" s="2" t="s">
        <v>21945</v>
      </c>
      <c r="B8669" s="2" t="s">
        <v>21945</v>
      </c>
      <c r="C8669" s="2" t="s">
        <v>26</v>
      </c>
      <c r="D8669" s="2" t="s">
        <v>18</v>
      </c>
      <c r="E8669" s="4">
        <v>-32254</v>
      </c>
      <c r="F8669" s="3" t="s">
        <v>10748</v>
      </c>
      <c r="G8669" s="3" t="s">
        <v>10749</v>
      </c>
      <c r="H8669" s="2" t="s">
        <v>148</v>
      </c>
      <c r="I8669" s="2" t="s">
        <v>21946</v>
      </c>
      <c r="J8669" s="3" t="str">
        <f>HYPERLINK("https://www.boe.es/gazeta/dias/1811/09/09/pdfs/GMD-1811-252.pdf#page=3","Abrir facsímil")</f>
        <v>Abrir facsímil</v>
      </c>
      <c r="K8669" s="3" t="s">
        <v>150</v>
      </c>
    </row>
    <row r="8670" spans="1:11" ht="42" customHeight="1">
      <c r="A8670" s="2" t="s">
        <v>21945</v>
      </c>
      <c r="B8670" s="2" t="s">
        <v>21945</v>
      </c>
      <c r="C8670" s="2" t="s">
        <v>26</v>
      </c>
      <c r="D8670" s="2" t="s">
        <v>18</v>
      </c>
      <c r="E8670" s="4">
        <v>-32191</v>
      </c>
      <c r="F8670" s="3" t="s">
        <v>2483</v>
      </c>
      <c r="G8670" s="3" t="s">
        <v>115</v>
      </c>
      <c r="H8670" s="2" t="s">
        <v>148</v>
      </c>
      <c r="I8670" s="2" t="s">
        <v>21947</v>
      </c>
      <c r="J8670" s="3" t="str">
        <f>HYPERLINK("https://www.boe.es/gazeta/dias/1811/11/11/pdfs/GMD-1811-315.pdf#page=3","Abrir facsímil")</f>
        <v>Abrir facsímil</v>
      </c>
      <c r="K8670" s="3" t="s">
        <v>150</v>
      </c>
    </row>
    <row r="8671" spans="1:11" ht="42" customHeight="1">
      <c r="A8671" s="2" t="s">
        <v>21945</v>
      </c>
      <c r="B8671" s="2" t="s">
        <v>21945</v>
      </c>
      <c r="C8671" s="2" t="s">
        <v>37</v>
      </c>
      <c r="D8671" s="2" t="s">
        <v>18</v>
      </c>
      <c r="E8671" s="4">
        <v>-32187</v>
      </c>
      <c r="F8671" s="3" t="s">
        <v>1775</v>
      </c>
      <c r="G8671" s="3" t="s">
        <v>44</v>
      </c>
      <c r="H8671" s="2" t="s">
        <v>148</v>
      </c>
      <c r="I8671" s="2" t="s">
        <v>21948</v>
      </c>
      <c r="J8671" s="3" t="str">
        <f>HYPERLINK("https://www.boe.es/gazeta/dias/1811/11/15/pdfs/GMD-1811-319.pdf#page=2","Abrir facsímil")</f>
        <v>Abrir facsímil</v>
      </c>
      <c r="K8671" s="3" t="s">
        <v>150</v>
      </c>
    </row>
    <row r="8672" spans="1:11" ht="42" customHeight="1">
      <c r="A8672" s="2" t="s">
        <v>21945</v>
      </c>
      <c r="B8672" s="2" t="s">
        <v>21945</v>
      </c>
      <c r="C8672" s="2" t="s">
        <v>26</v>
      </c>
      <c r="D8672" s="2" t="s">
        <v>18</v>
      </c>
      <c r="E8672" s="4">
        <v>-32163</v>
      </c>
      <c r="F8672" s="3" t="s">
        <v>497</v>
      </c>
      <c r="G8672" s="3" t="s">
        <v>468</v>
      </c>
      <c r="H8672" s="2" t="s">
        <v>148</v>
      </c>
      <c r="I8672" s="2" t="s">
        <v>21949</v>
      </c>
      <c r="J8672" s="3" t="str">
        <f>HYPERLINK("https://www.boe.es/gazeta/dias/1811/12/09/pdfs/GMD-1811-343.pdf#page=3","Abrir facsímil")</f>
        <v>Abrir facsímil</v>
      </c>
      <c r="K8672" s="3" t="s">
        <v>150</v>
      </c>
    </row>
    <row r="8673" spans="1:11" ht="42" customHeight="1">
      <c r="A8673" s="2" t="s">
        <v>21950</v>
      </c>
      <c r="B8673" s="2" t="s">
        <v>21950</v>
      </c>
      <c r="C8673" s="2" t="s">
        <v>26</v>
      </c>
      <c r="D8673" s="2" t="s">
        <v>18</v>
      </c>
      <c r="E8673" s="4">
        <v>-32163</v>
      </c>
      <c r="F8673" s="3" t="s">
        <v>497</v>
      </c>
      <c r="G8673" s="3" t="s">
        <v>468</v>
      </c>
      <c r="H8673" s="2" t="s">
        <v>148</v>
      </c>
      <c r="I8673" s="2" t="s">
        <v>21951</v>
      </c>
      <c r="J8673" s="3" t="str">
        <f>HYPERLINK("https://www.boe.es/gazeta/dias/1811/12/09/pdfs/GMD-1811-343.pdf#page=3","Abrir facsímil")</f>
        <v>Abrir facsímil</v>
      </c>
      <c r="K8673" s="3" t="s">
        <v>150</v>
      </c>
    </row>
    <row r="8674" spans="1:11" ht="42" customHeight="1">
      <c r="A8674" s="2" t="s">
        <v>21952</v>
      </c>
      <c r="B8674" s="2" t="s">
        <v>21953</v>
      </c>
      <c r="C8674" s="2" t="s">
        <v>84</v>
      </c>
      <c r="D8674" s="2" t="s">
        <v>18</v>
      </c>
      <c r="E8674" s="4">
        <v>-32163</v>
      </c>
      <c r="F8674" s="3" t="s">
        <v>497</v>
      </c>
      <c r="G8674" s="3" t="s">
        <v>468</v>
      </c>
      <c r="H8674" s="2" t="s">
        <v>148</v>
      </c>
      <c r="I8674" s="2" t="s">
        <v>21954</v>
      </c>
      <c r="J8674" s="3" t="str">
        <f>HYPERLINK("https://www.boe.es/gazeta/dias/1811/12/09/pdfs/GMD-1811-343.pdf#page=3","Abrir facsímil")</f>
        <v>Abrir facsímil</v>
      </c>
      <c r="K8674" s="3" t="s">
        <v>150</v>
      </c>
    </row>
    <row r="8675" spans="1:11" ht="42" customHeight="1">
      <c r="A8675" s="2" t="s">
        <v>21955</v>
      </c>
      <c r="B8675" s="2" t="s">
        <v>21955</v>
      </c>
      <c r="C8675" s="2" t="s">
        <v>26</v>
      </c>
      <c r="D8675" s="2" t="s">
        <v>18</v>
      </c>
      <c r="E8675" s="4">
        <v>-32141</v>
      </c>
      <c r="F8675" s="3" t="s">
        <v>327</v>
      </c>
      <c r="G8675" s="3" t="s">
        <v>3619</v>
      </c>
      <c r="H8675" s="2" t="s">
        <v>148</v>
      </c>
      <c r="I8675" s="2" t="s">
        <v>21956</v>
      </c>
      <c r="J8675" s="3" t="str">
        <f>HYPERLINK("https://www.boe.es/gazeta/dias/1811/12/31/pdfs/GMD-1811-365.pdf#page=1","Abrir facsímil")</f>
        <v>Abrir facsímil</v>
      </c>
      <c r="K8675" s="3" t="s">
        <v>150</v>
      </c>
    </row>
    <row r="8676" spans="1:11" ht="42" customHeight="1">
      <c r="A8676" s="2" t="s">
        <v>21957</v>
      </c>
      <c r="B8676" s="2" t="s">
        <v>21957</v>
      </c>
      <c r="C8676" s="2" t="s">
        <v>17</v>
      </c>
      <c r="D8676" s="2" t="s">
        <v>156</v>
      </c>
      <c r="E8676" s="4">
        <v>-32484</v>
      </c>
      <c r="F8676" s="3" t="s">
        <v>467</v>
      </c>
      <c r="G8676" s="3" t="s">
        <v>1384</v>
      </c>
      <c r="H8676" s="2" t="s">
        <v>148</v>
      </c>
      <c r="I8676" s="2" t="s">
        <v>21958</v>
      </c>
      <c r="J8676" s="3" t="str">
        <f>HYPERLINK("https://www.boe.es/gazeta/dias/1811/01/22/pdfs/GEI-1811-10.pdf#page=1","Abrir facsímil")</f>
        <v>Abrir facsímil</v>
      </c>
      <c r="K8676" s="3" t="s">
        <v>150</v>
      </c>
    </row>
    <row r="8677" spans="1:11" ht="42" customHeight="1">
      <c r="A8677" s="2" t="s">
        <v>21957</v>
      </c>
      <c r="B8677" s="2" t="s">
        <v>21957</v>
      </c>
      <c r="C8677" s="2" t="s">
        <v>17</v>
      </c>
      <c r="D8677" s="2" t="s">
        <v>18</v>
      </c>
      <c r="E8677" s="4">
        <v>-32436</v>
      </c>
      <c r="F8677" s="3" t="s">
        <v>1972</v>
      </c>
      <c r="G8677" s="3" t="s">
        <v>178</v>
      </c>
      <c r="H8677" s="2" t="s">
        <v>148</v>
      </c>
      <c r="I8677" s="2" t="s">
        <v>21959</v>
      </c>
      <c r="J8677" s="3" t="str">
        <f>HYPERLINK("https://www.boe.es/gazeta/dias/1811/03/11/pdfs/GMD-1811-70.pdf#page=3","Abrir facsímil")</f>
        <v>Abrir facsímil</v>
      </c>
      <c r="K8677" s="3" t="s">
        <v>150</v>
      </c>
    </row>
    <row r="8678" spans="1:11" ht="42" customHeight="1">
      <c r="A8678" s="2" t="s">
        <v>21957</v>
      </c>
      <c r="B8678" s="2" t="s">
        <v>21957</v>
      </c>
      <c r="C8678" s="2" t="s">
        <v>17</v>
      </c>
      <c r="D8678" s="2" t="s">
        <v>156</v>
      </c>
      <c r="E8678" s="4">
        <v>-32393</v>
      </c>
      <c r="F8678" s="3" t="s">
        <v>32</v>
      </c>
      <c r="G8678" s="3" t="s">
        <v>2805</v>
      </c>
      <c r="H8678" s="2" t="s">
        <v>148</v>
      </c>
      <c r="I8678" s="2" t="s">
        <v>21960</v>
      </c>
      <c r="J8678" s="3" t="str">
        <f>HYPERLINK("https://www.boe.es/gazeta/dias/1811/04/23/pdfs/GEI-1811-54.pdf#page=1","Abrir facsímil")</f>
        <v>Abrir facsímil</v>
      </c>
      <c r="K8678" s="3" t="s">
        <v>150</v>
      </c>
    </row>
    <row r="8679" spans="1:11" ht="42" customHeight="1">
      <c r="A8679" s="2" t="s">
        <v>21961</v>
      </c>
      <c r="B8679" s="2" t="s">
        <v>21962</v>
      </c>
      <c r="C8679" s="2" t="s">
        <v>17</v>
      </c>
      <c r="D8679" s="2" t="s">
        <v>18</v>
      </c>
      <c r="E8679" s="4">
        <v>-32414</v>
      </c>
      <c r="F8679" s="3" t="s">
        <v>213</v>
      </c>
      <c r="G8679" s="3" t="s">
        <v>91</v>
      </c>
      <c r="H8679" s="2" t="s">
        <v>148</v>
      </c>
      <c r="I8679" s="2" t="s">
        <v>21963</v>
      </c>
      <c r="J8679" s="3" t="str">
        <f>HYPERLINK("https://www.boe.es/gazeta/dias/1811/04/02/pdfs/GEI-1811-45.pdf#page=2","Abrir facsímil")</f>
        <v>Abrir facsímil</v>
      </c>
      <c r="K8679" s="3" t="s">
        <v>150</v>
      </c>
    </row>
    <row r="8680" spans="1:11" ht="42" customHeight="1">
      <c r="A8680" s="2" t="s">
        <v>21964</v>
      </c>
      <c r="B8680" s="2" t="s">
        <v>21965</v>
      </c>
      <c r="C8680" s="2" t="s">
        <v>26</v>
      </c>
      <c r="D8680" s="2" t="s">
        <v>18</v>
      </c>
      <c r="E8680" s="4">
        <v>-32180</v>
      </c>
      <c r="F8680" s="3" t="s">
        <v>9096</v>
      </c>
      <c r="G8680" s="3" t="s">
        <v>21966</v>
      </c>
      <c r="H8680" s="2" t="s">
        <v>148</v>
      </c>
      <c r="I8680" s="2" t="s">
        <v>21967</v>
      </c>
      <c r="J8680" s="3" t="str">
        <f>HYPERLINK("https://www.boe.es/gazeta/dias/1811/11/22/pdfs/GMD-1811-326.pdf#page=3","Abrir facsímil")</f>
        <v>Abrir facsímil</v>
      </c>
      <c r="K8680" s="3" t="s">
        <v>150</v>
      </c>
    </row>
    <row r="8681" spans="1:11" ht="42" customHeight="1">
      <c r="A8681" s="2" t="s">
        <v>21968</v>
      </c>
      <c r="B8681" s="2" t="s">
        <v>21968</v>
      </c>
      <c r="C8681" s="2" t="s">
        <v>17</v>
      </c>
      <c r="D8681" s="2" t="s">
        <v>18</v>
      </c>
      <c r="E8681" s="4">
        <v>-32407</v>
      </c>
      <c r="F8681" s="3" t="s">
        <v>38</v>
      </c>
      <c r="G8681" s="3" t="s">
        <v>2379</v>
      </c>
      <c r="H8681" s="2" t="s">
        <v>148</v>
      </c>
      <c r="I8681" s="2" t="s">
        <v>21969</v>
      </c>
      <c r="J8681" s="3" t="str">
        <f>HYPERLINK("https://www.boe.es/gazeta/dias/1811/04/09/pdfs/GEI-1811-48.pdf#page=10","Abrir facsímil")</f>
        <v>Abrir facsímil</v>
      </c>
      <c r="K8681" s="3" t="s">
        <v>150</v>
      </c>
    </row>
    <row r="8682" spans="1:11" ht="42" customHeight="1">
      <c r="A8682" s="2" t="s">
        <v>21970</v>
      </c>
      <c r="B8682" s="2" t="s">
        <v>21970</v>
      </c>
      <c r="C8682" s="2" t="s">
        <v>66</v>
      </c>
      <c r="D8682" s="2" t="s">
        <v>18</v>
      </c>
      <c r="E8682" s="4">
        <v>-32163</v>
      </c>
      <c r="F8682" s="3" t="s">
        <v>497</v>
      </c>
      <c r="G8682" s="3" t="s">
        <v>468</v>
      </c>
      <c r="H8682" s="2" t="s">
        <v>148</v>
      </c>
      <c r="I8682" s="2" t="s">
        <v>21971</v>
      </c>
      <c r="J8682" s="3" t="str">
        <f>HYPERLINK("https://www.boe.es/gazeta/dias/1811/12/09/pdfs/GMD-1811-343.pdf#page=3","Abrir facsímil")</f>
        <v>Abrir facsímil</v>
      </c>
      <c r="K8682" s="3" t="s">
        <v>150</v>
      </c>
    </row>
    <row r="8683" spans="1:11" ht="42" customHeight="1">
      <c r="A8683" s="2" t="s">
        <v>21972</v>
      </c>
      <c r="B8683" s="2" t="s">
        <v>21972</v>
      </c>
      <c r="C8683" s="2" t="s">
        <v>17</v>
      </c>
      <c r="D8683" s="2" t="s">
        <v>18</v>
      </c>
      <c r="E8683" s="4">
        <v>-32305</v>
      </c>
      <c r="F8683" s="3" t="s">
        <v>12656</v>
      </c>
      <c r="G8683" s="3" t="s">
        <v>12772</v>
      </c>
      <c r="H8683" s="2" t="s">
        <v>148</v>
      </c>
      <c r="I8683" s="2" t="s">
        <v>21973</v>
      </c>
      <c r="J8683" s="3" t="str">
        <f>HYPERLINK("https://www.boe.es/gazeta/dias/1811/07/20/pdfs/GMD-1811-201.pdf#page=1","Abrir facsímil")</f>
        <v>Abrir facsímil</v>
      </c>
      <c r="K8683" s="3" t="s">
        <v>150</v>
      </c>
    </row>
    <row r="8684" spans="1:11" ht="42" customHeight="1">
      <c r="A8684" s="2" t="s">
        <v>21972</v>
      </c>
      <c r="B8684" s="2" t="s">
        <v>21972</v>
      </c>
      <c r="C8684" s="2" t="s">
        <v>17</v>
      </c>
      <c r="D8684" s="2" t="s">
        <v>156</v>
      </c>
      <c r="E8684" s="4">
        <v>-32250</v>
      </c>
      <c r="F8684" s="3" t="s">
        <v>2823</v>
      </c>
      <c r="G8684" s="3" t="s">
        <v>11120</v>
      </c>
      <c r="H8684" s="2" t="s">
        <v>148</v>
      </c>
      <c r="I8684" s="2" t="s">
        <v>21974</v>
      </c>
      <c r="J8684" s="3" t="str">
        <f>HYPERLINK("https://www.boe.es/gazeta/dias/1811/09/13/pdfs/GMD-1811-256.pdf#page=1","Abrir facsímil")</f>
        <v>Abrir facsímil</v>
      </c>
      <c r="K8684" s="3" t="s">
        <v>150</v>
      </c>
    </row>
    <row r="8685" spans="1:11" ht="42" customHeight="1">
      <c r="A8685" s="2" t="s">
        <v>21975</v>
      </c>
      <c r="B8685" s="2" t="s">
        <v>21975</v>
      </c>
      <c r="C8685" s="2" t="s">
        <v>17</v>
      </c>
      <c r="D8685" s="2" t="s">
        <v>204</v>
      </c>
      <c r="E8685" s="4">
        <v>-32234</v>
      </c>
      <c r="F8685" s="3" t="s">
        <v>12552</v>
      </c>
      <c r="G8685" s="3" t="s">
        <v>39</v>
      </c>
      <c r="H8685" s="2" t="s">
        <v>148</v>
      </c>
      <c r="I8685" s="2" t="s">
        <v>21976</v>
      </c>
      <c r="J8685" s="3" t="str">
        <f>HYPERLINK("https://www.boe.es/gazeta/dias/1811/09/29/pdfs/GMD-1811-272.pdf#page=1","Abrir facsímil")</f>
        <v>Abrir facsímil</v>
      </c>
      <c r="K8685" s="3" t="s">
        <v>150</v>
      </c>
    </row>
    <row r="8686" spans="1:11" ht="42" customHeight="1">
      <c r="A8686" s="2" t="s">
        <v>21977</v>
      </c>
      <c r="B8686" s="2" t="s">
        <v>21977</v>
      </c>
      <c r="C8686" s="2" t="s">
        <v>17</v>
      </c>
      <c r="D8686" s="2" t="s">
        <v>204</v>
      </c>
      <c r="E8686" s="4">
        <v>-32461</v>
      </c>
      <c r="F8686" s="3" t="s">
        <v>1383</v>
      </c>
      <c r="G8686" s="3" t="s">
        <v>1384</v>
      </c>
      <c r="H8686" s="2" t="s">
        <v>148</v>
      </c>
      <c r="I8686" s="2" t="s">
        <v>21978</v>
      </c>
      <c r="J8686" s="3" t="str">
        <f>HYPERLINK("https://www.boe.es/gazeta/dias/1811/02/14/pdfs/GMD-1811-45.pdf#page=1","Abrir facsímil")</f>
        <v>Abrir facsímil</v>
      </c>
      <c r="K8686" s="3" t="s">
        <v>150</v>
      </c>
    </row>
    <row r="8687" spans="1:11" ht="42" customHeight="1">
      <c r="A8687" s="2" t="s">
        <v>21979</v>
      </c>
      <c r="B8687" s="2" t="s">
        <v>21979</v>
      </c>
      <c r="C8687" s="2" t="s">
        <v>26</v>
      </c>
      <c r="D8687" s="2" t="s">
        <v>18</v>
      </c>
      <c r="E8687" s="4">
        <v>-32485</v>
      </c>
      <c r="F8687" s="3" t="s">
        <v>2106</v>
      </c>
      <c r="G8687" s="3" t="s">
        <v>530</v>
      </c>
      <c r="H8687" s="2" t="s">
        <v>148</v>
      </c>
      <c r="I8687" s="2" t="s">
        <v>21980</v>
      </c>
      <c r="J8687" s="3" t="str">
        <f>HYPERLINK("https://www.boe.es/gazeta/dias/1811/01/21/pdfs/GMD-1811-21.pdf#page=1","Abrir facsímil")</f>
        <v>Abrir facsímil</v>
      </c>
      <c r="K8687" s="3" t="s">
        <v>150</v>
      </c>
    </row>
    <row r="8688" spans="1:11" ht="42" customHeight="1">
      <c r="A8688" s="2" t="s">
        <v>21979</v>
      </c>
      <c r="B8688" s="2" t="s">
        <v>21979</v>
      </c>
      <c r="C8688" s="2" t="s">
        <v>26</v>
      </c>
      <c r="D8688" s="2" t="s">
        <v>18</v>
      </c>
      <c r="E8688" s="4">
        <v>-32485</v>
      </c>
      <c r="F8688" s="3" t="s">
        <v>2106</v>
      </c>
      <c r="G8688" s="3" t="s">
        <v>248</v>
      </c>
      <c r="H8688" s="2" t="s">
        <v>148</v>
      </c>
      <c r="I8688" s="2" t="s">
        <v>21981</v>
      </c>
      <c r="J8688" s="3" t="str">
        <f>HYPERLINK("https://www.boe.es/gazeta/dias/1811/01/21/pdfs/GMD-1811-21.pdf#page=2","Abrir facsímil")</f>
        <v>Abrir facsímil</v>
      </c>
      <c r="K8688" s="3" t="s">
        <v>150</v>
      </c>
    </row>
    <row r="8689" spans="1:11" ht="42" customHeight="1">
      <c r="A8689" s="2" t="s">
        <v>21982</v>
      </c>
      <c r="B8689" s="2" t="s">
        <v>21982</v>
      </c>
      <c r="C8689" s="2" t="s">
        <v>17</v>
      </c>
      <c r="D8689" s="2" t="s">
        <v>156</v>
      </c>
      <c r="E8689" s="4">
        <v>-32349</v>
      </c>
      <c r="F8689" s="3" t="s">
        <v>3983</v>
      </c>
      <c r="G8689" s="3" t="s">
        <v>44</v>
      </c>
      <c r="H8689" s="2" t="s">
        <v>148</v>
      </c>
      <c r="I8689" s="2" t="s">
        <v>21983</v>
      </c>
      <c r="J8689" s="3" t="str">
        <f>HYPERLINK("https://www.boe.es/gazeta/dias/1811/06/06/pdfs/GMD-1811-157.pdf#page=1","Abrir facsímil")</f>
        <v>Abrir facsímil</v>
      </c>
      <c r="K8689" s="3" t="s">
        <v>150</v>
      </c>
    </row>
    <row r="8690" spans="1:11" ht="42" customHeight="1">
      <c r="A8690" s="2" t="s">
        <v>21982</v>
      </c>
      <c r="B8690" s="2" t="s">
        <v>21982</v>
      </c>
      <c r="C8690" s="2" t="s">
        <v>26</v>
      </c>
      <c r="D8690" s="2" t="s">
        <v>18</v>
      </c>
      <c r="E8690" s="4">
        <v>-32263</v>
      </c>
      <c r="F8690" s="3" t="s">
        <v>3780</v>
      </c>
      <c r="G8690" s="3" t="s">
        <v>5707</v>
      </c>
      <c r="H8690" s="2" t="s">
        <v>148</v>
      </c>
      <c r="I8690" s="2" t="s">
        <v>21984</v>
      </c>
      <c r="J8690" s="3" t="str">
        <f>HYPERLINK("https://www.boe.es/gazeta/dias/1811/08/31/pdfs/GMD-1811-243.pdf#page=1","Abrir facsímil")</f>
        <v>Abrir facsímil</v>
      </c>
      <c r="K8690" s="3" t="s">
        <v>150</v>
      </c>
    </row>
    <row r="8691" spans="1:11" ht="42" customHeight="1">
      <c r="A8691" s="2" t="s">
        <v>21985</v>
      </c>
      <c r="B8691" s="2" t="s">
        <v>21985</v>
      </c>
      <c r="C8691" s="2" t="s">
        <v>104</v>
      </c>
      <c r="D8691" s="2" t="s">
        <v>18</v>
      </c>
      <c r="E8691" s="4">
        <v>-32287</v>
      </c>
      <c r="F8691" s="3" t="s">
        <v>16946</v>
      </c>
      <c r="G8691" s="3" t="s">
        <v>3659</v>
      </c>
      <c r="H8691" s="2" t="s">
        <v>148</v>
      </c>
      <c r="I8691" s="2" t="s">
        <v>21986</v>
      </c>
      <c r="J8691" s="3" t="str">
        <f>HYPERLINK("https://www.boe.es/gazeta/dias/1811/08/07/pdfs/GMD-1811-219.pdf#page=1","Abrir facsímil")</f>
        <v>Abrir facsímil</v>
      </c>
      <c r="K8691" s="3" t="s">
        <v>150</v>
      </c>
    </row>
    <row r="8692" spans="1:11" ht="42" customHeight="1">
      <c r="A8692" s="2" t="s">
        <v>21987</v>
      </c>
      <c r="B8692" s="2" t="s">
        <v>21987</v>
      </c>
      <c r="C8692" s="2" t="s">
        <v>17</v>
      </c>
      <c r="D8692" s="2" t="s">
        <v>156</v>
      </c>
      <c r="E8692" s="4">
        <v>-32356</v>
      </c>
      <c r="F8692" s="3" t="s">
        <v>1992</v>
      </c>
      <c r="G8692" s="3" t="s">
        <v>409</v>
      </c>
      <c r="H8692" s="2" t="s">
        <v>148</v>
      </c>
      <c r="I8692" s="2" t="s">
        <v>21988</v>
      </c>
      <c r="J8692" s="3" t="str">
        <f>HYPERLINK("https://www.boe.es/gazeta/dias/1811/05/30/pdfs/GEI-1811-73.pdf#page=2","Abrir facsímil")</f>
        <v>Abrir facsímil</v>
      </c>
      <c r="K8692" s="3" t="s">
        <v>150</v>
      </c>
    </row>
    <row r="8693" spans="1:11" ht="42" customHeight="1">
      <c r="A8693" s="2" t="s">
        <v>21989</v>
      </c>
      <c r="B8693" s="2" t="s">
        <v>21990</v>
      </c>
      <c r="C8693" s="2" t="s">
        <v>17</v>
      </c>
      <c r="D8693" s="2" t="s">
        <v>18</v>
      </c>
      <c r="E8693" s="4">
        <v>-32445</v>
      </c>
      <c r="F8693" s="3" t="s">
        <v>880</v>
      </c>
      <c r="G8693" s="3" t="s">
        <v>881</v>
      </c>
      <c r="H8693" s="2" t="s">
        <v>148</v>
      </c>
      <c r="I8693" s="2" t="s">
        <v>21991</v>
      </c>
      <c r="J8693" s="3" t="str">
        <f>HYPERLINK("https://www.boe.es/gazeta/dias/1811/03/02/pdfs/GMD-1811-61.pdf#page=3","Abrir facsímil")</f>
        <v>Abrir facsímil</v>
      </c>
      <c r="K8693" s="3" t="s">
        <v>150</v>
      </c>
    </row>
    <row r="8694" spans="1:11" ht="42" customHeight="1">
      <c r="A8694" s="2" t="s">
        <v>21992</v>
      </c>
      <c r="B8694" s="2" t="s">
        <v>21993</v>
      </c>
      <c r="C8694" s="2" t="s">
        <v>26</v>
      </c>
      <c r="D8694" s="2" t="s">
        <v>141</v>
      </c>
      <c r="E8694" s="4">
        <v>-32188</v>
      </c>
      <c r="F8694" s="3" t="s">
        <v>505</v>
      </c>
      <c r="G8694" s="3" t="s">
        <v>47</v>
      </c>
      <c r="H8694" s="2" t="s">
        <v>148</v>
      </c>
      <c r="I8694" s="2" t="s">
        <v>21994</v>
      </c>
      <c r="J8694" s="3" t="str">
        <f>HYPERLINK("https://www.boe.es/gazeta/dias/1811/11/14/pdfs/GEI-D-1811-149.pdf#page=3","Abrir facsímil")</f>
        <v>Abrir facsímil</v>
      </c>
      <c r="K8694" s="3" t="s">
        <v>150</v>
      </c>
    </row>
    <row r="8695" spans="1:11" ht="42" customHeight="1">
      <c r="A8695" s="2" t="s">
        <v>21995</v>
      </c>
      <c r="B8695" s="2" t="s">
        <v>21996</v>
      </c>
      <c r="C8695" s="2" t="s">
        <v>26</v>
      </c>
      <c r="D8695" s="2" t="s">
        <v>141</v>
      </c>
      <c r="E8695" s="4">
        <v>-32188</v>
      </c>
      <c r="F8695" s="3" t="s">
        <v>505</v>
      </c>
      <c r="G8695" s="3" t="s">
        <v>47</v>
      </c>
      <c r="H8695" s="2" t="s">
        <v>148</v>
      </c>
      <c r="I8695" s="2" t="s">
        <v>21997</v>
      </c>
      <c r="J8695" s="3" t="str">
        <f>HYPERLINK("https://www.boe.es/gazeta/dias/1811/11/14/pdfs/GEI-D-1811-149.pdf#page=3","Abrir facsímil")</f>
        <v>Abrir facsímil</v>
      </c>
      <c r="K8695" s="3" t="s">
        <v>150</v>
      </c>
    </row>
    <row r="8696" spans="1:11" ht="42" customHeight="1">
      <c r="A8696" s="2" t="s">
        <v>21998</v>
      </c>
      <c r="B8696" s="2" t="s">
        <v>21998</v>
      </c>
      <c r="C8696" s="2" t="s">
        <v>37</v>
      </c>
      <c r="D8696" s="2" t="s">
        <v>18</v>
      </c>
      <c r="E8696" s="4">
        <v>-32457</v>
      </c>
      <c r="F8696" s="3" t="s">
        <v>3646</v>
      </c>
      <c r="G8696" s="3" t="s">
        <v>20</v>
      </c>
      <c r="H8696" s="2" t="s">
        <v>148</v>
      </c>
      <c r="I8696" s="2" t="s">
        <v>21999</v>
      </c>
      <c r="J8696" s="3" t="str">
        <f>HYPERLINK("https://www.boe.es/gazeta/dias/1811/02/18/pdfs/GMD-1811-49.pdf#page=1","Abrir facsímil")</f>
        <v>Abrir facsímil</v>
      </c>
      <c r="K8696" s="3" t="s">
        <v>150</v>
      </c>
    </row>
    <row r="8697" spans="1:11" ht="42" customHeight="1">
      <c r="A8697" s="2" t="s">
        <v>22000</v>
      </c>
      <c r="B8697" s="2" t="s">
        <v>22001</v>
      </c>
      <c r="C8697" s="2" t="s">
        <v>17</v>
      </c>
      <c r="D8697" s="2" t="s">
        <v>156</v>
      </c>
      <c r="E8697" s="4">
        <v>-32225</v>
      </c>
      <c r="F8697" s="3" t="s">
        <v>390</v>
      </c>
      <c r="G8697" s="3" t="s">
        <v>1368</v>
      </c>
      <c r="H8697" s="2" t="s">
        <v>148</v>
      </c>
      <c r="I8697" s="2" t="s">
        <v>22002</v>
      </c>
      <c r="J8697" s="3" t="str">
        <f>HYPERLINK("https://www.boe.es/gazeta/dias/1811/10/08/pdfs/GEI-1811-129.pdf#page=8","Abrir facsímil")</f>
        <v>Abrir facsímil</v>
      </c>
      <c r="K8697" s="3" t="s">
        <v>150</v>
      </c>
    </row>
    <row r="8698" spans="1:11" ht="42" customHeight="1">
      <c r="A8698" s="2" t="s">
        <v>22003</v>
      </c>
      <c r="B8698" s="2" t="s">
        <v>22004</v>
      </c>
      <c r="C8698" s="2" t="s">
        <v>17</v>
      </c>
      <c r="D8698" s="2" t="s">
        <v>156</v>
      </c>
      <c r="E8698" s="4">
        <v>-32160</v>
      </c>
      <c r="F8698" s="3" t="s">
        <v>1013</v>
      </c>
      <c r="G8698" s="3" t="s">
        <v>846</v>
      </c>
      <c r="H8698" s="2" t="s">
        <v>21</v>
      </c>
      <c r="I8698" s="2" t="s">
        <v>22005</v>
      </c>
      <c r="J8698" s="3" t="str">
        <f>HYPERLINK("https://www.boe.es/gazeta/dias/1811/12/12/pdfs/GEI-1811-161.pdf#page=2","Abrir facsímil")</f>
        <v>Abrir facsímil</v>
      </c>
      <c r="K8698" s="3" t="s">
        <v>23</v>
      </c>
    </row>
    <row r="8699" spans="1:11" ht="42" customHeight="1">
      <c r="A8699" s="2" t="s">
        <v>22006</v>
      </c>
      <c r="B8699" s="2" t="s">
        <v>22007</v>
      </c>
      <c r="C8699" s="2" t="s">
        <v>26</v>
      </c>
      <c r="D8699" s="2" t="s">
        <v>18</v>
      </c>
      <c r="E8699" s="4">
        <v>-32299</v>
      </c>
      <c r="F8699" s="3" t="s">
        <v>2124</v>
      </c>
      <c r="G8699" s="3" t="s">
        <v>20</v>
      </c>
      <c r="H8699" s="2" t="s">
        <v>21</v>
      </c>
      <c r="I8699" s="2" t="s">
        <v>22008</v>
      </c>
      <c r="J8699" s="3" t="str">
        <f>HYPERLINK("https://www.boe.es/gazeta/dias/1811/07/26/pdfs/GMD-1811-207.pdf#page=3","Abrir facsímil")</f>
        <v>Abrir facsímil</v>
      </c>
      <c r="K8699" s="3" t="s">
        <v>23</v>
      </c>
    </row>
    <row r="8700" spans="1:11" ht="42" customHeight="1">
      <c r="A8700" s="2" t="s">
        <v>22006</v>
      </c>
      <c r="B8700" s="2" t="s">
        <v>22007</v>
      </c>
      <c r="C8700" s="2" t="s">
        <v>26</v>
      </c>
      <c r="D8700" s="2" t="s">
        <v>18</v>
      </c>
      <c r="E8700" s="4">
        <v>-32190</v>
      </c>
      <c r="F8700" s="3" t="s">
        <v>85</v>
      </c>
      <c r="G8700" s="3" t="s">
        <v>4056</v>
      </c>
      <c r="H8700" s="2" t="s">
        <v>21</v>
      </c>
      <c r="I8700" s="2" t="s">
        <v>22009</v>
      </c>
      <c r="J8700" s="3" t="str">
        <f>HYPERLINK("https://www.boe.es/gazeta/dias/1811/11/12/pdfs/GEI-1811-148.pdf#page=4","Abrir facsímil")</f>
        <v>Abrir facsímil</v>
      </c>
      <c r="K8700" s="3" t="s">
        <v>23</v>
      </c>
    </row>
    <row r="8701" spans="1:11" ht="42" customHeight="1">
      <c r="A8701" s="2" t="s">
        <v>22010</v>
      </c>
      <c r="B8701" s="2" t="s">
        <v>22011</v>
      </c>
      <c r="C8701" s="2" t="s">
        <v>26</v>
      </c>
      <c r="D8701" s="2" t="s">
        <v>18</v>
      </c>
      <c r="E8701" s="4">
        <v>-32225</v>
      </c>
      <c r="F8701" s="3" t="s">
        <v>390</v>
      </c>
      <c r="G8701" s="3" t="s">
        <v>1368</v>
      </c>
      <c r="H8701" s="2" t="s">
        <v>21</v>
      </c>
      <c r="I8701" s="2" t="s">
        <v>22012</v>
      </c>
      <c r="J8701" s="3" t="str">
        <f>HYPERLINK("https://www.boe.es/gazeta/dias/1811/10/08/pdfs/GEI-1811-129.pdf#page=8","Abrir facsímil")</f>
        <v>Abrir facsímil</v>
      </c>
      <c r="K8701" s="3" t="s">
        <v>23</v>
      </c>
    </row>
    <row r="8702" spans="1:11" ht="42" customHeight="1">
      <c r="A8702" s="2" t="s">
        <v>22013</v>
      </c>
      <c r="B8702" s="2" t="s">
        <v>22014</v>
      </c>
      <c r="C8702" s="2" t="s">
        <v>17</v>
      </c>
      <c r="D8702" s="2" t="s">
        <v>18</v>
      </c>
      <c r="E8702" s="4">
        <v>-32288</v>
      </c>
      <c r="F8702" s="3" t="s">
        <v>95</v>
      </c>
      <c r="G8702" s="3" t="s">
        <v>1071</v>
      </c>
      <c r="H8702" s="2" t="s">
        <v>21</v>
      </c>
      <c r="I8702" s="2" t="s">
        <v>22015</v>
      </c>
      <c r="J8702" s="3" t="str">
        <f>HYPERLINK("https://www.boe.es/gazeta/dias/1811/08/06/pdfs/GEI-1811-102.pdf#page=6","Abrir facsímil")</f>
        <v>Abrir facsímil</v>
      </c>
      <c r="K8702" s="3" t="s">
        <v>23</v>
      </c>
    </row>
    <row r="8703" spans="1:11" ht="42" customHeight="1">
      <c r="A8703" s="2" t="s">
        <v>22016</v>
      </c>
      <c r="B8703" s="2" t="s">
        <v>22017</v>
      </c>
      <c r="C8703" s="2" t="s">
        <v>17</v>
      </c>
      <c r="D8703" s="2" t="s">
        <v>156</v>
      </c>
      <c r="E8703" s="4">
        <v>-32283</v>
      </c>
      <c r="F8703" s="3" t="s">
        <v>90</v>
      </c>
      <c r="G8703" s="3" t="s">
        <v>91</v>
      </c>
      <c r="H8703" s="2" t="s">
        <v>148</v>
      </c>
      <c r="I8703" s="2" t="s">
        <v>22018</v>
      </c>
      <c r="J8703" s="3" t="str">
        <f>HYPERLINK("https://www.boe.es/gazeta/dias/1811/08/11/pdfs/GMD-1811-223.pdf#page=4","Abrir facsímil")</f>
        <v>Abrir facsímil</v>
      </c>
      <c r="K8703" s="3" t="s">
        <v>150</v>
      </c>
    </row>
    <row r="8704" spans="1:11" ht="42" customHeight="1">
      <c r="A8704" s="2" t="s">
        <v>22016</v>
      </c>
      <c r="B8704" s="2" t="s">
        <v>22017</v>
      </c>
      <c r="C8704" s="2" t="s">
        <v>17</v>
      </c>
      <c r="D8704" s="2" t="s">
        <v>156</v>
      </c>
      <c r="E8704" s="4">
        <v>-32193</v>
      </c>
      <c r="F8704" s="3" t="s">
        <v>1037</v>
      </c>
      <c r="G8704" s="3" t="s">
        <v>20708</v>
      </c>
      <c r="H8704" s="2" t="s">
        <v>148</v>
      </c>
      <c r="I8704" s="2" t="s">
        <v>22019</v>
      </c>
      <c r="J8704" s="3" t="str">
        <f>HYPERLINK("https://www.boe.es/gazeta/dias/1811/11/09/pdfs/GEI-1811-145.pdf#page=8","Abrir facsímil")</f>
        <v>Abrir facsímil</v>
      </c>
      <c r="K8704" s="3" t="s">
        <v>150</v>
      </c>
    </row>
    <row r="8705" spans="1:11" ht="42" customHeight="1">
      <c r="A8705" s="2" t="s">
        <v>22020</v>
      </c>
      <c r="B8705" s="2" t="s">
        <v>22021</v>
      </c>
      <c r="C8705" s="2" t="s">
        <v>37</v>
      </c>
      <c r="D8705" s="2" t="s">
        <v>204</v>
      </c>
      <c r="E8705" s="4">
        <v>-32202</v>
      </c>
      <c r="F8705" s="3" t="s">
        <v>1634</v>
      </c>
      <c r="G8705" s="3" t="s">
        <v>178</v>
      </c>
      <c r="H8705" s="2" t="s">
        <v>148</v>
      </c>
      <c r="I8705" s="2" t="s">
        <v>22022</v>
      </c>
      <c r="J8705" s="3" t="str">
        <f>HYPERLINK("https://www.boe.es/gazeta/dias/1811/10/31/pdfs/GMD-1811-304.pdf#page=4","Abrir facsímil")</f>
        <v>Abrir facsímil</v>
      </c>
      <c r="K8705" s="3" t="s">
        <v>150</v>
      </c>
    </row>
    <row r="8706" spans="1:11" ht="42" customHeight="1">
      <c r="A8706" s="2" t="s">
        <v>22023</v>
      </c>
      <c r="B8706" s="2" t="s">
        <v>22024</v>
      </c>
      <c r="C8706" s="2" t="s">
        <v>26</v>
      </c>
      <c r="D8706" s="2" t="s">
        <v>141</v>
      </c>
      <c r="E8706" s="4">
        <v>-32238</v>
      </c>
      <c r="F8706" s="3" t="s">
        <v>166</v>
      </c>
      <c r="G8706" s="3" t="s">
        <v>129</v>
      </c>
      <c r="H8706" s="2" t="s">
        <v>148</v>
      </c>
      <c r="I8706" s="2" t="s">
        <v>22025</v>
      </c>
      <c r="J8706" s="3" t="str">
        <f>HYPERLINK("https://www.boe.es/gazeta/dias/1811/09/25/pdfs/GMD-C-1811-268.pdf#page=1","Abrir facsímil")</f>
        <v>Abrir facsímil</v>
      </c>
      <c r="K8706" s="3" t="s">
        <v>150</v>
      </c>
    </row>
    <row r="8707" spans="1:11" ht="42" customHeight="1">
      <c r="A8707" s="2" t="s">
        <v>22026</v>
      </c>
      <c r="B8707" s="2" t="s">
        <v>22026</v>
      </c>
      <c r="C8707" s="2" t="s">
        <v>17</v>
      </c>
      <c r="D8707" s="2" t="s">
        <v>156</v>
      </c>
      <c r="E8707" s="4">
        <v>-32319</v>
      </c>
      <c r="F8707" s="3" t="s">
        <v>907</v>
      </c>
      <c r="G8707" s="3" t="s">
        <v>134</v>
      </c>
      <c r="H8707" s="2" t="s">
        <v>148</v>
      </c>
      <c r="I8707" s="2" t="s">
        <v>22027</v>
      </c>
      <c r="J8707" s="3" t="str">
        <f>HYPERLINK("https://www.boe.es/gazeta/dias/1811/07/06/pdfs/GEI-D-1811-89.pdf#page=4","Abrir facsímil")</f>
        <v>Abrir facsímil</v>
      </c>
      <c r="K8707" s="3" t="s">
        <v>150</v>
      </c>
    </row>
    <row r="8708" spans="1:11" ht="42" customHeight="1">
      <c r="A8708" s="2" t="s">
        <v>22028</v>
      </c>
      <c r="B8708" s="2" t="s">
        <v>22029</v>
      </c>
      <c r="C8708" s="2" t="s">
        <v>17</v>
      </c>
      <c r="D8708" s="2" t="s">
        <v>105</v>
      </c>
      <c r="E8708" s="4">
        <v>-32362</v>
      </c>
      <c r="F8708" s="3" t="s">
        <v>1990</v>
      </c>
      <c r="G8708" s="3" t="s">
        <v>22030</v>
      </c>
      <c r="H8708" s="2" t="s">
        <v>148</v>
      </c>
      <c r="I8708" s="2" t="s">
        <v>22031</v>
      </c>
      <c r="J8708" s="3" t="str">
        <f>HYPERLINK("https://www.boe.es/gazeta/dias/1811/05/24/pdfs/GEI-1811-70E.pdf#page=7","Abrir facsímil")</f>
        <v>Abrir facsímil</v>
      </c>
      <c r="K8708" s="3" t="s">
        <v>150</v>
      </c>
    </row>
    <row r="8709" spans="1:11" ht="42" customHeight="1">
      <c r="A8709" s="2" t="s">
        <v>22032</v>
      </c>
      <c r="B8709" s="2" t="s">
        <v>22032</v>
      </c>
      <c r="C8709" s="2" t="s">
        <v>26</v>
      </c>
      <c r="D8709" s="2" t="s">
        <v>141</v>
      </c>
      <c r="E8709" s="4">
        <v>-32238</v>
      </c>
      <c r="F8709" s="3" t="s">
        <v>166</v>
      </c>
      <c r="G8709" s="3" t="s">
        <v>178</v>
      </c>
      <c r="H8709" s="2" t="s">
        <v>148</v>
      </c>
      <c r="I8709" s="2" t="s">
        <v>22033</v>
      </c>
      <c r="J8709" s="3" t="str">
        <f>HYPERLINK("https://www.boe.es/gazeta/dias/1811/09/25/pdfs/GMD-C-1811-268.pdf#page=4","Abrir facsímil")</f>
        <v>Abrir facsímil</v>
      </c>
      <c r="K8709" s="3" t="s">
        <v>150</v>
      </c>
    </row>
    <row r="8710" spans="1:11" ht="42" customHeight="1">
      <c r="A8710" s="2" t="s">
        <v>22034</v>
      </c>
      <c r="B8710" s="2" t="s">
        <v>22035</v>
      </c>
      <c r="C8710" s="2" t="s">
        <v>26</v>
      </c>
      <c r="D8710" s="2" t="s">
        <v>18</v>
      </c>
      <c r="E8710" s="4">
        <v>-32459</v>
      </c>
      <c r="F8710" s="3" t="s">
        <v>1034</v>
      </c>
      <c r="G8710" s="3" t="s">
        <v>510</v>
      </c>
      <c r="H8710" s="2" t="s">
        <v>148</v>
      </c>
      <c r="I8710" s="2" t="s">
        <v>22036</v>
      </c>
      <c r="J8710" s="3" t="str">
        <f>HYPERLINK("https://www.boe.es/gazeta/dias/1811/02/16/pdfs/GEI-1811-21.pdf#page=8","Abrir facsímil")</f>
        <v>Abrir facsímil</v>
      </c>
      <c r="K8710" s="3" t="s">
        <v>150</v>
      </c>
    </row>
    <row r="8711" spans="1:11" ht="42" customHeight="1">
      <c r="A8711" s="2" t="s">
        <v>22034</v>
      </c>
      <c r="B8711" s="2" t="s">
        <v>22035</v>
      </c>
      <c r="C8711" s="2" t="s">
        <v>17</v>
      </c>
      <c r="D8711" s="2" t="s">
        <v>18</v>
      </c>
      <c r="E8711" s="4">
        <v>-32428</v>
      </c>
      <c r="F8711" s="3" t="s">
        <v>351</v>
      </c>
      <c r="G8711" s="3" t="s">
        <v>352</v>
      </c>
      <c r="H8711" s="2" t="s">
        <v>148</v>
      </c>
      <c r="I8711" s="2" t="s">
        <v>22037</v>
      </c>
      <c r="J8711" s="3" t="str">
        <f>HYPERLINK("https://www.boe.es/gazeta/dias/1811/03/19/pdfs/GMD-1811-78.pdf#page=4","Abrir facsímil")</f>
        <v>Abrir facsímil</v>
      </c>
      <c r="K8711" s="3" t="s">
        <v>150</v>
      </c>
    </row>
    <row r="8712" spans="1:11" ht="42" customHeight="1">
      <c r="A8712" s="2" t="s">
        <v>22034</v>
      </c>
      <c r="B8712" s="2" t="s">
        <v>22035</v>
      </c>
      <c r="C8712" s="2" t="s">
        <v>17</v>
      </c>
      <c r="D8712" s="2" t="s">
        <v>18</v>
      </c>
      <c r="E8712" s="4">
        <v>-32279</v>
      </c>
      <c r="F8712" s="3" t="s">
        <v>540</v>
      </c>
      <c r="G8712" s="3" t="s">
        <v>91</v>
      </c>
      <c r="H8712" s="2" t="s">
        <v>148</v>
      </c>
      <c r="I8712" s="2" t="s">
        <v>22038</v>
      </c>
      <c r="J8712" s="3" t="str">
        <f>HYPERLINK("https://www.boe.es/gazeta/dias/1811/08/15/pdfs/GMD-1811-227.pdf#page=3","Abrir facsímil")</f>
        <v>Abrir facsímil</v>
      </c>
      <c r="K8712" s="3" t="s">
        <v>150</v>
      </c>
    </row>
    <row r="8713" spans="1:11" ht="42" customHeight="1">
      <c r="A8713" s="2" t="s">
        <v>22034</v>
      </c>
      <c r="B8713" s="2" t="s">
        <v>22035</v>
      </c>
      <c r="C8713" s="2" t="s">
        <v>26</v>
      </c>
      <c r="D8713" s="2" t="s">
        <v>18</v>
      </c>
      <c r="E8713" s="4">
        <v>-32171</v>
      </c>
      <c r="F8713" s="3" t="s">
        <v>157</v>
      </c>
      <c r="G8713" s="3" t="s">
        <v>44</v>
      </c>
      <c r="H8713" s="2" t="s">
        <v>148</v>
      </c>
      <c r="I8713" s="2" t="s">
        <v>22039</v>
      </c>
      <c r="J8713" s="3" t="str">
        <f>HYPERLINK("https://www.boe.es/gazeta/dias/1811/12/01/pdfs/GMD-1811-335.pdf#page=4","Abrir facsímil")</f>
        <v>Abrir facsímil</v>
      </c>
      <c r="K8713" s="3" t="s">
        <v>150</v>
      </c>
    </row>
    <row r="8714" spans="1:11" ht="42" customHeight="1">
      <c r="A8714" s="2" t="s">
        <v>22040</v>
      </c>
      <c r="B8714" s="2" t="s">
        <v>22040</v>
      </c>
      <c r="C8714" s="2" t="s">
        <v>26</v>
      </c>
      <c r="D8714" s="2" t="s">
        <v>18</v>
      </c>
      <c r="E8714" s="4">
        <v>-32250</v>
      </c>
      <c r="F8714" s="3" t="s">
        <v>2823</v>
      </c>
      <c r="G8714" s="3" t="s">
        <v>3947</v>
      </c>
      <c r="H8714" s="2" t="s">
        <v>148</v>
      </c>
      <c r="I8714" s="2" t="s">
        <v>22041</v>
      </c>
      <c r="J8714" s="3" t="str">
        <f>HYPERLINK("https://www.boe.es/gazeta/dias/1811/09/13/pdfs/GMD-1811-256.pdf#page=4","Abrir facsímil")</f>
        <v>Abrir facsímil</v>
      </c>
      <c r="K8714" s="3" t="s">
        <v>150</v>
      </c>
    </row>
    <row r="8715" spans="1:11" ht="42" customHeight="1">
      <c r="A8715" s="2" t="s">
        <v>22042</v>
      </c>
      <c r="B8715" s="2" t="s">
        <v>22043</v>
      </c>
      <c r="C8715" s="2" t="s">
        <v>17</v>
      </c>
      <c r="D8715" s="2" t="s">
        <v>18</v>
      </c>
      <c r="E8715" s="4">
        <v>-32192</v>
      </c>
      <c r="F8715" s="3" t="s">
        <v>673</v>
      </c>
      <c r="G8715" s="3" t="s">
        <v>305</v>
      </c>
      <c r="H8715" s="2" t="s">
        <v>148</v>
      </c>
      <c r="I8715" s="2" t="s">
        <v>22044</v>
      </c>
      <c r="J8715" s="3" t="str">
        <f>HYPERLINK("https://www.boe.es/gazeta/dias/1811/11/10/pdfs/GMD-1811-314.pdf#page=4","Abrir facsímil")</f>
        <v>Abrir facsímil</v>
      </c>
      <c r="K8715" s="3" t="s">
        <v>150</v>
      </c>
    </row>
    <row r="8716" spans="1:11" ht="42" customHeight="1">
      <c r="A8716" s="2" t="s">
        <v>22045</v>
      </c>
      <c r="B8716" s="2" t="s">
        <v>22046</v>
      </c>
      <c r="C8716" s="2" t="s">
        <v>17</v>
      </c>
      <c r="D8716" s="2" t="s">
        <v>18</v>
      </c>
      <c r="E8716" s="4">
        <v>-32300</v>
      </c>
      <c r="F8716" s="3" t="s">
        <v>61</v>
      </c>
      <c r="G8716" s="3" t="s">
        <v>62</v>
      </c>
      <c r="H8716" s="2" t="s">
        <v>148</v>
      </c>
      <c r="I8716" s="2" t="s">
        <v>22047</v>
      </c>
      <c r="J8716" s="3" t="str">
        <f>HYPERLINK("https://www.boe.es/gazeta/dias/1811/07/25/pdfs/GEI-1811-97.pdf#page=5","Abrir facsímil")</f>
        <v>Abrir facsímil</v>
      </c>
      <c r="K8716" s="3" t="s">
        <v>150</v>
      </c>
    </row>
    <row r="8717" spans="1:11" ht="42" customHeight="1">
      <c r="A8717" s="2" t="s">
        <v>22048</v>
      </c>
      <c r="B8717" s="2" t="s">
        <v>22049</v>
      </c>
      <c r="C8717" s="2" t="s">
        <v>26</v>
      </c>
      <c r="D8717" s="2" t="s">
        <v>18</v>
      </c>
      <c r="E8717" s="4">
        <v>-32225</v>
      </c>
      <c r="F8717" s="3" t="s">
        <v>390</v>
      </c>
      <c r="G8717" s="3" t="s">
        <v>391</v>
      </c>
      <c r="H8717" s="2" t="s">
        <v>148</v>
      </c>
      <c r="I8717" s="2" t="s">
        <v>22050</v>
      </c>
      <c r="J8717" s="3" t="str">
        <f>HYPERLINK("https://www.boe.es/gazeta/dias/1811/10/08/pdfs/GEI-1811-129.pdf#page=7","Abrir facsímil")</f>
        <v>Abrir facsímil</v>
      </c>
      <c r="K8717" s="3" t="s">
        <v>150</v>
      </c>
    </row>
    <row r="8718" spans="1:11" ht="42" customHeight="1">
      <c r="A8718" s="2" t="s">
        <v>22051</v>
      </c>
      <c r="B8718" s="2" t="s">
        <v>22052</v>
      </c>
      <c r="C8718" s="2" t="s">
        <v>17</v>
      </c>
      <c r="D8718" s="2" t="s">
        <v>18</v>
      </c>
      <c r="E8718" s="4">
        <v>-32480</v>
      </c>
      <c r="F8718" s="3" t="s">
        <v>2421</v>
      </c>
      <c r="G8718" s="3" t="s">
        <v>20</v>
      </c>
      <c r="H8718" s="2" t="s">
        <v>148</v>
      </c>
      <c r="I8718" s="2" t="s">
        <v>22053</v>
      </c>
      <c r="J8718" s="3" t="str">
        <f>HYPERLINK("https://www.boe.es/gazeta/dias/1811/01/26/pdfs/GMD-1811-26.pdf#page=4","Abrir facsímil")</f>
        <v>Abrir facsímil</v>
      </c>
      <c r="K8718" s="3" t="s">
        <v>150</v>
      </c>
    </row>
    <row r="8719" spans="1:11" ht="42" customHeight="1">
      <c r="A8719" s="2" t="s">
        <v>22054</v>
      </c>
      <c r="B8719" s="2" t="s">
        <v>22055</v>
      </c>
      <c r="C8719" s="2" t="s">
        <v>26</v>
      </c>
      <c r="D8719" s="2" t="s">
        <v>141</v>
      </c>
      <c r="E8719" s="4">
        <v>-32188</v>
      </c>
      <c r="F8719" s="3" t="s">
        <v>505</v>
      </c>
      <c r="G8719" s="3" t="s">
        <v>162</v>
      </c>
      <c r="H8719" s="2" t="s">
        <v>148</v>
      </c>
      <c r="I8719" s="2" t="s">
        <v>22056</v>
      </c>
      <c r="J8719" s="3" t="str">
        <f>HYPERLINK("https://www.boe.es/gazeta/dias/1811/11/14/pdfs/GEI-D-1811-149.pdf#page=4","Abrir facsímil")</f>
        <v>Abrir facsímil</v>
      </c>
      <c r="K8719" s="3" t="s">
        <v>150</v>
      </c>
    </row>
    <row r="8720" spans="1:11" ht="42" customHeight="1">
      <c r="A8720" s="2" t="s">
        <v>22057</v>
      </c>
      <c r="B8720" s="2" t="s">
        <v>22058</v>
      </c>
      <c r="C8720" s="2" t="s">
        <v>17</v>
      </c>
      <c r="D8720" s="2" t="s">
        <v>156</v>
      </c>
      <c r="E8720" s="4">
        <v>-32298</v>
      </c>
      <c r="F8720" s="3" t="s">
        <v>133</v>
      </c>
      <c r="G8720" s="3" t="s">
        <v>134</v>
      </c>
      <c r="H8720" s="2" t="s">
        <v>148</v>
      </c>
      <c r="I8720" s="2" t="s">
        <v>22059</v>
      </c>
      <c r="J8720" s="3" t="str">
        <f>HYPERLINK("https://www.boe.es/gazeta/dias/1811/07/27/pdfs/GEI-1811-98.pdf#page=7","Abrir facsímil")</f>
        <v>Abrir facsímil</v>
      </c>
      <c r="K8720" s="3" t="s">
        <v>150</v>
      </c>
    </row>
    <row r="8721" spans="1:11" ht="42" customHeight="1">
      <c r="A8721" s="2" t="s">
        <v>22060</v>
      </c>
      <c r="B8721" s="2" t="s">
        <v>22061</v>
      </c>
      <c r="C8721" s="2" t="s">
        <v>17</v>
      </c>
      <c r="D8721" s="2" t="s">
        <v>156</v>
      </c>
      <c r="E8721" s="4">
        <v>-32494</v>
      </c>
      <c r="F8721" s="3" t="s">
        <v>3050</v>
      </c>
      <c r="G8721" s="3" t="s">
        <v>1179</v>
      </c>
      <c r="H8721" s="2" t="s">
        <v>148</v>
      </c>
      <c r="I8721" s="2" t="s">
        <v>22062</v>
      </c>
      <c r="J8721" s="3" t="str">
        <f>HYPERLINK("https://www.boe.es/gazeta/dias/1811/01/12/pdfs/GEI-1811-6.pdf#page=7","Abrir facsímil")</f>
        <v>Abrir facsímil</v>
      </c>
      <c r="K8721" s="3" t="s">
        <v>150</v>
      </c>
    </row>
    <row r="8722" spans="1:11" ht="42" customHeight="1">
      <c r="A8722" s="2" t="s">
        <v>22063</v>
      </c>
      <c r="B8722" s="2" t="s">
        <v>22064</v>
      </c>
      <c r="C8722" s="2" t="s">
        <v>26</v>
      </c>
      <c r="D8722" s="2" t="s">
        <v>18</v>
      </c>
      <c r="E8722" s="4">
        <v>-32463</v>
      </c>
      <c r="F8722" s="3" t="s">
        <v>734</v>
      </c>
      <c r="G8722" s="3" t="s">
        <v>735</v>
      </c>
      <c r="H8722" s="2" t="s">
        <v>148</v>
      </c>
      <c r="I8722" s="2" t="s">
        <v>22065</v>
      </c>
      <c r="J8722" s="3" t="str">
        <f>HYPERLINK("https://www.boe.es/gazeta/dias/1811/02/12/pdfs/GEI-1811-19.pdf#page=8","Abrir facsímil")</f>
        <v>Abrir facsímil</v>
      </c>
      <c r="K8722" s="3" t="s">
        <v>150</v>
      </c>
    </row>
    <row r="8723" spans="1:11" ht="42" customHeight="1">
      <c r="A8723" s="2" t="s">
        <v>22063</v>
      </c>
      <c r="B8723" s="2" t="s">
        <v>22064</v>
      </c>
      <c r="C8723" s="2" t="s">
        <v>17</v>
      </c>
      <c r="D8723" s="2" t="s">
        <v>18</v>
      </c>
      <c r="E8723" s="4">
        <v>-32447</v>
      </c>
      <c r="F8723" s="3" t="s">
        <v>3655</v>
      </c>
      <c r="G8723" s="3" t="s">
        <v>8991</v>
      </c>
      <c r="H8723" s="2" t="s">
        <v>148</v>
      </c>
      <c r="I8723" s="2" t="s">
        <v>22066</v>
      </c>
      <c r="J8723" s="3" t="str">
        <f>HYPERLINK("https://www.boe.es/gazeta/dias/1811/02/28/pdfs/GEI-1811-26.pdf#page=8","Abrir facsímil")</f>
        <v>Abrir facsímil</v>
      </c>
      <c r="K8723" s="3" t="s">
        <v>150</v>
      </c>
    </row>
    <row r="8724" spans="1:11" ht="42" customHeight="1">
      <c r="A8724" s="2" t="s">
        <v>22063</v>
      </c>
      <c r="B8724" s="2" t="s">
        <v>22064</v>
      </c>
      <c r="C8724" s="2" t="s">
        <v>26</v>
      </c>
      <c r="D8724" s="2" t="s">
        <v>141</v>
      </c>
      <c r="E8724" s="4">
        <v>-32188</v>
      </c>
      <c r="F8724" s="3" t="s">
        <v>505</v>
      </c>
      <c r="G8724" s="3" t="s">
        <v>162</v>
      </c>
      <c r="H8724" s="2" t="s">
        <v>148</v>
      </c>
      <c r="I8724" s="2" t="s">
        <v>22067</v>
      </c>
      <c r="J8724" s="3" t="str">
        <f>HYPERLINK("https://www.boe.es/gazeta/dias/1811/11/14/pdfs/GEI-D-1811-149.pdf#page=4","Abrir facsímil")</f>
        <v>Abrir facsímil</v>
      </c>
      <c r="K8724" s="3" t="s">
        <v>150</v>
      </c>
    </row>
    <row r="8725" spans="1:11" ht="42" customHeight="1">
      <c r="A8725" s="2" t="s">
        <v>22068</v>
      </c>
      <c r="B8725" s="2" t="s">
        <v>22069</v>
      </c>
      <c r="C8725" s="2" t="s">
        <v>26</v>
      </c>
      <c r="D8725" s="2" t="s">
        <v>528</v>
      </c>
      <c r="E8725" s="4">
        <v>-32443</v>
      </c>
      <c r="F8725" s="3" t="s">
        <v>9220</v>
      </c>
      <c r="G8725" s="3" t="s">
        <v>178</v>
      </c>
      <c r="H8725" s="2" t="s">
        <v>148</v>
      </c>
      <c r="I8725" s="2" t="s">
        <v>22070</v>
      </c>
      <c r="J8725" s="3" t="str">
        <f>HYPERLINK("https://www.boe.es/gazeta/dias/1811/03/04/pdfs/GEI-1811-28E.pdf#page=3","Abrir facsímil")</f>
        <v>Abrir facsímil</v>
      </c>
      <c r="K8725" s="3" t="s">
        <v>150</v>
      </c>
    </row>
    <row r="8726" spans="1:11" ht="42" customHeight="1">
      <c r="A8726" s="2" t="s">
        <v>22071</v>
      </c>
      <c r="B8726" s="2" t="s">
        <v>22072</v>
      </c>
      <c r="C8726" s="2" t="s">
        <v>26</v>
      </c>
      <c r="D8726" s="2" t="s">
        <v>18</v>
      </c>
      <c r="E8726" s="4">
        <v>-32188</v>
      </c>
      <c r="F8726" s="3" t="s">
        <v>356</v>
      </c>
      <c r="G8726" s="3" t="s">
        <v>248</v>
      </c>
      <c r="H8726" s="2" t="s">
        <v>148</v>
      </c>
      <c r="I8726" s="2" t="s">
        <v>22073</v>
      </c>
      <c r="J8726" s="3" t="str">
        <f>HYPERLINK("https://www.boe.es/gazeta/dias/1811/11/14/pdfs/GMD-1811-318.pdf#page=5","Abrir facsímil")</f>
        <v>Abrir facsímil</v>
      </c>
      <c r="K8726" s="3" t="s">
        <v>150</v>
      </c>
    </row>
    <row r="8727" spans="1:11" ht="42" customHeight="1">
      <c r="A8727" s="2" t="s">
        <v>22074</v>
      </c>
      <c r="B8727" s="2" t="s">
        <v>22075</v>
      </c>
      <c r="C8727" s="2" t="s">
        <v>17</v>
      </c>
      <c r="D8727" s="2" t="s">
        <v>18</v>
      </c>
      <c r="E8727" s="4">
        <v>-32187</v>
      </c>
      <c r="F8727" s="3" t="s">
        <v>1775</v>
      </c>
      <c r="G8727" s="3" t="s">
        <v>657</v>
      </c>
      <c r="H8727" s="2" t="s">
        <v>148</v>
      </c>
      <c r="I8727" s="2" t="s">
        <v>22076</v>
      </c>
      <c r="J8727" s="3" t="str">
        <f>HYPERLINK("https://www.boe.es/gazeta/dias/1811/11/15/pdfs/GMD-1811-319.pdf#page=4","Abrir facsímil")</f>
        <v>Abrir facsímil</v>
      </c>
      <c r="K8727" s="3" t="s">
        <v>150</v>
      </c>
    </row>
    <row r="8728" spans="1:11" ht="42" customHeight="1">
      <c r="A8728" s="2" t="s">
        <v>22077</v>
      </c>
      <c r="B8728" s="2" t="s">
        <v>22078</v>
      </c>
      <c r="C8728" s="2" t="s">
        <v>17</v>
      </c>
      <c r="D8728" s="2" t="s">
        <v>18</v>
      </c>
      <c r="E8728" s="4">
        <v>-32298</v>
      </c>
      <c r="F8728" s="3" t="s">
        <v>133</v>
      </c>
      <c r="G8728" s="3" t="s">
        <v>134</v>
      </c>
      <c r="H8728" s="2" t="s">
        <v>148</v>
      </c>
      <c r="I8728" s="2" t="s">
        <v>22079</v>
      </c>
      <c r="J8728" s="3" t="str">
        <f>HYPERLINK("https://www.boe.es/gazeta/dias/1811/07/27/pdfs/GEI-1811-98.pdf#page=7","Abrir facsímil")</f>
        <v>Abrir facsímil</v>
      </c>
      <c r="K8728" s="3" t="s">
        <v>150</v>
      </c>
    </row>
    <row r="8729" spans="1:11" ht="42" customHeight="1">
      <c r="A8729" s="2" t="s">
        <v>22080</v>
      </c>
      <c r="B8729" s="2" t="s">
        <v>22081</v>
      </c>
      <c r="C8729" s="2" t="s">
        <v>26</v>
      </c>
      <c r="D8729" s="2" t="s">
        <v>18</v>
      </c>
      <c r="E8729" s="4">
        <v>-32295</v>
      </c>
      <c r="F8729" s="3" t="s">
        <v>279</v>
      </c>
      <c r="G8729" s="3" t="s">
        <v>44</v>
      </c>
      <c r="H8729" s="2" t="s">
        <v>148</v>
      </c>
      <c r="I8729" s="2" t="s">
        <v>22082</v>
      </c>
      <c r="J8729" s="3" t="str">
        <f>HYPERLINK("https://www.boe.es/gazeta/dias/1811/07/30/pdfs/GEI-1811-99.pdf#page=8","Abrir facsímil")</f>
        <v>Abrir facsímil</v>
      </c>
      <c r="K8729" s="3" t="s">
        <v>150</v>
      </c>
    </row>
    <row r="8730" spans="1:11" ht="42" customHeight="1">
      <c r="A8730" s="2" t="s">
        <v>22083</v>
      </c>
      <c r="B8730" s="2" t="s">
        <v>22084</v>
      </c>
      <c r="C8730" s="2" t="s">
        <v>66</v>
      </c>
      <c r="D8730" s="2" t="s">
        <v>18</v>
      </c>
      <c r="E8730" s="4">
        <v>-32251</v>
      </c>
      <c r="F8730" s="3" t="s">
        <v>726</v>
      </c>
      <c r="G8730" s="3" t="s">
        <v>727</v>
      </c>
      <c r="H8730" s="2" t="s">
        <v>148</v>
      </c>
      <c r="I8730" s="2" t="s">
        <v>22085</v>
      </c>
      <c r="J8730" s="3" t="str">
        <f>HYPERLINK("https://www.boe.es/gazeta/dias/1811/09/12/pdfs/GEI-1811-118.pdf#page=8","Abrir facsímil")</f>
        <v>Abrir facsímil</v>
      </c>
      <c r="K8730" s="3" t="s">
        <v>150</v>
      </c>
    </row>
    <row r="8731" spans="1:11" ht="42" customHeight="1">
      <c r="A8731" s="2" t="s">
        <v>22086</v>
      </c>
      <c r="B8731" s="2" t="s">
        <v>22087</v>
      </c>
      <c r="C8731" s="2" t="s">
        <v>17</v>
      </c>
      <c r="D8731" s="2" t="s">
        <v>18</v>
      </c>
      <c r="E8731" s="4">
        <v>-32300</v>
      </c>
      <c r="F8731" s="3" t="s">
        <v>61</v>
      </c>
      <c r="G8731" s="3" t="s">
        <v>221</v>
      </c>
      <c r="H8731" s="2" t="s">
        <v>148</v>
      </c>
      <c r="I8731" s="2" t="s">
        <v>22088</v>
      </c>
      <c r="J8731" s="3" t="str">
        <f>HYPERLINK("https://www.boe.es/gazeta/dias/1811/07/25/pdfs/GEI-1811-97.pdf#page=4","Abrir facsímil")</f>
        <v>Abrir facsímil</v>
      </c>
      <c r="K8731" s="3" t="s">
        <v>150</v>
      </c>
    </row>
    <row r="8732" spans="1:11" ht="42" customHeight="1">
      <c r="A8732" s="2" t="s">
        <v>22089</v>
      </c>
      <c r="B8732" s="2" t="s">
        <v>22089</v>
      </c>
      <c r="C8732" s="2" t="s">
        <v>17</v>
      </c>
      <c r="D8732" s="2" t="s">
        <v>18</v>
      </c>
      <c r="E8732" s="4">
        <v>-32407</v>
      </c>
      <c r="F8732" s="3" t="s">
        <v>38</v>
      </c>
      <c r="G8732" s="3" t="s">
        <v>3731</v>
      </c>
      <c r="H8732" s="2" t="s">
        <v>148</v>
      </c>
      <c r="I8732" s="2" t="s">
        <v>22090</v>
      </c>
      <c r="J8732" s="3" t="str">
        <f>HYPERLINK("https://www.boe.es/gazeta/dias/1811/04/09/pdfs/GEI-1811-48.pdf#page=6","Abrir facsímil")</f>
        <v>Abrir facsímil</v>
      </c>
      <c r="K8732" s="3" t="s">
        <v>150</v>
      </c>
    </row>
    <row r="8733" spans="1:11" ht="42" customHeight="1">
      <c r="A8733" s="2" t="s">
        <v>22091</v>
      </c>
      <c r="B8733" s="2" t="s">
        <v>22092</v>
      </c>
      <c r="C8733" s="2" t="s">
        <v>122</v>
      </c>
      <c r="D8733" s="2" t="s">
        <v>105</v>
      </c>
      <c r="E8733" s="4">
        <v>-32235</v>
      </c>
      <c r="F8733" s="3" t="s">
        <v>376</v>
      </c>
      <c r="G8733" s="3" t="s">
        <v>1280</v>
      </c>
      <c r="H8733" s="2" t="s">
        <v>21</v>
      </c>
      <c r="I8733" s="2" t="s">
        <v>22093</v>
      </c>
      <c r="J8733" s="3" t="str">
        <f>HYPERLINK("https://www.boe.es/gazeta/dias/1811/09/28/pdfs/GMD-1811-271.pdf#page=2","Abrir facsímil")</f>
        <v>Abrir facsímil</v>
      </c>
      <c r="K8733" s="3" t="s">
        <v>23</v>
      </c>
    </row>
    <row r="8734" spans="1:11" ht="42" customHeight="1">
      <c r="A8734" s="2" t="s">
        <v>22094</v>
      </c>
      <c r="B8734" s="2" t="s">
        <v>22095</v>
      </c>
      <c r="C8734" s="2" t="s">
        <v>104</v>
      </c>
      <c r="D8734" s="2" t="s">
        <v>18</v>
      </c>
      <c r="E8734" s="4">
        <v>-32487</v>
      </c>
      <c r="F8734" s="3" t="s">
        <v>842</v>
      </c>
      <c r="G8734" s="3" t="s">
        <v>440</v>
      </c>
      <c r="H8734" s="2" t="s">
        <v>21</v>
      </c>
      <c r="I8734" s="2" t="s">
        <v>22096</v>
      </c>
      <c r="J8734" s="3" t="str">
        <f>HYPERLINK("https://www.boe.es/gazeta/dias/1811/01/19/pdfs/GEI-1811-9.pdf#page=2","Abrir facsímil")</f>
        <v>Abrir facsímil</v>
      </c>
      <c r="K8734" s="3" t="s">
        <v>23</v>
      </c>
    </row>
    <row r="8735" spans="1:11" ht="42" customHeight="1">
      <c r="A8735" s="2" t="s">
        <v>22097</v>
      </c>
      <c r="B8735" s="2" t="s">
        <v>22098</v>
      </c>
      <c r="C8735" s="2" t="s">
        <v>26</v>
      </c>
      <c r="D8735" s="2" t="s">
        <v>141</v>
      </c>
      <c r="E8735" s="4">
        <v>-32280</v>
      </c>
      <c r="F8735" s="3" t="s">
        <v>142</v>
      </c>
      <c r="G8735" s="3" t="s">
        <v>597</v>
      </c>
      <c r="H8735" s="2" t="s">
        <v>21</v>
      </c>
      <c r="I8735" s="2" t="s">
        <v>22099</v>
      </c>
      <c r="J8735" s="3" t="str">
        <f>HYPERLINK("https://www.boe.es/gazeta/dias/1811/08/14/pdfs/GMD-C-1811-226.pdf#page=2","Abrir facsímil")</f>
        <v>Abrir facsímil</v>
      </c>
      <c r="K8735" s="3" t="s">
        <v>23</v>
      </c>
    </row>
    <row r="8736" spans="1:11" ht="42" customHeight="1">
      <c r="A8736" s="2" t="s">
        <v>22100</v>
      </c>
      <c r="B8736" s="2" t="s">
        <v>22101</v>
      </c>
      <c r="C8736" s="2" t="s">
        <v>104</v>
      </c>
      <c r="D8736" s="2" t="s">
        <v>18</v>
      </c>
      <c r="E8736" s="4">
        <v>-32328</v>
      </c>
      <c r="F8736" s="3" t="s">
        <v>1653</v>
      </c>
      <c r="G8736" s="3" t="s">
        <v>22102</v>
      </c>
      <c r="H8736" s="2" t="s">
        <v>21</v>
      </c>
      <c r="I8736" s="2" t="s">
        <v>22103</v>
      </c>
      <c r="J8736" s="3" t="str">
        <f>HYPERLINK("https://www.boe.es/gazeta/dias/1811/06/27/pdfs/GEI-1811-85.pdf#page=1","Abrir facsímil")</f>
        <v>Abrir facsímil</v>
      </c>
      <c r="K8736" s="3" t="s">
        <v>23</v>
      </c>
    </row>
    <row r="8737" spans="1:11" ht="42" customHeight="1">
      <c r="A8737" s="2" t="s">
        <v>22104</v>
      </c>
      <c r="B8737" s="2" t="s">
        <v>22105</v>
      </c>
      <c r="C8737" s="2" t="s">
        <v>26</v>
      </c>
      <c r="D8737" s="2" t="s">
        <v>141</v>
      </c>
      <c r="E8737" s="4">
        <v>-32249</v>
      </c>
      <c r="F8737" s="3" t="s">
        <v>743</v>
      </c>
      <c r="G8737" s="3" t="s">
        <v>1021</v>
      </c>
      <c r="H8737" s="2" t="s">
        <v>21</v>
      </c>
      <c r="I8737" s="2" t="s">
        <v>22106</v>
      </c>
      <c r="J8737" s="3" t="str">
        <f>HYPERLINK("https://www.boe.es/gazeta/dias/1811/09/14/pdfs/GMD-C-1811-257.pdf#page=2","Abrir facsímil")</f>
        <v>Abrir facsímil</v>
      </c>
      <c r="K8737" s="3" t="s">
        <v>23</v>
      </c>
    </row>
    <row r="8738" spans="1:11" ht="42" customHeight="1">
      <c r="A8738" s="2" t="s">
        <v>22107</v>
      </c>
      <c r="B8738" s="2" t="s">
        <v>22108</v>
      </c>
      <c r="C8738" s="2" t="s">
        <v>26</v>
      </c>
      <c r="D8738" s="2" t="s">
        <v>18</v>
      </c>
      <c r="E8738" s="4">
        <v>-32215</v>
      </c>
      <c r="F8738" s="3" t="s">
        <v>6300</v>
      </c>
      <c r="G8738" s="3" t="s">
        <v>4049</v>
      </c>
      <c r="H8738" s="2" t="s">
        <v>21</v>
      </c>
      <c r="I8738" s="2" t="s">
        <v>22109</v>
      </c>
      <c r="J8738" s="3" t="str">
        <f>HYPERLINK("https://www.boe.es/gazeta/dias/1811/10/18/pdfs/GMD-1811-291.pdf#page=4","Abrir facsímil")</f>
        <v>Abrir facsímil</v>
      </c>
      <c r="K8738" s="3" t="s">
        <v>23</v>
      </c>
    </row>
    <row r="8739" spans="1:11" ht="42" customHeight="1">
      <c r="A8739" s="2" t="s">
        <v>22110</v>
      </c>
      <c r="B8739" s="2" t="s">
        <v>22111</v>
      </c>
      <c r="C8739" s="2" t="s">
        <v>26</v>
      </c>
      <c r="D8739" s="2" t="s">
        <v>18</v>
      </c>
      <c r="E8739" s="4">
        <v>-32396</v>
      </c>
      <c r="F8739" s="3" t="s">
        <v>1267</v>
      </c>
      <c r="G8739" s="3" t="s">
        <v>2384</v>
      </c>
      <c r="H8739" s="2" t="s">
        <v>21</v>
      </c>
      <c r="I8739" s="2" t="s">
        <v>22112</v>
      </c>
      <c r="J8739" s="3" t="str">
        <f>HYPERLINK("https://www.boe.es/gazeta/dias/1811/04/20/pdfs/GMD-1811-110.pdf#page=4","Abrir facsímil")</f>
        <v>Abrir facsímil</v>
      </c>
      <c r="K8739" s="3" t="s">
        <v>23</v>
      </c>
    </row>
    <row r="8740" spans="1:11" ht="42" customHeight="1">
      <c r="A8740" s="2" t="s">
        <v>22113</v>
      </c>
      <c r="B8740" s="2" t="s">
        <v>22114</v>
      </c>
      <c r="C8740" s="2" t="s">
        <v>26</v>
      </c>
      <c r="D8740" s="2" t="s">
        <v>18</v>
      </c>
      <c r="E8740" s="4">
        <v>-32399</v>
      </c>
      <c r="F8740" s="3" t="s">
        <v>6015</v>
      </c>
      <c r="G8740" s="3" t="s">
        <v>20</v>
      </c>
      <c r="H8740" s="2" t="s">
        <v>21</v>
      </c>
      <c r="I8740" s="2" t="s">
        <v>22115</v>
      </c>
      <c r="J8740" s="3" t="str">
        <f>HYPERLINK("https://www.boe.es/gazeta/dias/1811/04/17/pdfs/GMD-1811-107.pdf#page=4","Abrir facsímil")</f>
        <v>Abrir facsímil</v>
      </c>
      <c r="K8740" s="3" t="s">
        <v>23</v>
      </c>
    </row>
    <row r="8741" spans="1:11" ht="42" customHeight="1">
      <c r="A8741" s="2" t="s">
        <v>22113</v>
      </c>
      <c r="B8741" s="2" t="s">
        <v>22114</v>
      </c>
      <c r="C8741" s="2" t="s">
        <v>26</v>
      </c>
      <c r="D8741" s="2" t="s">
        <v>18</v>
      </c>
      <c r="E8741" s="4">
        <v>-32398</v>
      </c>
      <c r="F8741" s="3" t="s">
        <v>14898</v>
      </c>
      <c r="G8741" s="3" t="s">
        <v>183</v>
      </c>
      <c r="H8741" s="2" t="s">
        <v>21</v>
      </c>
      <c r="I8741" s="2" t="s">
        <v>22116</v>
      </c>
      <c r="J8741" s="3" t="str">
        <f>HYPERLINK("https://www.boe.es/gazeta/dias/1811/04/18/pdfs/GMD-1811-108.pdf#page=4","Abrir facsímil")</f>
        <v>Abrir facsímil</v>
      </c>
      <c r="K8741" s="3" t="s">
        <v>23</v>
      </c>
    </row>
    <row r="8742" spans="1:11" ht="42" customHeight="1">
      <c r="A8742" s="2" t="s">
        <v>22113</v>
      </c>
      <c r="B8742" s="2" t="s">
        <v>22114</v>
      </c>
      <c r="C8742" s="2" t="s">
        <v>26</v>
      </c>
      <c r="D8742" s="2" t="s">
        <v>18</v>
      </c>
      <c r="E8742" s="4">
        <v>-32216</v>
      </c>
      <c r="F8742" s="3" t="s">
        <v>5136</v>
      </c>
      <c r="G8742" s="3" t="s">
        <v>178</v>
      </c>
      <c r="H8742" s="2" t="s">
        <v>21</v>
      </c>
      <c r="I8742" s="2" t="s">
        <v>22117</v>
      </c>
      <c r="J8742" s="3" t="str">
        <f>HYPERLINK("https://www.boe.es/gazeta/dias/1811/10/17/pdfs/GMD-1811-290.pdf#page=4","Abrir facsímil")</f>
        <v>Abrir facsímil</v>
      </c>
      <c r="K8742" s="3" t="s">
        <v>23</v>
      </c>
    </row>
    <row r="8743" spans="1:11" ht="42" customHeight="1">
      <c r="A8743" s="2" t="s">
        <v>22118</v>
      </c>
      <c r="B8743" s="2" t="s">
        <v>22119</v>
      </c>
      <c r="C8743" s="2" t="s">
        <v>17</v>
      </c>
      <c r="D8743" s="2" t="s">
        <v>156</v>
      </c>
      <c r="E8743" s="4">
        <v>-32155</v>
      </c>
      <c r="F8743" s="3" t="s">
        <v>263</v>
      </c>
      <c r="G8743" s="3" t="s">
        <v>1800</v>
      </c>
      <c r="H8743" s="2" t="s">
        <v>21</v>
      </c>
      <c r="I8743" s="2" t="s">
        <v>22120</v>
      </c>
      <c r="J8743" s="3" t="str">
        <f>HYPERLINK("https://www.boe.es/gazeta/dias/1811/12/17/pdfs/GEI-1811-163.pdf#page=7","Abrir facsímil")</f>
        <v>Abrir facsímil</v>
      </c>
      <c r="K8743" s="3" t="s">
        <v>23</v>
      </c>
    </row>
    <row r="8744" spans="1:11" ht="42" customHeight="1">
      <c r="A8744" s="2" t="s">
        <v>22121</v>
      </c>
      <c r="B8744" s="2" t="s">
        <v>22122</v>
      </c>
      <c r="C8744" s="2" t="s">
        <v>84</v>
      </c>
      <c r="D8744" s="2" t="s">
        <v>18</v>
      </c>
      <c r="E8744" s="4">
        <v>-32245</v>
      </c>
      <c r="F8744" s="3" t="s">
        <v>6296</v>
      </c>
      <c r="G8744" s="3" t="s">
        <v>468</v>
      </c>
      <c r="H8744" s="2" t="s">
        <v>21</v>
      </c>
      <c r="I8744" s="2" t="s">
        <v>22123</v>
      </c>
      <c r="J8744" s="3" t="str">
        <f>HYPERLINK("https://www.boe.es/gazeta/dias/1811/09/18/pdfs/GMD-1811-261.pdf#page=4","Abrir facsímil")</f>
        <v>Abrir facsímil</v>
      </c>
      <c r="K8744" s="3" t="s">
        <v>23</v>
      </c>
    </row>
    <row r="8745" spans="1:11" ht="42" customHeight="1">
      <c r="A8745" s="2" t="s">
        <v>22124</v>
      </c>
      <c r="B8745" s="2" t="s">
        <v>22125</v>
      </c>
      <c r="C8745" s="2" t="s">
        <v>26</v>
      </c>
      <c r="D8745" s="2" t="s">
        <v>18</v>
      </c>
      <c r="E8745" s="4">
        <v>-32395</v>
      </c>
      <c r="F8745" s="3" t="s">
        <v>2968</v>
      </c>
      <c r="G8745" s="3" t="s">
        <v>178</v>
      </c>
      <c r="H8745" s="2" t="s">
        <v>21</v>
      </c>
      <c r="I8745" s="2" t="s">
        <v>22126</v>
      </c>
      <c r="J8745" s="3" t="str">
        <f>HYPERLINK("https://www.boe.es/gazeta/dias/1811/04/21/pdfs/GMD-1811-111.pdf#page=4","Abrir facsímil")</f>
        <v>Abrir facsímil</v>
      </c>
      <c r="K8745" s="3" t="s">
        <v>23</v>
      </c>
    </row>
    <row r="8746" spans="1:11" ht="42" customHeight="1">
      <c r="A8746" s="2" t="s">
        <v>22127</v>
      </c>
      <c r="B8746" s="2" t="s">
        <v>22128</v>
      </c>
      <c r="C8746" s="2" t="s">
        <v>26</v>
      </c>
      <c r="D8746" s="2" t="s">
        <v>18</v>
      </c>
      <c r="E8746" s="4">
        <v>-32401</v>
      </c>
      <c r="F8746" s="3" t="s">
        <v>1084</v>
      </c>
      <c r="G8746" s="3" t="s">
        <v>47</v>
      </c>
      <c r="H8746" s="2" t="s">
        <v>21</v>
      </c>
      <c r="I8746" s="2" t="s">
        <v>22129</v>
      </c>
      <c r="J8746" s="3" t="str">
        <f>HYPERLINK("https://www.boe.es/gazeta/dias/1811/04/15/pdfs/GMD-1811-105.pdf#page=4","Abrir facsímil")</f>
        <v>Abrir facsímil</v>
      </c>
      <c r="K8746" s="3" t="s">
        <v>23</v>
      </c>
    </row>
    <row r="8747" spans="1:11" ht="42" customHeight="1">
      <c r="A8747" s="2" t="s">
        <v>22130</v>
      </c>
      <c r="B8747" s="2" t="s">
        <v>22131</v>
      </c>
      <c r="C8747" s="2" t="s">
        <v>17</v>
      </c>
      <c r="D8747" s="2" t="s">
        <v>156</v>
      </c>
      <c r="E8747" s="4">
        <v>-32325</v>
      </c>
      <c r="F8747" s="3" t="s">
        <v>552</v>
      </c>
      <c r="G8747" s="3" t="s">
        <v>515</v>
      </c>
      <c r="H8747" s="2" t="s">
        <v>21</v>
      </c>
      <c r="I8747" s="2" t="s">
        <v>22132</v>
      </c>
      <c r="J8747" s="3" t="str">
        <f>HYPERLINK("https://www.boe.es/gazeta/dias/1811/06/30/pdfs/GMD-1811-181.pdf#page=2","Abrir facsímil")</f>
        <v>Abrir facsímil</v>
      </c>
      <c r="K8747" s="3" t="s">
        <v>23</v>
      </c>
    </row>
    <row r="8748" spans="1:11" ht="42" customHeight="1">
      <c r="A8748" s="2" t="s">
        <v>22133</v>
      </c>
      <c r="B8748" s="2" t="s">
        <v>22134</v>
      </c>
      <c r="C8748" s="2" t="s">
        <v>26</v>
      </c>
      <c r="D8748" s="2" t="s">
        <v>18</v>
      </c>
      <c r="E8748" s="4">
        <v>-32397</v>
      </c>
      <c r="F8748" s="3" t="s">
        <v>359</v>
      </c>
      <c r="G8748" s="3" t="s">
        <v>44</v>
      </c>
      <c r="H8748" s="2" t="s">
        <v>21</v>
      </c>
      <c r="I8748" s="2" t="s">
        <v>22135</v>
      </c>
      <c r="J8748" s="3" t="str">
        <f>HYPERLINK("https://www.boe.es/gazeta/dias/1811/04/19/pdfs/GMD-1811-109.pdf#page=4","Abrir facsímil")</f>
        <v>Abrir facsímil</v>
      </c>
      <c r="K8748" s="3" t="s">
        <v>23</v>
      </c>
    </row>
    <row r="8749" spans="1:11" ht="42" customHeight="1">
      <c r="A8749" s="2" t="s">
        <v>22136</v>
      </c>
      <c r="B8749" s="2" t="s">
        <v>22137</v>
      </c>
      <c r="C8749" s="2" t="s">
        <v>104</v>
      </c>
      <c r="D8749" s="2" t="s">
        <v>105</v>
      </c>
      <c r="E8749" s="4">
        <v>-32284</v>
      </c>
      <c r="F8749" s="3" t="s">
        <v>170</v>
      </c>
      <c r="G8749" s="3" t="s">
        <v>386</v>
      </c>
      <c r="H8749" s="2" t="s">
        <v>21</v>
      </c>
      <c r="I8749" s="2" t="s">
        <v>22138</v>
      </c>
      <c r="J8749" s="3" t="str">
        <f>HYPERLINK("https://www.boe.es/gazeta/dias/1811/08/10/pdfs/GEI-1811-104.pdf#page=3","Abrir facsímil")</f>
        <v>Abrir facsímil</v>
      </c>
      <c r="K8749" s="3" t="s">
        <v>23</v>
      </c>
    </row>
    <row r="8750" spans="1:11" ht="42" customHeight="1">
      <c r="A8750" s="2" t="s">
        <v>22139</v>
      </c>
      <c r="B8750" s="2" t="s">
        <v>22140</v>
      </c>
      <c r="C8750" s="2" t="s">
        <v>26</v>
      </c>
      <c r="D8750" s="2" t="s">
        <v>204</v>
      </c>
      <c r="E8750" s="4">
        <v>-32210</v>
      </c>
      <c r="F8750" s="3" t="s">
        <v>1737</v>
      </c>
      <c r="G8750" s="3" t="s">
        <v>391</v>
      </c>
      <c r="H8750" s="2" t="s">
        <v>21</v>
      </c>
      <c r="I8750" s="2" t="s">
        <v>22141</v>
      </c>
      <c r="J8750" s="3" t="str">
        <f>HYPERLINK("https://www.boe.es/gazeta/dias/1811/10/23/pdfs/GMD-1811-296.pdf#page=1","Abrir facsímil")</f>
        <v>Abrir facsímil</v>
      </c>
      <c r="K8750" s="3" t="s">
        <v>23</v>
      </c>
    </row>
    <row r="8751" spans="1:11" ht="42" customHeight="1">
      <c r="A8751" s="2" t="s">
        <v>22142</v>
      </c>
      <c r="B8751" s="2" t="s">
        <v>22143</v>
      </c>
      <c r="C8751" s="2" t="s">
        <v>37</v>
      </c>
      <c r="D8751" s="2" t="s">
        <v>18</v>
      </c>
      <c r="E8751" s="4">
        <v>-32391</v>
      </c>
      <c r="F8751" s="3" t="s">
        <v>252</v>
      </c>
      <c r="G8751" s="3" t="s">
        <v>2442</v>
      </c>
      <c r="H8751" s="2" t="s">
        <v>21</v>
      </c>
      <c r="I8751" s="2" t="s">
        <v>22144</v>
      </c>
      <c r="J8751" s="3" t="str">
        <f>HYPERLINK("https://www.boe.es/gazeta/dias/1811/04/25/pdfs/GEI-1811-55.pdf#page=8","Abrir facsímil")</f>
        <v>Abrir facsímil</v>
      </c>
      <c r="K8751" s="3" t="s">
        <v>23</v>
      </c>
    </row>
    <row r="8752" spans="1:11" ht="42" customHeight="1">
      <c r="A8752" s="2" t="s">
        <v>22145</v>
      </c>
      <c r="B8752" s="2" t="s">
        <v>22146</v>
      </c>
      <c r="C8752" s="2" t="s">
        <v>26</v>
      </c>
      <c r="D8752" s="2" t="s">
        <v>18</v>
      </c>
      <c r="E8752" s="4">
        <v>-32195</v>
      </c>
      <c r="F8752" s="3" t="s">
        <v>439</v>
      </c>
      <c r="G8752" s="3" t="s">
        <v>440</v>
      </c>
      <c r="H8752" s="2" t="s">
        <v>21</v>
      </c>
      <c r="I8752" s="2" t="s">
        <v>22147</v>
      </c>
      <c r="J8752" s="3" t="str">
        <f>HYPERLINK("https://www.boe.es/gazeta/dias/1811/11/07/pdfs/GEI-1811-144.pdf#page=8","Abrir facsímil")</f>
        <v>Abrir facsímil</v>
      </c>
      <c r="K8752" s="3" t="s">
        <v>23</v>
      </c>
    </row>
    <row r="8753" spans="1:11" ht="42" customHeight="1">
      <c r="A8753" s="2" t="s">
        <v>22148</v>
      </c>
      <c r="B8753" s="2" t="s">
        <v>22149</v>
      </c>
      <c r="C8753" s="2" t="s">
        <v>17</v>
      </c>
      <c r="D8753" s="2" t="s">
        <v>156</v>
      </c>
      <c r="E8753" s="4">
        <v>-32235</v>
      </c>
      <c r="F8753" s="3" t="s">
        <v>190</v>
      </c>
      <c r="G8753" s="3" t="s">
        <v>188</v>
      </c>
      <c r="H8753" s="2" t="s">
        <v>21</v>
      </c>
      <c r="I8753" s="2" t="s">
        <v>22150</v>
      </c>
      <c r="J8753" s="3" t="str">
        <f>HYPERLINK("https://www.boe.es/gazeta/dias/1811/09/28/pdfs/GEI-1811-125.pdf#page=8","Abrir facsímil")</f>
        <v>Abrir facsímil</v>
      </c>
      <c r="K8753" s="3" t="s">
        <v>23</v>
      </c>
    </row>
    <row r="8754" spans="1:11" ht="42" customHeight="1">
      <c r="A8754" s="2" t="s">
        <v>22151</v>
      </c>
      <c r="B8754" s="2" t="s">
        <v>22152</v>
      </c>
      <c r="C8754" s="2" t="s">
        <v>26</v>
      </c>
      <c r="D8754" s="2" t="s">
        <v>141</v>
      </c>
      <c r="E8754" s="4">
        <v>-32396</v>
      </c>
      <c r="F8754" s="3" t="s">
        <v>804</v>
      </c>
      <c r="G8754" s="3" t="s">
        <v>805</v>
      </c>
      <c r="H8754" s="2" t="s">
        <v>21</v>
      </c>
      <c r="I8754" s="2" t="s">
        <v>22153</v>
      </c>
      <c r="J8754" s="3" t="str">
        <f>HYPERLINK("https://www.boe.es/gazeta/dias/1811/04/20/pdfs/GEI-D-1811-53.pdf#page=4","Abrir facsímil")</f>
        <v>Abrir facsímil</v>
      </c>
      <c r="K8754" s="3" t="s">
        <v>23</v>
      </c>
    </row>
    <row r="8755" spans="1:11" ht="42" customHeight="1">
      <c r="A8755" s="2" t="s">
        <v>22154</v>
      </c>
      <c r="B8755" s="2" t="s">
        <v>22155</v>
      </c>
      <c r="C8755" s="2" t="s">
        <v>84</v>
      </c>
      <c r="D8755" s="2" t="s">
        <v>105</v>
      </c>
      <c r="E8755" s="4">
        <v>-32466</v>
      </c>
      <c r="F8755" s="3" t="s">
        <v>1514</v>
      </c>
      <c r="G8755" s="3" t="s">
        <v>515</v>
      </c>
      <c r="H8755" s="2" t="s">
        <v>21</v>
      </c>
      <c r="I8755" s="2" t="s">
        <v>22156</v>
      </c>
      <c r="J8755" s="3" t="str">
        <f>HYPERLINK("https://www.boe.es/gazeta/dias/1811/02/09/pdfs/GEI-1811-18.pdf#page=8","Abrir facsímil")</f>
        <v>Abrir facsímil</v>
      </c>
      <c r="K8755" s="3" t="s">
        <v>23</v>
      </c>
    </row>
    <row r="8756" spans="1:11" ht="42" customHeight="1">
      <c r="A8756" s="2" t="s">
        <v>22157</v>
      </c>
      <c r="B8756" s="2" t="s">
        <v>22158</v>
      </c>
      <c r="C8756" s="2" t="s">
        <v>17</v>
      </c>
      <c r="D8756" s="2" t="s">
        <v>18</v>
      </c>
      <c r="E8756" s="4">
        <v>-32316</v>
      </c>
      <c r="F8756" s="3" t="s">
        <v>5337</v>
      </c>
      <c r="G8756" s="3" t="s">
        <v>183</v>
      </c>
      <c r="H8756" s="2" t="s">
        <v>21</v>
      </c>
      <c r="I8756" s="2" t="s">
        <v>22159</v>
      </c>
      <c r="J8756" s="3" t="str">
        <f>HYPERLINK("https://www.boe.es/gazeta/dias/1811/07/09/pdfs/GEI-1811-90.pdf#page=4","Abrir facsímil")</f>
        <v>Abrir facsímil</v>
      </c>
      <c r="K8756" s="3" t="s">
        <v>23</v>
      </c>
    </row>
    <row r="8757" spans="1:11" ht="42" customHeight="1">
      <c r="A8757" s="2" t="s">
        <v>22160</v>
      </c>
      <c r="B8757" s="2" t="s">
        <v>22161</v>
      </c>
      <c r="C8757" s="2" t="s">
        <v>26</v>
      </c>
      <c r="D8757" s="2" t="s">
        <v>18</v>
      </c>
      <c r="E8757" s="4">
        <v>-32288</v>
      </c>
      <c r="F8757" s="3" t="s">
        <v>95</v>
      </c>
      <c r="G8757" s="3" t="s">
        <v>47</v>
      </c>
      <c r="H8757" s="2" t="s">
        <v>21</v>
      </c>
      <c r="I8757" s="2" t="s">
        <v>22162</v>
      </c>
      <c r="J8757" s="3" t="str">
        <f>HYPERLINK("https://www.boe.es/gazeta/dias/1811/08/06/pdfs/GEI-1811-102.pdf#page=8","Abrir facsímil")</f>
        <v>Abrir facsímil</v>
      </c>
      <c r="K8757" s="3" t="s">
        <v>23</v>
      </c>
    </row>
    <row r="8758" spans="1:11" ht="42" customHeight="1">
      <c r="A8758" s="2" t="s">
        <v>22163</v>
      </c>
      <c r="B8758" s="2" t="s">
        <v>22164</v>
      </c>
      <c r="C8758" s="2" t="s">
        <v>26</v>
      </c>
      <c r="D8758" s="2" t="s">
        <v>105</v>
      </c>
      <c r="E8758" s="4">
        <v>-32230</v>
      </c>
      <c r="F8758" s="3" t="s">
        <v>625</v>
      </c>
      <c r="G8758" s="3" t="s">
        <v>162</v>
      </c>
      <c r="H8758" s="2" t="s">
        <v>21</v>
      </c>
      <c r="I8758" s="2" t="s">
        <v>22165</v>
      </c>
      <c r="J8758" s="3" t="str">
        <f>HYPERLINK("https://www.boe.es/gazeta/dias/1811/10/03/pdfs/GEI-1811-127.pdf#page=7","Abrir facsímil")</f>
        <v>Abrir facsímil</v>
      </c>
      <c r="K8758" s="3" t="s">
        <v>23</v>
      </c>
    </row>
    <row r="8759" spans="1:11" ht="42" customHeight="1">
      <c r="A8759" s="2" t="s">
        <v>22166</v>
      </c>
      <c r="B8759" s="2" t="s">
        <v>22167</v>
      </c>
      <c r="C8759" s="2" t="s">
        <v>26</v>
      </c>
      <c r="D8759" s="2" t="s">
        <v>18</v>
      </c>
      <c r="E8759" s="4">
        <v>-32216</v>
      </c>
      <c r="F8759" s="3" t="s">
        <v>2739</v>
      </c>
      <c r="G8759" s="3" t="s">
        <v>510</v>
      </c>
      <c r="H8759" s="2" t="s">
        <v>21</v>
      </c>
      <c r="I8759" s="2" t="s">
        <v>22168</v>
      </c>
      <c r="J8759" s="3" t="str">
        <f>HYPERLINK("https://www.boe.es/gazeta/dias/1811/10/17/pdfs/GEI-1811-134.pdf#page=8","Abrir facsímil")</f>
        <v>Abrir facsímil</v>
      </c>
      <c r="K8759" s="3" t="s">
        <v>23</v>
      </c>
    </row>
    <row r="8760" spans="1:11" ht="42" customHeight="1">
      <c r="A8760" s="2" t="s">
        <v>22169</v>
      </c>
      <c r="B8760" s="2" t="s">
        <v>22170</v>
      </c>
      <c r="C8760" s="2" t="s">
        <v>26</v>
      </c>
      <c r="D8760" s="2" t="s">
        <v>141</v>
      </c>
      <c r="E8760" s="4">
        <v>-32280</v>
      </c>
      <c r="F8760" s="3" t="s">
        <v>142</v>
      </c>
      <c r="G8760" s="3" t="s">
        <v>47</v>
      </c>
      <c r="H8760" s="2" t="s">
        <v>21</v>
      </c>
      <c r="I8760" s="2" t="s">
        <v>22171</v>
      </c>
      <c r="J8760" s="3" t="str">
        <f>HYPERLINK("https://www.boe.es/gazeta/dias/1811/08/14/pdfs/GMD-C-1811-226.pdf#page=1","Abrir facsímil")</f>
        <v>Abrir facsímil</v>
      </c>
      <c r="K8760" s="3" t="s">
        <v>23</v>
      </c>
    </row>
    <row r="8761" spans="1:11" ht="42" customHeight="1">
      <c r="A8761" s="2" t="s">
        <v>22172</v>
      </c>
      <c r="B8761" s="2" t="s">
        <v>22173</v>
      </c>
      <c r="C8761" s="2" t="s">
        <v>841</v>
      </c>
      <c r="D8761" s="2" t="s">
        <v>18</v>
      </c>
      <c r="E8761" s="4">
        <v>-32288</v>
      </c>
      <c r="F8761" s="3" t="s">
        <v>95</v>
      </c>
      <c r="G8761" s="3" t="s">
        <v>476</v>
      </c>
      <c r="H8761" s="2" t="s">
        <v>21</v>
      </c>
      <c r="I8761" s="2" t="s">
        <v>22174</v>
      </c>
      <c r="J8761" s="3" t="str">
        <f>HYPERLINK("https://www.boe.es/gazeta/dias/1811/08/06/pdfs/GEI-1811-102.pdf#page=7","Abrir facsímil")</f>
        <v>Abrir facsímil</v>
      </c>
      <c r="K8761" s="3" t="s">
        <v>23</v>
      </c>
    </row>
    <row r="8762" spans="1:11" ht="42" customHeight="1">
      <c r="A8762" s="2" t="s">
        <v>22175</v>
      </c>
      <c r="B8762" s="2" t="s">
        <v>22176</v>
      </c>
      <c r="C8762" s="2" t="s">
        <v>26</v>
      </c>
      <c r="D8762" s="2" t="s">
        <v>18</v>
      </c>
      <c r="E8762" s="4">
        <v>-32314</v>
      </c>
      <c r="F8762" s="3" t="s">
        <v>570</v>
      </c>
      <c r="G8762" s="3" t="s">
        <v>7758</v>
      </c>
      <c r="H8762" s="2" t="s">
        <v>21</v>
      </c>
      <c r="I8762" s="2" t="s">
        <v>22177</v>
      </c>
      <c r="J8762" s="3" t="str">
        <f>HYPERLINK("https://www.boe.es/gazeta/dias/1811/07/11/pdfs/GEI-1811-91.pdf#page=5","Abrir facsímil")</f>
        <v>Abrir facsímil</v>
      </c>
      <c r="K8762" s="3" t="s">
        <v>23</v>
      </c>
    </row>
    <row r="8763" spans="1:11" ht="42" customHeight="1">
      <c r="A8763" s="2" t="s">
        <v>22178</v>
      </c>
      <c r="B8763" s="2" t="s">
        <v>22179</v>
      </c>
      <c r="C8763" s="2" t="s">
        <v>37</v>
      </c>
      <c r="D8763" s="2" t="s">
        <v>18</v>
      </c>
      <c r="E8763" s="4">
        <v>-32244</v>
      </c>
      <c r="F8763" s="3" t="s">
        <v>4301</v>
      </c>
      <c r="G8763" s="3" t="s">
        <v>4302</v>
      </c>
      <c r="H8763" s="2" t="s">
        <v>21</v>
      </c>
      <c r="I8763" s="2" t="s">
        <v>22180</v>
      </c>
      <c r="J8763" s="3" t="str">
        <f>HYPERLINK("https://www.boe.es/gazeta/dias/1811/09/19/pdfs/GEI-1811-121.pdf#page=7","Abrir facsímil")</f>
        <v>Abrir facsímil</v>
      </c>
      <c r="K8763" s="3" t="s">
        <v>23</v>
      </c>
    </row>
    <row r="8764" spans="1:11" ht="42" customHeight="1">
      <c r="A8764" s="2" t="s">
        <v>22181</v>
      </c>
      <c r="B8764" s="2" t="s">
        <v>22182</v>
      </c>
      <c r="C8764" s="2" t="s">
        <v>26</v>
      </c>
      <c r="D8764" s="2" t="s">
        <v>18</v>
      </c>
      <c r="E8764" s="4">
        <v>-32300</v>
      </c>
      <c r="F8764" s="3" t="s">
        <v>492</v>
      </c>
      <c r="G8764" s="3" t="s">
        <v>493</v>
      </c>
      <c r="H8764" s="2" t="s">
        <v>21</v>
      </c>
      <c r="I8764" s="2" t="s">
        <v>22183</v>
      </c>
      <c r="J8764" s="3" t="str">
        <f>HYPERLINK("https://www.boe.es/gazeta/dias/1811/07/25/pdfs/GMD-1811-206.pdf#page=4","Abrir facsímil")</f>
        <v>Abrir facsímil</v>
      </c>
      <c r="K8764" s="3" t="s">
        <v>23</v>
      </c>
    </row>
    <row r="8765" spans="1:11" ht="42" customHeight="1">
      <c r="A8765" s="2" t="s">
        <v>22184</v>
      </c>
      <c r="B8765" s="2" t="s">
        <v>22185</v>
      </c>
      <c r="C8765" s="2" t="s">
        <v>17</v>
      </c>
      <c r="D8765" s="2" t="s">
        <v>18</v>
      </c>
      <c r="E8765" s="4">
        <v>-32459</v>
      </c>
      <c r="F8765" s="3" t="s">
        <v>1034</v>
      </c>
      <c r="G8765" s="3" t="s">
        <v>2101</v>
      </c>
      <c r="H8765" s="2" t="s">
        <v>21</v>
      </c>
      <c r="I8765" s="2" t="s">
        <v>22186</v>
      </c>
      <c r="J8765" s="3" t="str">
        <f>HYPERLINK("https://www.boe.es/gazeta/dias/1811/02/16/pdfs/GEI-1811-21.pdf#page=4","Abrir facsímil")</f>
        <v>Abrir facsímil</v>
      </c>
      <c r="K8765" s="3" t="s">
        <v>23</v>
      </c>
    </row>
    <row r="8766" spans="1:11" ht="42" customHeight="1">
      <c r="A8766" s="2" t="s">
        <v>22187</v>
      </c>
      <c r="B8766" s="2" t="s">
        <v>22188</v>
      </c>
      <c r="C8766" s="2" t="s">
        <v>26</v>
      </c>
      <c r="D8766" s="2" t="s">
        <v>18</v>
      </c>
      <c r="E8766" s="4">
        <v>-32155</v>
      </c>
      <c r="F8766" s="3" t="s">
        <v>263</v>
      </c>
      <c r="G8766" s="3" t="s">
        <v>1800</v>
      </c>
      <c r="H8766" s="2" t="s">
        <v>21</v>
      </c>
      <c r="I8766" s="2" t="s">
        <v>22189</v>
      </c>
      <c r="J8766" s="3" t="str">
        <f>HYPERLINK("https://www.boe.es/gazeta/dias/1811/12/17/pdfs/GEI-1811-163.pdf#page=7","Abrir facsímil")</f>
        <v>Abrir facsímil</v>
      </c>
      <c r="K8766" s="3" t="s">
        <v>23</v>
      </c>
    </row>
    <row r="8767" spans="1:11" ht="42" customHeight="1">
      <c r="A8767" s="2" t="s">
        <v>22190</v>
      </c>
      <c r="B8767" s="2" t="s">
        <v>22191</v>
      </c>
      <c r="C8767" s="2" t="s">
        <v>17</v>
      </c>
      <c r="D8767" s="2" t="s">
        <v>18</v>
      </c>
      <c r="E8767" s="4">
        <v>-32323</v>
      </c>
      <c r="F8767" s="3" t="s">
        <v>322</v>
      </c>
      <c r="G8767" s="3" t="s">
        <v>323</v>
      </c>
      <c r="H8767" s="2" t="s">
        <v>21</v>
      </c>
      <c r="I8767" s="2" t="s">
        <v>22192</v>
      </c>
      <c r="J8767" s="3" t="str">
        <f>HYPERLINK("https://www.boe.es/gazeta/dias/1811/07/02/pdfs/GEI-1811-87.pdf#page=8","Abrir facsímil")</f>
        <v>Abrir facsímil</v>
      </c>
      <c r="K8767" s="3" t="s">
        <v>23</v>
      </c>
    </row>
    <row r="8768" spans="1:11" ht="42" customHeight="1">
      <c r="A8768" s="2" t="s">
        <v>22193</v>
      </c>
      <c r="B8768" s="2" t="s">
        <v>22194</v>
      </c>
      <c r="C8768" s="2" t="s">
        <v>104</v>
      </c>
      <c r="D8768" s="2" t="s">
        <v>18</v>
      </c>
      <c r="E8768" s="4">
        <v>-32249</v>
      </c>
      <c r="F8768" s="3" t="s">
        <v>824</v>
      </c>
      <c r="G8768" s="3" t="s">
        <v>900</v>
      </c>
      <c r="H8768" s="2" t="s">
        <v>21</v>
      </c>
      <c r="I8768" s="2" t="s">
        <v>22195</v>
      </c>
      <c r="J8768" s="3" t="str">
        <f>HYPERLINK("https://www.boe.es/gazeta/dias/1811/09/14/pdfs/GEI-1811-119.pdf#page=8","Abrir facsímil")</f>
        <v>Abrir facsímil</v>
      </c>
      <c r="K8768" s="3" t="s">
        <v>23</v>
      </c>
    </row>
    <row r="8769" spans="1:11" ht="42" customHeight="1">
      <c r="A8769" s="2" t="s">
        <v>22196</v>
      </c>
      <c r="B8769" s="2" t="s">
        <v>22197</v>
      </c>
      <c r="C8769" s="2" t="s">
        <v>26</v>
      </c>
      <c r="D8769" s="2" t="s">
        <v>18</v>
      </c>
      <c r="E8769" s="4">
        <v>-32480</v>
      </c>
      <c r="F8769" s="3" t="s">
        <v>2421</v>
      </c>
      <c r="G8769" s="3" t="s">
        <v>20</v>
      </c>
      <c r="H8769" s="2" t="s">
        <v>21</v>
      </c>
      <c r="I8769" s="2" t="s">
        <v>22198</v>
      </c>
      <c r="J8769" s="3" t="str">
        <f>HYPERLINK("https://www.boe.es/gazeta/dias/1811/01/26/pdfs/GMD-1811-26.pdf#page=4","Abrir facsímil")</f>
        <v>Abrir facsímil</v>
      </c>
      <c r="K8769" s="3" t="s">
        <v>23</v>
      </c>
    </row>
    <row r="8770" spans="1:11" ht="42" customHeight="1">
      <c r="A8770" s="2" t="s">
        <v>22199</v>
      </c>
      <c r="B8770" s="2" t="s">
        <v>22200</v>
      </c>
      <c r="C8770" s="2" t="s">
        <v>26</v>
      </c>
      <c r="D8770" s="2" t="s">
        <v>141</v>
      </c>
      <c r="E8770" s="4">
        <v>-32238</v>
      </c>
      <c r="F8770" s="3" t="s">
        <v>166</v>
      </c>
      <c r="G8770" s="3" t="s">
        <v>39</v>
      </c>
      <c r="H8770" s="2" t="s">
        <v>21</v>
      </c>
      <c r="I8770" s="2" t="s">
        <v>22201</v>
      </c>
      <c r="J8770" s="3" t="str">
        <f>HYPERLINK("https://www.boe.es/gazeta/dias/1811/09/25/pdfs/GMD-C-1811-268.pdf#page=2","Abrir facsímil")</f>
        <v>Abrir facsímil</v>
      </c>
      <c r="K8770" s="3" t="s">
        <v>23</v>
      </c>
    </row>
    <row r="8771" spans="1:11" ht="42" customHeight="1">
      <c r="A8771" s="2" t="s">
        <v>22202</v>
      </c>
      <c r="B8771" s="2" t="s">
        <v>22203</v>
      </c>
      <c r="C8771" s="2" t="s">
        <v>37</v>
      </c>
      <c r="D8771" s="2" t="s">
        <v>204</v>
      </c>
      <c r="E8771" s="4">
        <v>-32207</v>
      </c>
      <c r="F8771" s="3" t="s">
        <v>152</v>
      </c>
      <c r="G8771" s="3" t="s">
        <v>153</v>
      </c>
      <c r="H8771" s="2" t="s">
        <v>21</v>
      </c>
      <c r="I8771" s="2" t="s">
        <v>22204</v>
      </c>
      <c r="J8771" s="3" t="str">
        <f>HYPERLINK("https://www.boe.es/gazeta/dias/1811/10/26/pdfs/GEI-1811-138.pdf#page=2","Abrir facsímil")</f>
        <v>Abrir facsímil</v>
      </c>
      <c r="K8771" s="3" t="s">
        <v>23</v>
      </c>
    </row>
    <row r="8772" spans="1:11" ht="42" customHeight="1">
      <c r="A8772" s="2" t="s">
        <v>22205</v>
      </c>
      <c r="B8772" s="2" t="s">
        <v>22206</v>
      </c>
      <c r="C8772" s="2" t="s">
        <v>84</v>
      </c>
      <c r="D8772" s="2" t="s">
        <v>18</v>
      </c>
      <c r="E8772" s="4">
        <v>-32487</v>
      </c>
      <c r="F8772" s="3" t="s">
        <v>842</v>
      </c>
      <c r="G8772" s="3" t="s">
        <v>8282</v>
      </c>
      <c r="H8772" s="2" t="s">
        <v>21</v>
      </c>
      <c r="I8772" s="2" t="s">
        <v>22207</v>
      </c>
      <c r="J8772" s="3" t="str">
        <f>HYPERLINK("https://www.boe.es/gazeta/dias/1811/01/19/pdfs/GEI-1811-9.pdf#page=1","Abrir facsímil")</f>
        <v>Abrir facsímil</v>
      </c>
      <c r="K8772" s="3" t="s">
        <v>23</v>
      </c>
    </row>
    <row r="8773" spans="1:11" ht="42" customHeight="1">
      <c r="A8773" s="2" t="s">
        <v>22208</v>
      </c>
      <c r="B8773" s="2" t="s">
        <v>22209</v>
      </c>
      <c r="C8773" s="2" t="s">
        <v>17</v>
      </c>
      <c r="D8773" s="2" t="s">
        <v>18</v>
      </c>
      <c r="E8773" s="4">
        <v>-32323</v>
      </c>
      <c r="F8773" s="3" t="s">
        <v>322</v>
      </c>
      <c r="G8773" s="3" t="s">
        <v>323</v>
      </c>
      <c r="H8773" s="2" t="s">
        <v>21</v>
      </c>
      <c r="I8773" s="2" t="s">
        <v>22210</v>
      </c>
      <c r="J8773" s="3" t="str">
        <f>HYPERLINK("https://www.boe.es/gazeta/dias/1811/07/02/pdfs/GEI-1811-87.pdf#page=8","Abrir facsímil")</f>
        <v>Abrir facsímil</v>
      </c>
      <c r="K8773" s="3" t="s">
        <v>23</v>
      </c>
    </row>
    <row r="8774" spans="1:11" ht="42" customHeight="1">
      <c r="A8774" s="2" t="s">
        <v>22211</v>
      </c>
      <c r="B8774" s="2" t="s">
        <v>22212</v>
      </c>
      <c r="C8774" s="2" t="s">
        <v>26</v>
      </c>
      <c r="D8774" s="2" t="s">
        <v>18</v>
      </c>
      <c r="E8774" s="4">
        <v>-32188</v>
      </c>
      <c r="F8774" s="3" t="s">
        <v>356</v>
      </c>
      <c r="G8774" s="3" t="s">
        <v>248</v>
      </c>
      <c r="H8774" s="2" t="s">
        <v>21</v>
      </c>
      <c r="I8774" s="2" t="s">
        <v>22213</v>
      </c>
      <c r="J8774" s="3" t="str">
        <f>HYPERLINK("https://www.boe.es/gazeta/dias/1811/11/14/pdfs/GMD-1811-318.pdf#page=5","Abrir facsímil")</f>
        <v>Abrir facsímil</v>
      </c>
      <c r="K8774" s="3" t="s">
        <v>23</v>
      </c>
    </row>
    <row r="8775" spans="1:11" ht="42" customHeight="1">
      <c r="A8775" s="2" t="s">
        <v>22214</v>
      </c>
      <c r="B8775" s="2" t="s">
        <v>22215</v>
      </c>
      <c r="C8775" s="2" t="s">
        <v>17</v>
      </c>
      <c r="D8775" s="2" t="s">
        <v>18</v>
      </c>
      <c r="E8775" s="4">
        <v>-32472</v>
      </c>
      <c r="F8775" s="3" t="s">
        <v>398</v>
      </c>
      <c r="G8775" s="3" t="s">
        <v>115</v>
      </c>
      <c r="H8775" s="2" t="s">
        <v>21</v>
      </c>
      <c r="I8775" s="2" t="s">
        <v>22216</v>
      </c>
      <c r="J8775" s="3" t="str">
        <f>HYPERLINK("https://www.boe.es/gazeta/dias/1811/02/03/pdfs/GMD-1811-34.pdf#page=3","Abrir facsímil")</f>
        <v>Abrir facsímil</v>
      </c>
      <c r="K8775" s="3" t="s">
        <v>23</v>
      </c>
    </row>
    <row r="8776" spans="1:11" ht="42" customHeight="1">
      <c r="A8776" s="2" t="s">
        <v>22217</v>
      </c>
      <c r="B8776" s="2" t="s">
        <v>22218</v>
      </c>
      <c r="C8776" s="2" t="s">
        <v>66</v>
      </c>
      <c r="D8776" s="2" t="s">
        <v>18</v>
      </c>
      <c r="E8776" s="4">
        <v>-32251</v>
      </c>
      <c r="F8776" s="3" t="s">
        <v>726</v>
      </c>
      <c r="G8776" s="3" t="s">
        <v>727</v>
      </c>
      <c r="H8776" s="2" t="s">
        <v>21</v>
      </c>
      <c r="I8776" s="2" t="s">
        <v>22219</v>
      </c>
      <c r="J8776" s="3" t="str">
        <f>HYPERLINK("https://www.boe.es/gazeta/dias/1811/09/12/pdfs/GEI-1811-118.pdf#page=8","Abrir facsímil")</f>
        <v>Abrir facsímil</v>
      </c>
      <c r="K8776" s="3" t="s">
        <v>23</v>
      </c>
    </row>
    <row r="8777" spans="1:11" ht="42" customHeight="1">
      <c r="A8777" s="2" t="s">
        <v>22220</v>
      </c>
      <c r="B8777" s="2" t="s">
        <v>22221</v>
      </c>
      <c r="C8777" s="2" t="s">
        <v>84</v>
      </c>
      <c r="D8777" s="2" t="s">
        <v>18</v>
      </c>
      <c r="E8777" s="4">
        <v>-32189</v>
      </c>
      <c r="F8777" s="3" t="s">
        <v>8935</v>
      </c>
      <c r="G8777" s="3" t="s">
        <v>14481</v>
      </c>
      <c r="H8777" s="2" t="s">
        <v>21</v>
      </c>
      <c r="I8777" s="2" t="s">
        <v>22222</v>
      </c>
      <c r="J8777" s="3" t="str">
        <f>HYPERLINK("https://www.boe.es/gazeta/dias/1811/11/13/pdfs/GMD-1811-317.pdf#page=4","Abrir facsímil")</f>
        <v>Abrir facsímil</v>
      </c>
      <c r="K8777" s="3" t="s">
        <v>23</v>
      </c>
    </row>
    <row r="8778" spans="1:11" ht="42" customHeight="1">
      <c r="A8778" s="2" t="s">
        <v>22223</v>
      </c>
      <c r="B8778" s="2" t="s">
        <v>22224</v>
      </c>
      <c r="C8778" s="2" t="s">
        <v>104</v>
      </c>
      <c r="D8778" s="2" t="s">
        <v>18</v>
      </c>
      <c r="E8778" s="4">
        <v>-32389</v>
      </c>
      <c r="F8778" s="3" t="s">
        <v>5334</v>
      </c>
      <c r="G8778" s="3" t="s">
        <v>4049</v>
      </c>
      <c r="H8778" s="2" t="s">
        <v>21</v>
      </c>
      <c r="I8778" s="2" t="s">
        <v>22225</v>
      </c>
      <c r="J8778" s="3" t="str">
        <f>HYPERLINK("https://www.boe.es/gazeta/dias/1811/04/27/pdfs/GEI-1811-56.pdf#page=7","Abrir facsímil")</f>
        <v>Abrir facsímil</v>
      </c>
      <c r="K8778" s="3" t="s">
        <v>23</v>
      </c>
    </row>
    <row r="8779" spans="1:11" ht="42" customHeight="1">
      <c r="A8779" s="2" t="s">
        <v>22226</v>
      </c>
      <c r="B8779" s="2" t="s">
        <v>22227</v>
      </c>
      <c r="C8779" s="2" t="s">
        <v>26</v>
      </c>
      <c r="D8779" s="2" t="s">
        <v>18</v>
      </c>
      <c r="E8779" s="4">
        <v>-32288</v>
      </c>
      <c r="F8779" s="3" t="s">
        <v>95</v>
      </c>
      <c r="G8779" s="3" t="s">
        <v>47</v>
      </c>
      <c r="H8779" s="2" t="s">
        <v>21</v>
      </c>
      <c r="I8779" s="2" t="s">
        <v>22228</v>
      </c>
      <c r="J8779" s="3" t="str">
        <f>HYPERLINK("https://www.boe.es/gazeta/dias/1811/08/06/pdfs/GEI-1811-102.pdf#page=8","Abrir facsímil")</f>
        <v>Abrir facsímil</v>
      </c>
      <c r="K8779" s="3" t="s">
        <v>23</v>
      </c>
    </row>
    <row r="8780" spans="1:11" ht="42" customHeight="1">
      <c r="A8780" s="2" t="s">
        <v>22229</v>
      </c>
      <c r="B8780" s="2" t="s">
        <v>22230</v>
      </c>
      <c r="C8780" s="2" t="s">
        <v>26</v>
      </c>
      <c r="D8780" s="2" t="s">
        <v>18</v>
      </c>
      <c r="E8780" s="4">
        <v>-32286</v>
      </c>
      <c r="F8780" s="3" t="s">
        <v>754</v>
      </c>
      <c r="G8780" s="3" t="s">
        <v>1728</v>
      </c>
      <c r="H8780" s="2" t="s">
        <v>21</v>
      </c>
      <c r="I8780" s="2" t="s">
        <v>22231</v>
      </c>
      <c r="J8780" s="3" t="str">
        <f>HYPERLINK("https://www.boe.es/gazeta/dias/1811/08/08/pdfs/GEI-1811-103.pdf#page=8","Abrir facsímil")</f>
        <v>Abrir facsímil</v>
      </c>
      <c r="K8780" s="3" t="s">
        <v>23</v>
      </c>
    </row>
    <row r="8781" spans="1:11" ht="42" customHeight="1">
      <c r="A8781" s="2" t="s">
        <v>22232</v>
      </c>
      <c r="B8781" s="2" t="s">
        <v>22233</v>
      </c>
      <c r="C8781" s="2" t="s">
        <v>17</v>
      </c>
      <c r="D8781" s="2" t="s">
        <v>18</v>
      </c>
      <c r="E8781" s="4">
        <v>-32438</v>
      </c>
      <c r="F8781" s="3" t="s">
        <v>114</v>
      </c>
      <c r="G8781" s="3" t="s">
        <v>115</v>
      </c>
      <c r="H8781" s="2" t="s">
        <v>21</v>
      </c>
      <c r="I8781" s="2" t="s">
        <v>22234</v>
      </c>
      <c r="J8781" s="3" t="str">
        <f>HYPERLINK("https://www.boe.es/gazeta/dias/1811/03/09/pdfs/GEI-1811-33.pdf#page=3","Abrir facsímil")</f>
        <v>Abrir facsímil</v>
      </c>
      <c r="K8781" s="3" t="s">
        <v>23</v>
      </c>
    </row>
    <row r="8782" spans="1:11" ht="42" customHeight="1">
      <c r="A8782" s="2" t="s">
        <v>22235</v>
      </c>
      <c r="B8782" s="2" t="s">
        <v>22236</v>
      </c>
      <c r="C8782" s="2" t="s">
        <v>26</v>
      </c>
      <c r="D8782" s="2" t="s">
        <v>18</v>
      </c>
      <c r="E8782" s="4">
        <v>-32200</v>
      </c>
      <c r="F8782" s="3" t="s">
        <v>109</v>
      </c>
      <c r="G8782" s="3" t="s">
        <v>586</v>
      </c>
      <c r="H8782" s="2" t="s">
        <v>21</v>
      </c>
      <c r="I8782" s="2" t="s">
        <v>22237</v>
      </c>
      <c r="J8782" s="3" t="str">
        <f>HYPERLINK("https://www.boe.es/gazeta/dias/1811/11/02/pdfs/GEI-1811-141.pdf#page=8","Abrir facsímil")</f>
        <v>Abrir facsímil</v>
      </c>
      <c r="K8782" s="3" t="s">
        <v>23</v>
      </c>
    </row>
    <row r="8783" spans="1:11" ht="42" customHeight="1">
      <c r="A8783" s="2" t="s">
        <v>22238</v>
      </c>
      <c r="B8783" s="2" t="s">
        <v>22239</v>
      </c>
      <c r="C8783" s="2" t="s">
        <v>26</v>
      </c>
      <c r="D8783" s="2" t="s">
        <v>105</v>
      </c>
      <c r="E8783" s="4">
        <v>-32238</v>
      </c>
      <c r="F8783" s="3" t="s">
        <v>166</v>
      </c>
      <c r="G8783" s="3" t="s">
        <v>39</v>
      </c>
      <c r="H8783" s="2" t="s">
        <v>21</v>
      </c>
      <c r="I8783" s="2" t="s">
        <v>22240</v>
      </c>
      <c r="J8783" s="3" t="str">
        <f>HYPERLINK("https://www.boe.es/gazeta/dias/1811/09/25/pdfs/GMD-C-1811-268.pdf#page=2","Abrir facsímil")</f>
        <v>Abrir facsímil</v>
      </c>
      <c r="K8783" s="3" t="s">
        <v>23</v>
      </c>
    </row>
    <row r="8784" spans="1:11" ht="42" customHeight="1">
      <c r="A8784" s="2" t="s">
        <v>22241</v>
      </c>
      <c r="B8784" s="2" t="s">
        <v>22242</v>
      </c>
      <c r="C8784" s="2" t="s">
        <v>17</v>
      </c>
      <c r="D8784" s="2" t="s">
        <v>156</v>
      </c>
      <c r="E8784" s="4">
        <v>-32452</v>
      </c>
      <c r="F8784" s="3" t="s">
        <v>106</v>
      </c>
      <c r="G8784" s="3" t="s">
        <v>20</v>
      </c>
      <c r="H8784" s="2" t="s">
        <v>21</v>
      </c>
      <c r="I8784" s="2" t="s">
        <v>22243</v>
      </c>
      <c r="J8784" s="3" t="str">
        <f>HYPERLINK("https://www.boe.es/gazeta/dias/1811/02/23/pdfs/GEI-1811-24.pdf#page=8","Abrir facsímil")</f>
        <v>Abrir facsímil</v>
      </c>
      <c r="K8784" s="3" t="s">
        <v>23</v>
      </c>
    </row>
    <row r="8785" spans="1:11" ht="42" customHeight="1">
      <c r="A8785" s="2" t="s">
        <v>22244</v>
      </c>
      <c r="B8785" s="2" t="s">
        <v>22245</v>
      </c>
      <c r="C8785" s="2" t="s">
        <v>26</v>
      </c>
      <c r="D8785" s="2" t="s">
        <v>105</v>
      </c>
      <c r="E8785" s="4">
        <v>-32150</v>
      </c>
      <c r="F8785" s="3" t="s">
        <v>1174</v>
      </c>
      <c r="G8785" s="3" t="s">
        <v>20</v>
      </c>
      <c r="H8785" s="2" t="s">
        <v>21</v>
      </c>
      <c r="I8785" s="2" t="s">
        <v>22246</v>
      </c>
      <c r="J8785" s="3" t="str">
        <f>HYPERLINK("https://www.boe.es/gazeta/dias/1811/12/22/pdfs/GMD-1811-356.pdf#page=4","Abrir facsímil")</f>
        <v>Abrir facsímil</v>
      </c>
      <c r="K8785" s="3" t="s">
        <v>23</v>
      </c>
    </row>
    <row r="8786" spans="1:11" ht="42" customHeight="1">
      <c r="A8786" s="2" t="s">
        <v>22247</v>
      </c>
      <c r="B8786" s="2" t="s">
        <v>22248</v>
      </c>
      <c r="C8786" s="2" t="s">
        <v>26</v>
      </c>
      <c r="D8786" s="2" t="s">
        <v>18</v>
      </c>
      <c r="E8786" s="4">
        <v>-32461</v>
      </c>
      <c r="F8786" s="3" t="s">
        <v>2429</v>
      </c>
      <c r="G8786" s="3" t="s">
        <v>2101</v>
      </c>
      <c r="H8786" s="2" t="s">
        <v>21</v>
      </c>
      <c r="I8786" s="2" t="s">
        <v>22249</v>
      </c>
      <c r="J8786" s="3" t="str">
        <f>HYPERLINK("https://www.boe.es/gazeta/dias/1811/02/14/pdfs/GEI-1811-20.pdf#page=2","Abrir facsímil")</f>
        <v>Abrir facsímil</v>
      </c>
      <c r="K8786" s="3" t="s">
        <v>23</v>
      </c>
    </row>
    <row r="8787" spans="1:11" ht="42" customHeight="1">
      <c r="A8787" s="2" t="s">
        <v>22250</v>
      </c>
      <c r="B8787" s="2" t="s">
        <v>22251</v>
      </c>
      <c r="C8787" s="2" t="s">
        <v>26</v>
      </c>
      <c r="D8787" s="2" t="s">
        <v>18</v>
      </c>
      <c r="E8787" s="4">
        <v>-32155</v>
      </c>
      <c r="F8787" s="3" t="s">
        <v>263</v>
      </c>
      <c r="G8787" s="3" t="s">
        <v>1800</v>
      </c>
      <c r="H8787" s="2" t="s">
        <v>21</v>
      </c>
      <c r="I8787" s="2" t="s">
        <v>22252</v>
      </c>
      <c r="J8787" s="3" t="str">
        <f>HYPERLINK("https://www.boe.es/gazeta/dias/1811/12/17/pdfs/GEI-1811-163.pdf#page=7","Abrir facsímil")</f>
        <v>Abrir facsímil</v>
      </c>
      <c r="K8787" s="3" t="s">
        <v>23</v>
      </c>
    </row>
    <row r="8788" spans="1:11" ht="42" customHeight="1">
      <c r="A8788" s="2" t="s">
        <v>22253</v>
      </c>
      <c r="B8788" s="2" t="s">
        <v>22254</v>
      </c>
      <c r="C8788" s="2" t="s">
        <v>17</v>
      </c>
      <c r="D8788" s="2" t="s">
        <v>18</v>
      </c>
      <c r="E8788" s="4">
        <v>-32200</v>
      </c>
      <c r="F8788" s="3" t="s">
        <v>109</v>
      </c>
      <c r="G8788" s="3" t="s">
        <v>110</v>
      </c>
      <c r="H8788" s="2" t="s">
        <v>21</v>
      </c>
      <c r="I8788" s="2" t="s">
        <v>22255</v>
      </c>
      <c r="J8788" s="3" t="str">
        <f>HYPERLINK("https://www.boe.es/gazeta/dias/1811/11/02/pdfs/GEI-1811-141.pdf#page=6","Abrir facsímil")</f>
        <v>Abrir facsímil</v>
      </c>
      <c r="K8788" s="3" t="s">
        <v>23</v>
      </c>
    </row>
    <row r="8789" spans="1:11" ht="42" customHeight="1">
      <c r="A8789" s="2" t="s">
        <v>22256</v>
      </c>
      <c r="B8789" s="2" t="s">
        <v>22257</v>
      </c>
      <c r="C8789" s="2" t="s">
        <v>17</v>
      </c>
      <c r="D8789" s="2" t="s">
        <v>156</v>
      </c>
      <c r="E8789" s="4">
        <v>-32314</v>
      </c>
      <c r="F8789" s="3" t="s">
        <v>570</v>
      </c>
      <c r="G8789" s="3" t="s">
        <v>12199</v>
      </c>
      <c r="H8789" s="2" t="s">
        <v>21</v>
      </c>
      <c r="I8789" s="2" t="s">
        <v>22258</v>
      </c>
      <c r="J8789" s="3" t="str">
        <f>HYPERLINK("https://www.boe.es/gazeta/dias/1811/07/11/pdfs/GEI-1811-91.pdf#page=4","Abrir facsímil")</f>
        <v>Abrir facsímil</v>
      </c>
      <c r="K8789" s="3" t="s">
        <v>23</v>
      </c>
    </row>
    <row r="8790" spans="1:11" ht="42" customHeight="1">
      <c r="A8790" s="2" t="s">
        <v>22256</v>
      </c>
      <c r="B8790" s="2" t="s">
        <v>22257</v>
      </c>
      <c r="C8790" s="2" t="s">
        <v>26</v>
      </c>
      <c r="D8790" s="2" t="s">
        <v>18</v>
      </c>
      <c r="E8790" s="4">
        <v>-32242</v>
      </c>
      <c r="F8790" s="3" t="s">
        <v>1295</v>
      </c>
      <c r="G8790" s="3" t="s">
        <v>1296</v>
      </c>
      <c r="H8790" s="2" t="s">
        <v>21</v>
      </c>
      <c r="I8790" s="2" t="s">
        <v>22259</v>
      </c>
      <c r="J8790" s="3" t="str">
        <f>HYPERLINK("https://www.boe.es/gazeta/dias/1811/09/21/pdfs/GEI-1811-122.pdf#page=8","Abrir facsímil")</f>
        <v>Abrir facsímil</v>
      </c>
      <c r="K8790" s="3" t="s">
        <v>23</v>
      </c>
    </row>
    <row r="8791" spans="1:11" ht="42" customHeight="1">
      <c r="A8791" s="2" t="s">
        <v>22260</v>
      </c>
      <c r="B8791" s="2" t="s">
        <v>22261</v>
      </c>
      <c r="C8791" s="2" t="s">
        <v>26</v>
      </c>
      <c r="D8791" s="2" t="s">
        <v>18</v>
      </c>
      <c r="E8791" s="4">
        <v>-32179</v>
      </c>
      <c r="F8791" s="3" t="s">
        <v>614</v>
      </c>
      <c r="G8791" s="3" t="s">
        <v>331</v>
      </c>
      <c r="H8791" s="2" t="s">
        <v>21</v>
      </c>
      <c r="I8791" s="2" t="s">
        <v>22262</v>
      </c>
      <c r="J8791" s="3" t="str">
        <f>HYPERLINK("https://www.boe.es/gazeta/dias/1811/11/23/pdfs/GEI-1811-153.pdf#page=2","Abrir facsímil")</f>
        <v>Abrir facsímil</v>
      </c>
      <c r="K8791" s="3" t="s">
        <v>23</v>
      </c>
    </row>
    <row r="8792" spans="1:11" ht="42" customHeight="1">
      <c r="A8792" s="2" t="s">
        <v>22263</v>
      </c>
      <c r="B8792" s="2" t="s">
        <v>22264</v>
      </c>
      <c r="C8792" s="2" t="s">
        <v>122</v>
      </c>
      <c r="D8792" s="2" t="s">
        <v>18</v>
      </c>
      <c r="E8792" s="4">
        <v>-32335</v>
      </c>
      <c r="F8792" s="3" t="s">
        <v>3776</v>
      </c>
      <c r="G8792" s="3" t="s">
        <v>488</v>
      </c>
      <c r="H8792" s="2" t="s">
        <v>21</v>
      </c>
      <c r="I8792" s="2" t="s">
        <v>22265</v>
      </c>
      <c r="J8792" s="3" t="str">
        <f>HYPERLINK("https://www.boe.es/gazeta/dias/1811/06/20/pdfs/GEI-1811-82.pdf#page=8","Abrir facsímil")</f>
        <v>Abrir facsímil</v>
      </c>
      <c r="K8792" s="3" t="s">
        <v>23</v>
      </c>
    </row>
    <row r="8793" spans="1:11" ht="42" customHeight="1">
      <c r="A8793" s="2" t="s">
        <v>22266</v>
      </c>
      <c r="B8793" s="2" t="s">
        <v>22267</v>
      </c>
      <c r="C8793" s="2" t="s">
        <v>122</v>
      </c>
      <c r="D8793" s="2" t="s">
        <v>18</v>
      </c>
      <c r="E8793" s="4">
        <v>-32154</v>
      </c>
      <c r="F8793" s="3" t="s">
        <v>7211</v>
      </c>
      <c r="G8793" s="3" t="s">
        <v>976</v>
      </c>
      <c r="H8793" s="2" t="s">
        <v>21</v>
      </c>
      <c r="I8793" s="2" t="s">
        <v>22268</v>
      </c>
      <c r="J8793" s="3" t="str">
        <f>HYPERLINK("https://www.boe.es/gazeta/dias/1811/12/18/pdfs/GMD-1811-352.pdf#page=4","Abrir facsímil")</f>
        <v>Abrir facsímil</v>
      </c>
      <c r="K8793" s="3" t="s">
        <v>23</v>
      </c>
    </row>
    <row r="8794" spans="1:11" ht="42" customHeight="1">
      <c r="A8794" s="2" t="s">
        <v>22269</v>
      </c>
      <c r="B8794" s="2" t="s">
        <v>22270</v>
      </c>
      <c r="C8794" s="2" t="s">
        <v>17</v>
      </c>
      <c r="D8794" s="2" t="s">
        <v>18</v>
      </c>
      <c r="E8794" s="4">
        <v>-32379</v>
      </c>
      <c r="F8794" s="3" t="s">
        <v>462</v>
      </c>
      <c r="G8794" s="3" t="s">
        <v>1179</v>
      </c>
      <c r="H8794" s="2" t="s">
        <v>21</v>
      </c>
      <c r="I8794" s="2" t="s">
        <v>22271</v>
      </c>
      <c r="J8794" s="3" t="str">
        <f>HYPERLINK("https://www.boe.es/gazeta/dias/1811/05/07/pdfs/GEI-1811-60.pdf#page=1","Abrir facsímil")</f>
        <v>Abrir facsímil</v>
      </c>
      <c r="K8794" s="3" t="s">
        <v>23</v>
      </c>
    </row>
    <row r="8795" spans="1:11" ht="42" customHeight="1">
      <c r="A8795" s="2" t="s">
        <v>22272</v>
      </c>
      <c r="B8795" s="2" t="s">
        <v>22273</v>
      </c>
      <c r="C8795" s="2" t="s">
        <v>17</v>
      </c>
      <c r="D8795" s="2" t="s">
        <v>18</v>
      </c>
      <c r="E8795" s="4">
        <v>-32461</v>
      </c>
      <c r="F8795" s="3" t="s">
        <v>2429</v>
      </c>
      <c r="G8795" s="3" t="s">
        <v>2101</v>
      </c>
      <c r="H8795" s="2" t="s">
        <v>21</v>
      </c>
      <c r="I8795" s="2" t="s">
        <v>22274</v>
      </c>
      <c r="J8795" s="3" t="str">
        <f>HYPERLINK("https://www.boe.es/gazeta/dias/1811/02/14/pdfs/GEI-1811-20.pdf#page=2","Abrir facsímil")</f>
        <v>Abrir facsímil</v>
      </c>
      <c r="K8795" s="3" t="s">
        <v>23</v>
      </c>
    </row>
    <row r="8796" spans="1:11" ht="42" customHeight="1">
      <c r="A8796" s="2" t="s">
        <v>22275</v>
      </c>
      <c r="B8796" s="2" t="s">
        <v>22276</v>
      </c>
      <c r="C8796" s="2" t="s">
        <v>17</v>
      </c>
      <c r="D8796" s="2" t="s">
        <v>18</v>
      </c>
      <c r="E8796" s="4">
        <v>-32421</v>
      </c>
      <c r="F8796" s="3" t="s">
        <v>79</v>
      </c>
      <c r="G8796" s="3" t="s">
        <v>8682</v>
      </c>
      <c r="H8796" s="2" t="s">
        <v>21</v>
      </c>
      <c r="I8796" s="2" t="s">
        <v>22277</v>
      </c>
      <c r="J8796" s="3" t="str">
        <f>HYPERLINK("https://www.boe.es/gazeta/dias/1811/03/26/pdfs/GEI-1811-42.pdf#page=4","Abrir facsímil")</f>
        <v>Abrir facsímil</v>
      </c>
      <c r="K8796" s="3" t="s">
        <v>23</v>
      </c>
    </row>
    <row r="8797" spans="1:11" ht="42" customHeight="1">
      <c r="A8797" s="2" t="s">
        <v>22278</v>
      </c>
      <c r="B8797" s="2" t="s">
        <v>22279</v>
      </c>
      <c r="C8797" s="2" t="s">
        <v>17</v>
      </c>
      <c r="D8797" s="2" t="s">
        <v>156</v>
      </c>
      <c r="E8797" s="4">
        <v>-32258</v>
      </c>
      <c r="F8797" s="3" t="s">
        <v>449</v>
      </c>
      <c r="G8797" s="3" t="s">
        <v>391</v>
      </c>
      <c r="H8797" s="2" t="s">
        <v>21</v>
      </c>
      <c r="I8797" s="2" t="s">
        <v>22280</v>
      </c>
      <c r="J8797" s="3" t="str">
        <f>HYPERLINK("https://www.boe.es/gazeta/dias/1811/09/05/pdfs/GEI-1811-115.pdf#page=7","Abrir facsímil")</f>
        <v>Abrir facsímil</v>
      </c>
      <c r="K8797" s="3" t="s">
        <v>23</v>
      </c>
    </row>
    <row r="8798" spans="1:11" ht="42" customHeight="1">
      <c r="A8798" s="2" t="s">
        <v>22281</v>
      </c>
      <c r="B8798" s="2" t="s">
        <v>22282</v>
      </c>
      <c r="C8798" s="2" t="s">
        <v>26</v>
      </c>
      <c r="D8798" s="2" t="s">
        <v>18</v>
      </c>
      <c r="E8798" s="4">
        <v>-32333</v>
      </c>
      <c r="F8798" s="3" t="s">
        <v>292</v>
      </c>
      <c r="G8798" s="3" t="s">
        <v>293</v>
      </c>
      <c r="H8798" s="2" t="s">
        <v>21</v>
      </c>
      <c r="I8798" s="2" t="s">
        <v>22283</v>
      </c>
      <c r="J8798" s="3" t="str">
        <f>HYPERLINK("https://www.boe.es/gazeta/dias/1811/06/22/pdfs/GEI-1811-83.pdf#page=8","Abrir facsímil")</f>
        <v>Abrir facsímil</v>
      </c>
      <c r="K8798" s="3" t="s">
        <v>23</v>
      </c>
    </row>
    <row r="8799" spans="1:11" ht="42" customHeight="1">
      <c r="A8799" s="2" t="s">
        <v>22284</v>
      </c>
      <c r="B8799" s="2" t="s">
        <v>22285</v>
      </c>
      <c r="C8799" s="2" t="s">
        <v>84</v>
      </c>
      <c r="D8799" s="2" t="s">
        <v>18</v>
      </c>
      <c r="E8799" s="4">
        <v>-32316</v>
      </c>
      <c r="F8799" s="3" t="s">
        <v>5337</v>
      </c>
      <c r="G8799" s="3" t="s">
        <v>57</v>
      </c>
      <c r="H8799" s="2" t="s">
        <v>21</v>
      </c>
      <c r="I8799" s="2" t="s">
        <v>22286</v>
      </c>
      <c r="J8799" s="3" t="str">
        <f>HYPERLINK("https://www.boe.es/gazeta/dias/1811/07/09/pdfs/GEI-1811-90.pdf#page=2","Abrir facsímil")</f>
        <v>Abrir facsímil</v>
      </c>
      <c r="K8799" s="3" t="s">
        <v>23</v>
      </c>
    </row>
    <row r="8800" spans="1:11" ht="42" customHeight="1">
      <c r="A8800" s="2" t="s">
        <v>22287</v>
      </c>
      <c r="B8800" s="2" t="s">
        <v>22288</v>
      </c>
      <c r="C8800" s="2" t="s">
        <v>26</v>
      </c>
      <c r="D8800" s="2" t="s">
        <v>141</v>
      </c>
      <c r="E8800" s="4">
        <v>-32238</v>
      </c>
      <c r="F8800" s="3" t="s">
        <v>166</v>
      </c>
      <c r="G8800" s="3" t="s">
        <v>129</v>
      </c>
      <c r="H8800" s="2" t="s">
        <v>21</v>
      </c>
      <c r="I8800" s="2" t="s">
        <v>22289</v>
      </c>
      <c r="J8800" s="3" t="str">
        <f>HYPERLINK("https://www.boe.es/gazeta/dias/1811/09/25/pdfs/GMD-C-1811-268.pdf#page=1","Abrir facsímil")</f>
        <v>Abrir facsímil</v>
      </c>
      <c r="K8800" s="3" t="s">
        <v>23</v>
      </c>
    </row>
    <row r="8801" spans="1:11" ht="42" customHeight="1">
      <c r="A8801" s="2" t="s">
        <v>22290</v>
      </c>
      <c r="B8801" s="2" t="s">
        <v>22291</v>
      </c>
      <c r="C8801" s="2" t="s">
        <v>17</v>
      </c>
      <c r="D8801" s="2" t="s">
        <v>156</v>
      </c>
      <c r="E8801" s="4">
        <v>-32323</v>
      </c>
      <c r="F8801" s="3" t="s">
        <v>322</v>
      </c>
      <c r="G8801" s="3" t="s">
        <v>2164</v>
      </c>
      <c r="H8801" s="2" t="s">
        <v>21</v>
      </c>
      <c r="I8801" s="2" t="s">
        <v>22292</v>
      </c>
      <c r="J8801" s="3" t="str">
        <f>HYPERLINK("https://www.boe.es/gazeta/dias/1811/07/02/pdfs/GEI-1811-87.pdf#page=7","Abrir facsímil")</f>
        <v>Abrir facsímil</v>
      </c>
      <c r="K8801" s="3" t="s">
        <v>23</v>
      </c>
    </row>
    <row r="8802" spans="1:11" ht="42" customHeight="1">
      <c r="A8802" s="2" t="s">
        <v>22293</v>
      </c>
      <c r="B8802" s="2" t="s">
        <v>22294</v>
      </c>
      <c r="C8802" s="2" t="s">
        <v>17</v>
      </c>
      <c r="D8802" s="2" t="s">
        <v>18</v>
      </c>
      <c r="E8802" s="4">
        <v>-32172</v>
      </c>
      <c r="F8802" s="3" t="s">
        <v>707</v>
      </c>
      <c r="G8802" s="3" t="s">
        <v>708</v>
      </c>
      <c r="H8802" s="2" t="s">
        <v>21</v>
      </c>
      <c r="I8802" s="2" t="s">
        <v>22295</v>
      </c>
      <c r="J8802" s="3" t="str">
        <f>HYPERLINK("https://www.boe.es/gazeta/dias/1811/11/30/pdfs/GEI-1811-156.pdf#page=6","Abrir facsímil")</f>
        <v>Abrir facsímil</v>
      </c>
      <c r="K8802" s="3" t="s">
        <v>23</v>
      </c>
    </row>
    <row r="8803" spans="1:11" ht="42" customHeight="1">
      <c r="A8803" s="2" t="s">
        <v>22296</v>
      </c>
      <c r="B8803" s="2" t="s">
        <v>22297</v>
      </c>
      <c r="C8803" s="2" t="s">
        <v>26</v>
      </c>
      <c r="D8803" s="2" t="s">
        <v>18</v>
      </c>
      <c r="E8803" s="4">
        <v>-32384</v>
      </c>
      <c r="F8803" s="3" t="s">
        <v>338</v>
      </c>
      <c r="G8803" s="3" t="s">
        <v>5215</v>
      </c>
      <c r="H8803" s="2" t="s">
        <v>21</v>
      </c>
      <c r="I8803" s="2" t="s">
        <v>22298</v>
      </c>
      <c r="J8803" s="3" t="str">
        <f>HYPERLINK("https://www.boe.es/gazeta/dias/1811/05/02/pdfs/GEI-1811-58.pdf#page=3","Abrir facsímil")</f>
        <v>Abrir facsímil</v>
      </c>
      <c r="K8803" s="3" t="s">
        <v>23</v>
      </c>
    </row>
    <row r="8804" spans="1:11" ht="42" customHeight="1">
      <c r="A8804" s="2" t="s">
        <v>22299</v>
      </c>
      <c r="B8804" s="2" t="s">
        <v>22300</v>
      </c>
      <c r="C8804" s="2" t="s">
        <v>17</v>
      </c>
      <c r="D8804" s="2" t="s">
        <v>156</v>
      </c>
      <c r="E8804" s="4">
        <v>-32214</v>
      </c>
      <c r="F8804" s="3" t="s">
        <v>1753</v>
      </c>
      <c r="G8804" s="3" t="s">
        <v>20</v>
      </c>
      <c r="H8804" s="2" t="s">
        <v>21</v>
      </c>
      <c r="I8804" s="2" t="s">
        <v>22301</v>
      </c>
      <c r="J8804" s="3" t="str">
        <f>HYPERLINK("https://www.boe.es/gazeta/dias/1811/10/19/pdfs/GEI-1811-135.pdf#page=8","Abrir facsímil")</f>
        <v>Abrir facsímil</v>
      </c>
      <c r="K8804" s="3" t="s">
        <v>23</v>
      </c>
    </row>
    <row r="8805" spans="1:11" ht="42" customHeight="1">
      <c r="A8805" s="2" t="s">
        <v>22302</v>
      </c>
      <c r="B8805" s="2" t="s">
        <v>22303</v>
      </c>
      <c r="C8805" s="2" t="s">
        <v>17</v>
      </c>
      <c r="D8805" s="2" t="s">
        <v>18</v>
      </c>
      <c r="E8805" s="4">
        <v>-32265</v>
      </c>
      <c r="F8805" s="3" t="s">
        <v>2375</v>
      </c>
      <c r="G8805" s="3" t="s">
        <v>2376</v>
      </c>
      <c r="H8805" s="2" t="s">
        <v>21</v>
      </c>
      <c r="I8805" s="2" t="s">
        <v>22304</v>
      </c>
      <c r="J8805" s="3" t="str">
        <f>HYPERLINK("https://www.boe.es/gazeta/dias/1811/08/29/pdfs/GEI-1811-112.pdf#page=5","Abrir facsímil")</f>
        <v>Abrir facsímil</v>
      </c>
      <c r="K8805" s="3" t="s">
        <v>23</v>
      </c>
    </row>
    <row r="8806" spans="1:11" ht="42" customHeight="1">
      <c r="A8806" s="2" t="s">
        <v>22305</v>
      </c>
      <c r="B8806" s="2" t="s">
        <v>22306</v>
      </c>
      <c r="C8806" s="2" t="s">
        <v>26</v>
      </c>
      <c r="D8806" s="2" t="s">
        <v>528</v>
      </c>
      <c r="E8806" s="4">
        <v>-32219</v>
      </c>
      <c r="F8806" s="3" t="s">
        <v>529</v>
      </c>
      <c r="G8806" s="3" t="s">
        <v>530</v>
      </c>
      <c r="H8806" s="2" t="s">
        <v>21</v>
      </c>
      <c r="I8806" s="2" t="s">
        <v>22307</v>
      </c>
      <c r="J8806" s="3" t="str">
        <f>HYPERLINK("https://www.boe.es/gazeta/dias/1811/10/14/pdfs/GEI-1811-132E.pdf#page=4","Abrir facsímil")</f>
        <v>Abrir facsímil</v>
      </c>
      <c r="K8806" s="3" t="s">
        <v>23</v>
      </c>
    </row>
    <row r="8807" spans="1:11" ht="42" customHeight="1">
      <c r="A8807" s="2" t="s">
        <v>22308</v>
      </c>
      <c r="B8807" s="2" t="s">
        <v>22309</v>
      </c>
      <c r="C8807" s="2" t="s">
        <v>37</v>
      </c>
      <c r="D8807" s="2" t="s">
        <v>18</v>
      </c>
      <c r="E8807" s="4">
        <v>-32416</v>
      </c>
      <c r="F8807" s="3" t="s">
        <v>954</v>
      </c>
      <c r="G8807" s="3" t="s">
        <v>47</v>
      </c>
      <c r="H8807" s="2" t="s">
        <v>21</v>
      </c>
      <c r="I8807" s="2" t="s">
        <v>22310</v>
      </c>
      <c r="J8807" s="3" t="str">
        <f>HYPERLINK("https://www.boe.es/gazeta/dias/1811/03/31/pdfs/GMD-1811-90.pdf#page=3","Abrir facsímil")</f>
        <v>Abrir facsímil</v>
      </c>
      <c r="K8807" s="3" t="s">
        <v>23</v>
      </c>
    </row>
    <row r="8808" spans="1:11" ht="42" customHeight="1">
      <c r="A8808" s="2" t="s">
        <v>22311</v>
      </c>
      <c r="B8808" s="2" t="s">
        <v>22312</v>
      </c>
      <c r="C8808" s="2" t="s">
        <v>17</v>
      </c>
      <c r="D8808" s="2" t="s">
        <v>18</v>
      </c>
      <c r="E8808" s="4">
        <v>-32459</v>
      </c>
      <c r="F8808" s="3" t="s">
        <v>1034</v>
      </c>
      <c r="G8808" s="3" t="s">
        <v>2256</v>
      </c>
      <c r="H8808" s="2" t="s">
        <v>21</v>
      </c>
      <c r="I8808" s="2" t="s">
        <v>22313</v>
      </c>
      <c r="J8808" s="3" t="str">
        <f>HYPERLINK("https://www.boe.es/gazeta/dias/1811/02/16/pdfs/GEI-1811-21.pdf#page=6","Abrir facsímil")</f>
        <v>Abrir facsímil</v>
      </c>
      <c r="K8808" s="3" t="s">
        <v>23</v>
      </c>
    </row>
    <row r="8809" spans="1:11" ht="42" customHeight="1">
      <c r="A8809" s="2" t="s">
        <v>22314</v>
      </c>
      <c r="B8809" s="2" t="s">
        <v>22315</v>
      </c>
      <c r="C8809" s="2" t="s">
        <v>17</v>
      </c>
      <c r="D8809" s="2" t="s">
        <v>18</v>
      </c>
      <c r="E8809" s="4">
        <v>-32155</v>
      </c>
      <c r="F8809" s="3" t="s">
        <v>263</v>
      </c>
      <c r="G8809" s="3" t="s">
        <v>264</v>
      </c>
      <c r="H8809" s="2" t="s">
        <v>21</v>
      </c>
      <c r="I8809" s="2" t="s">
        <v>22316</v>
      </c>
      <c r="J8809" s="3" t="str">
        <f>HYPERLINK("https://www.boe.es/gazeta/dias/1811/12/17/pdfs/GEI-1811-163.pdf#page=8","Abrir facsímil")</f>
        <v>Abrir facsímil</v>
      </c>
      <c r="K8809" s="3" t="s">
        <v>23</v>
      </c>
    </row>
    <row r="8810" spans="1:11" ht="42" customHeight="1">
      <c r="A8810" s="2" t="s">
        <v>22317</v>
      </c>
      <c r="B8810" s="2" t="s">
        <v>22318</v>
      </c>
      <c r="C8810" s="2" t="s">
        <v>37</v>
      </c>
      <c r="D8810" s="2" t="s">
        <v>156</v>
      </c>
      <c r="E8810" s="4">
        <v>-32494</v>
      </c>
      <c r="F8810" s="3" t="s">
        <v>3050</v>
      </c>
      <c r="G8810" s="3" t="s">
        <v>1179</v>
      </c>
      <c r="H8810" s="2" t="s">
        <v>21</v>
      </c>
      <c r="I8810" s="2" t="s">
        <v>22319</v>
      </c>
      <c r="J8810" s="3" t="str">
        <f>HYPERLINK("https://www.boe.es/gazeta/dias/1811/01/12/pdfs/GEI-1811-6.pdf#page=7","Abrir facsímil")</f>
        <v>Abrir facsímil</v>
      </c>
      <c r="K8810" s="3" t="s">
        <v>23</v>
      </c>
    </row>
    <row r="8811" spans="1:11" ht="42" customHeight="1">
      <c r="A8811" s="2" t="s">
        <v>22320</v>
      </c>
      <c r="B8811" s="2" t="s">
        <v>22321</v>
      </c>
      <c r="C8811" s="2" t="s">
        <v>26</v>
      </c>
      <c r="D8811" s="2" t="s">
        <v>18</v>
      </c>
      <c r="E8811" s="4">
        <v>-32195</v>
      </c>
      <c r="F8811" s="3" t="s">
        <v>439</v>
      </c>
      <c r="G8811" s="3" t="s">
        <v>440</v>
      </c>
      <c r="H8811" s="2" t="s">
        <v>21</v>
      </c>
      <c r="I8811" s="2" t="s">
        <v>22322</v>
      </c>
      <c r="J8811" s="3" t="str">
        <f>HYPERLINK("https://www.boe.es/gazeta/dias/1811/11/07/pdfs/GEI-1811-144.pdf#page=8","Abrir facsímil")</f>
        <v>Abrir facsímil</v>
      </c>
      <c r="K8811" s="3" t="s">
        <v>23</v>
      </c>
    </row>
    <row r="8812" spans="1:11" ht="42" customHeight="1">
      <c r="A8812" s="2" t="s">
        <v>22323</v>
      </c>
      <c r="B8812" s="2" t="s">
        <v>22324</v>
      </c>
      <c r="C8812" s="2" t="s">
        <v>17</v>
      </c>
      <c r="D8812" s="2" t="s">
        <v>18</v>
      </c>
      <c r="E8812" s="4">
        <v>-32379</v>
      </c>
      <c r="F8812" s="3" t="s">
        <v>462</v>
      </c>
      <c r="G8812" s="3" t="s">
        <v>4609</v>
      </c>
      <c r="H8812" s="2" t="s">
        <v>21</v>
      </c>
      <c r="I8812" s="2" t="s">
        <v>22325</v>
      </c>
      <c r="J8812" s="3" t="str">
        <f>HYPERLINK("https://www.boe.es/gazeta/dias/1811/05/07/pdfs/GEI-1811-60.pdf#page=2","Abrir facsímil")</f>
        <v>Abrir facsímil</v>
      </c>
      <c r="K8812" s="3" t="s">
        <v>23</v>
      </c>
    </row>
    <row r="8813" spans="1:11" ht="42" customHeight="1">
      <c r="A8813" s="2" t="s">
        <v>22326</v>
      </c>
      <c r="B8813" s="2" t="s">
        <v>22327</v>
      </c>
      <c r="C8813" s="2" t="s">
        <v>17</v>
      </c>
      <c r="D8813" s="2" t="s">
        <v>18</v>
      </c>
      <c r="E8813" s="4">
        <v>-32386</v>
      </c>
      <c r="F8813" s="3" t="s">
        <v>1934</v>
      </c>
      <c r="G8813" s="3" t="s">
        <v>134</v>
      </c>
      <c r="H8813" s="2" t="s">
        <v>21</v>
      </c>
      <c r="I8813" s="2" t="s">
        <v>22328</v>
      </c>
      <c r="J8813" s="3" t="str">
        <f>HYPERLINK("https://www.boe.es/gazeta/dias/1811/04/30/pdfs/GEI-1811-57.pdf#page=8","Abrir facsímil")</f>
        <v>Abrir facsímil</v>
      </c>
      <c r="K8813" s="3" t="s">
        <v>23</v>
      </c>
    </row>
    <row r="8814" spans="1:11" ht="42" customHeight="1">
      <c r="A8814" s="2" t="s">
        <v>22329</v>
      </c>
      <c r="B8814" s="2" t="s">
        <v>22330</v>
      </c>
      <c r="C8814" s="2" t="s">
        <v>17</v>
      </c>
      <c r="D8814" s="2" t="s">
        <v>156</v>
      </c>
      <c r="E8814" s="4">
        <v>-32323</v>
      </c>
      <c r="F8814" s="3" t="s">
        <v>322</v>
      </c>
      <c r="G8814" s="3" t="s">
        <v>2164</v>
      </c>
      <c r="H8814" s="2" t="s">
        <v>21</v>
      </c>
      <c r="I8814" s="2" t="s">
        <v>22331</v>
      </c>
      <c r="J8814" s="3" t="str">
        <f>HYPERLINK("https://www.boe.es/gazeta/dias/1811/07/02/pdfs/GEI-1811-87.pdf#page=7","Abrir facsímil")</f>
        <v>Abrir facsímil</v>
      </c>
      <c r="K8814" s="3" t="s">
        <v>23</v>
      </c>
    </row>
    <row r="8815" spans="1:11" ht="42" customHeight="1">
      <c r="A8815" s="2" t="s">
        <v>22332</v>
      </c>
      <c r="B8815" s="2" t="s">
        <v>22333</v>
      </c>
      <c r="C8815" s="2" t="s">
        <v>367</v>
      </c>
      <c r="D8815" s="2" t="s">
        <v>141</v>
      </c>
      <c r="E8815" s="4">
        <v>-32249</v>
      </c>
      <c r="F8815" s="3" t="s">
        <v>743</v>
      </c>
      <c r="G8815" s="3" t="s">
        <v>1021</v>
      </c>
      <c r="H8815" s="2" t="s">
        <v>21</v>
      </c>
      <c r="I8815" s="2" t="s">
        <v>22334</v>
      </c>
      <c r="J8815" s="3" t="str">
        <f>HYPERLINK("https://www.boe.es/gazeta/dias/1811/09/14/pdfs/GMD-C-1811-257.pdf#page=2","Abrir facsímil")</f>
        <v>Abrir facsímil</v>
      </c>
      <c r="K8815" s="3" t="s">
        <v>23</v>
      </c>
    </row>
    <row r="8816" spans="1:11" ht="42" customHeight="1">
      <c r="A8816" s="2" t="s">
        <v>22335</v>
      </c>
      <c r="B8816" s="2" t="s">
        <v>22336</v>
      </c>
      <c r="C8816" s="2" t="s">
        <v>17</v>
      </c>
      <c r="D8816" s="2" t="s">
        <v>156</v>
      </c>
      <c r="E8816" s="4">
        <v>-32146</v>
      </c>
      <c r="F8816" s="3" t="s">
        <v>777</v>
      </c>
      <c r="G8816" s="3" t="s">
        <v>846</v>
      </c>
      <c r="H8816" s="2" t="s">
        <v>21</v>
      </c>
      <c r="I8816" s="2" t="s">
        <v>22337</v>
      </c>
      <c r="J8816" s="3" t="str">
        <f>HYPERLINK("https://www.boe.es/gazeta/dias/1811/12/26/pdfs/GEI-1811-167.pdf#page=8","Abrir facsímil")</f>
        <v>Abrir facsímil</v>
      </c>
      <c r="K8816" s="3" t="s">
        <v>23</v>
      </c>
    </row>
    <row r="8817" spans="1:11" ht="42" customHeight="1">
      <c r="A8817" s="2" t="s">
        <v>22338</v>
      </c>
      <c r="B8817" s="2" t="s">
        <v>22339</v>
      </c>
      <c r="C8817" s="2" t="s">
        <v>26</v>
      </c>
      <c r="D8817" s="2" t="s">
        <v>18</v>
      </c>
      <c r="E8817" s="4">
        <v>-32407</v>
      </c>
      <c r="F8817" s="3" t="s">
        <v>38</v>
      </c>
      <c r="G8817" s="3" t="s">
        <v>480</v>
      </c>
      <c r="H8817" s="2" t="s">
        <v>21</v>
      </c>
      <c r="I8817" s="2" t="s">
        <v>22340</v>
      </c>
      <c r="J8817" s="3" t="str">
        <f>HYPERLINK("https://www.boe.es/gazeta/dias/1811/04/09/pdfs/GEI-1811-48.pdf#page=4","Abrir facsímil")</f>
        <v>Abrir facsímil</v>
      </c>
      <c r="K8817" s="3" t="s">
        <v>23</v>
      </c>
    </row>
    <row r="8818" spans="1:11" ht="42" customHeight="1">
      <c r="A8818" s="2" t="s">
        <v>22341</v>
      </c>
      <c r="B8818" s="2" t="s">
        <v>22342</v>
      </c>
      <c r="C8818" s="2" t="s">
        <v>17</v>
      </c>
      <c r="D8818" s="2" t="s">
        <v>18</v>
      </c>
      <c r="E8818" s="4">
        <v>-32291</v>
      </c>
      <c r="F8818" s="3" t="s">
        <v>712</v>
      </c>
      <c r="G8818" s="3" t="s">
        <v>713</v>
      </c>
      <c r="H8818" s="2" t="s">
        <v>21</v>
      </c>
      <c r="I8818" s="2" t="s">
        <v>22343</v>
      </c>
      <c r="J8818" s="3" t="str">
        <f>HYPERLINK("https://www.boe.es/gazeta/dias/1811/08/03/pdfs/GEI-1811-101.pdf#page=6","Abrir facsímil")</f>
        <v>Abrir facsímil</v>
      </c>
      <c r="K8818" s="3" t="s">
        <v>23</v>
      </c>
    </row>
    <row r="8819" spans="1:11" ht="42" customHeight="1">
      <c r="A8819" s="2" t="s">
        <v>22344</v>
      </c>
      <c r="B8819" s="2" t="s">
        <v>22345</v>
      </c>
      <c r="C8819" s="2" t="s">
        <v>104</v>
      </c>
      <c r="D8819" s="2" t="s">
        <v>18</v>
      </c>
      <c r="E8819" s="4">
        <v>-32266</v>
      </c>
      <c r="F8819" s="3" t="s">
        <v>1234</v>
      </c>
      <c r="G8819" s="3" t="s">
        <v>1235</v>
      </c>
      <c r="H8819" s="2" t="s">
        <v>21</v>
      </c>
      <c r="I8819" s="2" t="s">
        <v>22346</v>
      </c>
      <c r="J8819" s="3" t="str">
        <f>HYPERLINK("https://www.boe.es/gazeta/dias/1811/08/28/pdfs/GMD-1811-240.pdf#page=4","Abrir facsímil")</f>
        <v>Abrir facsímil</v>
      </c>
      <c r="K8819" s="3" t="s">
        <v>23</v>
      </c>
    </row>
    <row r="8820" spans="1:11" ht="42" customHeight="1">
      <c r="A8820" s="2" t="s">
        <v>22347</v>
      </c>
      <c r="B8820" s="2" t="s">
        <v>22348</v>
      </c>
      <c r="C8820" s="2" t="s">
        <v>26</v>
      </c>
      <c r="D8820" s="2" t="s">
        <v>18</v>
      </c>
      <c r="E8820" s="4">
        <v>-32237</v>
      </c>
      <c r="F8820" s="3" t="s">
        <v>717</v>
      </c>
      <c r="G8820" s="3" t="s">
        <v>718</v>
      </c>
      <c r="H8820" s="2" t="s">
        <v>21</v>
      </c>
      <c r="I8820" s="2" t="s">
        <v>22349</v>
      </c>
      <c r="J8820" s="3" t="str">
        <f>HYPERLINK("https://www.boe.es/gazeta/dias/1811/09/26/pdfs/GEI-1811-124.pdf#page=5","Abrir facsímil")</f>
        <v>Abrir facsímil</v>
      </c>
      <c r="K8820" s="3" t="s">
        <v>23</v>
      </c>
    </row>
    <row r="8821" spans="1:11" ht="42" customHeight="1">
      <c r="A8821" s="2" t="s">
        <v>22350</v>
      </c>
      <c r="B8821" s="2" t="s">
        <v>22351</v>
      </c>
      <c r="C8821" s="2" t="s">
        <v>17</v>
      </c>
      <c r="D8821" s="2" t="s">
        <v>18</v>
      </c>
      <c r="E8821" s="4">
        <v>-32461</v>
      </c>
      <c r="F8821" s="3" t="s">
        <v>2429</v>
      </c>
      <c r="G8821" s="3" t="s">
        <v>553</v>
      </c>
      <c r="H8821" s="2" t="s">
        <v>21</v>
      </c>
      <c r="I8821" s="2" t="s">
        <v>22352</v>
      </c>
      <c r="J8821" s="3" t="str">
        <f>HYPERLINK("https://www.boe.es/gazeta/dias/1811/02/14/pdfs/GEI-1811-20.pdf#page=1","Abrir facsímil")</f>
        <v>Abrir facsímil</v>
      </c>
      <c r="K8821" s="3" t="s">
        <v>23</v>
      </c>
    </row>
    <row r="8822" spans="1:11" ht="42" customHeight="1">
      <c r="A8822" s="2" t="s">
        <v>22353</v>
      </c>
      <c r="B8822" s="2" t="s">
        <v>22354</v>
      </c>
      <c r="C8822" s="2" t="s">
        <v>26</v>
      </c>
      <c r="D8822" s="2" t="s">
        <v>18</v>
      </c>
      <c r="E8822" s="4">
        <v>-32153</v>
      </c>
      <c r="F8822" s="3" t="s">
        <v>123</v>
      </c>
      <c r="G8822" s="3" t="s">
        <v>1067</v>
      </c>
      <c r="H8822" s="2" t="s">
        <v>21</v>
      </c>
      <c r="I8822" s="2" t="s">
        <v>22355</v>
      </c>
      <c r="J8822" s="3" t="str">
        <f>HYPERLINK("https://www.boe.es/gazeta/dias/1811/12/19/pdfs/GMD-1811-353.pdf#page=5","Abrir facsímil")</f>
        <v>Abrir facsímil</v>
      </c>
      <c r="K8822" s="3" t="s">
        <v>23</v>
      </c>
    </row>
    <row r="8823" spans="1:11" ht="42" customHeight="1">
      <c r="A8823" s="2" t="s">
        <v>22356</v>
      </c>
      <c r="B8823" s="2" t="s">
        <v>22357</v>
      </c>
      <c r="C8823" s="2" t="s">
        <v>17</v>
      </c>
      <c r="D8823" s="2" t="s">
        <v>156</v>
      </c>
      <c r="E8823" s="4">
        <v>-32246</v>
      </c>
      <c r="F8823" s="3" t="s">
        <v>19</v>
      </c>
      <c r="G8823" s="3" t="s">
        <v>20</v>
      </c>
      <c r="H8823" s="2" t="s">
        <v>21</v>
      </c>
      <c r="I8823" s="2" t="s">
        <v>22358</v>
      </c>
      <c r="J8823" s="3" t="str">
        <f>HYPERLINK("https://www.boe.es/gazeta/dias/1811/09/17/pdfs/GEI-1811-120.pdf#page=24","Abrir facsímil")</f>
        <v>Abrir facsímil</v>
      </c>
      <c r="K8823" s="3" t="s">
        <v>23</v>
      </c>
    </row>
    <row r="8824" spans="1:11" ht="42" customHeight="1">
      <c r="A8824" s="2" t="s">
        <v>22359</v>
      </c>
      <c r="B8824" s="2" t="s">
        <v>22360</v>
      </c>
      <c r="C8824" s="2" t="s">
        <v>17</v>
      </c>
      <c r="D8824" s="2" t="s">
        <v>105</v>
      </c>
      <c r="E8824" s="4">
        <v>-32316</v>
      </c>
      <c r="F8824" s="3" t="s">
        <v>5337</v>
      </c>
      <c r="G8824" s="3" t="s">
        <v>468</v>
      </c>
      <c r="H8824" s="2" t="s">
        <v>21</v>
      </c>
      <c r="I8824" s="2" t="s">
        <v>22361</v>
      </c>
      <c r="J8824" s="3" t="str">
        <f>HYPERLINK("https://www.boe.es/gazeta/dias/1811/07/09/pdfs/GEI-1811-90.pdf#page=8","Abrir facsímil")</f>
        <v>Abrir facsímil</v>
      </c>
      <c r="K8824" s="3" t="s">
        <v>23</v>
      </c>
    </row>
    <row r="8825" spans="1:11" ht="42" customHeight="1">
      <c r="A8825" s="2" t="s">
        <v>22362</v>
      </c>
      <c r="B8825" s="2" t="s">
        <v>22363</v>
      </c>
      <c r="C8825" s="2" t="s">
        <v>104</v>
      </c>
      <c r="D8825" s="2" t="s">
        <v>18</v>
      </c>
      <c r="E8825" s="4">
        <v>-32252</v>
      </c>
      <c r="F8825" s="3" t="s">
        <v>3502</v>
      </c>
      <c r="G8825" s="3" t="s">
        <v>488</v>
      </c>
      <c r="H8825" s="2" t="s">
        <v>21</v>
      </c>
      <c r="I8825" s="2" t="s">
        <v>22364</v>
      </c>
      <c r="J8825" s="3" t="str">
        <f>HYPERLINK("https://www.boe.es/gazeta/dias/1811/09/11/pdfs/GMD-1811-254.pdf#page=3","Abrir facsímil")</f>
        <v>Abrir facsímil</v>
      </c>
      <c r="K8825" s="3" t="s">
        <v>23</v>
      </c>
    </row>
    <row r="8826" spans="1:11" ht="42" customHeight="1">
      <c r="A8826" s="2" t="s">
        <v>22365</v>
      </c>
      <c r="B8826" s="2" t="s">
        <v>22366</v>
      </c>
      <c r="C8826" s="2" t="s">
        <v>26</v>
      </c>
      <c r="D8826" s="2" t="s">
        <v>18</v>
      </c>
      <c r="E8826" s="4">
        <v>-32480</v>
      </c>
      <c r="F8826" s="3" t="s">
        <v>2421</v>
      </c>
      <c r="G8826" s="3" t="s">
        <v>20</v>
      </c>
      <c r="H8826" s="2" t="s">
        <v>21</v>
      </c>
      <c r="I8826" s="2" t="s">
        <v>22367</v>
      </c>
      <c r="J8826" s="3" t="str">
        <f>HYPERLINK("https://www.boe.es/gazeta/dias/1811/01/26/pdfs/GMD-1811-26.pdf#page=4","Abrir facsímil")</f>
        <v>Abrir facsímil</v>
      </c>
      <c r="K8826" s="3" t="s">
        <v>23</v>
      </c>
    </row>
    <row r="8827" spans="1:11" ht="42" customHeight="1">
      <c r="A8827" s="2" t="s">
        <v>22368</v>
      </c>
      <c r="B8827" s="2" t="s">
        <v>22369</v>
      </c>
      <c r="C8827" s="2" t="s">
        <v>17</v>
      </c>
      <c r="D8827" s="2" t="s">
        <v>156</v>
      </c>
      <c r="E8827" s="4">
        <v>-32389</v>
      </c>
      <c r="F8827" s="3" t="s">
        <v>5334</v>
      </c>
      <c r="G8827" s="3" t="s">
        <v>440</v>
      </c>
      <c r="H8827" s="2" t="s">
        <v>21</v>
      </c>
      <c r="I8827" s="2" t="s">
        <v>22370</v>
      </c>
      <c r="J8827" s="3" t="str">
        <f>HYPERLINK("https://www.boe.es/gazeta/dias/1811/04/27/pdfs/GEI-1811-56.pdf#page=2","Abrir facsímil")</f>
        <v>Abrir facsímil</v>
      </c>
      <c r="K8827" s="3" t="s">
        <v>23</v>
      </c>
    </row>
    <row r="8828" spans="1:11" ht="42" customHeight="1">
      <c r="A8828" s="2" t="s">
        <v>22371</v>
      </c>
      <c r="B8828" s="2" t="s">
        <v>22372</v>
      </c>
      <c r="C8828" s="2" t="s">
        <v>26</v>
      </c>
      <c r="D8828" s="2" t="s">
        <v>18</v>
      </c>
      <c r="E8828" s="4">
        <v>-32210</v>
      </c>
      <c r="F8828" s="3" t="s">
        <v>1737</v>
      </c>
      <c r="G8828" s="3" t="s">
        <v>248</v>
      </c>
      <c r="H8828" s="2" t="s">
        <v>21</v>
      </c>
      <c r="I8828" s="2" t="s">
        <v>22373</v>
      </c>
      <c r="J8828" s="3" t="str">
        <f>HYPERLINK("https://www.boe.es/gazeta/dias/1811/10/23/pdfs/GMD-1811-296.pdf#page=5","Abrir facsímil")</f>
        <v>Abrir facsímil</v>
      </c>
      <c r="K8828" s="3" t="s">
        <v>23</v>
      </c>
    </row>
    <row r="8829" spans="1:11" ht="42" customHeight="1">
      <c r="A8829" s="2" t="s">
        <v>22374</v>
      </c>
      <c r="B8829" s="2" t="s">
        <v>22375</v>
      </c>
      <c r="C8829" s="2" t="s">
        <v>17</v>
      </c>
      <c r="D8829" s="2" t="s">
        <v>18</v>
      </c>
      <c r="E8829" s="4">
        <v>-32375</v>
      </c>
      <c r="F8829" s="3" t="s">
        <v>1209</v>
      </c>
      <c r="G8829" s="3" t="s">
        <v>440</v>
      </c>
      <c r="H8829" s="2" t="s">
        <v>21</v>
      </c>
      <c r="I8829" s="2" t="s">
        <v>22376</v>
      </c>
      <c r="J8829" s="3" t="str">
        <f>HYPERLINK("https://www.boe.es/gazeta/dias/1811/05/11/pdfs/GEI-1811-62.pdf#page=6","Abrir facsímil")</f>
        <v>Abrir facsímil</v>
      </c>
      <c r="K8829" s="3" t="s">
        <v>23</v>
      </c>
    </row>
    <row r="8830" spans="1:11" ht="42" customHeight="1">
      <c r="A8830" s="2" t="s">
        <v>22377</v>
      </c>
      <c r="B8830" s="2" t="s">
        <v>22378</v>
      </c>
      <c r="C8830" s="2" t="s">
        <v>37</v>
      </c>
      <c r="D8830" s="2" t="s">
        <v>105</v>
      </c>
      <c r="E8830" s="4">
        <v>-32158</v>
      </c>
      <c r="F8830" s="3" t="s">
        <v>46</v>
      </c>
      <c r="G8830" s="3" t="s">
        <v>47</v>
      </c>
      <c r="H8830" s="2" t="s">
        <v>21</v>
      </c>
      <c r="I8830" s="2" t="s">
        <v>22379</v>
      </c>
      <c r="J8830" s="3" t="str">
        <f>HYPERLINK("https://www.boe.es/gazeta/dias/1811/12/14/pdfs/GEI-1811-162.pdf#page=7","Abrir facsímil")</f>
        <v>Abrir facsímil</v>
      </c>
      <c r="K8830" s="3" t="s">
        <v>23</v>
      </c>
    </row>
    <row r="8831" spans="1:11" ht="42" customHeight="1">
      <c r="A8831" s="2" t="s">
        <v>22380</v>
      </c>
      <c r="B8831" s="2" t="s">
        <v>22381</v>
      </c>
      <c r="C8831" s="2" t="s">
        <v>17</v>
      </c>
      <c r="D8831" s="2" t="s">
        <v>156</v>
      </c>
      <c r="E8831" s="4">
        <v>-32438</v>
      </c>
      <c r="F8831" s="3" t="s">
        <v>114</v>
      </c>
      <c r="G8831" s="3" t="s">
        <v>115</v>
      </c>
      <c r="H8831" s="2" t="s">
        <v>21</v>
      </c>
      <c r="I8831" s="2" t="s">
        <v>22382</v>
      </c>
      <c r="J8831" s="3" t="str">
        <f>HYPERLINK("https://www.boe.es/gazeta/dias/1811/03/09/pdfs/GEI-1811-33.pdf#page=3","Abrir facsímil")</f>
        <v>Abrir facsímil</v>
      </c>
      <c r="K8831" s="3" t="s">
        <v>23</v>
      </c>
    </row>
    <row r="8832" spans="1:11" ht="42" customHeight="1">
      <c r="A8832" s="2" t="s">
        <v>22383</v>
      </c>
      <c r="B8832" s="2" t="s">
        <v>22384</v>
      </c>
      <c r="C8832" s="2" t="s">
        <v>17</v>
      </c>
      <c r="D8832" s="2" t="s">
        <v>18</v>
      </c>
      <c r="E8832" s="4">
        <v>-32244</v>
      </c>
      <c r="F8832" s="3" t="s">
        <v>4301</v>
      </c>
      <c r="G8832" s="3" t="s">
        <v>4302</v>
      </c>
      <c r="H8832" s="2" t="s">
        <v>21</v>
      </c>
      <c r="I8832" s="2" t="s">
        <v>22385</v>
      </c>
      <c r="J8832" s="3" t="str">
        <f>HYPERLINK("https://www.boe.es/gazeta/dias/1811/09/19/pdfs/GEI-1811-121.pdf#page=7","Abrir facsímil")</f>
        <v>Abrir facsímil</v>
      </c>
      <c r="K8832" s="3" t="s">
        <v>23</v>
      </c>
    </row>
    <row r="8833" spans="1:11" ht="42" customHeight="1">
      <c r="A8833" s="2" t="s">
        <v>22386</v>
      </c>
      <c r="B8833" s="2" t="s">
        <v>22387</v>
      </c>
      <c r="C8833" s="2" t="s">
        <v>17</v>
      </c>
      <c r="D8833" s="2" t="s">
        <v>18</v>
      </c>
      <c r="E8833" s="4">
        <v>-32200</v>
      </c>
      <c r="F8833" s="3" t="s">
        <v>109</v>
      </c>
      <c r="G8833" s="3" t="s">
        <v>268</v>
      </c>
      <c r="H8833" s="2" t="s">
        <v>21</v>
      </c>
      <c r="I8833" s="2" t="s">
        <v>22388</v>
      </c>
      <c r="J8833" s="3" t="str">
        <f>HYPERLINK("https://www.boe.es/gazeta/dias/1811/11/02/pdfs/GEI-1811-141.pdf#page=7","Abrir facsímil")</f>
        <v>Abrir facsímil</v>
      </c>
      <c r="K8833" s="3" t="s">
        <v>23</v>
      </c>
    </row>
    <row r="8834" spans="1:11" ht="42" customHeight="1">
      <c r="A8834" s="2" t="s">
        <v>22389</v>
      </c>
      <c r="B8834" s="2" t="s">
        <v>22390</v>
      </c>
      <c r="C8834" s="2" t="s">
        <v>37</v>
      </c>
      <c r="D8834" s="2" t="s">
        <v>156</v>
      </c>
      <c r="E8834" s="4">
        <v>-32361</v>
      </c>
      <c r="F8834" s="3" t="s">
        <v>1104</v>
      </c>
      <c r="G8834" s="3" t="s">
        <v>2213</v>
      </c>
      <c r="H8834" s="2" t="s">
        <v>21</v>
      </c>
      <c r="I8834" s="2" t="s">
        <v>22391</v>
      </c>
      <c r="J8834" s="3" t="str">
        <f>HYPERLINK("https://www.boe.es/gazeta/dias/1811/05/25/pdfs/GEI-1811-71.pdf#page=8","Abrir facsímil")</f>
        <v>Abrir facsímil</v>
      </c>
      <c r="K8834" s="3" t="s">
        <v>23</v>
      </c>
    </row>
    <row r="8835" spans="1:11" ht="42" customHeight="1">
      <c r="A8835" s="2" t="s">
        <v>22392</v>
      </c>
      <c r="B8835" s="2" t="s">
        <v>22393</v>
      </c>
      <c r="C8835" s="2" t="s">
        <v>17</v>
      </c>
      <c r="D8835" s="2" t="s">
        <v>18</v>
      </c>
      <c r="E8835" s="4">
        <v>-32333</v>
      </c>
      <c r="F8835" s="3" t="s">
        <v>292</v>
      </c>
      <c r="G8835" s="3" t="s">
        <v>178</v>
      </c>
      <c r="H8835" s="2" t="s">
        <v>21</v>
      </c>
      <c r="I8835" s="2" t="s">
        <v>22394</v>
      </c>
      <c r="J8835" s="3" t="str">
        <f>HYPERLINK("https://www.boe.es/gazeta/dias/1811/06/22/pdfs/GEI-1811-83.pdf#page=4","Abrir facsímil")</f>
        <v>Abrir facsímil</v>
      </c>
      <c r="K8835" s="3" t="s">
        <v>23</v>
      </c>
    </row>
    <row r="8836" spans="1:11" ht="42" customHeight="1">
      <c r="A8836" s="2" t="s">
        <v>22395</v>
      </c>
      <c r="B8836" s="2" t="s">
        <v>22396</v>
      </c>
      <c r="C8836" s="2" t="s">
        <v>26</v>
      </c>
      <c r="D8836" s="2" t="s">
        <v>18</v>
      </c>
      <c r="E8836" s="4">
        <v>-32158</v>
      </c>
      <c r="F8836" s="3" t="s">
        <v>46</v>
      </c>
      <c r="G8836" s="3" t="s">
        <v>47</v>
      </c>
      <c r="H8836" s="2" t="s">
        <v>21</v>
      </c>
      <c r="I8836" s="2" t="s">
        <v>22397</v>
      </c>
      <c r="J8836" s="3" t="str">
        <f>HYPERLINK("https://www.boe.es/gazeta/dias/1811/12/14/pdfs/GEI-1811-162.pdf#page=7","Abrir facsímil")</f>
        <v>Abrir facsímil</v>
      </c>
      <c r="K8836" s="3" t="s">
        <v>23</v>
      </c>
    </row>
    <row r="8837" spans="1:11" ht="42" customHeight="1">
      <c r="A8837" s="2" t="s">
        <v>22398</v>
      </c>
      <c r="B8837" s="2" t="s">
        <v>22399</v>
      </c>
      <c r="C8837" s="2" t="s">
        <v>37</v>
      </c>
      <c r="D8837" s="2" t="s">
        <v>156</v>
      </c>
      <c r="E8837" s="4">
        <v>-32230</v>
      </c>
      <c r="F8837" s="3" t="s">
        <v>625</v>
      </c>
      <c r="G8837" s="3" t="s">
        <v>162</v>
      </c>
      <c r="H8837" s="2" t="s">
        <v>21</v>
      </c>
      <c r="I8837" s="2" t="s">
        <v>22400</v>
      </c>
      <c r="J8837" s="3" t="str">
        <f>HYPERLINK("https://www.boe.es/gazeta/dias/1811/10/03/pdfs/GEI-1811-127.pdf#page=7","Abrir facsímil")</f>
        <v>Abrir facsímil</v>
      </c>
      <c r="K8837" s="3" t="s">
        <v>23</v>
      </c>
    </row>
    <row r="8838" spans="1:11" ht="42" customHeight="1">
      <c r="A8838" s="2" t="s">
        <v>22401</v>
      </c>
      <c r="B8838" s="2" t="s">
        <v>22402</v>
      </c>
      <c r="C8838" s="2" t="s">
        <v>17</v>
      </c>
      <c r="D8838" s="2" t="s">
        <v>18</v>
      </c>
      <c r="E8838" s="4">
        <v>-32200</v>
      </c>
      <c r="F8838" s="3" t="s">
        <v>109</v>
      </c>
      <c r="G8838" s="3" t="s">
        <v>110</v>
      </c>
      <c r="H8838" s="2" t="s">
        <v>21</v>
      </c>
      <c r="I8838" s="2" t="s">
        <v>22403</v>
      </c>
      <c r="J8838" s="3" t="str">
        <f>HYPERLINK("https://www.boe.es/gazeta/dias/1811/11/02/pdfs/GEI-1811-141.pdf#page=6","Abrir facsímil")</f>
        <v>Abrir facsímil</v>
      </c>
      <c r="K8838" s="3" t="s">
        <v>23</v>
      </c>
    </row>
    <row r="8839" spans="1:11" ht="42" customHeight="1">
      <c r="A8839" s="2" t="s">
        <v>22404</v>
      </c>
      <c r="B8839" s="2" t="s">
        <v>22405</v>
      </c>
      <c r="C8839" s="2" t="s">
        <v>26</v>
      </c>
      <c r="D8839" s="2" t="s">
        <v>18</v>
      </c>
      <c r="E8839" s="4">
        <v>-32242</v>
      </c>
      <c r="F8839" s="3" t="s">
        <v>1295</v>
      </c>
      <c r="G8839" s="3" t="s">
        <v>4640</v>
      </c>
      <c r="H8839" s="2" t="s">
        <v>21</v>
      </c>
      <c r="I8839" s="2" t="s">
        <v>22406</v>
      </c>
      <c r="J8839" s="3" t="str">
        <f>HYPERLINK("https://www.boe.es/gazeta/dias/1811/09/21/pdfs/GEI-1811-122.pdf#page=3","Abrir facsímil")</f>
        <v>Abrir facsímil</v>
      </c>
      <c r="K8839" s="3" t="s">
        <v>23</v>
      </c>
    </row>
    <row r="8840" spans="1:11" ht="42" customHeight="1">
      <c r="A8840" s="2" t="s">
        <v>22407</v>
      </c>
      <c r="B8840" s="2" t="s">
        <v>22408</v>
      </c>
      <c r="C8840" s="2" t="s">
        <v>17</v>
      </c>
      <c r="D8840" s="2" t="s">
        <v>18</v>
      </c>
      <c r="E8840" s="4">
        <v>-32351</v>
      </c>
      <c r="F8840" s="3" t="s">
        <v>2163</v>
      </c>
      <c r="G8840" s="3" t="s">
        <v>2164</v>
      </c>
      <c r="H8840" s="2" t="s">
        <v>21</v>
      </c>
      <c r="I8840" s="2" t="s">
        <v>22409</v>
      </c>
      <c r="J8840" s="3" t="str">
        <f>HYPERLINK("https://www.boe.es/gazeta/dias/1811/06/04/pdfs/GEI-1811-75.pdf#page=7","Abrir facsímil")</f>
        <v>Abrir facsímil</v>
      </c>
      <c r="K8840" s="3" t="s">
        <v>23</v>
      </c>
    </row>
    <row r="8841" spans="1:11" ht="42" customHeight="1">
      <c r="A8841" s="2" t="s">
        <v>22410</v>
      </c>
      <c r="B8841" s="2" t="s">
        <v>22411</v>
      </c>
      <c r="C8841" s="2" t="s">
        <v>17</v>
      </c>
      <c r="D8841" s="2" t="s">
        <v>18</v>
      </c>
      <c r="E8841" s="4">
        <v>-32200</v>
      </c>
      <c r="F8841" s="3" t="s">
        <v>109</v>
      </c>
      <c r="G8841" s="3" t="s">
        <v>110</v>
      </c>
      <c r="H8841" s="2" t="s">
        <v>21</v>
      </c>
      <c r="I8841" s="2" t="s">
        <v>22412</v>
      </c>
      <c r="J8841" s="3" t="str">
        <f>HYPERLINK("https://www.boe.es/gazeta/dias/1811/11/02/pdfs/GEI-1811-141.pdf#page=6","Abrir facsímil")</f>
        <v>Abrir facsímil</v>
      </c>
      <c r="K8841" s="3" t="s">
        <v>23</v>
      </c>
    </row>
    <row r="8842" spans="1:11" ht="42" customHeight="1">
      <c r="A8842" s="2" t="s">
        <v>22413</v>
      </c>
      <c r="B8842" s="2" t="s">
        <v>22414</v>
      </c>
      <c r="C8842" s="2" t="s">
        <v>37</v>
      </c>
      <c r="D8842" s="2" t="s">
        <v>18</v>
      </c>
      <c r="E8842" s="4">
        <v>-32265</v>
      </c>
      <c r="F8842" s="3" t="s">
        <v>2375</v>
      </c>
      <c r="G8842" s="3" t="s">
        <v>778</v>
      </c>
      <c r="H8842" s="2" t="s">
        <v>21</v>
      </c>
      <c r="I8842" s="2" t="s">
        <v>22415</v>
      </c>
      <c r="J8842" s="3" t="str">
        <f>HYPERLINK("https://www.boe.es/gazeta/dias/1811/08/29/pdfs/GEI-1811-112.pdf#page=6","Abrir facsímil")</f>
        <v>Abrir facsímil</v>
      </c>
      <c r="K8842" s="3" t="s">
        <v>23</v>
      </c>
    </row>
    <row r="8843" spans="1:11" ht="42" customHeight="1">
      <c r="A8843" s="2" t="s">
        <v>22416</v>
      </c>
      <c r="B8843" s="2" t="s">
        <v>22417</v>
      </c>
      <c r="C8843" s="2" t="s">
        <v>26</v>
      </c>
      <c r="D8843" s="2" t="s">
        <v>18</v>
      </c>
      <c r="E8843" s="4">
        <v>-32158</v>
      </c>
      <c r="F8843" s="3" t="s">
        <v>46</v>
      </c>
      <c r="G8843" s="3" t="s">
        <v>47</v>
      </c>
      <c r="H8843" s="2" t="s">
        <v>21</v>
      </c>
      <c r="I8843" s="2" t="s">
        <v>22418</v>
      </c>
      <c r="J8843" s="3" t="str">
        <f>HYPERLINK("https://www.boe.es/gazeta/dias/1811/12/14/pdfs/GEI-1811-162.pdf#page=7","Abrir facsímil")</f>
        <v>Abrir facsímil</v>
      </c>
      <c r="K8843" s="3" t="s">
        <v>23</v>
      </c>
    </row>
    <row r="8844" spans="1:11" ht="42" customHeight="1">
      <c r="A8844" s="2" t="s">
        <v>22419</v>
      </c>
      <c r="B8844" s="2" t="s">
        <v>22420</v>
      </c>
      <c r="C8844" s="2" t="s">
        <v>17</v>
      </c>
      <c r="D8844" s="2" t="s">
        <v>156</v>
      </c>
      <c r="E8844" s="4">
        <v>-32323</v>
      </c>
      <c r="F8844" s="3" t="s">
        <v>322</v>
      </c>
      <c r="G8844" s="3" t="s">
        <v>2164</v>
      </c>
      <c r="H8844" s="2" t="s">
        <v>21</v>
      </c>
      <c r="I8844" s="2" t="s">
        <v>22421</v>
      </c>
      <c r="J8844" s="3" t="str">
        <f>HYPERLINK("https://www.boe.es/gazeta/dias/1811/07/02/pdfs/GEI-1811-87.pdf#page=7","Abrir facsímil")</f>
        <v>Abrir facsímil</v>
      </c>
      <c r="K8844" s="3" t="s">
        <v>23</v>
      </c>
    </row>
    <row r="8845" spans="1:11" ht="42" customHeight="1">
      <c r="A8845" s="2" t="s">
        <v>22422</v>
      </c>
      <c r="B8845" s="2" t="s">
        <v>22423</v>
      </c>
      <c r="C8845" s="2" t="s">
        <v>84</v>
      </c>
      <c r="D8845" s="2" t="s">
        <v>105</v>
      </c>
      <c r="E8845" s="4">
        <v>-32232</v>
      </c>
      <c r="F8845" s="3" t="s">
        <v>1816</v>
      </c>
      <c r="G8845" s="3" t="s">
        <v>1817</v>
      </c>
      <c r="H8845" s="2" t="s">
        <v>21</v>
      </c>
      <c r="I8845" s="2" t="s">
        <v>22424</v>
      </c>
      <c r="J8845" s="3" t="str">
        <f>HYPERLINK("https://www.boe.es/gazeta/dias/1811/10/01/pdfs/GEI-1811-126.pdf#page=8","Abrir facsímil")</f>
        <v>Abrir facsímil</v>
      </c>
      <c r="K8845" s="3" t="s">
        <v>23</v>
      </c>
    </row>
    <row r="8846" spans="1:11" ht="42" customHeight="1">
      <c r="A8846" s="2" t="s">
        <v>22425</v>
      </c>
      <c r="B8846" s="2" t="s">
        <v>22426</v>
      </c>
      <c r="C8846" s="2" t="s">
        <v>26</v>
      </c>
      <c r="D8846" s="2" t="s">
        <v>18</v>
      </c>
      <c r="E8846" s="4">
        <v>-32197</v>
      </c>
      <c r="F8846" s="3" t="s">
        <v>687</v>
      </c>
      <c r="G8846" s="3" t="s">
        <v>1240</v>
      </c>
      <c r="H8846" s="2" t="s">
        <v>21</v>
      </c>
      <c r="I8846" s="2" t="s">
        <v>22427</v>
      </c>
      <c r="J8846" s="3" t="str">
        <f>HYPERLINK("https://www.boe.es/gazeta/dias/1811/11/05/pdfs/GEI-1811-143.pdf#page=8","Abrir facsímil")</f>
        <v>Abrir facsímil</v>
      </c>
      <c r="K8846" s="3" t="s">
        <v>23</v>
      </c>
    </row>
    <row r="8847" spans="1:11" ht="42" customHeight="1">
      <c r="A8847" s="2" t="s">
        <v>22428</v>
      </c>
      <c r="B8847" s="2" t="s">
        <v>22429</v>
      </c>
      <c r="C8847" s="2" t="s">
        <v>17</v>
      </c>
      <c r="D8847" s="2" t="s">
        <v>156</v>
      </c>
      <c r="E8847" s="4">
        <v>-32461</v>
      </c>
      <c r="F8847" s="3" t="s">
        <v>2429</v>
      </c>
      <c r="G8847" s="3" t="s">
        <v>44</v>
      </c>
      <c r="H8847" s="2" t="s">
        <v>21</v>
      </c>
      <c r="I8847" s="2" t="s">
        <v>22430</v>
      </c>
      <c r="J8847" s="3" t="str">
        <f>HYPERLINK("https://www.boe.es/gazeta/dias/1811/02/14/pdfs/GEI-1811-20.pdf#page=5","Abrir facsímil")</f>
        <v>Abrir facsímil</v>
      </c>
      <c r="K8847" s="3" t="s">
        <v>23</v>
      </c>
    </row>
    <row r="8848" spans="1:11" ht="42" customHeight="1">
      <c r="A8848" s="2" t="s">
        <v>22431</v>
      </c>
      <c r="B8848" s="2" t="s">
        <v>22432</v>
      </c>
      <c r="C8848" s="2" t="s">
        <v>26</v>
      </c>
      <c r="D8848" s="2" t="s">
        <v>18</v>
      </c>
      <c r="E8848" s="4">
        <v>-32442</v>
      </c>
      <c r="F8848" s="3" t="s">
        <v>634</v>
      </c>
      <c r="G8848" s="3" t="s">
        <v>3243</v>
      </c>
      <c r="H8848" s="2" t="s">
        <v>21</v>
      </c>
      <c r="I8848" s="2" t="s">
        <v>22433</v>
      </c>
      <c r="J8848" s="3" t="str">
        <f>HYPERLINK("https://www.boe.es/gazeta/dias/1811/03/05/pdfs/GEI-1811-29.pdf#page=5","Abrir facsímil")</f>
        <v>Abrir facsímil</v>
      </c>
      <c r="K8848" s="3" t="s">
        <v>23</v>
      </c>
    </row>
    <row r="8849" spans="1:11" ht="42" customHeight="1">
      <c r="A8849" s="2" t="s">
        <v>22434</v>
      </c>
      <c r="B8849" s="2" t="s">
        <v>22435</v>
      </c>
      <c r="C8849" s="2" t="s">
        <v>17</v>
      </c>
      <c r="D8849" s="2" t="s">
        <v>18</v>
      </c>
      <c r="E8849" s="4">
        <v>-32153</v>
      </c>
      <c r="F8849" s="3" t="s">
        <v>235</v>
      </c>
      <c r="G8849" s="3" t="s">
        <v>236</v>
      </c>
      <c r="H8849" s="2" t="s">
        <v>21</v>
      </c>
      <c r="I8849" s="2" t="s">
        <v>22436</v>
      </c>
      <c r="J8849" s="3" t="str">
        <f>HYPERLINK("https://www.boe.es/gazeta/dias/1811/12/19/pdfs/GEI-1811-164.pdf#page=7","Abrir facsímil")</f>
        <v>Abrir facsímil</v>
      </c>
      <c r="K8849" s="3" t="s">
        <v>23</v>
      </c>
    </row>
    <row r="8850" spans="1:11" ht="42" customHeight="1">
      <c r="A8850" s="2" t="s">
        <v>22437</v>
      </c>
      <c r="B8850" s="2" t="s">
        <v>22438</v>
      </c>
      <c r="C8850" s="2" t="s">
        <v>17</v>
      </c>
      <c r="D8850" s="2" t="s">
        <v>156</v>
      </c>
      <c r="E8850" s="4">
        <v>-32235</v>
      </c>
      <c r="F8850" s="3" t="s">
        <v>190</v>
      </c>
      <c r="G8850" s="3" t="s">
        <v>188</v>
      </c>
      <c r="H8850" s="2" t="s">
        <v>21</v>
      </c>
      <c r="I8850" s="2" t="s">
        <v>22439</v>
      </c>
      <c r="J8850" s="3" t="str">
        <f>HYPERLINK("https://www.boe.es/gazeta/dias/1811/09/28/pdfs/GEI-1811-125.pdf#page=8","Abrir facsímil")</f>
        <v>Abrir facsímil</v>
      </c>
      <c r="K8850" s="3" t="s">
        <v>23</v>
      </c>
    </row>
    <row r="8851" spans="1:11" ht="42" customHeight="1">
      <c r="A8851" s="2" t="s">
        <v>22440</v>
      </c>
      <c r="B8851" s="2" t="s">
        <v>22441</v>
      </c>
      <c r="C8851" s="2" t="s">
        <v>17</v>
      </c>
      <c r="D8851" s="2" t="s">
        <v>156</v>
      </c>
      <c r="E8851" s="4">
        <v>-32491</v>
      </c>
      <c r="F8851" s="3" t="s">
        <v>533</v>
      </c>
      <c r="G8851" s="3" t="s">
        <v>20</v>
      </c>
      <c r="H8851" s="2" t="s">
        <v>21</v>
      </c>
      <c r="I8851" s="2" t="s">
        <v>22442</v>
      </c>
      <c r="J8851" s="3" t="str">
        <f>HYPERLINK("https://www.boe.es/gazeta/dias/1811/01/15/pdfs/GEI-1811-7.pdf#page=1","Abrir facsímil")</f>
        <v>Abrir facsímil</v>
      </c>
      <c r="K8851" s="3" t="s">
        <v>23</v>
      </c>
    </row>
    <row r="8852" spans="1:11" ht="42" customHeight="1">
      <c r="A8852" s="2" t="s">
        <v>22443</v>
      </c>
      <c r="B8852" s="2" t="s">
        <v>22444</v>
      </c>
      <c r="C8852" s="2" t="s">
        <v>37</v>
      </c>
      <c r="D8852" s="2" t="s">
        <v>18</v>
      </c>
      <c r="E8852" s="4">
        <v>-32505</v>
      </c>
      <c r="F8852" s="3" t="s">
        <v>661</v>
      </c>
      <c r="G8852" s="3" t="s">
        <v>530</v>
      </c>
      <c r="H8852" s="2" t="s">
        <v>21</v>
      </c>
      <c r="I8852" s="2" t="s">
        <v>22445</v>
      </c>
      <c r="J8852" s="3" t="str">
        <f>HYPERLINK("https://www.boe.es/gazeta/dias/1811/01/01/pdfs/GMD-1811-1.pdf#page=3","Abrir facsímil")</f>
        <v>Abrir facsímil</v>
      </c>
      <c r="K8852" s="3" t="s">
        <v>23</v>
      </c>
    </row>
    <row r="8853" spans="1:11" ht="42" customHeight="1">
      <c r="A8853" s="2" t="s">
        <v>22446</v>
      </c>
      <c r="B8853" s="2" t="s">
        <v>22447</v>
      </c>
      <c r="C8853" s="2" t="s">
        <v>26</v>
      </c>
      <c r="D8853" s="2" t="s">
        <v>141</v>
      </c>
      <c r="E8853" s="4">
        <v>-32188</v>
      </c>
      <c r="F8853" s="3" t="s">
        <v>505</v>
      </c>
      <c r="G8853" s="3" t="s">
        <v>47</v>
      </c>
      <c r="H8853" s="2" t="s">
        <v>21</v>
      </c>
      <c r="I8853" s="2" t="s">
        <v>22448</v>
      </c>
      <c r="J8853" s="3" t="str">
        <f>HYPERLINK("https://www.boe.es/gazeta/dias/1811/11/14/pdfs/GEI-D-1811-149.pdf#page=3","Abrir facsímil")</f>
        <v>Abrir facsímil</v>
      </c>
      <c r="K8853" s="3" t="s">
        <v>23</v>
      </c>
    </row>
    <row r="8854" spans="1:11" ht="42" customHeight="1">
      <c r="A8854" s="2" t="s">
        <v>22449</v>
      </c>
      <c r="B8854" s="2" t="s">
        <v>22450</v>
      </c>
      <c r="C8854" s="2" t="s">
        <v>17</v>
      </c>
      <c r="D8854" s="2" t="s">
        <v>18</v>
      </c>
      <c r="E8854" s="4">
        <v>-32200</v>
      </c>
      <c r="F8854" s="3" t="s">
        <v>109</v>
      </c>
      <c r="G8854" s="3" t="s">
        <v>110</v>
      </c>
      <c r="H8854" s="2" t="s">
        <v>21</v>
      </c>
      <c r="I8854" s="2" t="s">
        <v>22451</v>
      </c>
      <c r="J8854" s="3" t="str">
        <f>HYPERLINK("https://www.boe.es/gazeta/dias/1811/11/02/pdfs/GEI-1811-141.pdf#page=6","Abrir facsímil")</f>
        <v>Abrir facsímil</v>
      </c>
      <c r="K8854" s="3" t="s">
        <v>23</v>
      </c>
    </row>
    <row r="8855" spans="1:11" ht="42" customHeight="1">
      <c r="A8855" s="2" t="s">
        <v>22452</v>
      </c>
      <c r="B8855" s="2" t="s">
        <v>22453</v>
      </c>
      <c r="C8855" s="2" t="s">
        <v>26</v>
      </c>
      <c r="D8855" s="2" t="s">
        <v>18</v>
      </c>
      <c r="E8855" s="4">
        <v>-32452</v>
      </c>
      <c r="F8855" s="3" t="s">
        <v>106</v>
      </c>
      <c r="G8855" s="3" t="s">
        <v>20</v>
      </c>
      <c r="H8855" s="2" t="s">
        <v>21</v>
      </c>
      <c r="I8855" s="2" t="s">
        <v>22454</v>
      </c>
      <c r="J8855" s="3" t="str">
        <f>HYPERLINK("https://www.boe.es/gazeta/dias/1811/02/23/pdfs/GEI-1811-24.pdf#page=8","Abrir facsímil")</f>
        <v>Abrir facsímil</v>
      </c>
      <c r="K8855" s="3" t="s">
        <v>23</v>
      </c>
    </row>
    <row r="8856" spans="1:11" ht="42" customHeight="1">
      <c r="A8856" s="2" t="s">
        <v>22455</v>
      </c>
      <c r="B8856" s="2" t="s">
        <v>22456</v>
      </c>
      <c r="C8856" s="2" t="s">
        <v>17</v>
      </c>
      <c r="D8856" s="2" t="s">
        <v>18</v>
      </c>
      <c r="E8856" s="4">
        <v>-32252</v>
      </c>
      <c r="F8856" s="3" t="s">
        <v>3502</v>
      </c>
      <c r="G8856" s="3" t="s">
        <v>488</v>
      </c>
      <c r="H8856" s="2" t="s">
        <v>21</v>
      </c>
      <c r="I8856" s="2" t="s">
        <v>22457</v>
      </c>
      <c r="J8856" s="3" t="str">
        <f>HYPERLINK("https://www.boe.es/gazeta/dias/1811/09/11/pdfs/GMD-1811-254.pdf#page=3","Abrir facsímil")</f>
        <v>Abrir facsímil</v>
      </c>
      <c r="K8856" s="3" t="s">
        <v>23</v>
      </c>
    </row>
    <row r="8857" spans="1:11" ht="42" customHeight="1">
      <c r="A8857" s="2" t="s">
        <v>22458</v>
      </c>
      <c r="B8857" s="2" t="s">
        <v>22459</v>
      </c>
      <c r="C8857" s="2" t="s">
        <v>17</v>
      </c>
      <c r="D8857" s="2" t="s">
        <v>18</v>
      </c>
      <c r="E8857" s="4">
        <v>-32333</v>
      </c>
      <c r="F8857" s="3" t="s">
        <v>292</v>
      </c>
      <c r="G8857" s="3" t="s">
        <v>178</v>
      </c>
      <c r="H8857" s="2" t="s">
        <v>21</v>
      </c>
      <c r="I8857" s="2" t="s">
        <v>22460</v>
      </c>
      <c r="J8857" s="3" t="str">
        <f>HYPERLINK("https://www.boe.es/gazeta/dias/1811/06/22/pdfs/GEI-1811-83.pdf#page=4","Abrir facsímil")</f>
        <v>Abrir facsímil</v>
      </c>
      <c r="K8857" s="3" t="s">
        <v>23</v>
      </c>
    </row>
    <row r="8858" spans="1:11" ht="42" customHeight="1">
      <c r="A8858" s="2" t="s">
        <v>22461</v>
      </c>
      <c r="B8858" s="2" t="s">
        <v>22462</v>
      </c>
      <c r="C8858" s="2" t="s">
        <v>17</v>
      </c>
      <c r="D8858" s="2" t="s">
        <v>18</v>
      </c>
      <c r="E8858" s="4">
        <v>-32300</v>
      </c>
      <c r="F8858" s="3" t="s">
        <v>61</v>
      </c>
      <c r="G8858" s="3" t="s">
        <v>9808</v>
      </c>
      <c r="H8858" s="2" t="s">
        <v>21</v>
      </c>
      <c r="I8858" s="2" t="s">
        <v>22463</v>
      </c>
      <c r="J8858" s="3" t="str">
        <f>HYPERLINK("https://www.boe.es/gazeta/dias/1811/07/25/pdfs/GEI-1811-97.pdf#page=6","Abrir facsímil")</f>
        <v>Abrir facsímil</v>
      </c>
      <c r="K8858" s="3" t="s">
        <v>23</v>
      </c>
    </row>
    <row r="8859" spans="1:11" ht="42" customHeight="1">
      <c r="A8859" s="2" t="s">
        <v>22464</v>
      </c>
      <c r="B8859" s="2" t="s">
        <v>22465</v>
      </c>
      <c r="C8859" s="2" t="s">
        <v>26</v>
      </c>
      <c r="D8859" s="2" t="s">
        <v>18</v>
      </c>
      <c r="E8859" s="4">
        <v>-32459</v>
      </c>
      <c r="F8859" s="3" t="s">
        <v>1034</v>
      </c>
      <c r="G8859" s="3" t="s">
        <v>2668</v>
      </c>
      <c r="H8859" s="2" t="s">
        <v>21</v>
      </c>
      <c r="I8859" s="2" t="s">
        <v>22466</v>
      </c>
      <c r="J8859" s="3" t="str">
        <f>HYPERLINK("https://www.boe.es/gazeta/dias/1811/02/16/pdfs/GEI-1811-21.pdf#page=5","Abrir facsímil")</f>
        <v>Abrir facsímil</v>
      </c>
      <c r="K8859" s="3" t="s">
        <v>23</v>
      </c>
    </row>
    <row r="8860" spans="1:11" ht="42" customHeight="1">
      <c r="A8860" s="2" t="s">
        <v>22467</v>
      </c>
      <c r="B8860" s="2" t="s">
        <v>22468</v>
      </c>
      <c r="C8860" s="2" t="s">
        <v>26</v>
      </c>
      <c r="D8860" s="2" t="s">
        <v>18</v>
      </c>
      <c r="E8860" s="4">
        <v>-32286</v>
      </c>
      <c r="F8860" s="3" t="s">
        <v>754</v>
      </c>
      <c r="G8860" s="3" t="s">
        <v>1728</v>
      </c>
      <c r="H8860" s="2" t="s">
        <v>21</v>
      </c>
      <c r="I8860" s="2" t="s">
        <v>22469</v>
      </c>
      <c r="J8860" s="3" t="str">
        <f>HYPERLINK("https://www.boe.es/gazeta/dias/1811/08/08/pdfs/GEI-1811-103.pdf#page=8","Abrir facsímil")</f>
        <v>Abrir facsímil</v>
      </c>
      <c r="K8860" s="3" t="s">
        <v>23</v>
      </c>
    </row>
    <row r="8861" spans="1:11" ht="42" customHeight="1">
      <c r="A8861" s="2" t="s">
        <v>22470</v>
      </c>
      <c r="B8861" s="2" t="s">
        <v>22471</v>
      </c>
      <c r="C8861" s="2" t="s">
        <v>37</v>
      </c>
      <c r="D8861" s="2" t="s">
        <v>18</v>
      </c>
      <c r="E8861" s="4">
        <v>-32258</v>
      </c>
      <c r="F8861" s="3" t="s">
        <v>449</v>
      </c>
      <c r="G8861" s="3" t="s">
        <v>903</v>
      </c>
      <c r="H8861" s="2" t="s">
        <v>21</v>
      </c>
      <c r="I8861" s="2" t="s">
        <v>22472</v>
      </c>
      <c r="J8861" s="3" t="str">
        <f>HYPERLINK("https://www.boe.es/gazeta/dias/1811/09/05/pdfs/GEI-1811-115.pdf#page=4","Abrir facsímil")</f>
        <v>Abrir facsímil</v>
      </c>
      <c r="K8861" s="3" t="s">
        <v>23</v>
      </c>
    </row>
    <row r="8862" spans="1:11" ht="42" customHeight="1">
      <c r="A8862" s="2" t="s">
        <v>22473</v>
      </c>
      <c r="B8862" s="2" t="s">
        <v>22474</v>
      </c>
      <c r="C8862" s="2" t="s">
        <v>26</v>
      </c>
      <c r="D8862" s="2" t="s">
        <v>18</v>
      </c>
      <c r="E8862" s="4">
        <v>-32421</v>
      </c>
      <c r="F8862" s="3" t="s">
        <v>79</v>
      </c>
      <c r="G8862" s="3" t="s">
        <v>80</v>
      </c>
      <c r="H8862" s="2" t="s">
        <v>21</v>
      </c>
      <c r="I8862" s="2" t="s">
        <v>22475</v>
      </c>
      <c r="J8862" s="3" t="str">
        <f>HYPERLINK("https://www.boe.es/gazeta/dias/1811/03/26/pdfs/GEI-1811-42.pdf#page=7","Abrir facsímil")</f>
        <v>Abrir facsímil</v>
      </c>
      <c r="K8862" s="3" t="s">
        <v>23</v>
      </c>
    </row>
    <row r="8863" spans="1:11" ht="42" customHeight="1">
      <c r="A8863" s="2" t="s">
        <v>22476</v>
      </c>
      <c r="B8863" s="2" t="s">
        <v>22477</v>
      </c>
      <c r="C8863" s="2" t="s">
        <v>17</v>
      </c>
      <c r="D8863" s="2" t="s">
        <v>18</v>
      </c>
      <c r="E8863" s="4">
        <v>-32232</v>
      </c>
      <c r="F8863" s="3" t="s">
        <v>1816</v>
      </c>
      <c r="G8863" s="3" t="s">
        <v>1817</v>
      </c>
      <c r="H8863" s="2" t="s">
        <v>21</v>
      </c>
      <c r="I8863" s="2" t="s">
        <v>22478</v>
      </c>
      <c r="J8863" s="3" t="str">
        <f>HYPERLINK("https://www.boe.es/gazeta/dias/1811/10/01/pdfs/GEI-1811-126.pdf#page=8","Abrir facsímil")</f>
        <v>Abrir facsímil</v>
      </c>
      <c r="K8863" s="3" t="s">
        <v>23</v>
      </c>
    </row>
    <row r="8864" spans="1:11" ht="42" customHeight="1">
      <c r="A8864" s="2" t="s">
        <v>22479</v>
      </c>
      <c r="B8864" s="2" t="s">
        <v>22480</v>
      </c>
      <c r="C8864" s="2" t="s">
        <v>17</v>
      </c>
      <c r="D8864" s="2" t="s">
        <v>156</v>
      </c>
      <c r="E8864" s="4">
        <v>-32258</v>
      </c>
      <c r="F8864" s="3" t="s">
        <v>449</v>
      </c>
      <c r="G8864" s="3" t="s">
        <v>391</v>
      </c>
      <c r="H8864" s="2" t="s">
        <v>21</v>
      </c>
      <c r="I8864" s="2" t="s">
        <v>22481</v>
      </c>
      <c r="J8864" s="3" t="str">
        <f>HYPERLINK("https://www.boe.es/gazeta/dias/1811/09/05/pdfs/GEI-1811-115.pdf#page=7","Abrir facsímil")</f>
        <v>Abrir facsímil</v>
      </c>
      <c r="K8864" s="3" t="s">
        <v>23</v>
      </c>
    </row>
    <row r="8865" spans="1:11" ht="42" customHeight="1">
      <c r="A8865" s="2" t="s">
        <v>22482</v>
      </c>
      <c r="B8865" s="2" t="s">
        <v>22483</v>
      </c>
      <c r="C8865" s="2" t="s">
        <v>841</v>
      </c>
      <c r="D8865" s="2" t="s">
        <v>18</v>
      </c>
      <c r="E8865" s="4">
        <v>-32505</v>
      </c>
      <c r="F8865" s="3" t="s">
        <v>475</v>
      </c>
      <c r="G8865" s="3" t="s">
        <v>755</v>
      </c>
      <c r="H8865" s="2" t="s">
        <v>21</v>
      </c>
      <c r="I8865" s="2" t="s">
        <v>22484</v>
      </c>
      <c r="J8865" s="3" t="str">
        <f>HYPERLINK("https://www.boe.es/gazeta/dias/1811/01/01/pdfs/GEI-1811-1.pdf#page=8","Abrir facsímil")</f>
        <v>Abrir facsímil</v>
      </c>
      <c r="K8865" s="3" t="s">
        <v>23</v>
      </c>
    </row>
    <row r="8866" spans="1:11" ht="42" customHeight="1">
      <c r="A8866" s="2" t="s">
        <v>22485</v>
      </c>
      <c r="B8866" s="2" t="s">
        <v>22486</v>
      </c>
      <c r="C8866" s="2" t="s">
        <v>26</v>
      </c>
      <c r="D8866" s="2" t="s">
        <v>18</v>
      </c>
      <c r="E8866" s="4">
        <v>-32291</v>
      </c>
      <c r="F8866" s="3" t="s">
        <v>712</v>
      </c>
      <c r="G8866" s="3" t="s">
        <v>713</v>
      </c>
      <c r="H8866" s="2" t="s">
        <v>21</v>
      </c>
      <c r="I8866" s="2" t="s">
        <v>22487</v>
      </c>
      <c r="J8866" s="3" t="str">
        <f>HYPERLINK("https://www.boe.es/gazeta/dias/1811/08/03/pdfs/GEI-1811-101.pdf#page=6","Abrir facsímil")</f>
        <v>Abrir facsímil</v>
      </c>
      <c r="K8866" s="3" t="s">
        <v>23</v>
      </c>
    </row>
    <row r="8867" spans="1:11" ht="42" customHeight="1">
      <c r="A8867" s="2" t="s">
        <v>22488</v>
      </c>
      <c r="B8867" s="2" t="s">
        <v>22489</v>
      </c>
      <c r="C8867" s="2" t="s">
        <v>17</v>
      </c>
      <c r="D8867" s="2" t="s">
        <v>18</v>
      </c>
      <c r="E8867" s="4">
        <v>-32503</v>
      </c>
      <c r="F8867" s="3" t="s">
        <v>487</v>
      </c>
      <c r="G8867" s="3" t="s">
        <v>28</v>
      </c>
      <c r="H8867" s="2" t="s">
        <v>21</v>
      </c>
      <c r="I8867" s="2" t="s">
        <v>22490</v>
      </c>
      <c r="J8867" s="3" t="str">
        <f>HYPERLINK("https://www.boe.es/gazeta/dias/1811/01/03/pdfs/GEI-1811-2.pdf#page=7","Abrir facsímil")</f>
        <v>Abrir facsímil</v>
      </c>
      <c r="K8867" s="3" t="s">
        <v>23</v>
      </c>
    </row>
    <row r="8868" spans="1:11" ht="42" customHeight="1">
      <c r="A8868" s="2" t="s">
        <v>22491</v>
      </c>
      <c r="B8868" s="2" t="s">
        <v>22492</v>
      </c>
      <c r="C8868" s="2" t="s">
        <v>26</v>
      </c>
      <c r="D8868" s="2" t="s">
        <v>141</v>
      </c>
      <c r="E8868" s="4">
        <v>-32389</v>
      </c>
      <c r="F8868" s="3" t="s">
        <v>524</v>
      </c>
      <c r="G8868" s="3" t="s">
        <v>525</v>
      </c>
      <c r="H8868" s="2" t="s">
        <v>21</v>
      </c>
      <c r="I8868" s="2" t="s">
        <v>22493</v>
      </c>
      <c r="J8868" s="3" t="str">
        <f>HYPERLINK("https://www.boe.es/gazeta/dias/1811/04/27/pdfs/GEI-D-1811-56.pdf#page=4","Abrir facsímil")</f>
        <v>Abrir facsímil</v>
      </c>
      <c r="K8868" s="3" t="s">
        <v>23</v>
      </c>
    </row>
    <row r="8869" spans="1:11" ht="42" customHeight="1">
      <c r="A8869" s="2" t="s">
        <v>22494</v>
      </c>
      <c r="B8869" s="2" t="s">
        <v>22495</v>
      </c>
      <c r="C8869" s="2" t="s">
        <v>17</v>
      </c>
      <c r="D8869" s="2" t="s">
        <v>18</v>
      </c>
      <c r="E8869" s="4">
        <v>-32503</v>
      </c>
      <c r="F8869" s="3" t="s">
        <v>487</v>
      </c>
      <c r="G8869" s="3" t="s">
        <v>28</v>
      </c>
      <c r="H8869" s="2" t="s">
        <v>21</v>
      </c>
      <c r="I8869" s="2" t="s">
        <v>22496</v>
      </c>
      <c r="J8869" s="3" t="str">
        <f>HYPERLINK("https://www.boe.es/gazeta/dias/1811/01/03/pdfs/GEI-1811-2.pdf#page=7","Abrir facsímil")</f>
        <v>Abrir facsímil</v>
      </c>
      <c r="K8869" s="3" t="s">
        <v>23</v>
      </c>
    </row>
    <row r="8870" spans="1:11" ht="42" customHeight="1">
      <c r="A8870" s="2" t="s">
        <v>22497</v>
      </c>
      <c r="B8870" s="2" t="s">
        <v>22498</v>
      </c>
      <c r="C8870" s="2" t="s">
        <v>17</v>
      </c>
      <c r="D8870" s="2" t="s">
        <v>156</v>
      </c>
      <c r="E8870" s="4">
        <v>-32365</v>
      </c>
      <c r="F8870" s="3" t="s">
        <v>1304</v>
      </c>
      <c r="G8870" s="3" t="s">
        <v>120</v>
      </c>
      <c r="H8870" s="2" t="s">
        <v>21</v>
      </c>
      <c r="I8870" s="2" t="s">
        <v>22499</v>
      </c>
      <c r="J8870" s="3" t="str">
        <f>HYPERLINK("https://www.boe.es/gazeta/dias/1811/05/21/pdfs/GEI-D-1811-67.pdf#page=4","Abrir facsímil")</f>
        <v>Abrir facsímil</v>
      </c>
      <c r="K8870" s="3" t="s">
        <v>23</v>
      </c>
    </row>
    <row r="8871" spans="1:11" ht="42" customHeight="1">
      <c r="A8871" s="2" t="s">
        <v>22500</v>
      </c>
      <c r="B8871" s="2" t="s">
        <v>22501</v>
      </c>
      <c r="C8871" s="2" t="s">
        <v>17</v>
      </c>
      <c r="D8871" s="2" t="s">
        <v>18</v>
      </c>
      <c r="E8871" s="4">
        <v>-32144</v>
      </c>
      <c r="F8871" s="3" t="s">
        <v>1097</v>
      </c>
      <c r="G8871" s="3" t="s">
        <v>476</v>
      </c>
      <c r="H8871" s="2" t="s">
        <v>21</v>
      </c>
      <c r="I8871" s="2" t="s">
        <v>22502</v>
      </c>
      <c r="J8871" s="3" t="str">
        <f>HYPERLINK("https://www.boe.es/gazeta/dias/1811/12/28/pdfs/GEI-1811-168.pdf#page=7","Abrir facsímil")</f>
        <v>Abrir facsímil</v>
      </c>
      <c r="K8871" s="3" t="s">
        <v>23</v>
      </c>
    </row>
    <row r="8872" spans="1:11" ht="42" customHeight="1">
      <c r="A8872" s="2" t="s">
        <v>22503</v>
      </c>
      <c r="B8872" s="2" t="s">
        <v>22504</v>
      </c>
      <c r="C8872" s="2" t="s">
        <v>104</v>
      </c>
      <c r="D8872" s="2" t="s">
        <v>18</v>
      </c>
      <c r="E8872" s="4">
        <v>-32172</v>
      </c>
      <c r="F8872" s="3" t="s">
        <v>707</v>
      </c>
      <c r="G8872" s="3" t="s">
        <v>6855</v>
      </c>
      <c r="H8872" s="2" t="s">
        <v>21</v>
      </c>
      <c r="I8872" s="2" t="s">
        <v>22505</v>
      </c>
      <c r="J8872" s="3" t="str">
        <f>HYPERLINK("https://www.boe.es/gazeta/dias/1811/11/30/pdfs/GEI-1811-156.pdf#page=2","Abrir facsímil")</f>
        <v>Abrir facsímil</v>
      </c>
      <c r="K8872" s="3" t="s">
        <v>23</v>
      </c>
    </row>
    <row r="8873" spans="1:11" ht="42" customHeight="1">
      <c r="A8873" s="2" t="s">
        <v>22506</v>
      </c>
      <c r="B8873" s="2" t="s">
        <v>22507</v>
      </c>
      <c r="C8873" s="2" t="s">
        <v>17</v>
      </c>
      <c r="D8873" s="2" t="s">
        <v>18</v>
      </c>
      <c r="E8873" s="4">
        <v>-32482</v>
      </c>
      <c r="F8873" s="3" t="s">
        <v>924</v>
      </c>
      <c r="G8873" s="3" t="s">
        <v>846</v>
      </c>
      <c r="H8873" s="2" t="s">
        <v>21</v>
      </c>
      <c r="I8873" s="2" t="s">
        <v>22508</v>
      </c>
      <c r="J8873" s="3" t="str">
        <f>HYPERLINK("https://www.boe.es/gazeta/dias/1811/01/24/pdfs/GEI-1811-11.pdf#page=8","Abrir facsímil")</f>
        <v>Abrir facsímil</v>
      </c>
      <c r="K8873" s="3" t="s">
        <v>23</v>
      </c>
    </row>
    <row r="8874" spans="1:11" ht="42" customHeight="1">
      <c r="A8874" s="2" t="s">
        <v>22509</v>
      </c>
      <c r="B8874" s="2" t="s">
        <v>22510</v>
      </c>
      <c r="C8874" s="2" t="s">
        <v>17</v>
      </c>
      <c r="D8874" s="2" t="s">
        <v>18</v>
      </c>
      <c r="E8874" s="4">
        <v>-32482</v>
      </c>
      <c r="F8874" s="3" t="s">
        <v>924</v>
      </c>
      <c r="G8874" s="3" t="s">
        <v>846</v>
      </c>
      <c r="H8874" s="2" t="s">
        <v>21</v>
      </c>
      <c r="I8874" s="2" t="s">
        <v>22511</v>
      </c>
      <c r="J8874" s="3" t="str">
        <f>HYPERLINK("https://www.boe.es/gazeta/dias/1811/01/24/pdfs/GEI-1811-11.pdf#page=8","Abrir facsímil")</f>
        <v>Abrir facsímil</v>
      </c>
      <c r="K8874" s="3" t="s">
        <v>23</v>
      </c>
    </row>
    <row r="8875" spans="1:11" ht="42" customHeight="1">
      <c r="A8875" s="2" t="s">
        <v>22512</v>
      </c>
      <c r="B8875" s="2" t="s">
        <v>22513</v>
      </c>
      <c r="C8875" s="2" t="s">
        <v>37</v>
      </c>
      <c r="D8875" s="2" t="s">
        <v>141</v>
      </c>
      <c r="E8875" s="4">
        <v>-32188</v>
      </c>
      <c r="F8875" s="3" t="s">
        <v>505</v>
      </c>
      <c r="G8875" s="3" t="s">
        <v>47</v>
      </c>
      <c r="H8875" s="2" t="s">
        <v>21</v>
      </c>
      <c r="I8875" s="2" t="s">
        <v>22514</v>
      </c>
      <c r="J8875" s="3" t="str">
        <f>HYPERLINK("https://www.boe.es/gazeta/dias/1811/11/14/pdfs/GEI-D-1811-149.pdf#page=3","Abrir facsímil")</f>
        <v>Abrir facsímil</v>
      </c>
      <c r="K8875" s="3" t="s">
        <v>23</v>
      </c>
    </row>
    <row r="8876" spans="1:11" ht="42" customHeight="1">
      <c r="A8876" s="2" t="s">
        <v>22515</v>
      </c>
      <c r="B8876" s="2" t="s">
        <v>22516</v>
      </c>
      <c r="C8876" s="2" t="s">
        <v>17</v>
      </c>
      <c r="D8876" s="2" t="s">
        <v>105</v>
      </c>
      <c r="E8876" s="4">
        <v>-32454</v>
      </c>
      <c r="F8876" s="3" t="s">
        <v>2268</v>
      </c>
      <c r="G8876" s="3" t="s">
        <v>44</v>
      </c>
      <c r="H8876" s="2" t="s">
        <v>21</v>
      </c>
      <c r="I8876" s="2" t="s">
        <v>22517</v>
      </c>
      <c r="J8876" s="3" t="str">
        <f>HYPERLINK("https://www.boe.es/gazeta/dias/1811/02/21/pdfs/GEI-1811-23.pdf#page=4","Abrir facsímil")</f>
        <v>Abrir facsímil</v>
      </c>
      <c r="K8876" s="3" t="s">
        <v>23</v>
      </c>
    </row>
    <row r="8877" spans="1:11" ht="42" customHeight="1">
      <c r="A8877" s="2" t="s">
        <v>22518</v>
      </c>
      <c r="B8877" s="2" t="s">
        <v>22519</v>
      </c>
      <c r="C8877" s="2" t="s">
        <v>17</v>
      </c>
      <c r="D8877" s="2" t="s">
        <v>156</v>
      </c>
      <c r="E8877" s="4">
        <v>-32200</v>
      </c>
      <c r="F8877" s="3" t="s">
        <v>109</v>
      </c>
      <c r="G8877" s="3" t="s">
        <v>110</v>
      </c>
      <c r="H8877" s="2" t="s">
        <v>21</v>
      </c>
      <c r="I8877" s="2" t="s">
        <v>22520</v>
      </c>
      <c r="J8877" s="3" t="str">
        <f>HYPERLINK("https://www.boe.es/gazeta/dias/1811/11/02/pdfs/GEI-1811-141.pdf#page=6","Abrir facsímil")</f>
        <v>Abrir facsímil</v>
      </c>
      <c r="K8877" s="3" t="s">
        <v>23</v>
      </c>
    </row>
    <row r="8878" spans="1:11" ht="42" customHeight="1">
      <c r="A8878" s="2" t="s">
        <v>22521</v>
      </c>
      <c r="B8878" s="2" t="s">
        <v>22522</v>
      </c>
      <c r="C8878" s="2" t="s">
        <v>17</v>
      </c>
      <c r="D8878" s="2" t="s">
        <v>156</v>
      </c>
      <c r="E8878" s="4">
        <v>-32235</v>
      </c>
      <c r="F8878" s="3" t="s">
        <v>190</v>
      </c>
      <c r="G8878" s="3" t="s">
        <v>188</v>
      </c>
      <c r="H8878" s="2" t="s">
        <v>21</v>
      </c>
      <c r="I8878" s="2" t="s">
        <v>22523</v>
      </c>
      <c r="J8878" s="3" t="str">
        <f>HYPERLINK("https://www.boe.es/gazeta/dias/1811/09/28/pdfs/GEI-1811-125.pdf#page=8","Abrir facsímil")</f>
        <v>Abrir facsímil</v>
      </c>
      <c r="K8878" s="3" t="s">
        <v>23</v>
      </c>
    </row>
    <row r="8879" spans="1:11" ht="42" customHeight="1">
      <c r="A8879" s="2" t="s">
        <v>22524</v>
      </c>
      <c r="B8879" s="2" t="s">
        <v>22525</v>
      </c>
      <c r="C8879" s="2" t="s">
        <v>66</v>
      </c>
      <c r="D8879" s="2" t="s">
        <v>105</v>
      </c>
      <c r="E8879" s="4">
        <v>-32242</v>
      </c>
      <c r="F8879" s="3" t="s">
        <v>1295</v>
      </c>
      <c r="G8879" s="3" t="s">
        <v>1296</v>
      </c>
      <c r="H8879" s="2" t="s">
        <v>21</v>
      </c>
      <c r="I8879" s="2" t="s">
        <v>22526</v>
      </c>
      <c r="J8879" s="3" t="str">
        <f>HYPERLINK("https://www.boe.es/gazeta/dias/1811/09/21/pdfs/GEI-1811-122.pdf#page=8","Abrir facsímil")</f>
        <v>Abrir facsímil</v>
      </c>
      <c r="K8879" s="3" t="s">
        <v>23</v>
      </c>
    </row>
    <row r="8880" spans="1:11" ht="42" customHeight="1">
      <c r="A8880" s="2" t="s">
        <v>22527</v>
      </c>
      <c r="B8880" s="2" t="s">
        <v>22528</v>
      </c>
      <c r="C8880" s="2" t="s">
        <v>17</v>
      </c>
      <c r="D8880" s="2" t="s">
        <v>18</v>
      </c>
      <c r="E8880" s="4">
        <v>-32337</v>
      </c>
      <c r="F8880" s="3" t="s">
        <v>5266</v>
      </c>
      <c r="G8880" s="3" t="s">
        <v>515</v>
      </c>
      <c r="H8880" s="2" t="s">
        <v>21</v>
      </c>
      <c r="I8880" s="2" t="s">
        <v>22529</v>
      </c>
      <c r="J8880" s="3" t="str">
        <f>HYPERLINK("https://www.boe.es/gazeta/dias/1811/06/18/pdfs/GEI-1811-81.pdf#page=8","Abrir facsímil")</f>
        <v>Abrir facsímil</v>
      </c>
      <c r="K8880" s="3" t="s">
        <v>23</v>
      </c>
    </row>
    <row r="8881" spans="1:11" ht="42" customHeight="1">
      <c r="A8881" s="2" t="s">
        <v>22530</v>
      </c>
      <c r="B8881" s="2" t="s">
        <v>22531</v>
      </c>
      <c r="C8881" s="2" t="s">
        <v>17</v>
      </c>
      <c r="D8881" s="2" t="s">
        <v>156</v>
      </c>
      <c r="E8881" s="4">
        <v>-32188</v>
      </c>
      <c r="F8881" s="3" t="s">
        <v>505</v>
      </c>
      <c r="G8881" s="3" t="s">
        <v>47</v>
      </c>
      <c r="H8881" s="2" t="s">
        <v>21</v>
      </c>
      <c r="I8881" s="2" t="s">
        <v>22532</v>
      </c>
      <c r="J8881" s="3" t="str">
        <f>HYPERLINK("https://www.boe.es/gazeta/dias/1811/11/14/pdfs/GEI-D-1811-149.pdf#page=3","Abrir facsímil")</f>
        <v>Abrir facsímil</v>
      </c>
      <c r="K8881" s="3" t="s">
        <v>23</v>
      </c>
    </row>
    <row r="8882" spans="1:11" ht="42" customHeight="1">
      <c r="A8882" s="2" t="s">
        <v>22533</v>
      </c>
      <c r="B8882" s="2" t="s">
        <v>22534</v>
      </c>
      <c r="C8882" s="2" t="s">
        <v>367</v>
      </c>
      <c r="D8882" s="2" t="s">
        <v>18</v>
      </c>
      <c r="E8882" s="4">
        <v>-32389</v>
      </c>
      <c r="F8882" s="3" t="s">
        <v>5334</v>
      </c>
      <c r="G8882" s="3" t="s">
        <v>20</v>
      </c>
      <c r="H8882" s="2" t="s">
        <v>21</v>
      </c>
      <c r="I8882" s="2" t="s">
        <v>22535</v>
      </c>
      <c r="J8882" s="3" t="str">
        <f>HYPERLINK("https://www.boe.es/gazeta/dias/1811/04/27/pdfs/GEI-1811-56.pdf#page=6","Abrir facsímil")</f>
        <v>Abrir facsímil</v>
      </c>
      <c r="K8882" s="3" t="s">
        <v>23</v>
      </c>
    </row>
    <row r="8883" spans="1:11" ht="42" customHeight="1">
      <c r="A8883" s="2" t="s">
        <v>22536</v>
      </c>
      <c r="B8883" s="2" t="s">
        <v>22537</v>
      </c>
      <c r="C8883" s="2" t="s">
        <v>841</v>
      </c>
      <c r="D8883" s="2" t="s">
        <v>18</v>
      </c>
      <c r="E8883" s="4">
        <v>-32251</v>
      </c>
      <c r="F8883" s="3" t="s">
        <v>726</v>
      </c>
      <c r="G8883" s="3" t="s">
        <v>727</v>
      </c>
      <c r="H8883" s="2" t="s">
        <v>21</v>
      </c>
      <c r="I8883" s="2" t="s">
        <v>22538</v>
      </c>
      <c r="J8883" s="3" t="str">
        <f>HYPERLINK("https://www.boe.es/gazeta/dias/1811/09/12/pdfs/GEI-1811-118.pdf#page=8","Abrir facsímil")</f>
        <v>Abrir facsímil</v>
      </c>
      <c r="K8883" s="3" t="s">
        <v>23</v>
      </c>
    </row>
    <row r="8884" spans="1:11" ht="42" customHeight="1">
      <c r="A8884" s="2" t="s">
        <v>22536</v>
      </c>
      <c r="B8884" s="2" t="s">
        <v>22537</v>
      </c>
      <c r="C8884" s="2" t="s">
        <v>841</v>
      </c>
      <c r="D8884" s="2" t="s">
        <v>18</v>
      </c>
      <c r="E8884" s="4">
        <v>-32228</v>
      </c>
      <c r="F8884" s="3" t="s">
        <v>372</v>
      </c>
      <c r="G8884" s="3" t="s">
        <v>20</v>
      </c>
      <c r="H8884" s="2" t="s">
        <v>21</v>
      </c>
      <c r="I8884" s="2" t="s">
        <v>22539</v>
      </c>
      <c r="J8884" s="3" t="str">
        <f>HYPERLINK("https://www.boe.es/gazeta/dias/1811/10/05/pdfs/GEI-1811-128.pdf#page=8","Abrir facsímil")</f>
        <v>Abrir facsímil</v>
      </c>
      <c r="K8884" s="3" t="s">
        <v>23</v>
      </c>
    </row>
    <row r="8885" spans="1:11" ht="42" customHeight="1">
      <c r="A8885" s="2" t="s">
        <v>22540</v>
      </c>
      <c r="B8885" s="2" t="s">
        <v>22541</v>
      </c>
      <c r="C8885" s="2" t="s">
        <v>17</v>
      </c>
      <c r="D8885" s="2" t="s">
        <v>18</v>
      </c>
      <c r="E8885" s="4">
        <v>-32155</v>
      </c>
      <c r="F8885" s="3" t="s">
        <v>263</v>
      </c>
      <c r="G8885" s="3" t="s">
        <v>264</v>
      </c>
      <c r="H8885" s="2" t="s">
        <v>21</v>
      </c>
      <c r="I8885" s="2" t="s">
        <v>22542</v>
      </c>
      <c r="J8885" s="3" t="str">
        <f>HYPERLINK("https://www.boe.es/gazeta/dias/1811/12/17/pdfs/GEI-1811-163.pdf#page=8","Abrir facsímil")</f>
        <v>Abrir facsímil</v>
      </c>
      <c r="K8885" s="3" t="s">
        <v>23</v>
      </c>
    </row>
    <row r="8886" spans="1:11" ht="42" customHeight="1">
      <c r="A8886" s="2" t="s">
        <v>22543</v>
      </c>
      <c r="B8886" s="2" t="s">
        <v>22544</v>
      </c>
      <c r="C8886" s="2" t="s">
        <v>26</v>
      </c>
      <c r="D8886" s="2" t="s">
        <v>18</v>
      </c>
      <c r="E8886" s="4">
        <v>-32333</v>
      </c>
      <c r="F8886" s="3" t="s">
        <v>292</v>
      </c>
      <c r="G8886" s="3" t="s">
        <v>293</v>
      </c>
      <c r="H8886" s="2" t="s">
        <v>21</v>
      </c>
      <c r="I8886" s="2" t="s">
        <v>22545</v>
      </c>
      <c r="J8886" s="3" t="str">
        <f>HYPERLINK("https://www.boe.es/gazeta/dias/1811/06/22/pdfs/GEI-1811-83.pdf#page=8","Abrir facsímil")</f>
        <v>Abrir facsímil</v>
      </c>
      <c r="K8886" s="3" t="s">
        <v>23</v>
      </c>
    </row>
    <row r="8887" spans="1:11" ht="42" customHeight="1">
      <c r="A8887" s="2" t="s">
        <v>22546</v>
      </c>
      <c r="B8887" s="2" t="s">
        <v>22547</v>
      </c>
      <c r="C8887" s="2" t="s">
        <v>17</v>
      </c>
      <c r="D8887" s="2" t="s">
        <v>156</v>
      </c>
      <c r="E8887" s="4">
        <v>-32314</v>
      </c>
      <c r="F8887" s="3" t="s">
        <v>570</v>
      </c>
      <c r="G8887" s="3" t="s">
        <v>7758</v>
      </c>
      <c r="H8887" s="2" t="s">
        <v>21</v>
      </c>
      <c r="I8887" s="2" t="s">
        <v>22548</v>
      </c>
      <c r="J8887" s="3" t="str">
        <f>HYPERLINK("https://www.boe.es/gazeta/dias/1811/07/11/pdfs/GEI-1811-91.pdf#page=5","Abrir facsímil")</f>
        <v>Abrir facsímil</v>
      </c>
      <c r="K8887" s="3" t="s">
        <v>23</v>
      </c>
    </row>
    <row r="8888" spans="1:11" ht="42" customHeight="1">
      <c r="A8888" s="2" t="s">
        <v>22549</v>
      </c>
      <c r="B8888" s="2" t="s">
        <v>22550</v>
      </c>
      <c r="C8888" s="2" t="s">
        <v>17</v>
      </c>
      <c r="D8888" s="2" t="s">
        <v>18</v>
      </c>
      <c r="E8888" s="4">
        <v>-32314</v>
      </c>
      <c r="F8888" s="3" t="s">
        <v>570</v>
      </c>
      <c r="G8888" s="3" t="s">
        <v>7758</v>
      </c>
      <c r="H8888" s="2" t="s">
        <v>21</v>
      </c>
      <c r="I8888" s="2" t="s">
        <v>22551</v>
      </c>
      <c r="J8888" s="3" t="str">
        <f>HYPERLINK("https://www.boe.es/gazeta/dias/1811/07/11/pdfs/GEI-1811-91.pdf#page=5","Abrir facsímil")</f>
        <v>Abrir facsímil</v>
      </c>
      <c r="K8888" s="3" t="s">
        <v>23</v>
      </c>
    </row>
    <row r="8889" spans="1:11" ht="42" customHeight="1">
      <c r="A8889" s="2" t="s">
        <v>22552</v>
      </c>
      <c r="B8889" s="2" t="s">
        <v>22553</v>
      </c>
      <c r="C8889" s="2" t="s">
        <v>84</v>
      </c>
      <c r="D8889" s="2" t="s">
        <v>105</v>
      </c>
      <c r="E8889" s="4">
        <v>-32480</v>
      </c>
      <c r="F8889" s="3" t="s">
        <v>3061</v>
      </c>
      <c r="G8889" s="3" t="s">
        <v>510</v>
      </c>
      <c r="H8889" s="2" t="s">
        <v>21</v>
      </c>
      <c r="I8889" s="2" t="s">
        <v>22554</v>
      </c>
      <c r="J8889" s="3" t="str">
        <f>HYPERLINK("https://www.boe.es/gazeta/dias/1811/01/26/pdfs/GEI-1811-12.pdf#page=8","Abrir facsímil")</f>
        <v>Abrir facsímil</v>
      </c>
      <c r="K8889" s="3" t="s">
        <v>23</v>
      </c>
    </row>
    <row r="8890" spans="1:11" ht="42" customHeight="1">
      <c r="A8890" s="2" t="s">
        <v>22555</v>
      </c>
      <c r="B8890" s="2" t="s">
        <v>22556</v>
      </c>
      <c r="C8890" s="2" t="s">
        <v>26</v>
      </c>
      <c r="D8890" s="2" t="s">
        <v>18</v>
      </c>
      <c r="E8890" s="4">
        <v>-32291</v>
      </c>
      <c r="F8890" s="3" t="s">
        <v>712</v>
      </c>
      <c r="G8890" s="3" t="s">
        <v>713</v>
      </c>
      <c r="H8890" s="2" t="s">
        <v>21</v>
      </c>
      <c r="I8890" s="2" t="s">
        <v>22557</v>
      </c>
      <c r="J8890" s="3" t="str">
        <f>HYPERLINK("https://www.boe.es/gazeta/dias/1811/08/03/pdfs/GEI-1811-101.pdf#page=6","Abrir facsímil")</f>
        <v>Abrir facsímil</v>
      </c>
      <c r="K8890" s="3" t="s">
        <v>23</v>
      </c>
    </row>
    <row r="8891" spans="1:11" ht="42" customHeight="1">
      <c r="A8891" s="2" t="s">
        <v>22558</v>
      </c>
      <c r="B8891" s="2" t="s">
        <v>22559</v>
      </c>
      <c r="C8891" s="2" t="s">
        <v>17</v>
      </c>
      <c r="D8891" s="2" t="s">
        <v>156</v>
      </c>
      <c r="E8891" s="4">
        <v>-32421</v>
      </c>
      <c r="F8891" s="3" t="s">
        <v>79</v>
      </c>
      <c r="G8891" s="3" t="s">
        <v>8682</v>
      </c>
      <c r="H8891" s="2" t="s">
        <v>21</v>
      </c>
      <c r="I8891" s="2" t="s">
        <v>22560</v>
      </c>
      <c r="J8891" s="3" t="str">
        <f>HYPERLINK("https://www.boe.es/gazeta/dias/1811/03/26/pdfs/GEI-1811-42.pdf#page=4","Abrir facsímil")</f>
        <v>Abrir facsímil</v>
      </c>
      <c r="K8891" s="3" t="s">
        <v>23</v>
      </c>
    </row>
    <row r="8892" spans="1:11" ht="42" customHeight="1">
      <c r="A8892" s="2" t="s">
        <v>22561</v>
      </c>
      <c r="B8892" s="2" t="s">
        <v>22562</v>
      </c>
      <c r="C8892" s="2" t="s">
        <v>26</v>
      </c>
      <c r="D8892" s="2" t="s">
        <v>18</v>
      </c>
      <c r="E8892" s="4">
        <v>-32326</v>
      </c>
      <c r="F8892" s="3" t="s">
        <v>43</v>
      </c>
      <c r="G8892" s="3" t="s">
        <v>44</v>
      </c>
      <c r="H8892" s="2" t="s">
        <v>21</v>
      </c>
      <c r="I8892" s="2" t="s">
        <v>22563</v>
      </c>
      <c r="J8892" s="3" t="str">
        <f>HYPERLINK("https://www.boe.es/gazeta/dias/1811/06/29/pdfs/GEI-1811-86.pdf#page=6","Abrir facsímil")</f>
        <v>Abrir facsímil</v>
      </c>
      <c r="K8892" s="3" t="s">
        <v>23</v>
      </c>
    </row>
    <row r="8893" spans="1:11" ht="42" customHeight="1">
      <c r="A8893" s="2" t="s">
        <v>22564</v>
      </c>
      <c r="B8893" s="2" t="s">
        <v>22565</v>
      </c>
      <c r="C8893" s="2" t="s">
        <v>26</v>
      </c>
      <c r="D8893" s="2" t="s">
        <v>18</v>
      </c>
      <c r="E8893" s="4">
        <v>-32158</v>
      </c>
      <c r="F8893" s="3" t="s">
        <v>46</v>
      </c>
      <c r="G8893" s="3" t="s">
        <v>47</v>
      </c>
      <c r="H8893" s="2" t="s">
        <v>21</v>
      </c>
      <c r="I8893" s="2" t="s">
        <v>22566</v>
      </c>
      <c r="J8893" s="3" t="str">
        <f>HYPERLINK("https://www.boe.es/gazeta/dias/1811/12/14/pdfs/GEI-1811-162.pdf#page=7","Abrir facsímil")</f>
        <v>Abrir facsímil</v>
      </c>
      <c r="K8893" s="3" t="s">
        <v>23</v>
      </c>
    </row>
    <row r="8894" spans="1:11" ht="42" customHeight="1">
      <c r="A8894" s="2" t="s">
        <v>22567</v>
      </c>
      <c r="B8894" s="2" t="s">
        <v>22568</v>
      </c>
      <c r="C8894" s="2" t="s">
        <v>26</v>
      </c>
      <c r="D8894" s="2" t="s">
        <v>204</v>
      </c>
      <c r="E8894" s="4">
        <v>-32480</v>
      </c>
      <c r="F8894" s="3" t="s">
        <v>2421</v>
      </c>
      <c r="G8894" s="3" t="s">
        <v>20</v>
      </c>
      <c r="H8894" s="2" t="s">
        <v>21</v>
      </c>
      <c r="I8894" s="2" t="s">
        <v>22569</v>
      </c>
      <c r="J8894" s="3" t="str">
        <f>HYPERLINK("https://www.boe.es/gazeta/dias/1811/01/26/pdfs/GMD-1811-26.pdf#page=4","Abrir facsímil")</f>
        <v>Abrir facsímil</v>
      </c>
      <c r="K8894" s="3" t="s">
        <v>23</v>
      </c>
    </row>
    <row r="8895" spans="1:11" ht="42" customHeight="1">
      <c r="A8895" s="2" t="s">
        <v>22570</v>
      </c>
      <c r="B8895" s="2" t="s">
        <v>22571</v>
      </c>
      <c r="C8895" s="2" t="s">
        <v>84</v>
      </c>
      <c r="D8895" s="2" t="s">
        <v>18</v>
      </c>
      <c r="E8895" s="4">
        <v>-32211</v>
      </c>
      <c r="F8895" s="3" t="s">
        <v>1230</v>
      </c>
      <c r="G8895" s="3" t="s">
        <v>377</v>
      </c>
      <c r="H8895" s="2" t="s">
        <v>21</v>
      </c>
      <c r="I8895" s="2" t="s">
        <v>22572</v>
      </c>
      <c r="J8895" s="3" t="str">
        <f>HYPERLINK("https://www.boe.es/gazeta/dias/1811/10/22/pdfs/GMD-1811-295.pdf#page=4","Abrir facsímil")</f>
        <v>Abrir facsímil</v>
      </c>
      <c r="K8895" s="3" t="s">
        <v>23</v>
      </c>
    </row>
    <row r="8896" spans="1:11" ht="42" customHeight="1">
      <c r="A8896" s="2" t="s">
        <v>22573</v>
      </c>
      <c r="B8896" s="2" t="s">
        <v>22574</v>
      </c>
      <c r="C8896" s="2" t="s">
        <v>17</v>
      </c>
      <c r="D8896" s="2" t="s">
        <v>156</v>
      </c>
      <c r="E8896" s="4">
        <v>-32359</v>
      </c>
      <c r="F8896" s="3" t="s">
        <v>7795</v>
      </c>
      <c r="G8896" s="3" t="s">
        <v>515</v>
      </c>
      <c r="H8896" s="2" t="s">
        <v>21</v>
      </c>
      <c r="I8896" s="2" t="s">
        <v>22575</v>
      </c>
      <c r="J8896" s="3" t="str">
        <f>HYPERLINK("https://www.boe.es/gazeta/dias/1811/05/27/pdfs/GMD-1811-147.pdf#page=2","Abrir facsímil")</f>
        <v>Abrir facsímil</v>
      </c>
      <c r="K8896" s="3" t="s">
        <v>23</v>
      </c>
    </row>
    <row r="8897" spans="1:11" ht="42" customHeight="1">
      <c r="A8897" s="2" t="s">
        <v>22576</v>
      </c>
      <c r="B8897" s="2" t="s">
        <v>22577</v>
      </c>
      <c r="C8897" s="2" t="s">
        <v>17</v>
      </c>
      <c r="D8897" s="2" t="s">
        <v>18</v>
      </c>
      <c r="E8897" s="4">
        <v>-32368</v>
      </c>
      <c r="F8897" s="3" t="s">
        <v>1561</v>
      </c>
      <c r="G8897" s="3" t="s">
        <v>57</v>
      </c>
      <c r="H8897" s="2" t="s">
        <v>21</v>
      </c>
      <c r="I8897" s="2" t="s">
        <v>22578</v>
      </c>
      <c r="J8897" s="3" t="str">
        <f>HYPERLINK("https://www.boe.es/gazeta/dias/1811/05/18/pdfs/GMD-1811-138.pdf#page=2","Abrir facsímil")</f>
        <v>Abrir facsímil</v>
      </c>
      <c r="K8897" s="3" t="s">
        <v>23</v>
      </c>
    </row>
    <row r="8898" spans="1:11" ht="42" customHeight="1">
      <c r="A8898" s="2" t="s">
        <v>22579</v>
      </c>
      <c r="B8898" s="2" t="s">
        <v>22580</v>
      </c>
      <c r="C8898" s="2" t="s">
        <v>37</v>
      </c>
      <c r="D8898" s="2" t="s">
        <v>18</v>
      </c>
      <c r="E8898" s="4">
        <v>-32416</v>
      </c>
      <c r="F8898" s="3" t="s">
        <v>954</v>
      </c>
      <c r="G8898" s="3" t="s">
        <v>47</v>
      </c>
      <c r="H8898" s="2" t="s">
        <v>21</v>
      </c>
      <c r="I8898" s="2" t="s">
        <v>22581</v>
      </c>
      <c r="J8898" s="3" t="str">
        <f>HYPERLINK("https://www.boe.es/gazeta/dias/1811/03/31/pdfs/GMD-1811-90.pdf#page=3","Abrir facsímil")</f>
        <v>Abrir facsímil</v>
      </c>
      <c r="K8898" s="3" t="s">
        <v>23</v>
      </c>
    </row>
    <row r="8899" spans="1:11" ht="42" customHeight="1">
      <c r="A8899" s="2" t="s">
        <v>22582</v>
      </c>
      <c r="B8899" s="2" t="s">
        <v>22583</v>
      </c>
      <c r="C8899" s="2" t="s">
        <v>37</v>
      </c>
      <c r="D8899" s="2" t="s">
        <v>18</v>
      </c>
      <c r="E8899" s="4">
        <v>-32396</v>
      </c>
      <c r="F8899" s="3" t="s">
        <v>1267</v>
      </c>
      <c r="G8899" s="3" t="s">
        <v>1143</v>
      </c>
      <c r="H8899" s="2" t="s">
        <v>21</v>
      </c>
      <c r="I8899" s="2" t="s">
        <v>22584</v>
      </c>
      <c r="J8899" s="3" t="str">
        <f>HYPERLINK("https://www.boe.es/gazeta/dias/1811/04/20/pdfs/GMD-1811-110.pdf#page=3","Abrir facsímil")</f>
        <v>Abrir facsímil</v>
      </c>
      <c r="K8899" s="3" t="s">
        <v>23</v>
      </c>
    </row>
    <row r="8900" spans="1:11" ht="42" customHeight="1">
      <c r="A8900" s="2" t="s">
        <v>22585</v>
      </c>
      <c r="B8900" s="2" t="s">
        <v>22586</v>
      </c>
      <c r="C8900" s="2" t="s">
        <v>17</v>
      </c>
      <c r="D8900" s="2" t="s">
        <v>18</v>
      </c>
      <c r="E8900" s="4">
        <v>-32246</v>
      </c>
      <c r="F8900" s="3" t="s">
        <v>19</v>
      </c>
      <c r="G8900" s="3" t="s">
        <v>20</v>
      </c>
      <c r="H8900" s="2" t="s">
        <v>21</v>
      </c>
      <c r="I8900" s="2" t="s">
        <v>22587</v>
      </c>
      <c r="J8900" s="3" t="str">
        <f>HYPERLINK("https://www.boe.es/gazeta/dias/1811/09/17/pdfs/GEI-1811-120.pdf#page=24","Abrir facsímil")</f>
        <v>Abrir facsímil</v>
      </c>
      <c r="K8900" s="3" t="s">
        <v>23</v>
      </c>
    </row>
    <row r="8901" spans="1:11" ht="42" customHeight="1">
      <c r="A8901" s="2" t="s">
        <v>22588</v>
      </c>
      <c r="B8901" s="2" t="s">
        <v>22589</v>
      </c>
      <c r="C8901" s="2" t="s">
        <v>26</v>
      </c>
      <c r="D8901" s="2" t="s">
        <v>18</v>
      </c>
      <c r="E8901" s="4">
        <v>-32209</v>
      </c>
      <c r="F8901" s="3" t="s">
        <v>1324</v>
      </c>
      <c r="G8901" s="3" t="s">
        <v>1325</v>
      </c>
      <c r="H8901" s="2" t="s">
        <v>21</v>
      </c>
      <c r="I8901" s="2" t="s">
        <v>22590</v>
      </c>
      <c r="J8901" s="3" t="str">
        <f>HYPERLINK("https://www.boe.es/gazeta/dias/1811/10/24/pdfs/GMD-1811-297.pdf#page=2","Abrir facsímil")</f>
        <v>Abrir facsímil</v>
      </c>
      <c r="K8901" s="3" t="s">
        <v>23</v>
      </c>
    </row>
    <row r="8902" spans="1:11" ht="42" customHeight="1">
      <c r="A8902" s="2" t="s">
        <v>22591</v>
      </c>
      <c r="B8902" s="2" t="s">
        <v>22592</v>
      </c>
      <c r="C8902" s="2" t="s">
        <v>17</v>
      </c>
      <c r="D8902" s="2" t="s">
        <v>105</v>
      </c>
      <c r="E8902" s="4">
        <v>-32288</v>
      </c>
      <c r="F8902" s="3" t="s">
        <v>95</v>
      </c>
      <c r="G8902" s="3" t="s">
        <v>4290</v>
      </c>
      <c r="H8902" s="2" t="s">
        <v>21</v>
      </c>
      <c r="I8902" s="2" t="s">
        <v>22593</v>
      </c>
      <c r="J8902" s="3" t="str">
        <f>HYPERLINK("https://www.boe.es/gazeta/dias/1811/08/06/pdfs/GEI-1811-102.pdf#page=5","Abrir facsímil")</f>
        <v>Abrir facsímil</v>
      </c>
      <c r="K8902" s="3" t="s">
        <v>23</v>
      </c>
    </row>
    <row r="8903" spans="1:11" ht="42" customHeight="1">
      <c r="A8903" s="2" t="s">
        <v>22594</v>
      </c>
      <c r="B8903" s="2" t="s">
        <v>22595</v>
      </c>
      <c r="C8903" s="2" t="s">
        <v>17</v>
      </c>
      <c r="D8903" s="2" t="s">
        <v>18</v>
      </c>
      <c r="E8903" s="4">
        <v>-32323</v>
      </c>
      <c r="F8903" s="3" t="s">
        <v>322</v>
      </c>
      <c r="G8903" s="3" t="s">
        <v>2164</v>
      </c>
      <c r="H8903" s="2" t="s">
        <v>21</v>
      </c>
      <c r="I8903" s="2" t="s">
        <v>22596</v>
      </c>
      <c r="J8903" s="3" t="str">
        <f>HYPERLINK("https://www.boe.es/gazeta/dias/1811/07/02/pdfs/GEI-1811-87.pdf#page=7","Abrir facsímil")</f>
        <v>Abrir facsímil</v>
      </c>
      <c r="K8903" s="3" t="s">
        <v>23</v>
      </c>
    </row>
    <row r="8904" spans="1:11" ht="42" customHeight="1">
      <c r="A8904" s="2" t="s">
        <v>22597</v>
      </c>
      <c r="B8904" s="2" t="s">
        <v>22598</v>
      </c>
      <c r="C8904" s="2" t="s">
        <v>26</v>
      </c>
      <c r="D8904" s="2" t="s">
        <v>18</v>
      </c>
      <c r="E8904" s="4">
        <v>-32158</v>
      </c>
      <c r="F8904" s="3" t="s">
        <v>46</v>
      </c>
      <c r="G8904" s="3" t="s">
        <v>47</v>
      </c>
      <c r="H8904" s="2" t="s">
        <v>21</v>
      </c>
      <c r="I8904" s="2" t="s">
        <v>22599</v>
      </c>
      <c r="J8904" s="3" t="str">
        <f>HYPERLINK("https://www.boe.es/gazeta/dias/1811/12/14/pdfs/GEI-1811-162.pdf#page=7","Abrir facsímil")</f>
        <v>Abrir facsímil</v>
      </c>
      <c r="K8904" s="3" t="s">
        <v>23</v>
      </c>
    </row>
    <row r="8905" spans="1:11" ht="42" customHeight="1">
      <c r="A8905" s="2" t="s">
        <v>22600</v>
      </c>
      <c r="B8905" s="2" t="s">
        <v>22601</v>
      </c>
      <c r="C8905" s="2" t="s">
        <v>26</v>
      </c>
      <c r="D8905" s="2" t="s">
        <v>18</v>
      </c>
      <c r="E8905" s="4">
        <v>-32258</v>
      </c>
      <c r="F8905" s="3" t="s">
        <v>449</v>
      </c>
      <c r="G8905" s="3" t="s">
        <v>214</v>
      </c>
      <c r="H8905" s="2" t="s">
        <v>21</v>
      </c>
      <c r="I8905" s="2" t="s">
        <v>22602</v>
      </c>
      <c r="J8905" s="3" t="str">
        <f>HYPERLINK("https://www.boe.es/gazeta/dias/1811/09/05/pdfs/GEI-1811-115.pdf#page=6","Abrir facsímil")</f>
        <v>Abrir facsímil</v>
      </c>
      <c r="K8905" s="3" t="s">
        <v>23</v>
      </c>
    </row>
    <row r="8906" spans="1:11" ht="42" customHeight="1">
      <c r="A8906" s="2" t="s">
        <v>22603</v>
      </c>
      <c r="B8906" s="2" t="s">
        <v>22604</v>
      </c>
      <c r="C8906" s="2" t="s">
        <v>26</v>
      </c>
      <c r="D8906" s="2" t="s">
        <v>141</v>
      </c>
      <c r="E8906" s="4">
        <v>-32188</v>
      </c>
      <c r="F8906" s="3" t="s">
        <v>505</v>
      </c>
      <c r="G8906" s="3" t="s">
        <v>47</v>
      </c>
      <c r="H8906" s="2" t="s">
        <v>21</v>
      </c>
      <c r="I8906" s="2" t="s">
        <v>22605</v>
      </c>
      <c r="J8906" s="3" t="str">
        <f>HYPERLINK("https://www.boe.es/gazeta/dias/1811/11/14/pdfs/GEI-D-1811-149.pdf#page=3","Abrir facsímil")</f>
        <v>Abrir facsímil</v>
      </c>
      <c r="K8906" s="3" t="s">
        <v>23</v>
      </c>
    </row>
    <row r="8907" spans="1:11" ht="42" customHeight="1">
      <c r="A8907" s="2" t="s">
        <v>22606</v>
      </c>
      <c r="B8907" s="2" t="s">
        <v>22607</v>
      </c>
      <c r="C8907" s="2" t="s">
        <v>26</v>
      </c>
      <c r="D8907" s="2" t="s">
        <v>141</v>
      </c>
      <c r="E8907" s="4">
        <v>-32188</v>
      </c>
      <c r="F8907" s="3" t="s">
        <v>505</v>
      </c>
      <c r="G8907" s="3" t="s">
        <v>47</v>
      </c>
      <c r="H8907" s="2" t="s">
        <v>21</v>
      </c>
      <c r="I8907" s="2" t="s">
        <v>22608</v>
      </c>
      <c r="J8907" s="3" t="str">
        <f>HYPERLINK("https://www.boe.es/gazeta/dias/1811/11/14/pdfs/GEI-D-1811-149.pdf#page=3","Abrir facsímil")</f>
        <v>Abrir facsímil</v>
      </c>
      <c r="K8907" s="3" t="s">
        <v>23</v>
      </c>
    </row>
    <row r="8908" spans="1:11" ht="42" customHeight="1">
      <c r="A8908" s="2" t="s">
        <v>22609</v>
      </c>
      <c r="B8908" s="2" t="s">
        <v>22610</v>
      </c>
      <c r="C8908" s="2" t="s">
        <v>17</v>
      </c>
      <c r="D8908" s="2" t="s">
        <v>105</v>
      </c>
      <c r="E8908" s="4">
        <v>-32288</v>
      </c>
      <c r="F8908" s="3" t="s">
        <v>95</v>
      </c>
      <c r="G8908" s="3" t="s">
        <v>4290</v>
      </c>
      <c r="H8908" s="2" t="s">
        <v>21</v>
      </c>
      <c r="I8908" s="2" t="s">
        <v>22611</v>
      </c>
      <c r="J8908" s="3" t="str">
        <f>HYPERLINK("https://www.boe.es/gazeta/dias/1811/08/06/pdfs/GEI-1811-102.pdf#page=5","Abrir facsímil")</f>
        <v>Abrir facsímil</v>
      </c>
      <c r="K8908" s="3" t="s">
        <v>23</v>
      </c>
    </row>
    <row r="8909" spans="1:11" ht="42" customHeight="1">
      <c r="A8909" s="2" t="s">
        <v>22612</v>
      </c>
      <c r="B8909" s="2" t="s">
        <v>22613</v>
      </c>
      <c r="C8909" s="2" t="s">
        <v>26</v>
      </c>
      <c r="D8909" s="2" t="s">
        <v>18</v>
      </c>
      <c r="E8909" s="4">
        <v>-32396</v>
      </c>
      <c r="F8909" s="3" t="s">
        <v>1267</v>
      </c>
      <c r="G8909" s="3" t="s">
        <v>1143</v>
      </c>
      <c r="H8909" s="2" t="s">
        <v>21</v>
      </c>
      <c r="I8909" s="2" t="s">
        <v>22614</v>
      </c>
      <c r="J8909" s="3" t="str">
        <f>HYPERLINK("https://www.boe.es/gazeta/dias/1811/04/20/pdfs/GMD-1811-110.pdf#page=3","Abrir facsímil")</f>
        <v>Abrir facsímil</v>
      </c>
      <c r="K8909" s="3" t="s">
        <v>23</v>
      </c>
    </row>
    <row r="8910" spans="1:11" ht="42" customHeight="1">
      <c r="A8910" s="2" t="s">
        <v>22615</v>
      </c>
      <c r="B8910" s="2" t="s">
        <v>22616</v>
      </c>
      <c r="C8910" s="2" t="s">
        <v>17</v>
      </c>
      <c r="D8910" s="2" t="s">
        <v>156</v>
      </c>
      <c r="E8910" s="4">
        <v>-32421</v>
      </c>
      <c r="F8910" s="3" t="s">
        <v>79</v>
      </c>
      <c r="G8910" s="3" t="s">
        <v>8682</v>
      </c>
      <c r="H8910" s="2" t="s">
        <v>21</v>
      </c>
      <c r="I8910" s="2" t="s">
        <v>22617</v>
      </c>
      <c r="J8910" s="3" t="str">
        <f>HYPERLINK("https://www.boe.es/gazeta/dias/1811/03/26/pdfs/GEI-1811-42.pdf#page=4","Abrir facsímil")</f>
        <v>Abrir facsímil</v>
      </c>
      <c r="K8910" s="3" t="s">
        <v>23</v>
      </c>
    </row>
    <row r="8911" spans="1:11" ht="42" customHeight="1">
      <c r="A8911" s="2" t="s">
        <v>22618</v>
      </c>
      <c r="B8911" s="2" t="s">
        <v>22619</v>
      </c>
      <c r="C8911" s="2" t="s">
        <v>26</v>
      </c>
      <c r="D8911" s="2" t="s">
        <v>18</v>
      </c>
      <c r="E8911" s="4">
        <v>-32326</v>
      </c>
      <c r="F8911" s="3" t="s">
        <v>43</v>
      </c>
      <c r="G8911" s="3" t="s">
        <v>44</v>
      </c>
      <c r="H8911" s="2" t="s">
        <v>21</v>
      </c>
      <c r="I8911" s="2" t="s">
        <v>22620</v>
      </c>
      <c r="J8911" s="3" t="str">
        <f>HYPERLINK("https://www.boe.es/gazeta/dias/1811/06/29/pdfs/GEI-1811-86.pdf#page=6","Abrir facsímil")</f>
        <v>Abrir facsímil</v>
      </c>
      <c r="K8911" s="3" t="s">
        <v>23</v>
      </c>
    </row>
    <row r="8912" spans="1:11" ht="42" customHeight="1">
      <c r="A8912" s="2" t="s">
        <v>22621</v>
      </c>
      <c r="B8912" s="2" t="s">
        <v>22622</v>
      </c>
      <c r="C8912" s="2" t="s">
        <v>17</v>
      </c>
      <c r="D8912" s="2" t="s">
        <v>18</v>
      </c>
      <c r="E8912" s="4">
        <v>-32246</v>
      </c>
      <c r="F8912" s="3" t="s">
        <v>19</v>
      </c>
      <c r="G8912" s="3" t="s">
        <v>20</v>
      </c>
      <c r="H8912" s="2" t="s">
        <v>21</v>
      </c>
      <c r="I8912" s="2" t="s">
        <v>22623</v>
      </c>
      <c r="J8912" s="3" t="str">
        <f>HYPERLINK("https://www.boe.es/gazeta/dias/1811/09/17/pdfs/GEI-1811-120.pdf#page=24","Abrir facsímil")</f>
        <v>Abrir facsímil</v>
      </c>
      <c r="K8912" s="3" t="s">
        <v>23</v>
      </c>
    </row>
    <row r="8913" spans="1:11" ht="42" customHeight="1">
      <c r="A8913" s="2" t="s">
        <v>22624</v>
      </c>
      <c r="B8913" s="2" t="s">
        <v>22625</v>
      </c>
      <c r="C8913" s="2" t="s">
        <v>26</v>
      </c>
      <c r="D8913" s="2" t="s">
        <v>18</v>
      </c>
      <c r="E8913" s="4">
        <v>-32225</v>
      </c>
      <c r="F8913" s="3" t="s">
        <v>390</v>
      </c>
      <c r="G8913" s="3" t="s">
        <v>391</v>
      </c>
      <c r="H8913" s="2" t="s">
        <v>21</v>
      </c>
      <c r="I8913" s="2" t="s">
        <v>22626</v>
      </c>
      <c r="J8913" s="3" t="str">
        <f>HYPERLINK("https://www.boe.es/gazeta/dias/1811/10/08/pdfs/GEI-1811-129.pdf#page=7","Abrir facsímil")</f>
        <v>Abrir facsímil</v>
      </c>
      <c r="K8913" s="3" t="s">
        <v>23</v>
      </c>
    </row>
    <row r="8914" spans="1:11" ht="42" customHeight="1">
      <c r="A8914" s="2" t="s">
        <v>22627</v>
      </c>
      <c r="B8914" s="2" t="s">
        <v>22628</v>
      </c>
      <c r="C8914" s="2" t="s">
        <v>26</v>
      </c>
      <c r="D8914" s="2" t="s">
        <v>105</v>
      </c>
      <c r="E8914" s="4">
        <v>-32150</v>
      </c>
      <c r="F8914" s="3" t="s">
        <v>1174</v>
      </c>
      <c r="G8914" s="3" t="s">
        <v>20</v>
      </c>
      <c r="H8914" s="2" t="s">
        <v>21</v>
      </c>
      <c r="I8914" s="2" t="s">
        <v>22629</v>
      </c>
      <c r="J8914" s="3" t="str">
        <f>HYPERLINK("https://www.boe.es/gazeta/dias/1811/12/22/pdfs/GMD-1811-356.pdf#page=4","Abrir facsímil")</f>
        <v>Abrir facsímil</v>
      </c>
      <c r="K8914" s="3" t="s">
        <v>23</v>
      </c>
    </row>
    <row r="8915" spans="1:11" ht="42" customHeight="1">
      <c r="A8915" s="2" t="s">
        <v>22630</v>
      </c>
      <c r="B8915" s="2" t="s">
        <v>22631</v>
      </c>
      <c r="C8915" s="2" t="s">
        <v>26</v>
      </c>
      <c r="D8915" s="2" t="s">
        <v>18</v>
      </c>
      <c r="E8915" s="4">
        <v>-32291</v>
      </c>
      <c r="F8915" s="3" t="s">
        <v>712</v>
      </c>
      <c r="G8915" s="3" t="s">
        <v>713</v>
      </c>
      <c r="H8915" s="2" t="s">
        <v>21</v>
      </c>
      <c r="I8915" s="2" t="s">
        <v>22632</v>
      </c>
      <c r="J8915" s="3" t="str">
        <f>HYPERLINK("https://www.boe.es/gazeta/dias/1811/08/03/pdfs/GEI-1811-101.pdf#page=6","Abrir facsímil")</f>
        <v>Abrir facsímil</v>
      </c>
      <c r="K8915" s="3" t="s">
        <v>23</v>
      </c>
    </row>
    <row r="8916" spans="1:11" ht="42" customHeight="1">
      <c r="A8916" s="2" t="s">
        <v>22633</v>
      </c>
      <c r="B8916" s="2" t="s">
        <v>22634</v>
      </c>
      <c r="C8916" s="2" t="s">
        <v>26</v>
      </c>
      <c r="D8916" s="2" t="s">
        <v>18</v>
      </c>
      <c r="E8916" s="4">
        <v>-32200</v>
      </c>
      <c r="F8916" s="3" t="s">
        <v>109</v>
      </c>
      <c r="G8916" s="3" t="s">
        <v>110</v>
      </c>
      <c r="H8916" s="2" t="s">
        <v>21</v>
      </c>
      <c r="I8916" s="2" t="s">
        <v>22635</v>
      </c>
      <c r="J8916" s="3" t="str">
        <f>HYPERLINK("https://www.boe.es/gazeta/dias/1811/11/02/pdfs/GEI-1811-141.pdf#page=6","Abrir facsímil")</f>
        <v>Abrir facsímil</v>
      </c>
      <c r="K8916" s="3" t="s">
        <v>23</v>
      </c>
    </row>
    <row r="8917" spans="1:11" ht="42" customHeight="1">
      <c r="A8917" s="2" t="s">
        <v>22636</v>
      </c>
      <c r="B8917" s="2" t="s">
        <v>22637</v>
      </c>
      <c r="C8917" s="2" t="s">
        <v>17</v>
      </c>
      <c r="D8917" s="2" t="s">
        <v>18</v>
      </c>
      <c r="E8917" s="4">
        <v>-32200</v>
      </c>
      <c r="F8917" s="3" t="s">
        <v>109</v>
      </c>
      <c r="G8917" s="3" t="s">
        <v>268</v>
      </c>
      <c r="H8917" s="2" t="s">
        <v>21</v>
      </c>
      <c r="I8917" s="2" t="s">
        <v>22638</v>
      </c>
      <c r="J8917" s="3" t="str">
        <f>HYPERLINK("https://www.boe.es/gazeta/dias/1811/11/02/pdfs/GEI-1811-141.pdf#page=7","Abrir facsímil")</f>
        <v>Abrir facsímil</v>
      </c>
      <c r="K8917" s="3" t="s">
        <v>23</v>
      </c>
    </row>
    <row r="8918" spans="1:11" ht="42" customHeight="1">
      <c r="A8918" s="2" t="s">
        <v>22639</v>
      </c>
      <c r="B8918" s="2" t="s">
        <v>22640</v>
      </c>
      <c r="C8918" s="2" t="s">
        <v>26</v>
      </c>
      <c r="D8918" s="2" t="s">
        <v>18</v>
      </c>
      <c r="E8918" s="4">
        <v>-32480</v>
      </c>
      <c r="F8918" s="3" t="s">
        <v>3061</v>
      </c>
      <c r="G8918" s="3" t="s">
        <v>669</v>
      </c>
      <c r="H8918" s="2" t="s">
        <v>21</v>
      </c>
      <c r="I8918" s="2" t="s">
        <v>22641</v>
      </c>
      <c r="J8918" s="3" t="str">
        <f>HYPERLINK("https://www.boe.es/gazeta/dias/1811/01/26/pdfs/GEI-1811-12.pdf#page=5","Abrir facsímil")</f>
        <v>Abrir facsímil</v>
      </c>
      <c r="K8918" s="3" t="s">
        <v>23</v>
      </c>
    </row>
    <row r="8919" spans="1:11" ht="42" customHeight="1">
      <c r="A8919" s="2" t="s">
        <v>22642</v>
      </c>
      <c r="B8919" s="2" t="s">
        <v>22643</v>
      </c>
      <c r="C8919" s="2" t="s">
        <v>17</v>
      </c>
      <c r="D8919" s="2" t="s">
        <v>18</v>
      </c>
      <c r="E8919" s="4">
        <v>-32379</v>
      </c>
      <c r="F8919" s="3" t="s">
        <v>462</v>
      </c>
      <c r="G8919" s="3" t="s">
        <v>228</v>
      </c>
      <c r="H8919" s="2" t="s">
        <v>21</v>
      </c>
      <c r="I8919" s="2" t="s">
        <v>22644</v>
      </c>
      <c r="J8919" s="3" t="str">
        <f>HYPERLINK("https://www.boe.es/gazeta/dias/1811/05/07/pdfs/GEI-1811-60.pdf#page=3","Abrir facsímil")</f>
        <v>Abrir facsímil</v>
      </c>
      <c r="K8919" s="3" t="s">
        <v>23</v>
      </c>
    </row>
    <row r="8920" spans="1:11" ht="42" customHeight="1">
      <c r="A8920" s="2" t="s">
        <v>22645</v>
      </c>
      <c r="B8920" s="2" t="s">
        <v>22646</v>
      </c>
      <c r="C8920" s="2" t="s">
        <v>37</v>
      </c>
      <c r="D8920" s="2" t="s">
        <v>18</v>
      </c>
      <c r="E8920" s="4">
        <v>-32407</v>
      </c>
      <c r="F8920" s="3" t="s">
        <v>38</v>
      </c>
      <c r="G8920" s="3" t="s">
        <v>480</v>
      </c>
      <c r="H8920" s="2" t="s">
        <v>21</v>
      </c>
      <c r="I8920" s="2" t="s">
        <v>22647</v>
      </c>
      <c r="J8920" s="3" t="str">
        <f>HYPERLINK("https://www.boe.es/gazeta/dias/1811/04/09/pdfs/GEI-1811-48.pdf#page=4","Abrir facsímil")</f>
        <v>Abrir facsímil</v>
      </c>
      <c r="K8920" s="3" t="s">
        <v>23</v>
      </c>
    </row>
    <row r="8921" spans="1:11" ht="42" customHeight="1">
      <c r="A8921" s="2" t="s">
        <v>22648</v>
      </c>
      <c r="B8921" s="2" t="s">
        <v>22649</v>
      </c>
      <c r="C8921" s="2" t="s">
        <v>26</v>
      </c>
      <c r="D8921" s="2" t="s">
        <v>18</v>
      </c>
      <c r="E8921" s="4">
        <v>-32242</v>
      </c>
      <c r="F8921" s="3" t="s">
        <v>1295</v>
      </c>
      <c r="G8921" s="3" t="s">
        <v>1296</v>
      </c>
      <c r="H8921" s="2" t="s">
        <v>21</v>
      </c>
      <c r="I8921" s="2" t="s">
        <v>22650</v>
      </c>
      <c r="J8921" s="3" t="str">
        <f>HYPERLINK("https://www.boe.es/gazeta/dias/1811/09/21/pdfs/GEI-1811-122.pdf#page=8","Abrir facsímil")</f>
        <v>Abrir facsímil</v>
      </c>
      <c r="K8921" s="3" t="s">
        <v>23</v>
      </c>
    </row>
    <row r="8922" spans="1:11" ht="42" customHeight="1">
      <c r="A8922" s="2" t="s">
        <v>22651</v>
      </c>
      <c r="B8922" s="2" t="s">
        <v>22652</v>
      </c>
      <c r="C8922" s="2" t="s">
        <v>17</v>
      </c>
      <c r="D8922" s="2" t="s">
        <v>18</v>
      </c>
      <c r="E8922" s="4">
        <v>-32153</v>
      </c>
      <c r="F8922" s="3" t="s">
        <v>235</v>
      </c>
      <c r="G8922" s="3" t="s">
        <v>2181</v>
      </c>
      <c r="H8922" s="2" t="s">
        <v>21</v>
      </c>
      <c r="I8922" s="2" t="s">
        <v>22653</v>
      </c>
      <c r="J8922" s="3" t="str">
        <f>HYPERLINK("https://www.boe.es/gazeta/dias/1811/12/19/pdfs/GEI-1811-164.pdf#page=8","Abrir facsímil")</f>
        <v>Abrir facsímil</v>
      </c>
      <c r="K8922" s="3" t="s">
        <v>23</v>
      </c>
    </row>
    <row r="8923" spans="1:11" ht="42" customHeight="1">
      <c r="A8923" s="2" t="s">
        <v>22654</v>
      </c>
      <c r="B8923" s="2" t="s">
        <v>22655</v>
      </c>
      <c r="C8923" s="2" t="s">
        <v>26</v>
      </c>
      <c r="D8923" s="2" t="s">
        <v>18</v>
      </c>
      <c r="E8923" s="4">
        <v>-32435</v>
      </c>
      <c r="F8923" s="3" t="s">
        <v>224</v>
      </c>
      <c r="G8923" s="3" t="s">
        <v>10544</v>
      </c>
      <c r="H8923" s="2" t="s">
        <v>21</v>
      </c>
      <c r="I8923" s="2" t="s">
        <v>22656</v>
      </c>
      <c r="J8923" s="3" t="str">
        <f>HYPERLINK("https://www.boe.es/gazeta/dias/1811/03/12/pdfs/GEI-1811-35.pdf#page=3","Abrir facsímil")</f>
        <v>Abrir facsímil</v>
      </c>
      <c r="K8923" s="3" t="s">
        <v>23</v>
      </c>
    </row>
    <row r="8924" spans="1:11" ht="42" customHeight="1">
      <c r="A8924" s="2" t="s">
        <v>22657</v>
      </c>
      <c r="B8924" s="2" t="s">
        <v>22658</v>
      </c>
      <c r="C8924" s="2" t="s">
        <v>37</v>
      </c>
      <c r="D8924" s="2" t="s">
        <v>156</v>
      </c>
      <c r="E8924" s="4">
        <v>-32237</v>
      </c>
      <c r="F8924" s="3" t="s">
        <v>717</v>
      </c>
      <c r="G8924" s="3" t="s">
        <v>1128</v>
      </c>
      <c r="H8924" s="2" t="s">
        <v>21</v>
      </c>
      <c r="I8924" s="2" t="s">
        <v>22659</v>
      </c>
      <c r="J8924" s="3" t="str">
        <f>HYPERLINK("https://www.boe.es/gazeta/dias/1811/09/26/pdfs/GEI-1811-124.pdf#page=8","Abrir facsímil")</f>
        <v>Abrir facsímil</v>
      </c>
      <c r="K8924" s="3" t="s">
        <v>23</v>
      </c>
    </row>
    <row r="8925" spans="1:11" ht="42" customHeight="1">
      <c r="A8925" s="2" t="s">
        <v>22660</v>
      </c>
      <c r="B8925" s="2" t="s">
        <v>22661</v>
      </c>
      <c r="C8925" s="2" t="s">
        <v>17</v>
      </c>
      <c r="D8925" s="2" t="s">
        <v>18</v>
      </c>
      <c r="E8925" s="4">
        <v>-32421</v>
      </c>
      <c r="F8925" s="3" t="s">
        <v>79</v>
      </c>
      <c r="G8925" s="3" t="s">
        <v>8682</v>
      </c>
      <c r="H8925" s="2" t="s">
        <v>21</v>
      </c>
      <c r="I8925" s="2" t="s">
        <v>22662</v>
      </c>
      <c r="J8925" s="3" t="str">
        <f>HYPERLINK("https://www.boe.es/gazeta/dias/1811/03/26/pdfs/GEI-1811-42.pdf#page=4","Abrir facsímil")</f>
        <v>Abrir facsímil</v>
      </c>
      <c r="K8925" s="3" t="s">
        <v>23</v>
      </c>
    </row>
    <row r="8926" spans="1:11" ht="42" customHeight="1">
      <c r="A8926" s="2" t="s">
        <v>22663</v>
      </c>
      <c r="B8926" s="2" t="s">
        <v>22664</v>
      </c>
      <c r="C8926" s="2" t="s">
        <v>17</v>
      </c>
      <c r="D8926" s="2" t="s">
        <v>18</v>
      </c>
      <c r="E8926" s="4">
        <v>-32291</v>
      </c>
      <c r="F8926" s="3" t="s">
        <v>712</v>
      </c>
      <c r="G8926" s="3" t="s">
        <v>713</v>
      </c>
      <c r="H8926" s="2" t="s">
        <v>21</v>
      </c>
      <c r="I8926" s="2" t="s">
        <v>22665</v>
      </c>
      <c r="J8926" s="3" t="str">
        <f>HYPERLINK("https://www.boe.es/gazeta/dias/1811/08/03/pdfs/GEI-1811-101.pdf#page=6","Abrir facsímil")</f>
        <v>Abrir facsímil</v>
      </c>
      <c r="K8926" s="3" t="s">
        <v>23</v>
      </c>
    </row>
    <row r="8927" spans="1:11" ht="42" customHeight="1">
      <c r="A8927" s="2" t="s">
        <v>22666</v>
      </c>
      <c r="B8927" s="2" t="s">
        <v>22667</v>
      </c>
      <c r="C8927" s="2" t="s">
        <v>17</v>
      </c>
      <c r="D8927" s="2" t="s">
        <v>156</v>
      </c>
      <c r="E8927" s="4">
        <v>-32407</v>
      </c>
      <c r="F8927" s="3" t="s">
        <v>38</v>
      </c>
      <c r="G8927" s="3" t="s">
        <v>480</v>
      </c>
      <c r="H8927" s="2" t="s">
        <v>21</v>
      </c>
      <c r="I8927" s="2" t="s">
        <v>22668</v>
      </c>
      <c r="J8927" s="3" t="str">
        <f>HYPERLINK("https://www.boe.es/gazeta/dias/1811/04/09/pdfs/GEI-1811-48.pdf#page=4","Abrir facsímil")</f>
        <v>Abrir facsímil</v>
      </c>
      <c r="K8927" s="3" t="s">
        <v>23</v>
      </c>
    </row>
    <row r="8928" spans="1:11" ht="42" customHeight="1">
      <c r="A8928" s="2" t="s">
        <v>22669</v>
      </c>
      <c r="B8928" s="2" t="s">
        <v>22670</v>
      </c>
      <c r="C8928" s="2" t="s">
        <v>84</v>
      </c>
      <c r="D8928" s="2" t="s">
        <v>105</v>
      </c>
      <c r="E8928" s="4">
        <v>-32501</v>
      </c>
      <c r="F8928" s="3" t="s">
        <v>509</v>
      </c>
      <c r="G8928" s="3" t="s">
        <v>510</v>
      </c>
      <c r="H8928" s="2" t="s">
        <v>21</v>
      </c>
      <c r="I8928" s="2" t="s">
        <v>22671</v>
      </c>
      <c r="J8928" s="3" t="str">
        <f>HYPERLINK("https://www.boe.es/gazeta/dias/1811/01/05/pdfs/GEI-1811-3.pdf#page=8","Abrir facsímil")</f>
        <v>Abrir facsímil</v>
      </c>
      <c r="K8928" s="3" t="s">
        <v>23</v>
      </c>
    </row>
    <row r="8929" spans="1:11" ht="42" customHeight="1">
      <c r="A8929" s="2" t="s">
        <v>22672</v>
      </c>
      <c r="B8929" s="2" t="s">
        <v>22673</v>
      </c>
      <c r="C8929" s="2" t="s">
        <v>104</v>
      </c>
      <c r="D8929" s="2" t="s">
        <v>18</v>
      </c>
      <c r="E8929" s="4">
        <v>-32298</v>
      </c>
      <c r="F8929" s="3" t="s">
        <v>133</v>
      </c>
      <c r="G8929" s="3" t="s">
        <v>12531</v>
      </c>
      <c r="H8929" s="2" t="s">
        <v>21</v>
      </c>
      <c r="I8929" s="2" t="s">
        <v>22674</v>
      </c>
      <c r="J8929" s="3" t="str">
        <f>HYPERLINK("https://www.boe.es/gazeta/dias/1811/07/27/pdfs/GEI-1811-98.pdf#page=2","Abrir facsímil")</f>
        <v>Abrir facsímil</v>
      </c>
      <c r="K8929" s="3" t="s">
        <v>23</v>
      </c>
    </row>
    <row r="8930" spans="1:11" ht="42" customHeight="1">
      <c r="A8930" s="2" t="s">
        <v>22675</v>
      </c>
      <c r="B8930" s="2" t="s">
        <v>22676</v>
      </c>
      <c r="C8930" s="2" t="s">
        <v>37</v>
      </c>
      <c r="D8930" s="2" t="s">
        <v>18</v>
      </c>
      <c r="E8930" s="4">
        <v>-32179</v>
      </c>
      <c r="F8930" s="3" t="s">
        <v>614</v>
      </c>
      <c r="G8930" s="3" t="s">
        <v>5164</v>
      </c>
      <c r="H8930" s="2" t="s">
        <v>21</v>
      </c>
      <c r="I8930" s="2" t="s">
        <v>22677</v>
      </c>
      <c r="J8930" s="3" t="str">
        <f>HYPERLINK("https://www.boe.es/gazeta/dias/1811/11/23/pdfs/GEI-1811-153.pdf#page=7","Abrir facsímil")</f>
        <v>Abrir facsímil</v>
      </c>
      <c r="K8930" s="3" t="s">
        <v>23</v>
      </c>
    </row>
    <row r="8931" spans="1:11" ht="42" customHeight="1">
      <c r="A8931" s="2" t="s">
        <v>22678</v>
      </c>
      <c r="B8931" s="2" t="s">
        <v>22679</v>
      </c>
      <c r="C8931" s="2" t="s">
        <v>17</v>
      </c>
      <c r="D8931" s="2" t="s">
        <v>18</v>
      </c>
      <c r="E8931" s="4">
        <v>-32146</v>
      </c>
      <c r="F8931" s="3" t="s">
        <v>777</v>
      </c>
      <c r="G8931" s="3" t="s">
        <v>846</v>
      </c>
      <c r="H8931" s="2" t="s">
        <v>21</v>
      </c>
      <c r="I8931" s="2" t="s">
        <v>22680</v>
      </c>
      <c r="J8931" s="3" t="str">
        <f>HYPERLINK("https://www.boe.es/gazeta/dias/1811/12/26/pdfs/GEI-1811-167.pdf#page=8","Abrir facsímil")</f>
        <v>Abrir facsímil</v>
      </c>
      <c r="K8931" s="3" t="s">
        <v>23</v>
      </c>
    </row>
    <row r="8932" spans="1:11" ht="42" customHeight="1">
      <c r="A8932" s="2" t="s">
        <v>22681</v>
      </c>
      <c r="B8932" s="2" t="s">
        <v>22682</v>
      </c>
      <c r="C8932" s="2" t="s">
        <v>26</v>
      </c>
      <c r="D8932" s="2" t="s">
        <v>18</v>
      </c>
      <c r="E8932" s="4">
        <v>-32438</v>
      </c>
      <c r="F8932" s="3" t="s">
        <v>114</v>
      </c>
      <c r="G8932" s="3" t="s">
        <v>2805</v>
      </c>
      <c r="H8932" s="2" t="s">
        <v>21</v>
      </c>
      <c r="I8932" s="2" t="s">
        <v>22683</v>
      </c>
      <c r="J8932" s="3" t="str">
        <f>HYPERLINK("https://www.boe.es/gazeta/dias/1811/03/09/pdfs/GEI-1811-33.pdf#page=6","Abrir facsímil")</f>
        <v>Abrir facsímil</v>
      </c>
      <c r="K8932" s="3" t="s">
        <v>23</v>
      </c>
    </row>
    <row r="8933" spans="1:11" ht="42" customHeight="1">
      <c r="A8933" s="2" t="s">
        <v>22684</v>
      </c>
      <c r="B8933" s="2" t="s">
        <v>22685</v>
      </c>
      <c r="C8933" s="2" t="s">
        <v>122</v>
      </c>
      <c r="D8933" s="2" t="s">
        <v>105</v>
      </c>
      <c r="E8933" s="4">
        <v>-32404</v>
      </c>
      <c r="F8933" s="3" t="s">
        <v>911</v>
      </c>
      <c r="G8933" s="3" t="s">
        <v>468</v>
      </c>
      <c r="H8933" s="2" t="s">
        <v>21</v>
      </c>
      <c r="I8933" s="2" t="s">
        <v>22686</v>
      </c>
      <c r="J8933" s="3" t="str">
        <f>HYPERLINK("https://www.boe.es/gazeta/dias/1811/04/12/pdfs/GMD-1811-102.pdf#page=3","Abrir facsímil")</f>
        <v>Abrir facsímil</v>
      </c>
      <c r="K8933" s="3" t="s">
        <v>23</v>
      </c>
    </row>
    <row r="8934" spans="1:11" ht="42" customHeight="1">
      <c r="A8934" s="2" t="s">
        <v>22687</v>
      </c>
      <c r="B8934" s="2" t="s">
        <v>22688</v>
      </c>
      <c r="C8934" s="2" t="s">
        <v>26</v>
      </c>
      <c r="D8934" s="2" t="s">
        <v>18</v>
      </c>
      <c r="E8934" s="4">
        <v>-32307</v>
      </c>
      <c r="F8934" s="3" t="s">
        <v>1112</v>
      </c>
      <c r="G8934" s="3" t="s">
        <v>10518</v>
      </c>
      <c r="H8934" s="2" t="s">
        <v>21</v>
      </c>
      <c r="I8934" s="2" t="s">
        <v>22689</v>
      </c>
      <c r="J8934" s="3" t="str">
        <f>HYPERLINK("https://www.boe.es/gazeta/dias/1811/07/18/pdfs/GEI-1811-94.pdf#page=5","Abrir facsímil")</f>
        <v>Abrir facsímil</v>
      </c>
      <c r="K8934" s="3" t="s">
        <v>23</v>
      </c>
    </row>
    <row r="8935" spans="1:11" ht="42" customHeight="1">
      <c r="A8935" s="2" t="s">
        <v>22690</v>
      </c>
      <c r="B8935" s="2" t="s">
        <v>22691</v>
      </c>
      <c r="C8935" s="2" t="s">
        <v>26</v>
      </c>
      <c r="D8935" s="2" t="s">
        <v>105</v>
      </c>
      <c r="E8935" s="4">
        <v>-32416</v>
      </c>
      <c r="F8935" s="3" t="s">
        <v>954</v>
      </c>
      <c r="G8935" s="3" t="s">
        <v>47</v>
      </c>
      <c r="H8935" s="2" t="s">
        <v>21</v>
      </c>
      <c r="I8935" s="2" t="s">
        <v>22692</v>
      </c>
      <c r="J8935" s="3" t="str">
        <f>HYPERLINK("https://www.boe.es/gazeta/dias/1811/03/31/pdfs/GMD-1811-90.pdf#page=3","Abrir facsímil")</f>
        <v>Abrir facsímil</v>
      </c>
      <c r="K8935" s="3" t="s">
        <v>23</v>
      </c>
    </row>
    <row r="8936" spans="1:11" ht="42" customHeight="1">
      <c r="A8936" s="2" t="s">
        <v>22693</v>
      </c>
      <c r="B8936" s="2" t="s">
        <v>22694</v>
      </c>
      <c r="C8936" s="2" t="s">
        <v>26</v>
      </c>
      <c r="D8936" s="2" t="s">
        <v>18</v>
      </c>
      <c r="E8936" s="4">
        <v>-32230</v>
      </c>
      <c r="F8936" s="3" t="s">
        <v>625</v>
      </c>
      <c r="G8936" s="3" t="s">
        <v>162</v>
      </c>
      <c r="H8936" s="2" t="s">
        <v>21</v>
      </c>
      <c r="I8936" s="2" t="s">
        <v>22695</v>
      </c>
      <c r="J8936" s="3" t="str">
        <f>HYPERLINK("https://www.boe.es/gazeta/dias/1811/10/03/pdfs/GEI-1811-127.pdf#page=7","Abrir facsímil")</f>
        <v>Abrir facsímil</v>
      </c>
      <c r="K8936" s="3" t="s">
        <v>23</v>
      </c>
    </row>
    <row r="8937" spans="1:11" ht="42" customHeight="1">
      <c r="A8937" s="2" t="s">
        <v>22696</v>
      </c>
      <c r="B8937" s="2" t="s">
        <v>22697</v>
      </c>
      <c r="C8937" s="2" t="s">
        <v>17</v>
      </c>
      <c r="D8937" s="2" t="s">
        <v>156</v>
      </c>
      <c r="E8937" s="4">
        <v>-32326</v>
      </c>
      <c r="F8937" s="3" t="s">
        <v>43</v>
      </c>
      <c r="G8937" s="3" t="s">
        <v>44</v>
      </c>
      <c r="H8937" s="2" t="s">
        <v>21</v>
      </c>
      <c r="I8937" s="2" t="s">
        <v>22698</v>
      </c>
      <c r="J8937" s="3" t="str">
        <f>HYPERLINK("https://www.boe.es/gazeta/dias/1811/06/29/pdfs/GEI-1811-86.pdf#page=6","Abrir facsímil")</f>
        <v>Abrir facsímil</v>
      </c>
      <c r="K8937" s="3" t="s">
        <v>23</v>
      </c>
    </row>
    <row r="8938" spans="1:11" ht="42" customHeight="1">
      <c r="A8938" s="2" t="s">
        <v>22699</v>
      </c>
      <c r="B8938" s="2" t="s">
        <v>22700</v>
      </c>
      <c r="C8938" s="2" t="s">
        <v>26</v>
      </c>
      <c r="D8938" s="2" t="s">
        <v>105</v>
      </c>
      <c r="E8938" s="4">
        <v>-32167</v>
      </c>
      <c r="F8938" s="3" t="s">
        <v>347</v>
      </c>
      <c r="G8938" s="3" t="s">
        <v>183</v>
      </c>
      <c r="H8938" s="2" t="s">
        <v>21</v>
      </c>
      <c r="I8938" s="2" t="s">
        <v>22701</v>
      </c>
      <c r="J8938" s="3" t="str">
        <f>HYPERLINK("https://www.boe.es/gazeta/dias/1811/12/05/pdfs/GEI-D-1811-158.pdf#page=4","Abrir facsímil")</f>
        <v>Abrir facsímil</v>
      </c>
      <c r="K8938" s="3" t="s">
        <v>23</v>
      </c>
    </row>
    <row r="8939" spans="1:11" ht="42" customHeight="1">
      <c r="A8939" s="2" t="s">
        <v>22702</v>
      </c>
      <c r="B8939" s="2" t="s">
        <v>22703</v>
      </c>
      <c r="C8939" s="2" t="s">
        <v>841</v>
      </c>
      <c r="D8939" s="2" t="s">
        <v>18</v>
      </c>
      <c r="E8939" s="4">
        <v>-32505</v>
      </c>
      <c r="F8939" s="3" t="s">
        <v>475</v>
      </c>
      <c r="G8939" s="3" t="s">
        <v>755</v>
      </c>
      <c r="H8939" s="2" t="s">
        <v>21</v>
      </c>
      <c r="I8939" s="2" t="s">
        <v>22704</v>
      </c>
      <c r="J8939" s="3" t="str">
        <f>HYPERLINK("https://www.boe.es/gazeta/dias/1811/01/01/pdfs/GEI-1811-1.pdf#page=8","Abrir facsímil")</f>
        <v>Abrir facsímil</v>
      </c>
      <c r="K8939" s="3" t="s">
        <v>23</v>
      </c>
    </row>
    <row r="8940" spans="1:11" ht="42" customHeight="1">
      <c r="A8940" s="2" t="s">
        <v>22705</v>
      </c>
      <c r="B8940" s="2" t="s">
        <v>22706</v>
      </c>
      <c r="C8940" s="2" t="s">
        <v>26</v>
      </c>
      <c r="D8940" s="2" t="s">
        <v>18</v>
      </c>
      <c r="E8940" s="4">
        <v>-32155</v>
      </c>
      <c r="F8940" s="3" t="s">
        <v>263</v>
      </c>
      <c r="G8940" s="3" t="s">
        <v>264</v>
      </c>
      <c r="H8940" s="2" t="s">
        <v>21</v>
      </c>
      <c r="I8940" s="2" t="s">
        <v>22707</v>
      </c>
      <c r="J8940" s="3" t="str">
        <f>HYPERLINK("https://www.boe.es/gazeta/dias/1811/12/17/pdfs/GEI-1811-163.pdf#page=8","Abrir facsímil")</f>
        <v>Abrir facsímil</v>
      </c>
      <c r="K8940" s="3" t="s">
        <v>23</v>
      </c>
    </row>
    <row r="8941" spans="1:11" ht="42" customHeight="1">
      <c r="A8941" s="2" t="s">
        <v>22708</v>
      </c>
      <c r="B8941" s="2" t="s">
        <v>22709</v>
      </c>
      <c r="C8941" s="2" t="s">
        <v>26</v>
      </c>
      <c r="D8941" s="2" t="s">
        <v>18</v>
      </c>
      <c r="E8941" s="4">
        <v>-32237</v>
      </c>
      <c r="F8941" s="3" t="s">
        <v>717</v>
      </c>
      <c r="G8941" s="3" t="s">
        <v>718</v>
      </c>
      <c r="H8941" s="2" t="s">
        <v>21</v>
      </c>
      <c r="I8941" s="2" t="s">
        <v>22710</v>
      </c>
      <c r="J8941" s="3" t="str">
        <f>HYPERLINK("https://www.boe.es/gazeta/dias/1811/09/26/pdfs/GEI-1811-124.pdf#page=5","Abrir facsímil")</f>
        <v>Abrir facsímil</v>
      </c>
      <c r="K8941" s="3" t="s">
        <v>23</v>
      </c>
    </row>
    <row r="8942" spans="1:11" ht="42" customHeight="1">
      <c r="A8942" s="2" t="s">
        <v>22711</v>
      </c>
      <c r="B8942" s="2" t="s">
        <v>22712</v>
      </c>
      <c r="C8942" s="2" t="s">
        <v>17</v>
      </c>
      <c r="D8942" s="2" t="s">
        <v>18</v>
      </c>
      <c r="E8942" s="4">
        <v>-32461</v>
      </c>
      <c r="F8942" s="3" t="s">
        <v>2429</v>
      </c>
      <c r="G8942" s="3" t="s">
        <v>553</v>
      </c>
      <c r="H8942" s="2" t="s">
        <v>21</v>
      </c>
      <c r="I8942" s="2" t="s">
        <v>22713</v>
      </c>
      <c r="J8942" s="3" t="str">
        <f>HYPERLINK("https://www.boe.es/gazeta/dias/1811/02/14/pdfs/GEI-1811-20.pdf#page=1","Abrir facsímil")</f>
        <v>Abrir facsímil</v>
      </c>
      <c r="K8942" s="3" t="s">
        <v>23</v>
      </c>
    </row>
    <row r="8943" spans="1:11" ht="42" customHeight="1">
      <c r="A8943" s="2" t="s">
        <v>22714</v>
      </c>
      <c r="B8943" s="2" t="s">
        <v>22715</v>
      </c>
      <c r="C8943" s="2" t="s">
        <v>17</v>
      </c>
      <c r="D8943" s="2" t="s">
        <v>18</v>
      </c>
      <c r="E8943" s="4">
        <v>-32246</v>
      </c>
      <c r="F8943" s="3" t="s">
        <v>19</v>
      </c>
      <c r="G8943" s="3" t="s">
        <v>2146</v>
      </c>
      <c r="H8943" s="2" t="s">
        <v>21</v>
      </c>
      <c r="I8943" s="2" t="s">
        <v>22716</v>
      </c>
      <c r="J8943" s="3" t="str">
        <f>HYPERLINK("https://www.boe.es/gazeta/dias/1811/09/17/pdfs/GEI-1811-120.pdf#page=14","Abrir facsímil")</f>
        <v>Abrir facsímil</v>
      </c>
      <c r="K8943" s="3" t="s">
        <v>23</v>
      </c>
    </row>
    <row r="8944" spans="1:11" ht="42" customHeight="1">
      <c r="A8944" s="2" t="s">
        <v>22717</v>
      </c>
      <c r="B8944" s="2" t="s">
        <v>22718</v>
      </c>
      <c r="C8944" s="2" t="s">
        <v>17</v>
      </c>
      <c r="D8944" s="2" t="s">
        <v>18</v>
      </c>
      <c r="E8944" s="4">
        <v>-32200</v>
      </c>
      <c r="F8944" s="3" t="s">
        <v>109</v>
      </c>
      <c r="G8944" s="3" t="s">
        <v>268</v>
      </c>
      <c r="H8944" s="2" t="s">
        <v>21</v>
      </c>
      <c r="I8944" s="2" t="s">
        <v>22719</v>
      </c>
      <c r="J8944" s="3" t="str">
        <f>HYPERLINK("https://www.boe.es/gazeta/dias/1811/11/02/pdfs/GEI-1811-141.pdf#page=7","Abrir facsímil")</f>
        <v>Abrir facsímil</v>
      </c>
      <c r="K8944" s="3" t="s">
        <v>23</v>
      </c>
    </row>
    <row r="8945" spans="1:11" ht="42" customHeight="1">
      <c r="A8945" s="2" t="s">
        <v>22720</v>
      </c>
      <c r="B8945" s="2" t="s">
        <v>22721</v>
      </c>
      <c r="C8945" s="2" t="s">
        <v>26</v>
      </c>
      <c r="D8945" s="2" t="s">
        <v>18</v>
      </c>
      <c r="E8945" s="4">
        <v>-32242</v>
      </c>
      <c r="F8945" s="3" t="s">
        <v>1295</v>
      </c>
      <c r="G8945" s="3" t="s">
        <v>1296</v>
      </c>
      <c r="H8945" s="2" t="s">
        <v>21</v>
      </c>
      <c r="I8945" s="2" t="s">
        <v>22722</v>
      </c>
      <c r="J8945" s="3" t="str">
        <f>HYPERLINK("https://www.boe.es/gazeta/dias/1811/09/21/pdfs/GEI-1811-122.pdf#page=8","Abrir facsímil")</f>
        <v>Abrir facsímil</v>
      </c>
      <c r="K8945" s="3" t="s">
        <v>23</v>
      </c>
    </row>
    <row r="8946" spans="1:11" ht="42" customHeight="1">
      <c r="A8946" s="2" t="s">
        <v>22723</v>
      </c>
      <c r="B8946" s="2" t="s">
        <v>22724</v>
      </c>
      <c r="C8946" s="2" t="s">
        <v>122</v>
      </c>
      <c r="D8946" s="2" t="s">
        <v>204</v>
      </c>
      <c r="E8946" s="4">
        <v>-32175</v>
      </c>
      <c r="F8946" s="3" t="s">
        <v>1671</v>
      </c>
      <c r="G8946" s="3" t="s">
        <v>1184</v>
      </c>
      <c r="H8946" s="2" t="s">
        <v>21</v>
      </c>
      <c r="I8946" s="2" t="s">
        <v>22725</v>
      </c>
      <c r="J8946" s="3" t="str">
        <f>HYPERLINK("https://www.boe.es/gazeta/dias/1811/11/27/pdfs/GMD-1811-331.pdf#page=4","Abrir facsímil")</f>
        <v>Abrir facsímil</v>
      </c>
      <c r="K8946" s="3" t="s">
        <v>23</v>
      </c>
    </row>
    <row r="8947" spans="1:11" ht="42" customHeight="1">
      <c r="A8947" s="2" t="s">
        <v>22726</v>
      </c>
      <c r="B8947" s="2" t="s">
        <v>22727</v>
      </c>
      <c r="C8947" s="2" t="s">
        <v>17</v>
      </c>
      <c r="D8947" s="2" t="s">
        <v>18</v>
      </c>
      <c r="E8947" s="4">
        <v>-32342</v>
      </c>
      <c r="F8947" s="3" t="s">
        <v>1474</v>
      </c>
      <c r="G8947" s="3" t="s">
        <v>22728</v>
      </c>
      <c r="H8947" s="2" t="s">
        <v>21</v>
      </c>
      <c r="I8947" s="2" t="s">
        <v>22729</v>
      </c>
      <c r="J8947" s="3" t="str">
        <f>HYPERLINK("https://www.boe.es/gazeta/dias/1811/06/13/pdfs/GEI-1811-79.pdf#page=7","Abrir facsímil")</f>
        <v>Abrir facsímil</v>
      </c>
      <c r="K8947" s="3" t="s">
        <v>23</v>
      </c>
    </row>
    <row r="8948" spans="1:11" ht="42" customHeight="1">
      <c r="A8948" s="2" t="s">
        <v>22730</v>
      </c>
      <c r="B8948" s="2" t="s">
        <v>22731</v>
      </c>
      <c r="C8948" s="2" t="s">
        <v>104</v>
      </c>
      <c r="D8948" s="2" t="s">
        <v>18</v>
      </c>
      <c r="E8948" s="4">
        <v>-32270</v>
      </c>
      <c r="F8948" s="3" t="s">
        <v>431</v>
      </c>
      <c r="G8948" s="3" t="s">
        <v>2080</v>
      </c>
      <c r="H8948" s="2" t="s">
        <v>21</v>
      </c>
      <c r="I8948" s="2" t="s">
        <v>22732</v>
      </c>
      <c r="J8948" s="3" t="str">
        <f>HYPERLINK("https://www.boe.es/gazeta/dias/1811/08/24/pdfs/GEI-1811-110.pdf#page=5","Abrir facsímil")</f>
        <v>Abrir facsímil</v>
      </c>
      <c r="K8948" s="3" t="s">
        <v>23</v>
      </c>
    </row>
    <row r="8949" spans="1:11" ht="42" customHeight="1">
      <c r="A8949" s="2" t="s">
        <v>22733</v>
      </c>
      <c r="B8949" s="2" t="s">
        <v>22734</v>
      </c>
      <c r="C8949" s="2" t="s">
        <v>26</v>
      </c>
      <c r="D8949" s="2" t="s">
        <v>18</v>
      </c>
      <c r="E8949" s="4">
        <v>-32155</v>
      </c>
      <c r="F8949" s="3" t="s">
        <v>263</v>
      </c>
      <c r="G8949" s="3" t="s">
        <v>264</v>
      </c>
      <c r="H8949" s="2" t="s">
        <v>21</v>
      </c>
      <c r="I8949" s="2" t="s">
        <v>22735</v>
      </c>
      <c r="J8949" s="3" t="str">
        <f>HYPERLINK("https://www.boe.es/gazeta/dias/1811/12/17/pdfs/GEI-1811-163.pdf#page=8","Abrir facsímil")</f>
        <v>Abrir facsímil</v>
      </c>
      <c r="K8949" s="3" t="s">
        <v>23</v>
      </c>
    </row>
    <row r="8950" spans="1:11" ht="42" customHeight="1">
      <c r="A8950" s="2" t="s">
        <v>22736</v>
      </c>
      <c r="B8950" s="2" t="s">
        <v>22737</v>
      </c>
      <c r="C8950" s="2" t="s">
        <v>17</v>
      </c>
      <c r="D8950" s="2" t="s">
        <v>156</v>
      </c>
      <c r="E8950" s="4">
        <v>-32470</v>
      </c>
      <c r="F8950" s="3" t="s">
        <v>1432</v>
      </c>
      <c r="G8950" s="3" t="s">
        <v>3543</v>
      </c>
      <c r="H8950" s="2" t="s">
        <v>21</v>
      </c>
      <c r="I8950" s="2" t="s">
        <v>22738</v>
      </c>
      <c r="J8950" s="3" t="str">
        <f>HYPERLINK("https://www.boe.es/gazeta/dias/1811/02/05/pdfs/GEI-1811-16.pdf#page=8","Abrir facsímil")</f>
        <v>Abrir facsímil</v>
      </c>
      <c r="K8950" s="3" t="s">
        <v>23</v>
      </c>
    </row>
    <row r="8951" spans="1:11" ht="42" customHeight="1">
      <c r="A8951" s="2" t="s">
        <v>22739</v>
      </c>
      <c r="B8951" s="2" t="s">
        <v>22740</v>
      </c>
      <c r="C8951" s="2" t="s">
        <v>26</v>
      </c>
      <c r="D8951" s="2" t="s">
        <v>18</v>
      </c>
      <c r="E8951" s="4">
        <v>-32438</v>
      </c>
      <c r="F8951" s="3" t="s">
        <v>114</v>
      </c>
      <c r="G8951" s="3" t="s">
        <v>115</v>
      </c>
      <c r="H8951" s="2" t="s">
        <v>21</v>
      </c>
      <c r="I8951" s="2" t="s">
        <v>22741</v>
      </c>
      <c r="J8951" s="3" t="str">
        <f>HYPERLINK("https://www.boe.es/gazeta/dias/1811/03/09/pdfs/GEI-1811-33.pdf#page=3","Abrir facsímil")</f>
        <v>Abrir facsímil</v>
      </c>
      <c r="K8951" s="3" t="s">
        <v>23</v>
      </c>
    </row>
    <row r="8952" spans="1:11" ht="42" customHeight="1">
      <c r="A8952" s="2" t="s">
        <v>22742</v>
      </c>
      <c r="B8952" s="2" t="s">
        <v>22743</v>
      </c>
      <c r="C8952" s="2" t="s">
        <v>17</v>
      </c>
      <c r="D8952" s="2" t="s">
        <v>156</v>
      </c>
      <c r="E8952" s="4">
        <v>-32333</v>
      </c>
      <c r="F8952" s="3" t="s">
        <v>292</v>
      </c>
      <c r="G8952" s="3" t="s">
        <v>293</v>
      </c>
      <c r="H8952" s="2" t="s">
        <v>21</v>
      </c>
      <c r="I8952" s="2" t="s">
        <v>22744</v>
      </c>
      <c r="J8952" s="3" t="str">
        <f>HYPERLINK("https://www.boe.es/gazeta/dias/1811/06/22/pdfs/GEI-1811-83.pdf#page=8","Abrir facsímil")</f>
        <v>Abrir facsímil</v>
      </c>
      <c r="K8952" s="3" t="s">
        <v>23</v>
      </c>
    </row>
    <row r="8953" spans="1:11" ht="42" customHeight="1">
      <c r="A8953" s="2" t="s">
        <v>22745</v>
      </c>
      <c r="B8953" s="2" t="s">
        <v>22746</v>
      </c>
      <c r="C8953" s="2" t="s">
        <v>104</v>
      </c>
      <c r="D8953" s="2" t="s">
        <v>18</v>
      </c>
      <c r="E8953" s="4">
        <v>-32403</v>
      </c>
      <c r="F8953" s="3" t="s">
        <v>4861</v>
      </c>
      <c r="G8953" s="3" t="s">
        <v>91</v>
      </c>
      <c r="H8953" s="2" t="s">
        <v>21</v>
      </c>
      <c r="I8953" s="2" t="s">
        <v>22747</v>
      </c>
      <c r="J8953" s="3" t="str">
        <f>HYPERLINK("https://www.boe.es/gazeta/dias/1811/04/13/pdfs/GMD-1811-103.pdf#page=4","Abrir facsímil")</f>
        <v>Abrir facsímil</v>
      </c>
      <c r="K8953" s="3" t="s">
        <v>23</v>
      </c>
    </row>
    <row r="8954" spans="1:11" ht="42" customHeight="1">
      <c r="A8954" s="2" t="s">
        <v>22748</v>
      </c>
      <c r="B8954" s="2" t="s">
        <v>22749</v>
      </c>
      <c r="C8954" s="2" t="s">
        <v>26</v>
      </c>
      <c r="D8954" s="2" t="s">
        <v>141</v>
      </c>
      <c r="E8954" s="4">
        <v>-32250</v>
      </c>
      <c r="F8954" s="3" t="s">
        <v>1178</v>
      </c>
      <c r="G8954" s="3" t="s">
        <v>1179</v>
      </c>
      <c r="H8954" s="2" t="s">
        <v>21</v>
      </c>
      <c r="I8954" s="2" t="s">
        <v>22750</v>
      </c>
      <c r="J8954" s="3" t="str">
        <f>HYPERLINK("https://www.boe.es/gazeta/dias/1811/09/13/pdfs/GMD-C-1811-256.pdf#page=1","Abrir facsímil")</f>
        <v>Abrir facsímil</v>
      </c>
      <c r="K8954" s="3" t="s">
        <v>23</v>
      </c>
    </row>
    <row r="8955" spans="1:11" ht="42" customHeight="1">
      <c r="A8955" s="2" t="s">
        <v>22751</v>
      </c>
      <c r="B8955" s="2" t="s">
        <v>22752</v>
      </c>
      <c r="C8955" s="2" t="s">
        <v>17</v>
      </c>
      <c r="D8955" s="2" t="s">
        <v>156</v>
      </c>
      <c r="E8955" s="4">
        <v>-32442</v>
      </c>
      <c r="F8955" s="3" t="s">
        <v>634</v>
      </c>
      <c r="G8955" s="3" t="s">
        <v>3430</v>
      </c>
      <c r="H8955" s="2" t="s">
        <v>21</v>
      </c>
      <c r="I8955" s="2" t="s">
        <v>22753</v>
      </c>
      <c r="J8955" s="3" t="str">
        <f>HYPERLINK("https://www.boe.es/gazeta/dias/1811/03/05/pdfs/GEI-1811-29.pdf#page=3","Abrir facsímil")</f>
        <v>Abrir facsímil</v>
      </c>
      <c r="K8955" s="3" t="s">
        <v>23</v>
      </c>
    </row>
    <row r="8956" spans="1:11" ht="42" customHeight="1">
      <c r="A8956" s="2" t="s">
        <v>22754</v>
      </c>
      <c r="B8956" s="2" t="s">
        <v>22755</v>
      </c>
      <c r="C8956" s="2" t="s">
        <v>37</v>
      </c>
      <c r="D8956" s="2" t="s">
        <v>18</v>
      </c>
      <c r="E8956" s="4">
        <v>-32141</v>
      </c>
      <c r="F8956" s="3" t="s">
        <v>308</v>
      </c>
      <c r="G8956" s="3" t="s">
        <v>1198</v>
      </c>
      <c r="H8956" s="2" t="s">
        <v>21</v>
      </c>
      <c r="I8956" s="2" t="s">
        <v>22756</v>
      </c>
      <c r="J8956" s="3" t="str">
        <f>HYPERLINK("https://www.boe.es/gazeta/dias/1811/12/31/pdfs/GEI-1811-169.pdf#page=8","Abrir facsímil")</f>
        <v>Abrir facsímil</v>
      </c>
      <c r="K8956" s="3" t="s">
        <v>23</v>
      </c>
    </row>
    <row r="8957" spans="1:11" ht="42" customHeight="1">
      <c r="A8957" s="2" t="s">
        <v>22757</v>
      </c>
      <c r="B8957" s="2" t="s">
        <v>22758</v>
      </c>
      <c r="C8957" s="2" t="s">
        <v>26</v>
      </c>
      <c r="D8957" s="2" t="s">
        <v>141</v>
      </c>
      <c r="E8957" s="4">
        <v>-32238</v>
      </c>
      <c r="F8957" s="3" t="s">
        <v>166</v>
      </c>
      <c r="G8957" s="3" t="s">
        <v>178</v>
      </c>
      <c r="H8957" s="2" t="s">
        <v>21</v>
      </c>
      <c r="I8957" s="2" t="s">
        <v>22759</v>
      </c>
      <c r="J8957" s="3" t="str">
        <f>HYPERLINK("https://www.boe.es/gazeta/dias/1811/09/25/pdfs/GMD-C-1811-268.pdf#page=4","Abrir facsímil")</f>
        <v>Abrir facsímil</v>
      </c>
      <c r="K8957" s="3" t="s">
        <v>23</v>
      </c>
    </row>
    <row r="8958" spans="1:11" ht="42" customHeight="1">
      <c r="A8958" s="2" t="s">
        <v>22760</v>
      </c>
      <c r="B8958" s="2" t="s">
        <v>22761</v>
      </c>
      <c r="C8958" s="2" t="s">
        <v>17</v>
      </c>
      <c r="D8958" s="2" t="s">
        <v>156</v>
      </c>
      <c r="E8958" s="4">
        <v>-32258</v>
      </c>
      <c r="F8958" s="3" t="s">
        <v>449</v>
      </c>
      <c r="G8958" s="3" t="s">
        <v>10060</v>
      </c>
      <c r="H8958" s="2" t="s">
        <v>21</v>
      </c>
      <c r="I8958" s="2" t="s">
        <v>22762</v>
      </c>
      <c r="J8958" s="3" t="str">
        <f>HYPERLINK("https://www.boe.es/gazeta/dias/1811/09/05/pdfs/GEI-1811-115.pdf#page=2","Abrir facsímil")</f>
        <v>Abrir facsímil</v>
      </c>
      <c r="K8958" s="3" t="s">
        <v>23</v>
      </c>
    </row>
    <row r="8959" spans="1:11" ht="42" customHeight="1">
      <c r="A8959" s="2" t="s">
        <v>22763</v>
      </c>
      <c r="B8959" s="2" t="s">
        <v>22764</v>
      </c>
      <c r="C8959" s="2" t="s">
        <v>26</v>
      </c>
      <c r="D8959" s="2" t="s">
        <v>141</v>
      </c>
      <c r="E8959" s="4">
        <v>-32167</v>
      </c>
      <c r="F8959" s="3" t="s">
        <v>347</v>
      </c>
      <c r="G8959" s="3" t="s">
        <v>183</v>
      </c>
      <c r="H8959" s="2" t="s">
        <v>21</v>
      </c>
      <c r="I8959" s="2" t="s">
        <v>22765</v>
      </c>
      <c r="J8959" s="3" t="str">
        <f>HYPERLINK("https://www.boe.es/gazeta/dias/1811/12/05/pdfs/GEI-D-1811-158.pdf#page=4","Abrir facsímil")</f>
        <v>Abrir facsímil</v>
      </c>
      <c r="K8959" s="3" t="s">
        <v>23</v>
      </c>
    </row>
    <row r="8960" spans="1:11" ht="42" customHeight="1">
      <c r="A8960" s="2" t="s">
        <v>22766</v>
      </c>
      <c r="B8960" s="2" t="s">
        <v>22767</v>
      </c>
      <c r="C8960" s="2" t="s">
        <v>26</v>
      </c>
      <c r="D8960" s="2" t="s">
        <v>18</v>
      </c>
      <c r="E8960" s="4">
        <v>-32235</v>
      </c>
      <c r="F8960" s="3" t="s">
        <v>190</v>
      </c>
      <c r="G8960" s="3" t="s">
        <v>188</v>
      </c>
      <c r="H8960" s="2" t="s">
        <v>21</v>
      </c>
      <c r="I8960" s="2" t="s">
        <v>22768</v>
      </c>
      <c r="J8960" s="3" t="str">
        <f>HYPERLINK("https://www.boe.es/gazeta/dias/1811/09/28/pdfs/GEI-1811-125.pdf#page=8","Abrir facsímil")</f>
        <v>Abrir facsímil</v>
      </c>
      <c r="K8960" s="3" t="s">
        <v>23</v>
      </c>
    </row>
    <row r="8961" spans="1:11" ht="42" customHeight="1">
      <c r="A8961" s="2" t="s">
        <v>22769</v>
      </c>
      <c r="B8961" s="2" t="s">
        <v>22770</v>
      </c>
      <c r="C8961" s="2" t="s">
        <v>17</v>
      </c>
      <c r="D8961" s="2" t="s">
        <v>18</v>
      </c>
      <c r="E8961" s="4">
        <v>-32438</v>
      </c>
      <c r="F8961" s="3" t="s">
        <v>114</v>
      </c>
      <c r="G8961" s="3" t="s">
        <v>39</v>
      </c>
      <c r="H8961" s="2" t="s">
        <v>21</v>
      </c>
      <c r="I8961" s="2" t="s">
        <v>22771</v>
      </c>
      <c r="J8961" s="3" t="str">
        <f>HYPERLINK("https://www.boe.es/gazeta/dias/1811/03/09/pdfs/GEI-1811-33.pdf#page=1","Abrir facsímil")</f>
        <v>Abrir facsímil</v>
      </c>
      <c r="K8961" s="3" t="s">
        <v>23</v>
      </c>
    </row>
    <row r="8962" spans="1:11" ht="42" customHeight="1">
      <c r="A8962" s="2" t="s">
        <v>22772</v>
      </c>
      <c r="B8962" s="2" t="s">
        <v>22773</v>
      </c>
      <c r="C8962" s="2" t="s">
        <v>17</v>
      </c>
      <c r="D8962" s="2" t="s">
        <v>18</v>
      </c>
      <c r="E8962" s="4">
        <v>-32200</v>
      </c>
      <c r="F8962" s="3" t="s">
        <v>109</v>
      </c>
      <c r="G8962" s="3" t="s">
        <v>268</v>
      </c>
      <c r="H8962" s="2" t="s">
        <v>21</v>
      </c>
      <c r="I8962" s="2" t="s">
        <v>22774</v>
      </c>
      <c r="J8962" s="3" t="str">
        <f>HYPERLINK("https://www.boe.es/gazeta/dias/1811/11/02/pdfs/GEI-1811-141.pdf#page=7","Abrir facsímil")</f>
        <v>Abrir facsímil</v>
      </c>
      <c r="K8962" s="3" t="s">
        <v>23</v>
      </c>
    </row>
    <row r="8963" spans="1:11" ht="42" customHeight="1">
      <c r="A8963" s="2" t="s">
        <v>22775</v>
      </c>
      <c r="B8963" s="2" t="s">
        <v>22776</v>
      </c>
      <c r="C8963" s="2" t="s">
        <v>37</v>
      </c>
      <c r="D8963" s="2" t="s">
        <v>18</v>
      </c>
      <c r="E8963" s="4">
        <v>-32179</v>
      </c>
      <c r="F8963" s="3" t="s">
        <v>614</v>
      </c>
      <c r="G8963" s="3" t="s">
        <v>5164</v>
      </c>
      <c r="H8963" s="2" t="s">
        <v>21</v>
      </c>
      <c r="I8963" s="2" t="s">
        <v>22777</v>
      </c>
      <c r="J8963" s="3" t="str">
        <f>HYPERLINK("https://www.boe.es/gazeta/dias/1811/11/23/pdfs/GEI-1811-153.pdf#page=7","Abrir facsímil")</f>
        <v>Abrir facsímil</v>
      </c>
      <c r="K8963" s="3" t="s">
        <v>23</v>
      </c>
    </row>
    <row r="8964" spans="1:11" ht="42" customHeight="1">
      <c r="A8964" s="2" t="s">
        <v>22778</v>
      </c>
      <c r="B8964" s="2" t="s">
        <v>22779</v>
      </c>
      <c r="C8964" s="2" t="s">
        <v>17</v>
      </c>
      <c r="D8964" s="2" t="s">
        <v>18</v>
      </c>
      <c r="E8964" s="4">
        <v>-32421</v>
      </c>
      <c r="F8964" s="3" t="s">
        <v>79</v>
      </c>
      <c r="G8964" s="3" t="s">
        <v>8682</v>
      </c>
      <c r="H8964" s="2" t="s">
        <v>21</v>
      </c>
      <c r="I8964" s="2" t="s">
        <v>22780</v>
      </c>
      <c r="J8964" s="3" t="str">
        <f>HYPERLINK("https://www.boe.es/gazeta/dias/1811/03/26/pdfs/GEI-1811-42.pdf#page=4","Abrir facsímil")</f>
        <v>Abrir facsímil</v>
      </c>
      <c r="K8964" s="3" t="s">
        <v>23</v>
      </c>
    </row>
    <row r="8965" spans="1:11" ht="42" customHeight="1">
      <c r="A8965" s="2" t="s">
        <v>22781</v>
      </c>
      <c r="B8965" s="2" t="s">
        <v>22782</v>
      </c>
      <c r="C8965" s="2" t="s">
        <v>26</v>
      </c>
      <c r="D8965" s="2" t="s">
        <v>18</v>
      </c>
      <c r="E8965" s="4">
        <v>-32300</v>
      </c>
      <c r="F8965" s="3" t="s">
        <v>61</v>
      </c>
      <c r="G8965" s="3" t="s">
        <v>9808</v>
      </c>
      <c r="H8965" s="2" t="s">
        <v>21</v>
      </c>
      <c r="I8965" s="2" t="s">
        <v>22783</v>
      </c>
      <c r="J8965" s="3" t="str">
        <f>HYPERLINK("https://www.boe.es/gazeta/dias/1811/07/25/pdfs/GEI-1811-97.pdf#page=6","Abrir facsímil")</f>
        <v>Abrir facsímil</v>
      </c>
      <c r="K8965" s="3" t="s">
        <v>23</v>
      </c>
    </row>
    <row r="8966" spans="1:11" ht="42" customHeight="1">
      <c r="A8966" s="2" t="s">
        <v>22784</v>
      </c>
      <c r="B8966" s="2" t="s">
        <v>22785</v>
      </c>
      <c r="C8966" s="2" t="s">
        <v>17</v>
      </c>
      <c r="D8966" s="2" t="s">
        <v>156</v>
      </c>
      <c r="E8966" s="4">
        <v>-32232</v>
      </c>
      <c r="F8966" s="3" t="s">
        <v>1816</v>
      </c>
      <c r="G8966" s="3" t="s">
        <v>1817</v>
      </c>
      <c r="H8966" s="2" t="s">
        <v>21</v>
      </c>
      <c r="I8966" s="2" t="s">
        <v>22786</v>
      </c>
      <c r="J8966" s="3" t="str">
        <f>HYPERLINK("https://www.boe.es/gazeta/dias/1811/10/01/pdfs/GEI-1811-126.pdf#page=8","Abrir facsímil")</f>
        <v>Abrir facsímil</v>
      </c>
      <c r="K8966" s="3" t="s">
        <v>23</v>
      </c>
    </row>
    <row r="8967" spans="1:11" ht="42" customHeight="1">
      <c r="A8967" s="2" t="s">
        <v>22787</v>
      </c>
      <c r="B8967" s="2" t="s">
        <v>22788</v>
      </c>
      <c r="C8967" s="2" t="s">
        <v>37</v>
      </c>
      <c r="D8967" s="2" t="s">
        <v>18</v>
      </c>
      <c r="E8967" s="4">
        <v>-32265</v>
      </c>
      <c r="F8967" s="3" t="s">
        <v>2375</v>
      </c>
      <c r="G8967" s="3" t="s">
        <v>778</v>
      </c>
      <c r="H8967" s="2" t="s">
        <v>21</v>
      </c>
      <c r="I8967" s="2" t="s">
        <v>22789</v>
      </c>
      <c r="J8967" s="3" t="str">
        <f>HYPERLINK("https://www.boe.es/gazeta/dias/1811/08/29/pdfs/GEI-1811-112.pdf#page=6","Abrir facsímil")</f>
        <v>Abrir facsímil</v>
      </c>
      <c r="K8967" s="3" t="s">
        <v>23</v>
      </c>
    </row>
    <row r="8968" spans="1:11" ht="42" customHeight="1">
      <c r="A8968" s="2" t="s">
        <v>22790</v>
      </c>
      <c r="B8968" s="2" t="s">
        <v>22791</v>
      </c>
      <c r="C8968" s="2" t="s">
        <v>26</v>
      </c>
      <c r="D8968" s="2" t="s">
        <v>18</v>
      </c>
      <c r="E8968" s="4">
        <v>-32421</v>
      </c>
      <c r="F8968" s="3" t="s">
        <v>79</v>
      </c>
      <c r="G8968" s="3" t="s">
        <v>80</v>
      </c>
      <c r="H8968" s="2" t="s">
        <v>21</v>
      </c>
      <c r="I8968" s="2" t="s">
        <v>22792</v>
      </c>
      <c r="J8968" s="3" t="str">
        <f>HYPERLINK("https://www.boe.es/gazeta/dias/1811/03/26/pdfs/GEI-1811-42.pdf#page=7","Abrir facsímil")</f>
        <v>Abrir facsímil</v>
      </c>
      <c r="K8968" s="3" t="s">
        <v>23</v>
      </c>
    </row>
    <row r="8969" spans="1:11" ht="42" customHeight="1">
      <c r="A8969" s="2" t="s">
        <v>22793</v>
      </c>
      <c r="B8969" s="2" t="s">
        <v>22794</v>
      </c>
      <c r="C8969" s="2" t="s">
        <v>17</v>
      </c>
      <c r="D8969" s="2" t="s">
        <v>18</v>
      </c>
      <c r="E8969" s="4">
        <v>-32398</v>
      </c>
      <c r="F8969" s="3" t="s">
        <v>946</v>
      </c>
      <c r="G8969" s="3" t="s">
        <v>947</v>
      </c>
      <c r="H8969" s="2" t="s">
        <v>21</v>
      </c>
      <c r="I8969" s="2" t="s">
        <v>22795</v>
      </c>
      <c r="J8969" s="3" t="str">
        <f>HYPERLINK("https://www.boe.es/gazeta/dias/1811/04/18/pdfs/GEI-1811-52.pdf#page=6","Abrir facsímil")</f>
        <v>Abrir facsímil</v>
      </c>
      <c r="K8969" s="3" t="s">
        <v>23</v>
      </c>
    </row>
    <row r="8970" spans="1:11" ht="42" customHeight="1">
      <c r="A8970" s="2" t="s">
        <v>22796</v>
      </c>
      <c r="B8970" s="2" t="s">
        <v>22797</v>
      </c>
      <c r="C8970" s="2" t="s">
        <v>841</v>
      </c>
      <c r="D8970" s="2" t="s">
        <v>18</v>
      </c>
      <c r="E8970" s="4">
        <v>-32251</v>
      </c>
      <c r="F8970" s="3" t="s">
        <v>726</v>
      </c>
      <c r="G8970" s="3" t="s">
        <v>727</v>
      </c>
      <c r="H8970" s="2" t="s">
        <v>21</v>
      </c>
      <c r="I8970" s="2" t="s">
        <v>22798</v>
      </c>
      <c r="J8970" s="3" t="str">
        <f>HYPERLINK("https://www.boe.es/gazeta/dias/1811/09/12/pdfs/GEI-1811-118.pdf#page=8","Abrir facsímil")</f>
        <v>Abrir facsímil</v>
      </c>
      <c r="K8970" s="3" t="s">
        <v>23</v>
      </c>
    </row>
    <row r="8971" spans="1:11" ht="42" customHeight="1">
      <c r="A8971" s="2" t="s">
        <v>22799</v>
      </c>
      <c r="B8971" s="2" t="s">
        <v>22800</v>
      </c>
      <c r="C8971" s="2" t="s">
        <v>17</v>
      </c>
      <c r="D8971" s="2" t="s">
        <v>18</v>
      </c>
      <c r="E8971" s="4">
        <v>-32470</v>
      </c>
      <c r="F8971" s="3" t="s">
        <v>1432</v>
      </c>
      <c r="G8971" s="3" t="s">
        <v>1433</v>
      </c>
      <c r="H8971" s="2" t="s">
        <v>21</v>
      </c>
      <c r="I8971" s="2" t="s">
        <v>22801</v>
      </c>
      <c r="J8971" s="3" t="str">
        <f>HYPERLINK("https://www.boe.es/gazeta/dias/1811/02/05/pdfs/GEI-1811-16.pdf#page=4","Abrir facsímil")</f>
        <v>Abrir facsímil</v>
      </c>
      <c r="K8971" s="3" t="s">
        <v>23</v>
      </c>
    </row>
    <row r="8972" spans="1:11" ht="42" customHeight="1">
      <c r="A8972" s="2" t="s">
        <v>22802</v>
      </c>
      <c r="B8972" s="2" t="s">
        <v>22803</v>
      </c>
      <c r="C8972" s="2" t="s">
        <v>84</v>
      </c>
      <c r="D8972" s="2" t="s">
        <v>105</v>
      </c>
      <c r="E8972" s="4">
        <v>-32314</v>
      </c>
      <c r="F8972" s="3" t="s">
        <v>2051</v>
      </c>
      <c r="G8972" s="3" t="s">
        <v>468</v>
      </c>
      <c r="H8972" s="2" t="s">
        <v>21</v>
      </c>
      <c r="I8972" s="2" t="s">
        <v>22804</v>
      </c>
      <c r="J8972" s="3" t="str">
        <f>HYPERLINK("https://www.boe.es/gazeta/dias/1811/07/11/pdfs/GMD-C-1811-192.pdf#page=1","Abrir facsímil")</f>
        <v>Abrir facsímil</v>
      </c>
      <c r="K8972" s="3" t="s">
        <v>23</v>
      </c>
    </row>
    <row r="8973" spans="1:11" ht="42" customHeight="1">
      <c r="A8973" s="2" t="s">
        <v>22805</v>
      </c>
      <c r="B8973" s="2" t="s">
        <v>22806</v>
      </c>
      <c r="C8973" s="2" t="s">
        <v>37</v>
      </c>
      <c r="D8973" s="2" t="s">
        <v>18</v>
      </c>
      <c r="E8973" s="4">
        <v>-32407</v>
      </c>
      <c r="F8973" s="3" t="s">
        <v>38</v>
      </c>
      <c r="G8973" s="3" t="s">
        <v>480</v>
      </c>
      <c r="H8973" s="2" t="s">
        <v>21</v>
      </c>
      <c r="I8973" s="2" t="s">
        <v>22807</v>
      </c>
      <c r="J8973" s="3" t="str">
        <f>HYPERLINK("https://www.boe.es/gazeta/dias/1811/04/09/pdfs/GEI-1811-48.pdf#page=4","Abrir facsímil")</f>
        <v>Abrir facsímil</v>
      </c>
      <c r="K8973" s="3" t="s">
        <v>23</v>
      </c>
    </row>
    <row r="8974" spans="1:11" ht="42" customHeight="1">
      <c r="A8974" s="2" t="s">
        <v>22808</v>
      </c>
      <c r="B8974" s="2" t="s">
        <v>22809</v>
      </c>
      <c r="C8974" s="2" t="s">
        <v>367</v>
      </c>
      <c r="D8974" s="2" t="s">
        <v>141</v>
      </c>
      <c r="E8974" s="4">
        <v>-32249</v>
      </c>
      <c r="F8974" s="3" t="s">
        <v>743</v>
      </c>
      <c r="G8974" s="3" t="s">
        <v>1021</v>
      </c>
      <c r="H8974" s="2" t="s">
        <v>21</v>
      </c>
      <c r="I8974" s="2" t="s">
        <v>22810</v>
      </c>
      <c r="J8974" s="3" t="str">
        <f>HYPERLINK("https://www.boe.es/gazeta/dias/1811/09/14/pdfs/GMD-C-1811-257.pdf#page=2","Abrir facsímil")</f>
        <v>Abrir facsímil</v>
      </c>
      <c r="K8974" s="3" t="s">
        <v>23</v>
      </c>
    </row>
    <row r="8975" spans="1:11" ht="42" customHeight="1">
      <c r="A8975" s="2" t="s">
        <v>22811</v>
      </c>
      <c r="B8975" s="2" t="s">
        <v>22812</v>
      </c>
      <c r="C8975" s="2" t="s">
        <v>26</v>
      </c>
      <c r="D8975" s="2" t="s">
        <v>18</v>
      </c>
      <c r="E8975" s="4">
        <v>-32430</v>
      </c>
      <c r="F8975" s="3" t="s">
        <v>4714</v>
      </c>
      <c r="G8975" s="3" t="s">
        <v>20</v>
      </c>
      <c r="H8975" s="2" t="s">
        <v>21</v>
      </c>
      <c r="I8975" s="2" t="s">
        <v>22813</v>
      </c>
      <c r="J8975" s="3" t="str">
        <f>HYPERLINK("https://www.boe.es/gazeta/dias/1811/03/17/pdfs/GMD-1811-76.pdf#page=4","Abrir facsímil")</f>
        <v>Abrir facsímil</v>
      </c>
      <c r="K8975" s="3" t="s">
        <v>23</v>
      </c>
    </row>
    <row r="8976" spans="1:11" ht="42" customHeight="1">
      <c r="A8976" s="2" t="s">
        <v>22814</v>
      </c>
      <c r="B8976" s="2" t="s">
        <v>22815</v>
      </c>
      <c r="C8976" s="2" t="s">
        <v>17</v>
      </c>
      <c r="D8976" s="2" t="s">
        <v>18</v>
      </c>
      <c r="E8976" s="4">
        <v>-32213</v>
      </c>
      <c r="F8976" s="3" t="s">
        <v>4653</v>
      </c>
      <c r="G8976" s="3" t="s">
        <v>1930</v>
      </c>
      <c r="H8976" s="2" t="s">
        <v>21</v>
      </c>
      <c r="I8976" s="2" t="s">
        <v>22816</v>
      </c>
      <c r="J8976" s="3" t="str">
        <f>HYPERLINK("https://www.boe.es/gazeta/dias/1811/10/20/pdfs/GMD-1811-293.pdf#page=4","Abrir facsímil")</f>
        <v>Abrir facsímil</v>
      </c>
      <c r="K8976" s="3" t="s">
        <v>23</v>
      </c>
    </row>
    <row r="8977" spans="1:11" ht="42" customHeight="1">
      <c r="A8977" s="2" t="s">
        <v>22817</v>
      </c>
      <c r="B8977" s="2" t="s">
        <v>22818</v>
      </c>
      <c r="C8977" s="2" t="s">
        <v>17</v>
      </c>
      <c r="D8977" s="2" t="s">
        <v>156</v>
      </c>
      <c r="E8977" s="4">
        <v>-32470</v>
      </c>
      <c r="F8977" s="3" t="s">
        <v>1432</v>
      </c>
      <c r="G8977" s="3" t="s">
        <v>1784</v>
      </c>
      <c r="H8977" s="2" t="s">
        <v>21</v>
      </c>
      <c r="I8977" s="2" t="s">
        <v>22819</v>
      </c>
      <c r="J8977" s="3" t="str">
        <f>HYPERLINK("https://www.boe.es/gazeta/dias/1811/02/05/pdfs/GEI-1811-16.pdf#page=7","Abrir facsímil")</f>
        <v>Abrir facsímil</v>
      </c>
      <c r="K8977" s="3" t="s">
        <v>23</v>
      </c>
    </row>
    <row r="8978" spans="1:11" ht="42" customHeight="1">
      <c r="A8978" s="2" t="s">
        <v>22820</v>
      </c>
      <c r="B8978" s="2" t="s">
        <v>22821</v>
      </c>
      <c r="C8978" s="2" t="s">
        <v>26</v>
      </c>
      <c r="D8978" s="2" t="s">
        <v>18</v>
      </c>
      <c r="E8978" s="4">
        <v>-32379</v>
      </c>
      <c r="F8978" s="3" t="s">
        <v>462</v>
      </c>
      <c r="G8978" s="3" t="s">
        <v>463</v>
      </c>
      <c r="H8978" s="2" t="s">
        <v>21</v>
      </c>
      <c r="I8978" s="2" t="s">
        <v>22822</v>
      </c>
      <c r="J8978" s="3" t="str">
        <f>HYPERLINK("https://www.boe.es/gazeta/dias/1811/05/07/pdfs/GEI-1811-60.pdf#page=8","Abrir facsímil")</f>
        <v>Abrir facsímil</v>
      </c>
      <c r="K8978" s="3" t="s">
        <v>23</v>
      </c>
    </row>
    <row r="8979" spans="1:11" ht="42" customHeight="1">
      <c r="A8979" s="2" t="s">
        <v>22823</v>
      </c>
      <c r="B8979" s="2" t="s">
        <v>22824</v>
      </c>
      <c r="C8979" s="2" t="s">
        <v>17</v>
      </c>
      <c r="D8979" s="2" t="s">
        <v>18</v>
      </c>
      <c r="E8979" s="4">
        <v>-32284</v>
      </c>
      <c r="F8979" s="3" t="s">
        <v>170</v>
      </c>
      <c r="G8979" s="3" t="s">
        <v>1388</v>
      </c>
      <c r="H8979" s="2" t="s">
        <v>21</v>
      </c>
      <c r="I8979" s="2" t="s">
        <v>22825</v>
      </c>
      <c r="J8979" s="3" t="str">
        <f>HYPERLINK("https://www.boe.es/gazeta/dias/1811/08/10/pdfs/GEI-1811-104.pdf#page=8","Abrir facsímil")</f>
        <v>Abrir facsímil</v>
      </c>
      <c r="K8979" s="3" t="s">
        <v>23</v>
      </c>
    </row>
    <row r="8980" spans="1:11" ht="42" customHeight="1">
      <c r="A8980" s="2" t="s">
        <v>22826</v>
      </c>
      <c r="B8980" s="2" t="s">
        <v>22827</v>
      </c>
      <c r="C8980" s="2" t="s">
        <v>84</v>
      </c>
      <c r="D8980" s="2" t="s">
        <v>105</v>
      </c>
      <c r="E8980" s="4">
        <v>-32235</v>
      </c>
      <c r="F8980" s="3" t="s">
        <v>190</v>
      </c>
      <c r="G8980" s="3" t="s">
        <v>188</v>
      </c>
      <c r="H8980" s="2" t="s">
        <v>21</v>
      </c>
      <c r="I8980" s="2" t="s">
        <v>22828</v>
      </c>
      <c r="J8980" s="3" t="str">
        <f>HYPERLINK("https://www.boe.es/gazeta/dias/1811/09/28/pdfs/GEI-1811-125.pdf#page=8","Abrir facsímil")</f>
        <v>Abrir facsímil</v>
      </c>
      <c r="K8980" s="3" t="s">
        <v>23</v>
      </c>
    </row>
    <row r="8981" spans="1:11" ht="42" customHeight="1">
      <c r="A8981" s="2" t="s">
        <v>22829</v>
      </c>
      <c r="B8981" s="2" t="s">
        <v>22830</v>
      </c>
      <c r="C8981" s="2" t="s">
        <v>26</v>
      </c>
      <c r="D8981" s="2" t="s">
        <v>18</v>
      </c>
      <c r="E8981" s="4">
        <v>-32424</v>
      </c>
      <c r="F8981" s="3" t="s">
        <v>772</v>
      </c>
      <c r="G8981" s="3" t="s">
        <v>91</v>
      </c>
      <c r="H8981" s="2" t="s">
        <v>21</v>
      </c>
      <c r="I8981" s="2" t="s">
        <v>22831</v>
      </c>
      <c r="J8981" s="3" t="str">
        <f>HYPERLINK("https://www.boe.es/gazeta/dias/1811/03/23/pdfs/GMD-1811-82.pdf#page=4","Abrir facsímil")</f>
        <v>Abrir facsímil</v>
      </c>
      <c r="K8981" s="3" t="s">
        <v>23</v>
      </c>
    </row>
    <row r="8982" spans="1:11" ht="42" customHeight="1">
      <c r="A8982" s="2" t="s">
        <v>22832</v>
      </c>
      <c r="B8982" s="2" t="s">
        <v>22833</v>
      </c>
      <c r="C8982" s="2" t="s">
        <v>84</v>
      </c>
      <c r="D8982" s="2" t="s">
        <v>18</v>
      </c>
      <c r="E8982" s="4">
        <v>-32396</v>
      </c>
      <c r="F8982" s="3" t="s">
        <v>1267</v>
      </c>
      <c r="G8982" s="3" t="s">
        <v>2384</v>
      </c>
      <c r="H8982" s="2" t="s">
        <v>21</v>
      </c>
      <c r="I8982" s="2" t="s">
        <v>22834</v>
      </c>
      <c r="J8982" s="3" t="str">
        <f>HYPERLINK("https://www.boe.es/gazeta/dias/1811/04/20/pdfs/GMD-1811-110.pdf#page=4","Abrir facsímil")</f>
        <v>Abrir facsímil</v>
      </c>
      <c r="K8982" s="3" t="s">
        <v>23</v>
      </c>
    </row>
    <row r="8983" spans="1:11" ht="42" customHeight="1">
      <c r="A8983" s="2" t="s">
        <v>22835</v>
      </c>
      <c r="B8983" s="2" t="s">
        <v>22836</v>
      </c>
      <c r="C8983" s="2" t="s">
        <v>17</v>
      </c>
      <c r="D8983" s="2" t="s">
        <v>18</v>
      </c>
      <c r="E8983" s="4">
        <v>-32232</v>
      </c>
      <c r="F8983" s="3" t="s">
        <v>1879</v>
      </c>
      <c r="G8983" s="3" t="s">
        <v>20</v>
      </c>
      <c r="H8983" s="2" t="s">
        <v>21</v>
      </c>
      <c r="I8983" s="2" t="s">
        <v>22837</v>
      </c>
      <c r="J8983" s="3" t="str">
        <f>HYPERLINK("https://www.boe.es/gazeta/dias/1811/10/01/pdfs/GMD-1811-274.pdf#page=4","Abrir facsímil")</f>
        <v>Abrir facsímil</v>
      </c>
      <c r="K8983" s="3" t="s">
        <v>23</v>
      </c>
    </row>
    <row r="8984" spans="1:11" ht="42" customHeight="1">
      <c r="A8984" s="2" t="s">
        <v>22838</v>
      </c>
      <c r="B8984" s="2" t="s">
        <v>22839</v>
      </c>
      <c r="C8984" s="2" t="s">
        <v>17</v>
      </c>
      <c r="D8984" s="2" t="s">
        <v>18</v>
      </c>
      <c r="E8984" s="4">
        <v>-32421</v>
      </c>
      <c r="F8984" s="3" t="s">
        <v>79</v>
      </c>
      <c r="G8984" s="3" t="s">
        <v>80</v>
      </c>
      <c r="H8984" s="2" t="s">
        <v>21</v>
      </c>
      <c r="I8984" s="2" t="s">
        <v>22840</v>
      </c>
      <c r="J8984" s="3" t="str">
        <f>HYPERLINK("https://www.boe.es/gazeta/dias/1811/03/26/pdfs/GEI-1811-42.pdf#page=7","Abrir facsímil")</f>
        <v>Abrir facsímil</v>
      </c>
      <c r="K8984" s="3" t="s">
        <v>23</v>
      </c>
    </row>
    <row r="8985" spans="1:11" ht="42" customHeight="1">
      <c r="A8985" s="2" t="s">
        <v>22841</v>
      </c>
      <c r="B8985" s="2" t="s">
        <v>22842</v>
      </c>
      <c r="C8985" s="2" t="s">
        <v>26</v>
      </c>
      <c r="D8985" s="2" t="s">
        <v>18</v>
      </c>
      <c r="E8985" s="4">
        <v>-32309</v>
      </c>
      <c r="F8985" s="3" t="s">
        <v>2496</v>
      </c>
      <c r="G8985" s="3" t="s">
        <v>91</v>
      </c>
      <c r="H8985" s="2" t="s">
        <v>21</v>
      </c>
      <c r="I8985" s="2" t="s">
        <v>22843</v>
      </c>
      <c r="J8985" s="3" t="str">
        <f>HYPERLINK("https://www.boe.es/gazeta/dias/1811/07/16/pdfs/GEI-1811-93.pdf#page=7","Abrir facsímil")</f>
        <v>Abrir facsímil</v>
      </c>
      <c r="K8985" s="3" t="s">
        <v>23</v>
      </c>
    </row>
    <row r="8986" spans="1:11" ht="42" customHeight="1">
      <c r="A8986" s="2" t="s">
        <v>22844</v>
      </c>
      <c r="B8986" s="2" t="s">
        <v>22845</v>
      </c>
      <c r="C8986" s="2" t="s">
        <v>26</v>
      </c>
      <c r="D8986" s="2" t="s">
        <v>18</v>
      </c>
      <c r="E8986" s="4">
        <v>-32295</v>
      </c>
      <c r="F8986" s="3" t="s">
        <v>279</v>
      </c>
      <c r="G8986" s="3" t="s">
        <v>44</v>
      </c>
      <c r="H8986" s="2" t="s">
        <v>21</v>
      </c>
      <c r="I8986" s="2" t="s">
        <v>22846</v>
      </c>
      <c r="J8986" s="3" t="str">
        <f>HYPERLINK("https://www.boe.es/gazeta/dias/1811/07/30/pdfs/GEI-1811-99.pdf#page=8","Abrir facsímil")</f>
        <v>Abrir facsímil</v>
      </c>
      <c r="K8986" s="3" t="s">
        <v>23</v>
      </c>
    </row>
    <row r="8987" spans="1:11" ht="42" customHeight="1">
      <c r="A8987" s="2" t="s">
        <v>22847</v>
      </c>
      <c r="B8987" s="2" t="s">
        <v>22848</v>
      </c>
      <c r="C8987" s="2" t="s">
        <v>17</v>
      </c>
      <c r="D8987" s="2" t="s">
        <v>18</v>
      </c>
      <c r="E8987" s="4">
        <v>-32165</v>
      </c>
      <c r="F8987" s="3" t="s">
        <v>4621</v>
      </c>
      <c r="G8987" s="3" t="s">
        <v>480</v>
      </c>
      <c r="H8987" s="2" t="s">
        <v>21</v>
      </c>
      <c r="I8987" s="2" t="s">
        <v>22849</v>
      </c>
      <c r="J8987" s="3" t="str">
        <f>HYPERLINK("https://www.boe.es/gazeta/dias/1811/12/07/pdfs/GEI-1811-159.pdf#page=4","Abrir facsímil")</f>
        <v>Abrir facsímil</v>
      </c>
      <c r="K8987" s="3" t="s">
        <v>23</v>
      </c>
    </row>
    <row r="8988" spans="1:11" ht="42" customHeight="1">
      <c r="A8988" s="2" t="s">
        <v>22850</v>
      </c>
      <c r="B8988" s="2" t="s">
        <v>22851</v>
      </c>
      <c r="C8988" s="2" t="s">
        <v>26</v>
      </c>
      <c r="D8988" s="2" t="s">
        <v>18</v>
      </c>
      <c r="E8988" s="4">
        <v>-32286</v>
      </c>
      <c r="F8988" s="3" t="s">
        <v>754</v>
      </c>
      <c r="G8988" s="3" t="s">
        <v>1728</v>
      </c>
      <c r="H8988" s="2" t="s">
        <v>21</v>
      </c>
      <c r="I8988" s="2" t="s">
        <v>22852</v>
      </c>
      <c r="J8988" s="3" t="str">
        <f>HYPERLINK("https://www.boe.es/gazeta/dias/1811/08/08/pdfs/GEI-1811-103.pdf#page=8","Abrir facsímil")</f>
        <v>Abrir facsímil</v>
      </c>
      <c r="K8988" s="3" t="s">
        <v>23</v>
      </c>
    </row>
    <row r="8989" spans="1:11" ht="42" customHeight="1">
      <c r="A8989" s="2" t="s">
        <v>22853</v>
      </c>
      <c r="B8989" s="2" t="s">
        <v>22854</v>
      </c>
      <c r="C8989" s="2" t="s">
        <v>26</v>
      </c>
      <c r="D8989" s="2" t="s">
        <v>141</v>
      </c>
      <c r="E8989" s="4">
        <v>-32280</v>
      </c>
      <c r="F8989" s="3" t="s">
        <v>142</v>
      </c>
      <c r="G8989" s="3" t="s">
        <v>47</v>
      </c>
      <c r="H8989" s="2" t="s">
        <v>21</v>
      </c>
      <c r="I8989" s="2" t="s">
        <v>22855</v>
      </c>
      <c r="J8989" s="3" t="str">
        <f>HYPERLINK("https://www.boe.es/gazeta/dias/1811/08/14/pdfs/GMD-C-1811-226.pdf#page=1","Abrir facsímil")</f>
        <v>Abrir facsímil</v>
      </c>
      <c r="K8989" s="3" t="s">
        <v>23</v>
      </c>
    </row>
    <row r="8990" spans="1:11" ht="42" customHeight="1">
      <c r="A8990" s="2" t="s">
        <v>22856</v>
      </c>
      <c r="B8990" s="2" t="s">
        <v>22857</v>
      </c>
      <c r="C8990" s="2" t="s">
        <v>26</v>
      </c>
      <c r="D8990" s="2" t="s">
        <v>18</v>
      </c>
      <c r="E8990" s="4">
        <v>-32299</v>
      </c>
      <c r="F8990" s="3" t="s">
        <v>2124</v>
      </c>
      <c r="G8990" s="3" t="s">
        <v>20</v>
      </c>
      <c r="H8990" s="2" t="s">
        <v>21</v>
      </c>
      <c r="I8990" s="2" t="s">
        <v>22858</v>
      </c>
      <c r="J8990" s="3" t="str">
        <f>HYPERLINK("https://www.boe.es/gazeta/dias/1811/07/26/pdfs/GMD-1811-207.pdf#page=3","Abrir facsímil")</f>
        <v>Abrir facsímil</v>
      </c>
      <c r="K8990" s="3" t="s">
        <v>23</v>
      </c>
    </row>
    <row r="8991" spans="1:11" ht="42" customHeight="1">
      <c r="A8991" s="2" t="s">
        <v>22859</v>
      </c>
      <c r="B8991" s="2" t="s">
        <v>22860</v>
      </c>
      <c r="C8991" s="2" t="s">
        <v>17</v>
      </c>
      <c r="D8991" s="2" t="s">
        <v>18</v>
      </c>
      <c r="E8991" s="4">
        <v>-32153</v>
      </c>
      <c r="F8991" s="3" t="s">
        <v>235</v>
      </c>
      <c r="G8991" s="3" t="s">
        <v>2181</v>
      </c>
      <c r="H8991" s="2" t="s">
        <v>21</v>
      </c>
      <c r="I8991" s="2" t="s">
        <v>22861</v>
      </c>
      <c r="J8991" s="3" t="str">
        <f>HYPERLINK("https://www.boe.es/gazeta/dias/1811/12/19/pdfs/GEI-1811-164.pdf#page=8","Abrir facsímil")</f>
        <v>Abrir facsímil</v>
      </c>
      <c r="K8991" s="3" t="s">
        <v>23</v>
      </c>
    </row>
    <row r="8992" spans="1:11" ht="42" customHeight="1">
      <c r="A8992" s="2" t="s">
        <v>22862</v>
      </c>
      <c r="B8992" s="2" t="s">
        <v>22863</v>
      </c>
      <c r="C8992" s="2" t="s">
        <v>26</v>
      </c>
      <c r="D8992" s="2" t="s">
        <v>141</v>
      </c>
      <c r="E8992" s="4">
        <v>-32280</v>
      </c>
      <c r="F8992" s="3" t="s">
        <v>142</v>
      </c>
      <c r="G8992" s="3" t="s">
        <v>597</v>
      </c>
      <c r="H8992" s="2" t="s">
        <v>21</v>
      </c>
      <c r="I8992" s="2" t="s">
        <v>22864</v>
      </c>
      <c r="J8992" s="3" t="str">
        <f>HYPERLINK("https://www.boe.es/gazeta/dias/1811/08/14/pdfs/GMD-C-1811-226.pdf#page=2","Abrir facsímil")</f>
        <v>Abrir facsímil</v>
      </c>
      <c r="K8992" s="3" t="s">
        <v>23</v>
      </c>
    </row>
    <row r="8993" spans="1:11" ht="42" customHeight="1">
      <c r="A8993" s="2" t="s">
        <v>22865</v>
      </c>
      <c r="B8993" s="2" t="s">
        <v>22866</v>
      </c>
      <c r="C8993" s="2" t="s">
        <v>26</v>
      </c>
      <c r="D8993" s="2" t="s">
        <v>18</v>
      </c>
      <c r="E8993" s="4">
        <v>-32483</v>
      </c>
      <c r="F8993" s="3" t="s">
        <v>1081</v>
      </c>
      <c r="G8993" s="3" t="s">
        <v>162</v>
      </c>
      <c r="H8993" s="2" t="s">
        <v>21</v>
      </c>
      <c r="I8993" s="2" t="s">
        <v>22867</v>
      </c>
      <c r="J8993" s="3" t="str">
        <f>HYPERLINK("https://www.boe.es/gazeta/dias/1811/01/23/pdfs/GMD-1811-23.pdf#page=4","Abrir facsímil")</f>
        <v>Abrir facsímil</v>
      </c>
      <c r="K8993" s="3" t="s">
        <v>23</v>
      </c>
    </row>
    <row r="8994" spans="1:11" ht="42" customHeight="1">
      <c r="A8994" s="2" t="s">
        <v>22868</v>
      </c>
      <c r="B8994" s="2" t="s">
        <v>22869</v>
      </c>
      <c r="C8994" s="2" t="s">
        <v>17</v>
      </c>
      <c r="D8994" s="2" t="s">
        <v>156</v>
      </c>
      <c r="E8994" s="4">
        <v>-32484</v>
      </c>
      <c r="F8994" s="3" t="s">
        <v>467</v>
      </c>
      <c r="G8994" s="3" t="s">
        <v>468</v>
      </c>
      <c r="H8994" s="2" t="s">
        <v>21</v>
      </c>
      <c r="I8994" s="2" t="s">
        <v>22870</v>
      </c>
      <c r="J8994" s="3" t="str">
        <f>HYPERLINK("https://www.boe.es/gazeta/dias/1811/01/22/pdfs/GEI-1811-10.pdf#page=5","Abrir facsímil")</f>
        <v>Abrir facsímil</v>
      </c>
      <c r="K8994" s="3" t="s">
        <v>23</v>
      </c>
    </row>
    <row r="8995" spans="1:11" ht="42" customHeight="1">
      <c r="A8995" s="2" t="s">
        <v>22871</v>
      </c>
      <c r="B8995" s="2" t="s">
        <v>22872</v>
      </c>
      <c r="C8995" s="2" t="s">
        <v>26</v>
      </c>
      <c r="D8995" s="2" t="s">
        <v>105</v>
      </c>
      <c r="E8995" s="4">
        <v>-32250</v>
      </c>
      <c r="F8995" s="3" t="s">
        <v>2823</v>
      </c>
      <c r="G8995" s="3" t="s">
        <v>3947</v>
      </c>
      <c r="H8995" s="2" t="s">
        <v>21</v>
      </c>
      <c r="I8995" s="2" t="s">
        <v>22873</v>
      </c>
      <c r="J8995" s="3" t="str">
        <f>HYPERLINK("https://www.boe.es/gazeta/dias/1811/09/13/pdfs/GMD-1811-256.pdf#page=4","Abrir facsímil")</f>
        <v>Abrir facsímil</v>
      </c>
      <c r="K8995" s="3" t="s">
        <v>23</v>
      </c>
    </row>
    <row r="8996" spans="1:11" ht="42" customHeight="1">
      <c r="A8996" s="2" t="s">
        <v>22874</v>
      </c>
      <c r="B8996" s="2" t="s">
        <v>22875</v>
      </c>
      <c r="C8996" s="2" t="s">
        <v>26</v>
      </c>
      <c r="D8996" s="2" t="s">
        <v>18</v>
      </c>
      <c r="E8996" s="4">
        <v>-32286</v>
      </c>
      <c r="F8996" s="3" t="s">
        <v>754</v>
      </c>
      <c r="G8996" s="3" t="s">
        <v>248</v>
      </c>
      <c r="H8996" s="2" t="s">
        <v>21</v>
      </c>
      <c r="I8996" s="2" t="s">
        <v>22876</v>
      </c>
      <c r="J8996" s="3" t="str">
        <f>HYPERLINK("https://www.boe.es/gazeta/dias/1811/08/08/pdfs/GEI-1811-103.pdf#page=7","Abrir facsímil")</f>
        <v>Abrir facsímil</v>
      </c>
      <c r="K8996" s="3" t="s">
        <v>23</v>
      </c>
    </row>
    <row r="8997" spans="1:11" ht="42" customHeight="1">
      <c r="A8997" s="2" t="s">
        <v>22877</v>
      </c>
      <c r="B8997" s="2" t="s">
        <v>22878</v>
      </c>
      <c r="C8997" s="2" t="s">
        <v>26</v>
      </c>
      <c r="D8997" s="2" t="s">
        <v>204</v>
      </c>
      <c r="E8997" s="4">
        <v>-32433</v>
      </c>
      <c r="F8997" s="3" t="s">
        <v>209</v>
      </c>
      <c r="G8997" s="3" t="s">
        <v>115</v>
      </c>
      <c r="H8997" s="2" t="s">
        <v>21</v>
      </c>
      <c r="I8997" s="2" t="s">
        <v>22879</v>
      </c>
      <c r="J8997" s="3" t="str">
        <f>HYPERLINK("https://www.boe.es/gazeta/dias/1811/03/14/pdfs/GMD-1811-73.pdf#page=3","Abrir facsímil")</f>
        <v>Abrir facsímil</v>
      </c>
      <c r="K8997" s="3" t="s">
        <v>23</v>
      </c>
    </row>
    <row r="8998" spans="1:11" ht="42" customHeight="1">
      <c r="A8998" s="2" t="s">
        <v>22880</v>
      </c>
      <c r="B8998" s="2" t="s">
        <v>22881</v>
      </c>
      <c r="C8998" s="2" t="s">
        <v>84</v>
      </c>
      <c r="D8998" s="2" t="s">
        <v>18</v>
      </c>
      <c r="E8998" s="4">
        <v>-32405</v>
      </c>
      <c r="F8998" s="3" t="s">
        <v>363</v>
      </c>
      <c r="G8998" s="3" t="s">
        <v>183</v>
      </c>
      <c r="H8998" s="2" t="s">
        <v>21</v>
      </c>
      <c r="I8998" s="2" t="s">
        <v>22882</v>
      </c>
      <c r="J8998" s="3" t="str">
        <f>HYPERLINK("https://www.boe.es/gazeta/dias/1811/04/11/pdfs/GMD-1811-101.pdf#page=4","Abrir facsímil")</f>
        <v>Abrir facsímil</v>
      </c>
      <c r="K8998" s="3" t="s">
        <v>23</v>
      </c>
    </row>
    <row r="8999" spans="1:11" ht="42" customHeight="1">
      <c r="A8999" s="2" t="s">
        <v>22883</v>
      </c>
      <c r="B8999" s="2" t="s">
        <v>22884</v>
      </c>
      <c r="C8999" s="2" t="s">
        <v>17</v>
      </c>
      <c r="D8999" s="2" t="s">
        <v>105</v>
      </c>
      <c r="E8999" s="4">
        <v>-32200</v>
      </c>
      <c r="F8999" s="3" t="s">
        <v>109</v>
      </c>
      <c r="G8999" s="3" t="s">
        <v>586</v>
      </c>
      <c r="H8999" s="2" t="s">
        <v>21</v>
      </c>
      <c r="I8999" s="2" t="s">
        <v>22885</v>
      </c>
      <c r="J8999" s="3" t="str">
        <f>HYPERLINK("https://www.boe.es/gazeta/dias/1811/11/02/pdfs/GEI-1811-141.pdf#page=8","Abrir facsímil")</f>
        <v>Abrir facsímil</v>
      </c>
      <c r="K8999" s="3" t="s">
        <v>23</v>
      </c>
    </row>
    <row r="9000" spans="1:11" ht="42" customHeight="1">
      <c r="A9000" s="2" t="s">
        <v>22886</v>
      </c>
      <c r="B9000" s="2" t="s">
        <v>22887</v>
      </c>
      <c r="C9000" s="2" t="s">
        <v>17</v>
      </c>
      <c r="D9000" s="2" t="s">
        <v>156</v>
      </c>
      <c r="E9000" s="4">
        <v>-32242</v>
      </c>
      <c r="F9000" s="3" t="s">
        <v>1295</v>
      </c>
      <c r="G9000" s="3" t="s">
        <v>1296</v>
      </c>
      <c r="H9000" s="2" t="s">
        <v>21</v>
      </c>
      <c r="I9000" s="2" t="s">
        <v>22888</v>
      </c>
      <c r="J9000" s="3" t="str">
        <f>HYPERLINK("https://www.boe.es/gazeta/dias/1811/09/21/pdfs/GEI-1811-122.pdf#page=8","Abrir facsímil")</f>
        <v>Abrir facsímil</v>
      </c>
      <c r="K9000" s="3" t="s">
        <v>23</v>
      </c>
    </row>
    <row r="9001" spans="1:11" ht="42" customHeight="1">
      <c r="A9001" s="2" t="s">
        <v>22889</v>
      </c>
      <c r="B9001" s="2" t="s">
        <v>22890</v>
      </c>
      <c r="C9001" s="2" t="s">
        <v>37</v>
      </c>
      <c r="D9001" s="2" t="s">
        <v>18</v>
      </c>
      <c r="E9001" s="4">
        <v>-32187</v>
      </c>
      <c r="F9001" s="3" t="s">
        <v>1775</v>
      </c>
      <c r="G9001" s="3" t="s">
        <v>657</v>
      </c>
      <c r="H9001" s="2" t="s">
        <v>21</v>
      </c>
      <c r="I9001" s="2" t="s">
        <v>22891</v>
      </c>
      <c r="J9001" s="3" t="str">
        <f>HYPERLINK("https://www.boe.es/gazeta/dias/1811/11/15/pdfs/GMD-1811-319.pdf#page=4","Abrir facsímil")</f>
        <v>Abrir facsímil</v>
      </c>
      <c r="K9001" s="3" t="s">
        <v>23</v>
      </c>
    </row>
    <row r="9002" spans="1:11" ht="42" customHeight="1">
      <c r="A9002" s="2" t="s">
        <v>22892</v>
      </c>
      <c r="B9002" s="2" t="s">
        <v>22893</v>
      </c>
      <c r="C9002" s="2" t="s">
        <v>26</v>
      </c>
      <c r="D9002" s="2" t="s">
        <v>18</v>
      </c>
      <c r="E9002" s="4">
        <v>-32155</v>
      </c>
      <c r="F9002" s="3" t="s">
        <v>99</v>
      </c>
      <c r="G9002" s="3" t="s">
        <v>100</v>
      </c>
      <c r="H9002" s="2" t="s">
        <v>21</v>
      </c>
      <c r="I9002" s="2" t="s">
        <v>22894</v>
      </c>
      <c r="J9002" s="3" t="str">
        <f>HYPERLINK("https://www.boe.es/gazeta/dias/1811/12/17/pdfs/GMD-1811-351.pdf#page=4","Abrir facsímil")</f>
        <v>Abrir facsímil</v>
      </c>
      <c r="K9002" s="3" t="s">
        <v>23</v>
      </c>
    </row>
    <row r="9003" spans="1:11" ht="42" customHeight="1">
      <c r="A9003" s="2" t="s">
        <v>22895</v>
      </c>
      <c r="B9003" s="2" t="s">
        <v>22896</v>
      </c>
      <c r="C9003" s="2" t="s">
        <v>26</v>
      </c>
      <c r="D9003" s="2" t="s">
        <v>18</v>
      </c>
      <c r="E9003" s="4">
        <v>-32153</v>
      </c>
      <c r="F9003" s="3" t="s">
        <v>235</v>
      </c>
      <c r="G9003" s="3" t="s">
        <v>236</v>
      </c>
      <c r="H9003" s="2" t="s">
        <v>21</v>
      </c>
      <c r="I9003" s="2" t="s">
        <v>22897</v>
      </c>
      <c r="J9003" s="3" t="str">
        <f>HYPERLINK("https://www.boe.es/gazeta/dias/1811/12/19/pdfs/GEI-1811-164.pdf#page=7","Abrir facsímil")</f>
        <v>Abrir facsímil</v>
      </c>
      <c r="K9003" s="3" t="s">
        <v>23</v>
      </c>
    </row>
    <row r="9004" spans="1:11" ht="42" customHeight="1">
      <c r="A9004" s="2" t="s">
        <v>22898</v>
      </c>
      <c r="B9004" s="2" t="s">
        <v>22899</v>
      </c>
      <c r="C9004" s="2" t="s">
        <v>26</v>
      </c>
      <c r="D9004" s="2" t="s">
        <v>18</v>
      </c>
      <c r="E9004" s="4">
        <v>-32300</v>
      </c>
      <c r="F9004" s="3" t="s">
        <v>61</v>
      </c>
      <c r="G9004" s="3" t="s">
        <v>129</v>
      </c>
      <c r="H9004" s="2" t="s">
        <v>21</v>
      </c>
      <c r="I9004" s="2" t="s">
        <v>22900</v>
      </c>
      <c r="J9004" s="3" t="str">
        <f>HYPERLINK("https://www.boe.es/gazeta/dias/1811/07/25/pdfs/GEI-1811-97.pdf#page=2","Abrir facsímil")</f>
        <v>Abrir facsímil</v>
      </c>
      <c r="K9004" s="3" t="s">
        <v>23</v>
      </c>
    </row>
    <row r="9005" spans="1:11" ht="42" customHeight="1">
      <c r="A9005" s="2" t="s">
        <v>22901</v>
      </c>
      <c r="B9005" s="2" t="s">
        <v>22902</v>
      </c>
      <c r="C9005" s="2" t="s">
        <v>26</v>
      </c>
      <c r="D9005" s="2" t="s">
        <v>18</v>
      </c>
      <c r="E9005" s="4">
        <v>-32442</v>
      </c>
      <c r="F9005" s="3" t="s">
        <v>634</v>
      </c>
      <c r="G9005" s="3" t="s">
        <v>3243</v>
      </c>
      <c r="H9005" s="2" t="s">
        <v>21</v>
      </c>
      <c r="I9005" s="2" t="s">
        <v>22903</v>
      </c>
      <c r="J9005" s="3" t="str">
        <f>HYPERLINK("https://www.boe.es/gazeta/dias/1811/03/05/pdfs/GEI-1811-29.pdf#page=5","Abrir facsímil")</f>
        <v>Abrir facsímil</v>
      </c>
      <c r="K9005" s="3" t="s">
        <v>23</v>
      </c>
    </row>
    <row r="9006" spans="1:11" ht="42" customHeight="1">
      <c r="A9006" s="2" t="s">
        <v>22904</v>
      </c>
      <c r="B9006" s="2" t="s">
        <v>22905</v>
      </c>
      <c r="C9006" s="2" t="s">
        <v>17</v>
      </c>
      <c r="D9006" s="2" t="s">
        <v>18</v>
      </c>
      <c r="E9006" s="4">
        <v>-32316</v>
      </c>
      <c r="F9006" s="3" t="s">
        <v>5337</v>
      </c>
      <c r="G9006" s="3" t="s">
        <v>91</v>
      </c>
      <c r="H9006" s="2" t="s">
        <v>21</v>
      </c>
      <c r="I9006" s="2" t="s">
        <v>22906</v>
      </c>
      <c r="J9006" s="3" t="str">
        <f>HYPERLINK("https://www.boe.es/gazeta/dias/1811/07/09/pdfs/GEI-1811-90.pdf#page=5","Abrir facsímil")</f>
        <v>Abrir facsímil</v>
      </c>
      <c r="K9006" s="3" t="s">
        <v>23</v>
      </c>
    </row>
    <row r="9007" spans="1:11" ht="42" customHeight="1">
      <c r="A9007" s="2" t="s">
        <v>22907</v>
      </c>
      <c r="B9007" s="2" t="s">
        <v>22908</v>
      </c>
      <c r="C9007" s="2" t="s">
        <v>26</v>
      </c>
      <c r="D9007" s="2" t="s">
        <v>105</v>
      </c>
      <c r="E9007" s="4">
        <v>-32297</v>
      </c>
      <c r="F9007" s="3" t="s">
        <v>2174</v>
      </c>
      <c r="G9007" s="3" t="s">
        <v>115</v>
      </c>
      <c r="H9007" s="2" t="s">
        <v>21</v>
      </c>
      <c r="I9007" s="2" t="s">
        <v>22909</v>
      </c>
      <c r="J9007" s="3" t="str">
        <f>HYPERLINK("https://www.boe.es/gazeta/dias/1811/07/28/pdfs/GMD-1811-209.pdf#page=3","Abrir facsímil")</f>
        <v>Abrir facsímil</v>
      </c>
      <c r="K9007" s="3" t="s">
        <v>23</v>
      </c>
    </row>
    <row r="9008" spans="1:11" ht="42" customHeight="1">
      <c r="A9008" s="2" t="s">
        <v>22910</v>
      </c>
      <c r="B9008" s="2" t="s">
        <v>22911</v>
      </c>
      <c r="C9008" s="2" t="s">
        <v>26</v>
      </c>
      <c r="D9008" s="2" t="s">
        <v>18</v>
      </c>
      <c r="E9008" s="4">
        <v>-32188</v>
      </c>
      <c r="F9008" s="3" t="s">
        <v>356</v>
      </c>
      <c r="G9008" s="3" t="s">
        <v>248</v>
      </c>
      <c r="H9008" s="2" t="s">
        <v>21</v>
      </c>
      <c r="I9008" s="2" t="s">
        <v>22912</v>
      </c>
      <c r="J9008" s="3" t="str">
        <f>HYPERLINK("https://www.boe.es/gazeta/dias/1811/11/14/pdfs/GMD-1811-318.pdf#page=5","Abrir facsímil")</f>
        <v>Abrir facsímil</v>
      </c>
      <c r="K9008" s="3" t="s">
        <v>23</v>
      </c>
    </row>
    <row r="9009" spans="1:11" ht="42" customHeight="1">
      <c r="A9009" s="2" t="s">
        <v>22913</v>
      </c>
      <c r="B9009" s="2" t="s">
        <v>22914</v>
      </c>
      <c r="C9009" s="2" t="s">
        <v>26</v>
      </c>
      <c r="D9009" s="2" t="s">
        <v>18</v>
      </c>
      <c r="E9009" s="4">
        <v>-32475</v>
      </c>
      <c r="F9009" s="3" t="s">
        <v>259</v>
      </c>
      <c r="G9009" s="3" t="s">
        <v>115</v>
      </c>
      <c r="H9009" s="2" t="s">
        <v>21</v>
      </c>
      <c r="I9009" s="2" t="s">
        <v>22915</v>
      </c>
      <c r="J9009" s="3" t="str">
        <f>HYPERLINK("https://www.boe.es/gazeta/dias/1811/01/31/pdfs/GMD-1811-31.pdf#page=3","Abrir facsímil")</f>
        <v>Abrir facsímil</v>
      </c>
      <c r="K9009" s="3" t="s">
        <v>23</v>
      </c>
    </row>
    <row r="9010" spans="1:11" ht="42" customHeight="1">
      <c r="A9010" s="2" t="s">
        <v>22916</v>
      </c>
      <c r="B9010" s="2" t="s">
        <v>22917</v>
      </c>
      <c r="C9010" s="2" t="s">
        <v>26</v>
      </c>
      <c r="D9010" s="2" t="s">
        <v>18</v>
      </c>
      <c r="E9010" s="4">
        <v>-32218</v>
      </c>
      <c r="F9010" s="3" t="s">
        <v>938</v>
      </c>
      <c r="G9010" s="3" t="s">
        <v>939</v>
      </c>
      <c r="H9010" s="2" t="s">
        <v>21</v>
      </c>
      <c r="I9010" s="2" t="s">
        <v>22918</v>
      </c>
      <c r="J9010" s="3" t="str">
        <f>HYPERLINK("https://www.boe.es/gazeta/dias/1811/10/15/pdfs/GEI-1811-133.pdf#page=8","Abrir facsímil")</f>
        <v>Abrir facsímil</v>
      </c>
      <c r="K9010" s="3" t="s">
        <v>23</v>
      </c>
    </row>
    <row r="9011" spans="1:11" ht="42" customHeight="1">
      <c r="A9011" s="2" t="s">
        <v>22919</v>
      </c>
      <c r="B9011" s="2" t="s">
        <v>22920</v>
      </c>
      <c r="C9011" s="2" t="s">
        <v>26</v>
      </c>
      <c r="D9011" s="2" t="s">
        <v>18</v>
      </c>
      <c r="E9011" s="4">
        <v>-32504</v>
      </c>
      <c r="F9011" s="3" t="s">
        <v>5988</v>
      </c>
      <c r="G9011" s="3" t="s">
        <v>47</v>
      </c>
      <c r="H9011" s="2" t="s">
        <v>21</v>
      </c>
      <c r="I9011" s="2" t="s">
        <v>22921</v>
      </c>
      <c r="J9011" s="3" t="str">
        <f>HYPERLINK("https://www.boe.es/gazeta/dias/1811/01/02/pdfs/GMD-1811-2.pdf#page=3","Abrir facsímil")</f>
        <v>Abrir facsímil</v>
      </c>
      <c r="K9011" s="3" t="s">
        <v>23</v>
      </c>
    </row>
    <row r="9012" spans="1:11" ht="42" customHeight="1">
      <c r="A9012" s="2" t="s">
        <v>22922</v>
      </c>
      <c r="B9012" s="2" t="s">
        <v>22923</v>
      </c>
      <c r="C9012" s="2" t="s">
        <v>17</v>
      </c>
      <c r="D9012" s="2" t="s">
        <v>18</v>
      </c>
      <c r="E9012" s="4">
        <v>-32265</v>
      </c>
      <c r="F9012" s="3" t="s">
        <v>2375</v>
      </c>
      <c r="G9012" s="3" t="s">
        <v>2376</v>
      </c>
      <c r="H9012" s="2" t="s">
        <v>21</v>
      </c>
      <c r="I9012" s="2" t="s">
        <v>22924</v>
      </c>
      <c r="J9012" s="3" t="str">
        <f>HYPERLINK("https://www.boe.es/gazeta/dias/1811/08/29/pdfs/GEI-1811-112.pdf#page=5","Abrir facsímil")</f>
        <v>Abrir facsímil</v>
      </c>
      <c r="K9012" s="3" t="s">
        <v>23</v>
      </c>
    </row>
    <row r="9013" spans="1:11" ht="42" customHeight="1">
      <c r="A9013" s="2" t="s">
        <v>22925</v>
      </c>
      <c r="B9013" s="2" t="s">
        <v>22926</v>
      </c>
      <c r="C9013" s="2" t="s">
        <v>37</v>
      </c>
      <c r="D9013" s="2" t="s">
        <v>18</v>
      </c>
      <c r="E9013" s="4">
        <v>-32417</v>
      </c>
      <c r="F9013" s="3" t="s">
        <v>604</v>
      </c>
      <c r="G9013" s="3" t="s">
        <v>178</v>
      </c>
      <c r="H9013" s="2" t="s">
        <v>21</v>
      </c>
      <c r="I9013" s="2" t="s">
        <v>22927</v>
      </c>
      <c r="J9013" s="3" t="str">
        <f>HYPERLINK("https://www.boe.es/gazeta/dias/1811/03/30/pdfs/GMD-1811-89.pdf#page=3","Abrir facsímil")</f>
        <v>Abrir facsímil</v>
      </c>
      <c r="K9013" s="3" t="s">
        <v>23</v>
      </c>
    </row>
    <row r="9014" spans="1:11" ht="42" customHeight="1">
      <c r="A9014" s="2" t="s">
        <v>22928</v>
      </c>
      <c r="B9014" s="2" t="s">
        <v>22929</v>
      </c>
      <c r="C9014" s="2" t="s">
        <v>26</v>
      </c>
      <c r="D9014" s="2" t="s">
        <v>105</v>
      </c>
      <c r="E9014" s="4">
        <v>-32153</v>
      </c>
      <c r="F9014" s="3" t="s">
        <v>123</v>
      </c>
      <c r="G9014" s="3" t="s">
        <v>288</v>
      </c>
      <c r="H9014" s="2" t="s">
        <v>21</v>
      </c>
      <c r="I9014" s="2" t="s">
        <v>22930</v>
      </c>
      <c r="J9014" s="3" t="str">
        <f>HYPERLINK("https://www.boe.es/gazeta/dias/1811/12/19/pdfs/GMD-1811-353.pdf#page=4","Abrir facsímil")</f>
        <v>Abrir facsímil</v>
      </c>
      <c r="K9014" s="3" t="s">
        <v>23</v>
      </c>
    </row>
    <row r="9015" spans="1:11" ht="42" customHeight="1">
      <c r="A9015" s="2" t="s">
        <v>22928</v>
      </c>
      <c r="B9015" s="2" t="s">
        <v>22929</v>
      </c>
      <c r="C9015" s="2" t="s">
        <v>66</v>
      </c>
      <c r="D9015" s="2" t="s">
        <v>18</v>
      </c>
      <c r="E9015" s="4">
        <v>-32153</v>
      </c>
      <c r="F9015" s="3" t="s">
        <v>123</v>
      </c>
      <c r="G9015" s="3" t="s">
        <v>124</v>
      </c>
      <c r="H9015" s="2" t="s">
        <v>21</v>
      </c>
      <c r="I9015" s="2" t="s">
        <v>22931</v>
      </c>
      <c r="J9015" s="3" t="str">
        <f>HYPERLINK("https://www.boe.es/gazeta/dias/1811/12/19/pdfs/GMD-1811-353.pdf#page=6","Abrir facsímil")</f>
        <v>Abrir facsímil</v>
      </c>
      <c r="K9015" s="3" t="s">
        <v>23</v>
      </c>
    </row>
    <row r="9016" spans="1:11" ht="42" customHeight="1">
      <c r="A9016" s="2" t="s">
        <v>22932</v>
      </c>
      <c r="B9016" s="2" t="s">
        <v>22933</v>
      </c>
      <c r="C9016" s="2" t="s">
        <v>17</v>
      </c>
      <c r="D9016" s="2" t="s">
        <v>18</v>
      </c>
      <c r="E9016" s="4">
        <v>-32152</v>
      </c>
      <c r="F9016" s="3" t="s">
        <v>1673</v>
      </c>
      <c r="G9016" s="3" t="s">
        <v>183</v>
      </c>
      <c r="H9016" s="2" t="s">
        <v>21</v>
      </c>
      <c r="I9016" s="2" t="s">
        <v>22934</v>
      </c>
      <c r="J9016" s="3" t="str">
        <f>HYPERLINK("https://www.boe.es/gazeta/dias/1811/12/20/pdfs/GMD-1811-354.pdf#page=4","Abrir facsímil")</f>
        <v>Abrir facsímil</v>
      </c>
      <c r="K9016" s="3" t="s">
        <v>23</v>
      </c>
    </row>
    <row r="9017" spans="1:11" ht="42" customHeight="1">
      <c r="A9017" s="2" t="s">
        <v>22935</v>
      </c>
      <c r="B9017" s="2" t="s">
        <v>22936</v>
      </c>
      <c r="C9017" s="2" t="s">
        <v>26</v>
      </c>
      <c r="D9017" s="2" t="s">
        <v>18</v>
      </c>
      <c r="E9017" s="4">
        <v>-32188</v>
      </c>
      <c r="F9017" s="3" t="s">
        <v>356</v>
      </c>
      <c r="G9017" s="3" t="s">
        <v>248</v>
      </c>
      <c r="H9017" s="2" t="s">
        <v>21</v>
      </c>
      <c r="I9017" s="2" t="s">
        <v>22937</v>
      </c>
      <c r="J9017" s="3" t="str">
        <f>HYPERLINK("https://www.boe.es/gazeta/dias/1811/11/14/pdfs/GMD-1811-318.pdf#page=5","Abrir facsímil")</f>
        <v>Abrir facsímil</v>
      </c>
      <c r="K9017" s="3" t="s">
        <v>23</v>
      </c>
    </row>
    <row r="9018" spans="1:11" ht="42" customHeight="1">
      <c r="A9018" s="2" t="s">
        <v>22938</v>
      </c>
      <c r="B9018" s="2" t="s">
        <v>22939</v>
      </c>
      <c r="C9018" s="2" t="s">
        <v>26</v>
      </c>
      <c r="D9018" s="2" t="s">
        <v>141</v>
      </c>
      <c r="E9018" s="4">
        <v>-32280</v>
      </c>
      <c r="F9018" s="3" t="s">
        <v>142</v>
      </c>
      <c r="G9018" s="3" t="s">
        <v>597</v>
      </c>
      <c r="H9018" s="2" t="s">
        <v>21</v>
      </c>
      <c r="I9018" s="2" t="s">
        <v>22940</v>
      </c>
      <c r="J9018" s="3" t="str">
        <f>HYPERLINK("https://www.boe.es/gazeta/dias/1811/08/14/pdfs/GMD-C-1811-226.pdf#page=2","Abrir facsímil")</f>
        <v>Abrir facsímil</v>
      </c>
      <c r="K9018" s="3" t="s">
        <v>23</v>
      </c>
    </row>
    <row r="9019" spans="1:11" ht="42" customHeight="1">
      <c r="A9019" s="2" t="s">
        <v>22941</v>
      </c>
      <c r="B9019" s="2" t="s">
        <v>22942</v>
      </c>
      <c r="C9019" s="2" t="s">
        <v>26</v>
      </c>
      <c r="D9019" s="2" t="s">
        <v>18</v>
      </c>
      <c r="E9019" s="4">
        <v>-32297</v>
      </c>
      <c r="F9019" s="3" t="s">
        <v>2174</v>
      </c>
      <c r="G9019" s="3" t="s">
        <v>183</v>
      </c>
      <c r="H9019" s="2" t="s">
        <v>21</v>
      </c>
      <c r="I9019" s="2" t="s">
        <v>22943</v>
      </c>
      <c r="J9019" s="3" t="str">
        <f>HYPERLINK("https://www.boe.es/gazeta/dias/1811/07/28/pdfs/GMD-1811-209.pdf#page=4","Abrir facsímil")</f>
        <v>Abrir facsímil</v>
      </c>
      <c r="K9019" s="3" t="s">
        <v>23</v>
      </c>
    </row>
    <row r="9020" spans="1:11" ht="42" customHeight="1">
      <c r="A9020" s="2" t="s">
        <v>22944</v>
      </c>
      <c r="B9020" s="2" t="s">
        <v>22945</v>
      </c>
      <c r="C9020" s="2" t="s">
        <v>17</v>
      </c>
      <c r="D9020" s="2" t="s">
        <v>18</v>
      </c>
      <c r="E9020" s="4">
        <v>-32309</v>
      </c>
      <c r="F9020" s="3" t="s">
        <v>2496</v>
      </c>
      <c r="G9020" s="3" t="s">
        <v>47</v>
      </c>
      <c r="H9020" s="2" t="s">
        <v>21</v>
      </c>
      <c r="I9020" s="2" t="s">
        <v>22946</v>
      </c>
      <c r="J9020" s="3" t="str">
        <f>HYPERLINK("https://www.boe.es/gazeta/dias/1811/07/16/pdfs/GEI-1811-93.pdf#page=8","Abrir facsímil")</f>
        <v>Abrir facsímil</v>
      </c>
      <c r="K9020" s="3" t="s">
        <v>23</v>
      </c>
    </row>
    <row r="9021" spans="1:11" ht="42" customHeight="1">
      <c r="A9021" s="2" t="s">
        <v>22947</v>
      </c>
      <c r="B9021" s="2" t="s">
        <v>22948</v>
      </c>
      <c r="C9021" s="2" t="s">
        <v>17</v>
      </c>
      <c r="D9021" s="2" t="s">
        <v>141</v>
      </c>
      <c r="E9021" s="4">
        <v>-32238</v>
      </c>
      <c r="F9021" s="3" t="s">
        <v>166</v>
      </c>
      <c r="G9021" s="3" t="s">
        <v>39</v>
      </c>
      <c r="H9021" s="2" t="s">
        <v>21</v>
      </c>
      <c r="I9021" s="2" t="s">
        <v>22949</v>
      </c>
      <c r="J9021" s="3" t="str">
        <f>HYPERLINK("https://www.boe.es/gazeta/dias/1811/09/25/pdfs/GMD-C-1811-268.pdf#page=2","Abrir facsímil")</f>
        <v>Abrir facsímil</v>
      </c>
      <c r="K9021" s="3" t="s">
        <v>23</v>
      </c>
    </row>
    <row r="9022" spans="1:11" ht="42" customHeight="1">
      <c r="A9022" s="2" t="s">
        <v>22950</v>
      </c>
      <c r="B9022" s="2" t="s">
        <v>22951</v>
      </c>
      <c r="C9022" s="2" t="s">
        <v>17</v>
      </c>
      <c r="D9022" s="2" t="s">
        <v>18</v>
      </c>
      <c r="E9022" s="4">
        <v>-32176</v>
      </c>
      <c r="F9022" s="3" t="s">
        <v>638</v>
      </c>
      <c r="G9022" s="3" t="s">
        <v>44</v>
      </c>
      <c r="H9022" s="2" t="s">
        <v>21</v>
      </c>
      <c r="I9022" s="2" t="s">
        <v>22952</v>
      </c>
      <c r="J9022" s="3" t="str">
        <f>HYPERLINK("https://www.boe.es/gazeta/dias/1811/11/26/pdfs/GEI-1811-154.pdf#page=8","Abrir facsímil")</f>
        <v>Abrir facsímil</v>
      </c>
      <c r="K9022" s="3" t="s">
        <v>23</v>
      </c>
    </row>
    <row r="9023" spans="1:11" ht="42" customHeight="1">
      <c r="A9023" s="2" t="s">
        <v>22953</v>
      </c>
      <c r="B9023" s="2" t="s">
        <v>22954</v>
      </c>
      <c r="C9023" s="2" t="s">
        <v>17</v>
      </c>
      <c r="D9023" s="2" t="s">
        <v>18</v>
      </c>
      <c r="E9023" s="4">
        <v>-32176</v>
      </c>
      <c r="F9023" s="3" t="s">
        <v>638</v>
      </c>
      <c r="G9023" s="3" t="s">
        <v>44</v>
      </c>
      <c r="H9023" s="2" t="s">
        <v>21</v>
      </c>
      <c r="I9023" s="2" t="s">
        <v>22955</v>
      </c>
      <c r="J9023" s="3" t="str">
        <f>HYPERLINK("https://www.boe.es/gazeta/dias/1811/11/26/pdfs/GEI-1811-154.pdf#page=8","Abrir facsímil")</f>
        <v>Abrir facsímil</v>
      </c>
      <c r="K9023" s="3" t="s">
        <v>23</v>
      </c>
    </row>
    <row r="9024" spans="1:11" ht="42" customHeight="1">
      <c r="A9024" s="2" t="s">
        <v>22956</v>
      </c>
      <c r="B9024" s="2" t="s">
        <v>22957</v>
      </c>
      <c r="C9024" s="2" t="s">
        <v>26</v>
      </c>
      <c r="D9024" s="2" t="s">
        <v>141</v>
      </c>
      <c r="E9024" s="4">
        <v>-32188</v>
      </c>
      <c r="F9024" s="3" t="s">
        <v>505</v>
      </c>
      <c r="G9024" s="3" t="s">
        <v>162</v>
      </c>
      <c r="H9024" s="2" t="s">
        <v>21</v>
      </c>
      <c r="I9024" s="2" t="s">
        <v>22958</v>
      </c>
      <c r="J9024" s="3" t="str">
        <f>HYPERLINK("https://www.boe.es/gazeta/dias/1811/11/14/pdfs/GEI-D-1811-149.pdf#page=4","Abrir facsímil")</f>
        <v>Abrir facsímil</v>
      </c>
      <c r="K9024" s="3" t="s">
        <v>23</v>
      </c>
    </row>
    <row r="9025" spans="1:11" ht="42" customHeight="1">
      <c r="A9025" s="2" t="s">
        <v>22959</v>
      </c>
      <c r="B9025" s="2" t="s">
        <v>22960</v>
      </c>
      <c r="C9025" s="2" t="s">
        <v>26</v>
      </c>
      <c r="D9025" s="2" t="s">
        <v>18</v>
      </c>
      <c r="E9025" s="4">
        <v>-32288</v>
      </c>
      <c r="F9025" s="3" t="s">
        <v>95</v>
      </c>
      <c r="G9025" s="3" t="s">
        <v>47</v>
      </c>
      <c r="H9025" s="2" t="s">
        <v>21</v>
      </c>
      <c r="I9025" s="2" t="s">
        <v>22961</v>
      </c>
      <c r="J9025" s="3" t="str">
        <f>HYPERLINK("https://www.boe.es/gazeta/dias/1811/08/06/pdfs/GEI-1811-102.pdf#page=8","Abrir facsímil")</f>
        <v>Abrir facsímil</v>
      </c>
      <c r="K9025" s="3" t="s">
        <v>23</v>
      </c>
    </row>
    <row r="9026" spans="1:11" ht="42" customHeight="1">
      <c r="A9026" s="2" t="s">
        <v>22962</v>
      </c>
      <c r="B9026" s="2" t="s">
        <v>22963</v>
      </c>
      <c r="C9026" s="2" t="s">
        <v>26</v>
      </c>
      <c r="D9026" s="2" t="s">
        <v>18</v>
      </c>
      <c r="E9026" s="4">
        <v>-32172</v>
      </c>
      <c r="F9026" s="3" t="s">
        <v>300</v>
      </c>
      <c r="G9026" s="3" t="s">
        <v>301</v>
      </c>
      <c r="H9026" s="2" t="s">
        <v>21</v>
      </c>
      <c r="I9026" s="2" t="s">
        <v>22964</v>
      </c>
      <c r="J9026" s="3" t="str">
        <f>HYPERLINK("https://www.boe.es/gazeta/dias/1811/11/30/pdfs/GMD-1811-334.pdf#page=4","Abrir facsímil")</f>
        <v>Abrir facsímil</v>
      </c>
      <c r="K9026" s="3" t="s">
        <v>23</v>
      </c>
    </row>
    <row r="9027" spans="1:11" ht="42" customHeight="1">
      <c r="A9027" s="2" t="s">
        <v>22965</v>
      </c>
      <c r="B9027" s="2" t="s">
        <v>22966</v>
      </c>
      <c r="C9027" s="2" t="s">
        <v>26</v>
      </c>
      <c r="D9027" s="2" t="s">
        <v>18</v>
      </c>
      <c r="E9027" s="4">
        <v>-32396</v>
      </c>
      <c r="F9027" s="3" t="s">
        <v>1267</v>
      </c>
      <c r="G9027" s="3" t="s">
        <v>1143</v>
      </c>
      <c r="H9027" s="2" t="s">
        <v>21</v>
      </c>
      <c r="I9027" s="2" t="s">
        <v>22967</v>
      </c>
      <c r="J9027" s="3" t="str">
        <f>HYPERLINK("https://www.boe.es/gazeta/dias/1811/04/20/pdfs/GMD-1811-110.pdf#page=3","Abrir facsímil")</f>
        <v>Abrir facsímil</v>
      </c>
      <c r="K9027" s="3" t="s">
        <v>23</v>
      </c>
    </row>
    <row r="9028" spans="1:11" ht="42" customHeight="1">
      <c r="A9028" s="2" t="s">
        <v>22968</v>
      </c>
      <c r="B9028" s="2" t="s">
        <v>22969</v>
      </c>
      <c r="C9028" s="2" t="s">
        <v>84</v>
      </c>
      <c r="D9028" s="2" t="s">
        <v>18</v>
      </c>
      <c r="E9028" s="4">
        <v>-32366</v>
      </c>
      <c r="F9028" s="3" t="s">
        <v>5468</v>
      </c>
      <c r="G9028" s="3" t="s">
        <v>183</v>
      </c>
      <c r="H9028" s="2" t="s">
        <v>21</v>
      </c>
      <c r="I9028" s="2" t="s">
        <v>22970</v>
      </c>
      <c r="J9028" s="3" t="str">
        <f>HYPERLINK("https://www.boe.es/gazeta/dias/1811/05/20/pdfs/GMD-1811-140.pdf#page=4","Abrir facsímil")</f>
        <v>Abrir facsímil</v>
      </c>
      <c r="K9028" s="3" t="s">
        <v>23</v>
      </c>
    </row>
    <row r="9029" spans="1:11" ht="42" customHeight="1">
      <c r="A9029" s="2" t="s">
        <v>22971</v>
      </c>
      <c r="B9029" s="2" t="s">
        <v>22972</v>
      </c>
      <c r="C9029" s="2" t="s">
        <v>17</v>
      </c>
      <c r="D9029" s="2" t="s">
        <v>18</v>
      </c>
      <c r="E9029" s="4">
        <v>-32188</v>
      </c>
      <c r="F9029" s="3" t="s">
        <v>74</v>
      </c>
      <c r="G9029" s="3" t="s">
        <v>13208</v>
      </c>
      <c r="H9029" s="2" t="s">
        <v>21</v>
      </c>
      <c r="I9029" s="2" t="s">
        <v>22973</v>
      </c>
      <c r="J9029" s="3" t="str">
        <f>HYPERLINK("https://www.boe.es/gazeta/dias/1811/11/14/pdfs/GEI-1811-149.pdf#page=5","Abrir facsímil")</f>
        <v>Abrir facsímil</v>
      </c>
      <c r="K9029" s="3" t="s">
        <v>23</v>
      </c>
    </row>
    <row r="9030" spans="1:11" ht="42" customHeight="1">
      <c r="A9030" s="2" t="s">
        <v>22974</v>
      </c>
      <c r="B9030" s="2" t="s">
        <v>22975</v>
      </c>
      <c r="C9030" s="2" t="s">
        <v>17</v>
      </c>
      <c r="D9030" s="2" t="s">
        <v>18</v>
      </c>
      <c r="E9030" s="4">
        <v>-32256</v>
      </c>
      <c r="F9030" s="3" t="s">
        <v>161</v>
      </c>
      <c r="G9030" s="3" t="s">
        <v>282</v>
      </c>
      <c r="H9030" s="2" t="s">
        <v>21</v>
      </c>
      <c r="I9030" s="2" t="s">
        <v>22976</v>
      </c>
      <c r="J9030" s="3" t="str">
        <f>HYPERLINK("https://www.boe.es/gazeta/dias/1811/09/07/pdfs/GEI-1811-116.pdf#page=4","Abrir facsímil")</f>
        <v>Abrir facsímil</v>
      </c>
      <c r="K9030" s="3" t="s">
        <v>23</v>
      </c>
    </row>
    <row r="9031" spans="1:11" ht="42" customHeight="1">
      <c r="A9031" s="2" t="s">
        <v>22977</v>
      </c>
      <c r="B9031" s="2" t="s">
        <v>22978</v>
      </c>
      <c r="C9031" s="2" t="s">
        <v>26</v>
      </c>
      <c r="D9031" s="2" t="s">
        <v>18</v>
      </c>
      <c r="E9031" s="4">
        <v>-32286</v>
      </c>
      <c r="F9031" s="3" t="s">
        <v>754</v>
      </c>
      <c r="G9031" s="3" t="s">
        <v>1728</v>
      </c>
      <c r="H9031" s="2" t="s">
        <v>21</v>
      </c>
      <c r="I9031" s="2" t="s">
        <v>22979</v>
      </c>
      <c r="J9031" s="3" t="str">
        <f>HYPERLINK("https://www.boe.es/gazeta/dias/1811/08/08/pdfs/GEI-1811-103.pdf#page=8","Abrir facsímil")</f>
        <v>Abrir facsímil</v>
      </c>
      <c r="K9031" s="3" t="s">
        <v>23</v>
      </c>
    </row>
    <row r="9032" spans="1:11" ht="42" customHeight="1">
      <c r="A9032" s="2" t="s">
        <v>22980</v>
      </c>
      <c r="B9032" s="2" t="s">
        <v>22981</v>
      </c>
      <c r="C9032" s="2" t="s">
        <v>17</v>
      </c>
      <c r="D9032" s="2" t="s">
        <v>18</v>
      </c>
      <c r="E9032" s="4">
        <v>-32272</v>
      </c>
      <c r="F9032" s="3" t="s">
        <v>1121</v>
      </c>
      <c r="G9032" s="3" t="s">
        <v>343</v>
      </c>
      <c r="H9032" s="2" t="s">
        <v>21</v>
      </c>
      <c r="I9032" s="2" t="s">
        <v>22982</v>
      </c>
      <c r="J9032" s="3" t="str">
        <f>HYPERLINK("https://www.boe.es/gazeta/dias/1811/08/22/pdfs/GEI-1811-109.pdf#page=2","Abrir facsímil")</f>
        <v>Abrir facsímil</v>
      </c>
      <c r="K9032" s="3" t="s">
        <v>23</v>
      </c>
    </row>
    <row r="9033" spans="1:11" ht="42" customHeight="1">
      <c r="A9033" s="2" t="s">
        <v>22983</v>
      </c>
      <c r="B9033" s="2" t="s">
        <v>22984</v>
      </c>
      <c r="C9033" s="2" t="s">
        <v>17</v>
      </c>
      <c r="D9033" s="2" t="s">
        <v>18</v>
      </c>
      <c r="E9033" s="4">
        <v>-32263</v>
      </c>
      <c r="F9033" s="3" t="s">
        <v>128</v>
      </c>
      <c r="G9033" s="3" t="s">
        <v>129</v>
      </c>
      <c r="H9033" s="2" t="s">
        <v>21</v>
      </c>
      <c r="I9033" s="2" t="s">
        <v>22985</v>
      </c>
      <c r="J9033" s="3" t="str">
        <f>HYPERLINK("https://www.boe.es/gazeta/dias/1811/08/31/pdfs/GEI-1811-113.pdf#page=5","Abrir facsímil")</f>
        <v>Abrir facsímil</v>
      </c>
      <c r="K9033" s="3" t="s">
        <v>23</v>
      </c>
    </row>
    <row r="9034" spans="1:11" ht="42" customHeight="1">
      <c r="A9034" s="2" t="s">
        <v>22986</v>
      </c>
      <c r="B9034" s="2" t="s">
        <v>22987</v>
      </c>
      <c r="C9034" s="2" t="s">
        <v>17</v>
      </c>
      <c r="D9034" s="2" t="s">
        <v>156</v>
      </c>
      <c r="E9034" s="4">
        <v>-32480</v>
      </c>
      <c r="F9034" s="3" t="s">
        <v>3061</v>
      </c>
      <c r="G9034" s="3" t="s">
        <v>582</v>
      </c>
      <c r="H9034" s="2" t="s">
        <v>21</v>
      </c>
      <c r="I9034" s="2" t="s">
        <v>22988</v>
      </c>
      <c r="J9034" s="3" t="str">
        <f>HYPERLINK("https://www.boe.es/gazeta/dias/1811/01/26/pdfs/GEI-1811-12.pdf#page=2","Abrir facsímil")</f>
        <v>Abrir facsímil</v>
      </c>
      <c r="K9034" s="3" t="s">
        <v>23</v>
      </c>
    </row>
    <row r="9035" spans="1:11" ht="42" customHeight="1">
      <c r="A9035" s="2" t="s">
        <v>22989</v>
      </c>
      <c r="B9035" s="2" t="s">
        <v>22990</v>
      </c>
      <c r="C9035" s="2" t="s">
        <v>17</v>
      </c>
      <c r="D9035" s="2" t="s">
        <v>204</v>
      </c>
      <c r="E9035" s="4">
        <v>-32365</v>
      </c>
      <c r="F9035" s="3" t="s">
        <v>119</v>
      </c>
      <c r="G9035" s="3" t="s">
        <v>91</v>
      </c>
      <c r="H9035" s="2" t="s">
        <v>21</v>
      </c>
      <c r="I9035" s="2" t="s">
        <v>22991</v>
      </c>
      <c r="J9035" s="3" t="str">
        <f>HYPERLINK("https://www.boe.es/gazeta/dias/1811/05/21/pdfs/GEI-1811-67.pdf#page=6","Abrir facsímil")</f>
        <v>Abrir facsímil</v>
      </c>
      <c r="K9035" s="3" t="s">
        <v>23</v>
      </c>
    </row>
    <row r="9036" spans="1:11" ht="42" customHeight="1">
      <c r="A9036" s="2" t="s">
        <v>22989</v>
      </c>
      <c r="B9036" s="2" t="s">
        <v>22990</v>
      </c>
      <c r="C9036" s="2" t="s">
        <v>17</v>
      </c>
      <c r="D9036" s="2" t="s">
        <v>156</v>
      </c>
      <c r="E9036" s="4">
        <v>-32267</v>
      </c>
      <c r="F9036" s="3" t="s">
        <v>1045</v>
      </c>
      <c r="G9036" s="3" t="s">
        <v>8674</v>
      </c>
      <c r="H9036" s="2" t="s">
        <v>21</v>
      </c>
      <c r="I9036" s="2" t="s">
        <v>22992</v>
      </c>
      <c r="J9036" s="3" t="str">
        <f>HYPERLINK("https://www.boe.es/gazeta/dias/1811/08/27/pdfs/GEI-1811-111.pdf#page=1","Abrir facsímil")</f>
        <v>Abrir facsímil</v>
      </c>
      <c r="K9036" s="3" t="s">
        <v>23</v>
      </c>
    </row>
    <row r="9037" spans="1:11" ht="42" customHeight="1">
      <c r="A9037" s="2" t="s">
        <v>22989</v>
      </c>
      <c r="B9037" s="2" t="s">
        <v>22990</v>
      </c>
      <c r="C9037" s="2" t="s">
        <v>17</v>
      </c>
      <c r="D9037" s="2" t="s">
        <v>18</v>
      </c>
      <c r="E9037" s="4">
        <v>-32230</v>
      </c>
      <c r="F9037" s="3" t="s">
        <v>625</v>
      </c>
      <c r="G9037" s="3" t="s">
        <v>12854</v>
      </c>
      <c r="H9037" s="2" t="s">
        <v>21</v>
      </c>
      <c r="I9037" s="2" t="s">
        <v>22993</v>
      </c>
      <c r="J9037" s="3" t="str">
        <f>HYPERLINK("https://www.boe.es/gazeta/dias/1811/10/03/pdfs/GEI-1811-127.pdf#page=5","Abrir facsímil")</f>
        <v>Abrir facsímil</v>
      </c>
      <c r="K9037" s="3" t="s">
        <v>23</v>
      </c>
    </row>
    <row r="9038" spans="1:11" ht="42" customHeight="1">
      <c r="A9038" s="2" t="s">
        <v>22994</v>
      </c>
      <c r="B9038" s="2" t="s">
        <v>22995</v>
      </c>
      <c r="C9038" s="2" t="s">
        <v>26</v>
      </c>
      <c r="D9038" s="2" t="s">
        <v>18</v>
      </c>
      <c r="E9038" s="4">
        <v>-32200</v>
      </c>
      <c r="F9038" s="3" t="s">
        <v>109</v>
      </c>
      <c r="G9038" s="3" t="s">
        <v>515</v>
      </c>
      <c r="H9038" s="2" t="s">
        <v>21</v>
      </c>
      <c r="I9038" s="2" t="s">
        <v>22996</v>
      </c>
      <c r="J9038" s="3" t="str">
        <f>HYPERLINK("https://www.boe.es/gazeta/dias/1811/11/02/pdfs/GEI-1811-141.pdf#page=5","Abrir facsímil")</f>
        <v>Abrir facsímil</v>
      </c>
      <c r="K9038" s="3" t="s">
        <v>23</v>
      </c>
    </row>
    <row r="9039" spans="1:11" ht="42" customHeight="1">
      <c r="A9039" s="2" t="s">
        <v>22997</v>
      </c>
      <c r="B9039" s="2" t="s">
        <v>22998</v>
      </c>
      <c r="C9039" s="2" t="s">
        <v>26</v>
      </c>
      <c r="D9039" s="2" t="s">
        <v>18</v>
      </c>
      <c r="E9039" s="4">
        <v>-32470</v>
      </c>
      <c r="F9039" s="3" t="s">
        <v>1432</v>
      </c>
      <c r="G9039" s="3" t="s">
        <v>9767</v>
      </c>
      <c r="H9039" s="2" t="s">
        <v>21</v>
      </c>
      <c r="I9039" s="2" t="s">
        <v>22999</v>
      </c>
      <c r="J9039" s="3" t="str">
        <f>HYPERLINK("https://www.boe.es/gazeta/dias/1811/02/05/pdfs/GEI-1811-16.pdf#page=6","Abrir facsímil")</f>
        <v>Abrir facsímil</v>
      </c>
      <c r="K9039" s="3" t="s">
        <v>23</v>
      </c>
    </row>
    <row r="9040" spans="1:11" ht="42" customHeight="1">
      <c r="A9040" s="2" t="s">
        <v>22997</v>
      </c>
      <c r="B9040" s="2" t="s">
        <v>22998</v>
      </c>
      <c r="C9040" s="2" t="s">
        <v>17</v>
      </c>
      <c r="D9040" s="2" t="s">
        <v>18</v>
      </c>
      <c r="E9040" s="4">
        <v>-32431</v>
      </c>
      <c r="F9040" s="3" t="s">
        <v>342</v>
      </c>
      <c r="G9040" s="3" t="s">
        <v>47</v>
      </c>
      <c r="H9040" s="2" t="s">
        <v>21</v>
      </c>
      <c r="I9040" s="2" t="s">
        <v>23000</v>
      </c>
      <c r="J9040" s="3" t="str">
        <f>HYPERLINK("https://www.boe.es/gazeta/dias/1811/03/16/pdfs/GEI-1811-38.pdf#page=8","Abrir facsímil")</f>
        <v>Abrir facsímil</v>
      </c>
      <c r="K9040" s="3" t="s">
        <v>23</v>
      </c>
    </row>
    <row r="9041" spans="1:11" ht="42" customHeight="1">
      <c r="A9041" s="2" t="s">
        <v>22997</v>
      </c>
      <c r="B9041" s="2" t="s">
        <v>22998</v>
      </c>
      <c r="C9041" s="2" t="s">
        <v>26</v>
      </c>
      <c r="D9041" s="2" t="s">
        <v>18</v>
      </c>
      <c r="E9041" s="4">
        <v>-32307</v>
      </c>
      <c r="F9041" s="3" t="s">
        <v>1112</v>
      </c>
      <c r="G9041" s="3" t="s">
        <v>282</v>
      </c>
      <c r="H9041" s="2" t="s">
        <v>21</v>
      </c>
      <c r="I9041" s="2" t="s">
        <v>23001</v>
      </c>
      <c r="J9041" s="3" t="str">
        <f>HYPERLINK("https://www.boe.es/gazeta/dias/1811/07/18/pdfs/GEI-1811-94.pdf#page=4","Abrir facsímil")</f>
        <v>Abrir facsímil</v>
      </c>
      <c r="K9041" s="3" t="s">
        <v>23</v>
      </c>
    </row>
    <row r="9042" spans="1:11" ht="42" customHeight="1">
      <c r="A9042" s="2" t="s">
        <v>22997</v>
      </c>
      <c r="B9042" s="2" t="s">
        <v>22998</v>
      </c>
      <c r="C9042" s="2" t="s">
        <v>17</v>
      </c>
      <c r="D9042" s="2" t="s">
        <v>18</v>
      </c>
      <c r="E9042" s="4">
        <v>-32210</v>
      </c>
      <c r="F9042" s="3" t="s">
        <v>1737</v>
      </c>
      <c r="G9042" s="3" t="s">
        <v>248</v>
      </c>
      <c r="H9042" s="2" t="s">
        <v>21</v>
      </c>
      <c r="I9042" s="2" t="s">
        <v>23002</v>
      </c>
      <c r="J9042" s="3" t="str">
        <f>HYPERLINK("https://www.boe.es/gazeta/dias/1811/10/23/pdfs/GMD-1811-296.pdf#page=5","Abrir facsímil")</f>
        <v>Abrir facsímil</v>
      </c>
      <c r="K9042" s="3" t="s">
        <v>23</v>
      </c>
    </row>
    <row r="9043" spans="1:11" ht="42" customHeight="1">
      <c r="A9043" s="2" t="s">
        <v>22997</v>
      </c>
      <c r="B9043" s="2" t="s">
        <v>22998</v>
      </c>
      <c r="C9043" s="2" t="s">
        <v>37</v>
      </c>
      <c r="D9043" s="2" t="s">
        <v>156</v>
      </c>
      <c r="E9043" s="4">
        <v>-32174</v>
      </c>
      <c r="F9043" s="3" t="s">
        <v>172</v>
      </c>
      <c r="G9043" s="3" t="s">
        <v>3067</v>
      </c>
      <c r="H9043" s="2" t="s">
        <v>21</v>
      </c>
      <c r="I9043" s="2" t="s">
        <v>23003</v>
      </c>
      <c r="J9043" s="3" t="str">
        <f>HYPERLINK("https://www.boe.es/gazeta/dias/1811/11/28/pdfs/GEI-1811-155.pdf#page=8","Abrir facsímil")</f>
        <v>Abrir facsímil</v>
      </c>
      <c r="K9043" s="3" t="s">
        <v>23</v>
      </c>
    </row>
    <row r="9044" spans="1:11" ht="42" customHeight="1">
      <c r="A9044" s="2" t="s">
        <v>23004</v>
      </c>
      <c r="B9044" s="2" t="s">
        <v>23005</v>
      </c>
      <c r="C9044" s="2" t="s">
        <v>84</v>
      </c>
      <c r="D9044" s="2" t="s">
        <v>18</v>
      </c>
      <c r="E9044" s="4">
        <v>-32394</v>
      </c>
      <c r="F9044" s="3" t="s">
        <v>1709</v>
      </c>
      <c r="G9044" s="3" t="s">
        <v>115</v>
      </c>
      <c r="H9044" s="2" t="s">
        <v>21</v>
      </c>
      <c r="I9044" s="2" t="s">
        <v>23006</v>
      </c>
      <c r="J9044" s="3" t="str">
        <f>HYPERLINK("https://www.boe.es/gazeta/dias/1811/04/22/pdfs/GMD-1811-112.pdf#page=3","Abrir facsímil")</f>
        <v>Abrir facsímil</v>
      </c>
      <c r="K9044" s="3" t="s">
        <v>23</v>
      </c>
    </row>
    <row r="9045" spans="1:11" ht="42" customHeight="1">
      <c r="A9045" s="2" t="s">
        <v>23007</v>
      </c>
      <c r="B9045" s="2" t="s">
        <v>23008</v>
      </c>
      <c r="C9045" s="2" t="s">
        <v>367</v>
      </c>
      <c r="D9045" s="2" t="s">
        <v>18</v>
      </c>
      <c r="E9045" s="4">
        <v>-32173</v>
      </c>
      <c r="F9045" s="3" t="s">
        <v>2701</v>
      </c>
      <c r="G9045" s="3" t="s">
        <v>47</v>
      </c>
      <c r="H9045" s="2" t="s">
        <v>21</v>
      </c>
      <c r="I9045" s="2" t="s">
        <v>23009</v>
      </c>
      <c r="J9045" s="3" t="str">
        <f>HYPERLINK("https://www.boe.es/gazeta/dias/1811/11/29/pdfs/GMD-1811-333.pdf#page=3","Abrir facsímil")</f>
        <v>Abrir facsímil</v>
      </c>
      <c r="K9045" s="3" t="s">
        <v>23</v>
      </c>
    </row>
    <row r="9046" spans="1:11" ht="42" customHeight="1">
      <c r="A9046" s="2" t="s">
        <v>23010</v>
      </c>
      <c r="B9046" s="2" t="s">
        <v>23011</v>
      </c>
      <c r="C9046" s="2" t="s">
        <v>26</v>
      </c>
      <c r="D9046" s="2" t="s">
        <v>18</v>
      </c>
      <c r="E9046" s="4">
        <v>-32288</v>
      </c>
      <c r="F9046" s="3" t="s">
        <v>95</v>
      </c>
      <c r="G9046" s="3" t="s">
        <v>47</v>
      </c>
      <c r="H9046" s="2" t="s">
        <v>21</v>
      </c>
      <c r="I9046" s="2" t="s">
        <v>23012</v>
      </c>
      <c r="J9046" s="3" t="str">
        <f>HYPERLINK("https://www.boe.es/gazeta/dias/1811/08/06/pdfs/GEI-1811-102.pdf#page=8","Abrir facsímil")</f>
        <v>Abrir facsímil</v>
      </c>
      <c r="K9046" s="3" t="s">
        <v>23</v>
      </c>
    </row>
    <row r="9047" spans="1:11" ht="42" customHeight="1">
      <c r="A9047" s="2" t="s">
        <v>23013</v>
      </c>
      <c r="B9047" s="2" t="s">
        <v>23014</v>
      </c>
      <c r="C9047" s="2" t="s">
        <v>37</v>
      </c>
      <c r="D9047" s="2" t="s">
        <v>18</v>
      </c>
      <c r="E9047" s="4">
        <v>-32249</v>
      </c>
      <c r="F9047" s="3" t="s">
        <v>824</v>
      </c>
      <c r="G9047" s="3" t="s">
        <v>900</v>
      </c>
      <c r="H9047" s="2" t="s">
        <v>21</v>
      </c>
      <c r="I9047" s="2" t="s">
        <v>23015</v>
      </c>
      <c r="J9047" s="3" t="str">
        <f>HYPERLINK("https://www.boe.es/gazeta/dias/1811/09/14/pdfs/GEI-1811-119.pdf#page=8","Abrir facsímil")</f>
        <v>Abrir facsímil</v>
      </c>
      <c r="K9047" s="3" t="s">
        <v>23</v>
      </c>
    </row>
    <row r="9048" spans="1:11" ht="42" customHeight="1">
      <c r="A9048" s="2" t="s">
        <v>23016</v>
      </c>
      <c r="B9048" s="2" t="s">
        <v>23017</v>
      </c>
      <c r="C9048" s="2" t="s">
        <v>17</v>
      </c>
      <c r="D9048" s="2" t="s">
        <v>18</v>
      </c>
      <c r="E9048" s="4">
        <v>-32489</v>
      </c>
      <c r="F9048" s="3" t="s">
        <v>722</v>
      </c>
      <c r="G9048" s="3" t="s">
        <v>468</v>
      </c>
      <c r="H9048" s="2" t="s">
        <v>21</v>
      </c>
      <c r="I9048" s="2" t="s">
        <v>23018</v>
      </c>
      <c r="J9048" s="3" t="str">
        <f>HYPERLINK("https://www.boe.es/gazeta/dias/1811/01/17/pdfs/GMD-1811-17.pdf#page=4","Abrir facsímil")</f>
        <v>Abrir facsímil</v>
      </c>
      <c r="K9048" s="3" t="s">
        <v>23</v>
      </c>
    </row>
    <row r="9049" spans="1:11" ht="42" customHeight="1">
      <c r="A9049" s="2" t="s">
        <v>23019</v>
      </c>
      <c r="B9049" s="2" t="s">
        <v>23020</v>
      </c>
      <c r="C9049" s="2" t="s">
        <v>17</v>
      </c>
      <c r="D9049" s="2" t="s">
        <v>156</v>
      </c>
      <c r="E9049" s="4">
        <v>-32470</v>
      </c>
      <c r="F9049" s="3" t="s">
        <v>1432</v>
      </c>
      <c r="G9049" s="3" t="s">
        <v>3543</v>
      </c>
      <c r="H9049" s="2" t="s">
        <v>21</v>
      </c>
      <c r="I9049" s="2" t="s">
        <v>23021</v>
      </c>
      <c r="J9049" s="3" t="str">
        <f>HYPERLINK("https://www.boe.es/gazeta/dias/1811/02/05/pdfs/GEI-1811-16.pdf#page=8","Abrir facsímil")</f>
        <v>Abrir facsímil</v>
      </c>
      <c r="K9049" s="3" t="s">
        <v>23</v>
      </c>
    </row>
    <row r="9050" spans="1:11" ht="42" customHeight="1">
      <c r="A9050" s="2" t="s">
        <v>23022</v>
      </c>
      <c r="B9050" s="2" t="s">
        <v>23023</v>
      </c>
      <c r="C9050" s="2" t="s">
        <v>26</v>
      </c>
      <c r="D9050" s="2" t="s">
        <v>18</v>
      </c>
      <c r="E9050" s="4">
        <v>-32171</v>
      </c>
      <c r="F9050" s="3" t="s">
        <v>157</v>
      </c>
      <c r="G9050" s="3" t="s">
        <v>44</v>
      </c>
      <c r="H9050" s="2" t="s">
        <v>21</v>
      </c>
      <c r="I9050" s="2" t="s">
        <v>23024</v>
      </c>
      <c r="J9050" s="3" t="str">
        <f>HYPERLINK("https://www.boe.es/gazeta/dias/1811/12/01/pdfs/GMD-1811-335.pdf#page=4","Abrir facsímil")</f>
        <v>Abrir facsímil</v>
      </c>
      <c r="K9050" s="3" t="s">
        <v>23</v>
      </c>
    </row>
    <row r="9051" spans="1:11" ht="42" customHeight="1">
      <c r="A9051" s="2" t="s">
        <v>23025</v>
      </c>
      <c r="B9051" s="2" t="s">
        <v>23026</v>
      </c>
      <c r="C9051" s="2" t="s">
        <v>26</v>
      </c>
      <c r="D9051" s="2" t="s">
        <v>18</v>
      </c>
      <c r="E9051" s="4">
        <v>-32188</v>
      </c>
      <c r="F9051" s="3" t="s">
        <v>356</v>
      </c>
      <c r="G9051" s="3" t="s">
        <v>468</v>
      </c>
      <c r="H9051" s="2" t="s">
        <v>21</v>
      </c>
      <c r="I9051" s="2" t="s">
        <v>23027</v>
      </c>
      <c r="J9051" s="3" t="str">
        <f>HYPERLINK("https://www.boe.es/gazeta/dias/1811/11/14/pdfs/GMD-1811-318.pdf#page=6","Abrir facsímil")</f>
        <v>Abrir facsímil</v>
      </c>
      <c r="K9051" s="3" t="s">
        <v>23</v>
      </c>
    </row>
    <row r="9052" spans="1:11" ht="42" customHeight="1">
      <c r="A9052" s="2" t="s">
        <v>23028</v>
      </c>
      <c r="B9052" s="2" t="s">
        <v>23029</v>
      </c>
      <c r="C9052" s="2" t="s">
        <v>17</v>
      </c>
      <c r="D9052" s="2" t="s">
        <v>18</v>
      </c>
      <c r="E9052" s="4">
        <v>-32183</v>
      </c>
      <c r="F9052" s="3" t="s">
        <v>5972</v>
      </c>
      <c r="G9052" s="3" t="s">
        <v>120</v>
      </c>
      <c r="H9052" s="2" t="s">
        <v>21</v>
      </c>
      <c r="I9052" s="2" t="s">
        <v>23030</v>
      </c>
      <c r="J9052" s="3" t="str">
        <f>HYPERLINK("https://www.boe.es/gazeta/dias/1811/11/19/pdfs/GMD-1811-323.pdf#page=2","Abrir facsímil")</f>
        <v>Abrir facsímil</v>
      </c>
      <c r="K9052" s="3" t="s">
        <v>23</v>
      </c>
    </row>
    <row r="9053" spans="1:11" ht="42" customHeight="1">
      <c r="A9053" s="2" t="s">
        <v>23031</v>
      </c>
      <c r="B9053" s="2" t="s">
        <v>23032</v>
      </c>
      <c r="C9053" s="2" t="s">
        <v>26</v>
      </c>
      <c r="D9053" s="2" t="s">
        <v>141</v>
      </c>
      <c r="E9053" s="4">
        <v>-32188</v>
      </c>
      <c r="F9053" s="3" t="s">
        <v>505</v>
      </c>
      <c r="G9053" s="3" t="s">
        <v>162</v>
      </c>
      <c r="H9053" s="2" t="s">
        <v>21</v>
      </c>
      <c r="I9053" s="2" t="s">
        <v>23033</v>
      </c>
      <c r="J9053" s="3" t="str">
        <f>HYPERLINK("https://www.boe.es/gazeta/dias/1811/11/14/pdfs/GEI-D-1811-149.pdf#page=4","Abrir facsímil")</f>
        <v>Abrir facsímil</v>
      </c>
      <c r="K9053" s="3" t="s">
        <v>23</v>
      </c>
    </row>
    <row r="9054" spans="1:11" ht="42" customHeight="1">
      <c r="A9054" s="2" t="s">
        <v>23034</v>
      </c>
      <c r="B9054" s="2" t="s">
        <v>23035</v>
      </c>
      <c r="C9054" s="2" t="s">
        <v>17</v>
      </c>
      <c r="D9054" s="2" t="s">
        <v>18</v>
      </c>
      <c r="E9054" s="4">
        <v>-32256</v>
      </c>
      <c r="F9054" s="3" t="s">
        <v>161</v>
      </c>
      <c r="G9054" s="3" t="s">
        <v>47</v>
      </c>
      <c r="H9054" s="2" t="s">
        <v>21</v>
      </c>
      <c r="I9054" s="2" t="s">
        <v>23036</v>
      </c>
      <c r="J9054" s="3" t="str">
        <f>HYPERLINK("https://www.boe.es/gazeta/dias/1811/09/07/pdfs/GEI-1811-116.pdf#page=7","Abrir facsímil")</f>
        <v>Abrir facsímil</v>
      </c>
      <c r="K9054" s="3" t="s">
        <v>23</v>
      </c>
    </row>
    <row r="9055" spans="1:11" ht="42" customHeight="1">
      <c r="A9055" s="2" t="s">
        <v>23037</v>
      </c>
      <c r="B9055" s="2" t="s">
        <v>23038</v>
      </c>
      <c r="C9055" s="2" t="s">
        <v>37</v>
      </c>
      <c r="D9055" s="2" t="s">
        <v>156</v>
      </c>
      <c r="E9055" s="4">
        <v>-32361</v>
      </c>
      <c r="F9055" s="3" t="s">
        <v>1104</v>
      </c>
      <c r="G9055" s="3" t="s">
        <v>2213</v>
      </c>
      <c r="H9055" s="2" t="s">
        <v>21</v>
      </c>
      <c r="I9055" s="2" t="s">
        <v>23039</v>
      </c>
      <c r="J9055" s="3" t="str">
        <f>HYPERLINK("https://www.boe.es/gazeta/dias/1811/05/25/pdfs/GEI-1811-71.pdf#page=8","Abrir facsímil")</f>
        <v>Abrir facsímil</v>
      </c>
      <c r="K9055" s="3" t="s">
        <v>23</v>
      </c>
    </row>
    <row r="9056" spans="1:11" ht="42" customHeight="1">
      <c r="A9056" s="2" t="s">
        <v>23040</v>
      </c>
      <c r="B9056" s="2" t="s">
        <v>23041</v>
      </c>
      <c r="C9056" s="2" t="s">
        <v>17</v>
      </c>
      <c r="D9056" s="2" t="s">
        <v>18</v>
      </c>
      <c r="E9056" s="4">
        <v>-32372</v>
      </c>
      <c r="F9056" s="3" t="s">
        <v>2690</v>
      </c>
      <c r="G9056" s="3" t="s">
        <v>586</v>
      </c>
      <c r="H9056" s="2" t="s">
        <v>21</v>
      </c>
      <c r="I9056" s="2" t="s">
        <v>23042</v>
      </c>
      <c r="J9056" s="3" t="str">
        <f>HYPERLINK("https://www.boe.es/gazeta/dias/1811/05/14/pdfs/GEI-1811-63.pdf#page=8","Abrir facsímil")</f>
        <v>Abrir facsímil</v>
      </c>
      <c r="K9056" s="3" t="s">
        <v>23</v>
      </c>
    </row>
    <row r="9057" spans="1:11" ht="42" customHeight="1">
      <c r="A9057" s="2" t="s">
        <v>23043</v>
      </c>
      <c r="B9057" s="2" t="s">
        <v>23044</v>
      </c>
      <c r="C9057" s="2" t="s">
        <v>37</v>
      </c>
      <c r="D9057" s="2" t="s">
        <v>18</v>
      </c>
      <c r="E9057" s="4">
        <v>-32192</v>
      </c>
      <c r="F9057" s="3" t="s">
        <v>673</v>
      </c>
      <c r="G9057" s="3" t="s">
        <v>305</v>
      </c>
      <c r="H9057" s="2" t="s">
        <v>21</v>
      </c>
      <c r="I9057" s="2" t="s">
        <v>23045</v>
      </c>
      <c r="J9057" s="3" t="str">
        <f>HYPERLINK("https://www.boe.es/gazeta/dias/1811/11/10/pdfs/GMD-1811-314.pdf#page=4","Abrir facsímil")</f>
        <v>Abrir facsímil</v>
      </c>
      <c r="K9057" s="3" t="s">
        <v>23</v>
      </c>
    </row>
    <row r="9058" spans="1:11" ht="42" customHeight="1">
      <c r="A9058" s="2" t="s">
        <v>23046</v>
      </c>
      <c r="B9058" s="2" t="s">
        <v>23047</v>
      </c>
      <c r="C9058" s="2" t="s">
        <v>26</v>
      </c>
      <c r="D9058" s="2" t="s">
        <v>18</v>
      </c>
      <c r="E9058" s="4">
        <v>-32163</v>
      </c>
      <c r="F9058" s="3" t="s">
        <v>497</v>
      </c>
      <c r="G9058" s="3" t="s">
        <v>498</v>
      </c>
      <c r="H9058" s="2" t="s">
        <v>21</v>
      </c>
      <c r="I9058" s="2" t="s">
        <v>23048</v>
      </c>
      <c r="J9058" s="3" t="str">
        <f>HYPERLINK("https://www.boe.es/gazeta/dias/1811/12/09/pdfs/GMD-1811-343.pdf#page=4","Abrir facsímil")</f>
        <v>Abrir facsímil</v>
      </c>
      <c r="K9058" s="3" t="s">
        <v>23</v>
      </c>
    </row>
    <row r="9059" spans="1:11" ht="42" customHeight="1">
      <c r="A9059" s="2" t="s">
        <v>23049</v>
      </c>
      <c r="B9059" s="2" t="s">
        <v>23050</v>
      </c>
      <c r="C9059" s="2" t="s">
        <v>26</v>
      </c>
      <c r="D9059" s="2" t="s">
        <v>105</v>
      </c>
      <c r="E9059" s="4">
        <v>-32238</v>
      </c>
      <c r="F9059" s="3" t="s">
        <v>166</v>
      </c>
      <c r="G9059" s="3" t="s">
        <v>657</v>
      </c>
      <c r="H9059" s="2" t="s">
        <v>21</v>
      </c>
      <c r="I9059" s="2" t="s">
        <v>23051</v>
      </c>
      <c r="J9059" s="3" t="str">
        <f>HYPERLINK("https://www.boe.es/gazeta/dias/1811/09/25/pdfs/GMD-C-1811-268.pdf#page=3","Abrir facsímil")</f>
        <v>Abrir facsímil</v>
      </c>
      <c r="K9059" s="3" t="s">
        <v>23</v>
      </c>
    </row>
    <row r="9060" spans="1:11" ht="42" customHeight="1">
      <c r="A9060" s="2" t="s">
        <v>23052</v>
      </c>
      <c r="B9060" s="2" t="s">
        <v>23053</v>
      </c>
      <c r="C9060" s="2" t="s">
        <v>37</v>
      </c>
      <c r="D9060" s="2" t="s">
        <v>204</v>
      </c>
      <c r="E9060" s="4">
        <v>-32403</v>
      </c>
      <c r="F9060" s="3" t="s">
        <v>4861</v>
      </c>
      <c r="G9060" s="3" t="s">
        <v>91</v>
      </c>
      <c r="H9060" s="2" t="s">
        <v>21</v>
      </c>
      <c r="I9060" s="2" t="s">
        <v>23054</v>
      </c>
      <c r="J9060" s="3" t="str">
        <f>HYPERLINK("https://www.boe.es/gazeta/dias/1811/04/13/pdfs/GMD-1811-103.pdf#page=4","Abrir facsímil")</f>
        <v>Abrir facsímil</v>
      </c>
      <c r="K9060" s="3" t="s">
        <v>23</v>
      </c>
    </row>
    <row r="9061" spans="1:11" ht="42" customHeight="1">
      <c r="A9061" s="2" t="s">
        <v>23055</v>
      </c>
      <c r="B9061" s="2" t="s">
        <v>23056</v>
      </c>
      <c r="C9061" s="2" t="s">
        <v>26</v>
      </c>
      <c r="D9061" s="2" t="s">
        <v>18</v>
      </c>
      <c r="E9061" s="4">
        <v>-32473</v>
      </c>
      <c r="F9061" s="3" t="s">
        <v>1109</v>
      </c>
      <c r="G9061" s="3" t="s">
        <v>162</v>
      </c>
      <c r="H9061" s="2" t="s">
        <v>21</v>
      </c>
      <c r="I9061" s="2" t="s">
        <v>23057</v>
      </c>
      <c r="J9061" s="3" t="str">
        <f>HYPERLINK("https://www.boe.es/gazeta/dias/1811/02/02/pdfs/GMD-1811-33.pdf#page=3","Abrir facsímil")</f>
        <v>Abrir facsímil</v>
      </c>
      <c r="K9061" s="3" t="s">
        <v>23</v>
      </c>
    </row>
    <row r="9062" spans="1:11" ht="42" customHeight="1">
      <c r="A9062" s="2" t="s">
        <v>23058</v>
      </c>
      <c r="B9062" s="2" t="s">
        <v>23059</v>
      </c>
      <c r="C9062" s="2" t="s">
        <v>122</v>
      </c>
      <c r="D9062" s="2" t="s">
        <v>18</v>
      </c>
      <c r="E9062" s="4">
        <v>-32404</v>
      </c>
      <c r="F9062" s="3" t="s">
        <v>911</v>
      </c>
      <c r="G9062" s="3" t="s">
        <v>468</v>
      </c>
      <c r="H9062" s="2" t="s">
        <v>21</v>
      </c>
      <c r="I9062" s="2" t="s">
        <v>23060</v>
      </c>
      <c r="J9062" s="3" t="str">
        <f>HYPERLINK("https://www.boe.es/gazeta/dias/1811/04/12/pdfs/GMD-1811-102.pdf#page=3","Abrir facsímil")</f>
        <v>Abrir facsímil</v>
      </c>
      <c r="K9062" s="3" t="s">
        <v>23</v>
      </c>
    </row>
    <row r="9063" spans="1:11" ht="42" customHeight="1">
      <c r="A9063" s="2" t="s">
        <v>23061</v>
      </c>
      <c r="B9063" s="2" t="s">
        <v>23062</v>
      </c>
      <c r="C9063" s="2" t="s">
        <v>26</v>
      </c>
      <c r="D9063" s="2" t="s">
        <v>18</v>
      </c>
      <c r="E9063" s="4">
        <v>-32473</v>
      </c>
      <c r="F9063" s="3" t="s">
        <v>1109</v>
      </c>
      <c r="G9063" s="3" t="s">
        <v>162</v>
      </c>
      <c r="H9063" s="2" t="s">
        <v>21</v>
      </c>
      <c r="I9063" s="2" t="s">
        <v>23063</v>
      </c>
      <c r="J9063" s="3" t="str">
        <f>HYPERLINK("https://www.boe.es/gazeta/dias/1811/02/02/pdfs/GMD-1811-33.pdf#page=3","Abrir facsímil")</f>
        <v>Abrir facsímil</v>
      </c>
      <c r="K9063" s="3" t="s">
        <v>23</v>
      </c>
    </row>
    <row r="9064" spans="1:11" ht="42" customHeight="1">
      <c r="A9064" s="2" t="s">
        <v>23064</v>
      </c>
      <c r="B9064" s="2" t="s">
        <v>23065</v>
      </c>
      <c r="C9064" s="2" t="s">
        <v>66</v>
      </c>
      <c r="D9064" s="2" t="s">
        <v>18</v>
      </c>
      <c r="E9064" s="4">
        <v>-32416</v>
      </c>
      <c r="F9064" s="3" t="s">
        <v>954</v>
      </c>
      <c r="G9064" s="3" t="s">
        <v>47</v>
      </c>
      <c r="H9064" s="2" t="s">
        <v>21</v>
      </c>
      <c r="I9064" s="2" t="s">
        <v>23066</v>
      </c>
      <c r="J9064" s="3" t="str">
        <f>HYPERLINK("https://www.boe.es/gazeta/dias/1811/03/31/pdfs/GMD-1811-90.pdf#page=3","Abrir facsímil")</f>
        <v>Abrir facsímil</v>
      </c>
      <c r="K9064" s="3" t="s">
        <v>23</v>
      </c>
    </row>
    <row r="9065" spans="1:11" ht="42" customHeight="1">
      <c r="A9065" s="2" t="s">
        <v>23067</v>
      </c>
      <c r="B9065" s="2" t="s">
        <v>23068</v>
      </c>
      <c r="C9065" s="2" t="s">
        <v>17</v>
      </c>
      <c r="D9065" s="2" t="s">
        <v>156</v>
      </c>
      <c r="E9065" s="4">
        <v>-32372</v>
      </c>
      <c r="F9065" s="3" t="s">
        <v>2690</v>
      </c>
      <c r="G9065" s="3" t="s">
        <v>47</v>
      </c>
      <c r="H9065" s="2" t="s">
        <v>21</v>
      </c>
      <c r="I9065" s="2" t="s">
        <v>23069</v>
      </c>
      <c r="J9065" s="3" t="str">
        <f>HYPERLINK("https://www.boe.es/gazeta/dias/1811/05/14/pdfs/GEI-1811-63.pdf#page=3","Abrir facsímil")</f>
        <v>Abrir facsímil</v>
      </c>
      <c r="K9065" s="3" t="s">
        <v>23</v>
      </c>
    </row>
    <row r="9066" spans="1:11" ht="42" customHeight="1">
      <c r="A9066" s="2" t="s">
        <v>23070</v>
      </c>
      <c r="B9066" s="2" t="s">
        <v>23071</v>
      </c>
      <c r="C9066" s="2" t="s">
        <v>104</v>
      </c>
      <c r="D9066" s="2" t="s">
        <v>18</v>
      </c>
      <c r="E9066" s="4">
        <v>-32425</v>
      </c>
      <c r="F9066" s="3" t="s">
        <v>23072</v>
      </c>
      <c r="G9066" s="3" t="s">
        <v>115</v>
      </c>
      <c r="H9066" s="2" t="s">
        <v>21</v>
      </c>
      <c r="I9066" s="2" t="s">
        <v>23073</v>
      </c>
      <c r="J9066" s="3" t="str">
        <f>HYPERLINK("https://www.boe.es/gazeta/dias/1811/03/22/pdfs/GMD-1811-81.pdf#page=3","Abrir facsímil")</f>
        <v>Abrir facsímil</v>
      </c>
      <c r="K9066" s="3" t="s">
        <v>23</v>
      </c>
    </row>
    <row r="9067" spans="1:11" ht="42" customHeight="1">
      <c r="A9067" s="2" t="s">
        <v>23074</v>
      </c>
      <c r="B9067" s="2" t="s">
        <v>23075</v>
      </c>
      <c r="C9067" s="2" t="s">
        <v>26</v>
      </c>
      <c r="D9067" s="2" t="s">
        <v>18</v>
      </c>
      <c r="E9067" s="4">
        <v>-32211</v>
      </c>
      <c r="F9067" s="3" t="s">
        <v>1230</v>
      </c>
      <c r="G9067" s="3" t="s">
        <v>4628</v>
      </c>
      <c r="H9067" s="2" t="s">
        <v>21</v>
      </c>
      <c r="I9067" s="2" t="s">
        <v>23076</v>
      </c>
      <c r="J9067" s="3" t="str">
        <f>HYPERLINK("https://www.boe.es/gazeta/dias/1811/10/22/pdfs/GMD-1811-295.pdf#page=1","Abrir facsímil")</f>
        <v>Abrir facsímil</v>
      </c>
      <c r="K9067" s="3" t="s">
        <v>23</v>
      </c>
    </row>
    <row r="9068" spans="1:11" ht="42" customHeight="1">
      <c r="A9068" s="2" t="s">
        <v>23077</v>
      </c>
      <c r="B9068" s="2" t="s">
        <v>23078</v>
      </c>
      <c r="C9068" s="2" t="s">
        <v>26</v>
      </c>
      <c r="D9068" s="2" t="s">
        <v>204</v>
      </c>
      <c r="E9068" s="4">
        <v>-32403</v>
      </c>
      <c r="F9068" s="3" t="s">
        <v>4861</v>
      </c>
      <c r="G9068" s="3" t="s">
        <v>57</v>
      </c>
      <c r="H9068" s="2" t="s">
        <v>21</v>
      </c>
      <c r="I9068" s="2" t="s">
        <v>23079</v>
      </c>
      <c r="J9068" s="3" t="str">
        <f>HYPERLINK("https://www.boe.es/gazeta/dias/1811/04/13/pdfs/GMD-1811-103.pdf#page=2","Abrir facsímil")</f>
        <v>Abrir facsímil</v>
      </c>
      <c r="K9068" s="3" t="s">
        <v>23</v>
      </c>
    </row>
    <row r="9069" spans="1:11" ht="42" customHeight="1">
      <c r="A9069" s="2" t="s">
        <v>23080</v>
      </c>
      <c r="B9069" s="2" t="s">
        <v>23081</v>
      </c>
      <c r="C9069" s="2" t="s">
        <v>66</v>
      </c>
      <c r="D9069" s="2" t="s">
        <v>18</v>
      </c>
      <c r="E9069" s="4">
        <v>-32153</v>
      </c>
      <c r="F9069" s="3" t="s">
        <v>123</v>
      </c>
      <c r="G9069" s="3" t="s">
        <v>124</v>
      </c>
      <c r="H9069" s="2" t="s">
        <v>21</v>
      </c>
      <c r="I9069" s="2" t="s">
        <v>23082</v>
      </c>
      <c r="J9069" s="3" t="str">
        <f>HYPERLINK("https://www.boe.es/gazeta/dias/1811/12/19/pdfs/GMD-1811-353.pdf#page=6","Abrir facsímil")</f>
        <v>Abrir facsímil</v>
      </c>
      <c r="K9069" s="3" t="s">
        <v>23</v>
      </c>
    </row>
    <row r="9070" spans="1:11" ht="42" customHeight="1">
      <c r="A9070" s="2" t="s">
        <v>23083</v>
      </c>
      <c r="B9070" s="2" t="s">
        <v>23084</v>
      </c>
      <c r="C9070" s="2" t="s">
        <v>104</v>
      </c>
      <c r="D9070" s="2" t="s">
        <v>204</v>
      </c>
      <c r="E9070" s="4">
        <v>-32445</v>
      </c>
      <c r="F9070" s="3" t="s">
        <v>880</v>
      </c>
      <c r="G9070" s="3" t="s">
        <v>881</v>
      </c>
      <c r="H9070" s="2" t="s">
        <v>21</v>
      </c>
      <c r="I9070" s="2" t="s">
        <v>23085</v>
      </c>
      <c r="J9070" s="3" t="str">
        <f>HYPERLINK("https://www.boe.es/gazeta/dias/1811/03/02/pdfs/GMD-1811-61.pdf#page=3","Abrir facsímil")</f>
        <v>Abrir facsímil</v>
      </c>
      <c r="K9070" s="3" t="s">
        <v>23</v>
      </c>
    </row>
    <row r="9071" spans="1:11" ht="42" customHeight="1">
      <c r="A9071" s="2" t="s">
        <v>23086</v>
      </c>
      <c r="B9071" s="2" t="s">
        <v>23087</v>
      </c>
      <c r="C9071" s="2" t="s">
        <v>17</v>
      </c>
      <c r="D9071" s="2" t="s">
        <v>156</v>
      </c>
      <c r="E9071" s="4">
        <v>-32179</v>
      </c>
      <c r="F9071" s="3" t="s">
        <v>2924</v>
      </c>
      <c r="G9071" s="3" t="s">
        <v>2931</v>
      </c>
      <c r="H9071" s="2" t="s">
        <v>21</v>
      </c>
      <c r="I9071" s="2" t="s">
        <v>23088</v>
      </c>
      <c r="J9071" s="3" t="str">
        <f>HYPERLINK("https://www.boe.es/gazeta/dias/1811/11/23/pdfs/GEI-D-1811-153.pdf#page=4","Abrir facsímil")</f>
        <v>Abrir facsímil</v>
      </c>
      <c r="K9071" s="3" t="s">
        <v>23</v>
      </c>
    </row>
    <row r="9072" spans="1:11" ht="42" customHeight="1">
      <c r="A9072" s="2" t="s">
        <v>23089</v>
      </c>
      <c r="B9072" s="2" t="s">
        <v>23090</v>
      </c>
      <c r="C9072" s="2" t="s">
        <v>367</v>
      </c>
      <c r="D9072" s="2" t="s">
        <v>18</v>
      </c>
      <c r="E9072" s="4">
        <v>-32153</v>
      </c>
      <c r="F9072" s="3" t="s">
        <v>123</v>
      </c>
      <c r="G9072" s="3" t="s">
        <v>1067</v>
      </c>
      <c r="H9072" s="2" t="s">
        <v>21</v>
      </c>
      <c r="I9072" s="2" t="s">
        <v>23091</v>
      </c>
      <c r="J9072" s="3" t="str">
        <f>HYPERLINK("https://www.boe.es/gazeta/dias/1811/12/19/pdfs/GMD-1811-353.pdf#page=5","Abrir facsímil")</f>
        <v>Abrir facsímil</v>
      </c>
      <c r="K9072" s="3" t="s">
        <v>23</v>
      </c>
    </row>
    <row r="9073" spans="1:11" ht="42" customHeight="1">
      <c r="A9073" s="2" t="s">
        <v>23092</v>
      </c>
      <c r="B9073" s="2" t="s">
        <v>23093</v>
      </c>
      <c r="C9073" s="2" t="s">
        <v>26</v>
      </c>
      <c r="D9073" s="2" t="s">
        <v>18</v>
      </c>
      <c r="E9073" s="4">
        <v>-32295</v>
      </c>
      <c r="F9073" s="3" t="s">
        <v>279</v>
      </c>
      <c r="G9073" s="3" t="s">
        <v>44</v>
      </c>
      <c r="H9073" s="2" t="s">
        <v>21</v>
      </c>
      <c r="I9073" s="2" t="s">
        <v>23094</v>
      </c>
      <c r="J9073" s="3" t="str">
        <f>HYPERLINK("https://www.boe.es/gazeta/dias/1811/07/30/pdfs/GEI-1811-99.pdf#page=8","Abrir facsímil")</f>
        <v>Abrir facsímil</v>
      </c>
      <c r="K9073" s="3" t="s">
        <v>23</v>
      </c>
    </row>
    <row r="9074" spans="1:11" ht="42" customHeight="1">
      <c r="A9074" s="2" t="s">
        <v>23095</v>
      </c>
      <c r="B9074" s="2" t="s">
        <v>23096</v>
      </c>
      <c r="C9074" s="2" t="s">
        <v>26</v>
      </c>
      <c r="D9074" s="2" t="s">
        <v>141</v>
      </c>
      <c r="E9074" s="4">
        <v>-32272</v>
      </c>
      <c r="F9074" s="3" t="s">
        <v>1150</v>
      </c>
      <c r="G9074" s="3" t="s">
        <v>248</v>
      </c>
      <c r="H9074" s="2" t="s">
        <v>21</v>
      </c>
      <c r="I9074" s="2" t="s">
        <v>23097</v>
      </c>
      <c r="J9074" s="3" t="str">
        <f>HYPERLINK("https://www.boe.es/gazeta/dias/1811/08/22/pdfs/GMD-C-1811-234.pdf#page=1","Abrir facsímil")</f>
        <v>Abrir facsímil</v>
      </c>
      <c r="K9074" s="3" t="s">
        <v>23</v>
      </c>
    </row>
    <row r="9075" spans="1:11" ht="42" customHeight="1">
      <c r="A9075" s="2" t="s">
        <v>23098</v>
      </c>
      <c r="B9075" s="2" t="s">
        <v>23099</v>
      </c>
      <c r="C9075" s="2" t="s">
        <v>26</v>
      </c>
      <c r="D9075" s="2" t="s">
        <v>18</v>
      </c>
      <c r="E9075" s="4">
        <v>-32379</v>
      </c>
      <c r="F9075" s="3" t="s">
        <v>462</v>
      </c>
      <c r="G9075" s="3" t="s">
        <v>463</v>
      </c>
      <c r="H9075" s="2" t="s">
        <v>21</v>
      </c>
      <c r="I9075" s="2" t="s">
        <v>23100</v>
      </c>
      <c r="J9075" s="3" t="str">
        <f>HYPERLINK("https://www.boe.es/gazeta/dias/1811/05/07/pdfs/GEI-1811-60.pdf#page=8","Abrir facsímil")</f>
        <v>Abrir facsímil</v>
      </c>
      <c r="K9075" s="3" t="s">
        <v>23</v>
      </c>
    </row>
    <row r="9076" spans="1:11" ht="42" customHeight="1">
      <c r="A9076" s="2" t="s">
        <v>23101</v>
      </c>
      <c r="B9076" s="2" t="s">
        <v>23102</v>
      </c>
      <c r="C9076" s="2" t="s">
        <v>26</v>
      </c>
      <c r="D9076" s="2" t="s">
        <v>141</v>
      </c>
      <c r="E9076" s="4">
        <v>-32280</v>
      </c>
      <c r="F9076" s="3" t="s">
        <v>142</v>
      </c>
      <c r="G9076" s="3" t="s">
        <v>47</v>
      </c>
      <c r="H9076" s="2" t="s">
        <v>21</v>
      </c>
      <c r="I9076" s="2" t="s">
        <v>23103</v>
      </c>
      <c r="J9076" s="3" t="str">
        <f>HYPERLINK("https://www.boe.es/gazeta/dias/1811/08/14/pdfs/GMD-C-1811-226.pdf#page=1","Abrir facsímil")</f>
        <v>Abrir facsímil</v>
      </c>
      <c r="K9076" s="3" t="s">
        <v>23</v>
      </c>
    </row>
    <row r="9077" spans="1:11" ht="42" customHeight="1">
      <c r="A9077" s="2" t="s">
        <v>23104</v>
      </c>
      <c r="B9077" s="2" t="s">
        <v>23105</v>
      </c>
      <c r="C9077" s="2" t="s">
        <v>104</v>
      </c>
      <c r="D9077" s="2" t="s">
        <v>18</v>
      </c>
      <c r="E9077" s="4">
        <v>-32221</v>
      </c>
      <c r="F9077" s="3" t="s">
        <v>747</v>
      </c>
      <c r="G9077" s="3" t="s">
        <v>47</v>
      </c>
      <c r="H9077" s="2" t="s">
        <v>21</v>
      </c>
      <c r="I9077" s="2" t="s">
        <v>23106</v>
      </c>
      <c r="J9077" s="3" t="str">
        <f>HYPERLINK("https://www.boe.es/gazeta/dias/1811/10/12/pdfs/GEI-1811-131.pdf#page=8","Abrir facsímil")</f>
        <v>Abrir facsímil</v>
      </c>
      <c r="K9077" s="3" t="s">
        <v>23</v>
      </c>
    </row>
    <row r="9078" spans="1:11" ht="42" customHeight="1">
      <c r="A9078" s="2" t="s">
        <v>23107</v>
      </c>
      <c r="B9078" s="2" t="s">
        <v>23108</v>
      </c>
      <c r="C9078" s="2" t="s">
        <v>26</v>
      </c>
      <c r="D9078" s="2" t="s">
        <v>18</v>
      </c>
      <c r="E9078" s="4">
        <v>-32153</v>
      </c>
      <c r="F9078" s="3" t="s">
        <v>123</v>
      </c>
      <c r="G9078" s="3" t="s">
        <v>1067</v>
      </c>
      <c r="H9078" s="2" t="s">
        <v>21</v>
      </c>
      <c r="I9078" s="2" t="s">
        <v>23109</v>
      </c>
      <c r="J9078" s="3" t="str">
        <f>HYPERLINK("https://www.boe.es/gazeta/dias/1811/12/19/pdfs/GMD-1811-353.pdf#page=5","Abrir facsímil")</f>
        <v>Abrir facsímil</v>
      </c>
      <c r="K9078" s="3" t="s">
        <v>23</v>
      </c>
    </row>
    <row r="9079" spans="1:11" ht="42" customHeight="1">
      <c r="A9079" s="2" t="s">
        <v>23110</v>
      </c>
      <c r="B9079" s="2" t="s">
        <v>23111</v>
      </c>
      <c r="C9079" s="2" t="s">
        <v>17</v>
      </c>
      <c r="D9079" s="2" t="s">
        <v>18</v>
      </c>
      <c r="E9079" s="4">
        <v>-32195</v>
      </c>
      <c r="F9079" s="3" t="s">
        <v>439</v>
      </c>
      <c r="G9079" s="3" t="s">
        <v>440</v>
      </c>
      <c r="H9079" s="2" t="s">
        <v>21</v>
      </c>
      <c r="I9079" s="2" t="s">
        <v>23112</v>
      </c>
      <c r="J9079" s="3" t="str">
        <f>HYPERLINK("https://www.boe.es/gazeta/dias/1811/11/07/pdfs/GEI-1811-144.pdf#page=8","Abrir facsímil")</f>
        <v>Abrir facsímil</v>
      </c>
      <c r="K9079" s="3" t="s">
        <v>23</v>
      </c>
    </row>
    <row r="9080" spans="1:11" ht="42" customHeight="1">
      <c r="A9080" s="2" t="s">
        <v>23113</v>
      </c>
      <c r="B9080" s="2" t="s">
        <v>23114</v>
      </c>
      <c r="C9080" s="2" t="s">
        <v>26</v>
      </c>
      <c r="D9080" s="2" t="s">
        <v>18</v>
      </c>
      <c r="E9080" s="4">
        <v>-32242</v>
      </c>
      <c r="F9080" s="3" t="s">
        <v>1295</v>
      </c>
      <c r="G9080" s="3" t="s">
        <v>1296</v>
      </c>
      <c r="H9080" s="2" t="s">
        <v>21</v>
      </c>
      <c r="I9080" s="2" t="s">
        <v>23115</v>
      </c>
      <c r="J9080" s="3" t="str">
        <f>HYPERLINK("https://www.boe.es/gazeta/dias/1811/09/21/pdfs/GEI-1811-122.pdf#page=8","Abrir facsímil")</f>
        <v>Abrir facsímil</v>
      </c>
      <c r="K9080" s="3" t="s">
        <v>23</v>
      </c>
    </row>
    <row r="9081" spans="1:11" ht="42" customHeight="1">
      <c r="A9081" s="2" t="s">
        <v>23116</v>
      </c>
      <c r="B9081" s="2" t="s">
        <v>23117</v>
      </c>
      <c r="C9081" s="2" t="s">
        <v>84</v>
      </c>
      <c r="D9081" s="2" t="s">
        <v>18</v>
      </c>
      <c r="E9081" s="4">
        <v>-32144</v>
      </c>
      <c r="F9081" s="3" t="s">
        <v>1097</v>
      </c>
      <c r="G9081" s="3" t="s">
        <v>1098</v>
      </c>
      <c r="H9081" s="2" t="s">
        <v>21</v>
      </c>
      <c r="I9081" s="2" t="s">
        <v>23118</v>
      </c>
      <c r="J9081" s="3" t="str">
        <f>HYPERLINK("https://www.boe.es/gazeta/dias/1811/12/28/pdfs/GEI-1811-168.pdf#page=8","Abrir facsímil")</f>
        <v>Abrir facsímil</v>
      </c>
      <c r="K9081" s="3" t="s">
        <v>23</v>
      </c>
    </row>
    <row r="9082" spans="1:11" ht="42" customHeight="1">
      <c r="A9082" s="2" t="s">
        <v>23119</v>
      </c>
      <c r="B9082" s="2" t="s">
        <v>23120</v>
      </c>
      <c r="C9082" s="2" t="s">
        <v>26</v>
      </c>
      <c r="D9082" s="2" t="s">
        <v>18</v>
      </c>
      <c r="E9082" s="4">
        <v>-32153</v>
      </c>
      <c r="F9082" s="3" t="s">
        <v>123</v>
      </c>
      <c r="G9082" s="3" t="s">
        <v>1067</v>
      </c>
      <c r="H9082" s="2" t="s">
        <v>21</v>
      </c>
      <c r="I9082" s="2" t="s">
        <v>23121</v>
      </c>
      <c r="J9082" s="3" t="str">
        <f>HYPERLINK("https://www.boe.es/gazeta/dias/1811/12/19/pdfs/GMD-1811-353.pdf#page=5","Abrir facsímil")</f>
        <v>Abrir facsímil</v>
      </c>
      <c r="K9082" s="3" t="s">
        <v>23</v>
      </c>
    </row>
    <row r="9083" spans="1:11" ht="42" customHeight="1">
      <c r="A9083" s="2" t="s">
        <v>23122</v>
      </c>
      <c r="B9083" s="2" t="s">
        <v>23123</v>
      </c>
      <c r="C9083" s="2" t="s">
        <v>84</v>
      </c>
      <c r="D9083" s="2" t="s">
        <v>105</v>
      </c>
      <c r="E9083" s="4">
        <v>-32370</v>
      </c>
      <c r="F9083" s="3" t="s">
        <v>146</v>
      </c>
      <c r="G9083" s="3" t="s">
        <v>1930</v>
      </c>
      <c r="H9083" s="2" t="s">
        <v>21</v>
      </c>
      <c r="I9083" s="2" t="s">
        <v>23124</v>
      </c>
      <c r="J9083" s="3" t="str">
        <f>HYPERLINK("https://www.boe.es/gazeta/dias/1811/05/16/pdfs/GEI-1811-64.pdf#page=8","Abrir facsímil")</f>
        <v>Abrir facsímil</v>
      </c>
      <c r="K9083" s="3" t="s">
        <v>23</v>
      </c>
    </row>
    <row r="9084" spans="1:11" ht="42" customHeight="1">
      <c r="A9084" s="2" t="s">
        <v>23125</v>
      </c>
      <c r="B9084" s="2" t="s">
        <v>23126</v>
      </c>
      <c r="C9084" s="2" t="s">
        <v>26</v>
      </c>
      <c r="D9084" s="2" t="s">
        <v>18</v>
      </c>
      <c r="E9084" s="4">
        <v>-32188</v>
      </c>
      <c r="F9084" s="3" t="s">
        <v>356</v>
      </c>
      <c r="G9084" s="3" t="s">
        <v>468</v>
      </c>
      <c r="H9084" s="2" t="s">
        <v>21</v>
      </c>
      <c r="I9084" s="2" t="s">
        <v>23127</v>
      </c>
      <c r="J9084" s="3" t="str">
        <f>HYPERLINK("https://www.boe.es/gazeta/dias/1811/11/14/pdfs/GMD-1811-318.pdf#page=6","Abrir facsímil")</f>
        <v>Abrir facsímil</v>
      </c>
      <c r="K9084" s="3" t="s">
        <v>23</v>
      </c>
    </row>
    <row r="9085" spans="1:11" ht="42" customHeight="1">
      <c r="A9085" s="2" t="s">
        <v>23128</v>
      </c>
      <c r="B9085" s="2" t="s">
        <v>23129</v>
      </c>
      <c r="C9085" s="2" t="s">
        <v>17</v>
      </c>
      <c r="D9085" s="2" t="s">
        <v>18</v>
      </c>
      <c r="E9085" s="4">
        <v>-32421</v>
      </c>
      <c r="F9085" s="3" t="s">
        <v>79</v>
      </c>
      <c r="G9085" s="3" t="s">
        <v>12177</v>
      </c>
      <c r="H9085" s="2" t="s">
        <v>21</v>
      </c>
      <c r="I9085" s="2" t="s">
        <v>23130</v>
      </c>
      <c r="J9085" s="3" t="str">
        <f>HYPERLINK("https://www.boe.es/gazeta/dias/1811/03/26/pdfs/GEI-1811-42.pdf#page=6","Abrir facsímil")</f>
        <v>Abrir facsímil</v>
      </c>
      <c r="K9085" s="3" t="s">
        <v>23</v>
      </c>
    </row>
    <row r="9086" spans="1:11" ht="42" customHeight="1">
      <c r="A9086" s="2" t="s">
        <v>23131</v>
      </c>
      <c r="B9086" s="2" t="s">
        <v>23132</v>
      </c>
      <c r="C9086" s="2" t="s">
        <v>26</v>
      </c>
      <c r="D9086" s="2" t="s">
        <v>141</v>
      </c>
      <c r="E9086" s="4">
        <v>-32249</v>
      </c>
      <c r="F9086" s="3" t="s">
        <v>743</v>
      </c>
      <c r="G9086" s="3" t="s">
        <v>468</v>
      </c>
      <c r="H9086" s="2" t="s">
        <v>21</v>
      </c>
      <c r="I9086" s="2" t="s">
        <v>23133</v>
      </c>
      <c r="J9086" s="3" t="str">
        <f>HYPERLINK("https://www.boe.es/gazeta/dias/1811/09/14/pdfs/GMD-C-1811-257.pdf#page=1","Abrir facsímil")</f>
        <v>Abrir facsímil</v>
      </c>
      <c r="K9086" s="3" t="s">
        <v>23</v>
      </c>
    </row>
    <row r="9087" spans="1:11" ht="42" customHeight="1">
      <c r="A9087" s="2" t="s">
        <v>23134</v>
      </c>
      <c r="B9087" s="2" t="s">
        <v>23135</v>
      </c>
      <c r="C9087" s="2" t="s">
        <v>26</v>
      </c>
      <c r="D9087" s="2" t="s">
        <v>18</v>
      </c>
      <c r="E9087" s="4">
        <v>-32188</v>
      </c>
      <c r="F9087" s="3" t="s">
        <v>356</v>
      </c>
      <c r="G9087" s="3" t="s">
        <v>248</v>
      </c>
      <c r="H9087" s="2" t="s">
        <v>21</v>
      </c>
      <c r="I9087" s="2" t="s">
        <v>23136</v>
      </c>
      <c r="J9087" s="3" t="str">
        <f>HYPERLINK("https://www.boe.es/gazeta/dias/1811/11/14/pdfs/GMD-1811-318.pdf#page=5","Abrir facsímil")</f>
        <v>Abrir facsímil</v>
      </c>
      <c r="K9087" s="3" t="s">
        <v>23</v>
      </c>
    </row>
    <row r="9088" spans="1:11" ht="42" customHeight="1">
      <c r="A9088" s="2" t="s">
        <v>23134</v>
      </c>
      <c r="B9088" s="2" t="s">
        <v>23135</v>
      </c>
      <c r="C9088" s="2" t="s">
        <v>26</v>
      </c>
      <c r="D9088" s="2" t="s">
        <v>18</v>
      </c>
      <c r="E9088" s="4">
        <v>-32188</v>
      </c>
      <c r="F9088" s="3" t="s">
        <v>356</v>
      </c>
      <c r="G9088" s="3" t="s">
        <v>468</v>
      </c>
      <c r="H9088" s="2" t="s">
        <v>21</v>
      </c>
      <c r="I9088" s="2" t="s">
        <v>23137</v>
      </c>
      <c r="J9088" s="3" t="str">
        <f>HYPERLINK("https://www.boe.es/gazeta/dias/1811/11/14/pdfs/GMD-1811-318.pdf#page=6","Abrir facsímil")</f>
        <v>Abrir facsímil</v>
      </c>
      <c r="K9088" s="3" t="s">
        <v>23</v>
      </c>
    </row>
    <row r="9089" spans="1:11" ht="42" customHeight="1">
      <c r="A9089" s="2" t="s">
        <v>23138</v>
      </c>
      <c r="B9089" s="2" t="s">
        <v>23139</v>
      </c>
      <c r="C9089" s="2" t="s">
        <v>26</v>
      </c>
      <c r="D9089" s="2" t="s">
        <v>204</v>
      </c>
      <c r="E9089" s="4">
        <v>-32155</v>
      </c>
      <c r="F9089" s="3" t="s">
        <v>99</v>
      </c>
      <c r="G9089" s="3" t="s">
        <v>100</v>
      </c>
      <c r="H9089" s="2" t="s">
        <v>21</v>
      </c>
      <c r="I9089" s="2" t="s">
        <v>23140</v>
      </c>
      <c r="J9089" s="3" t="str">
        <f>HYPERLINK("https://www.boe.es/gazeta/dias/1811/12/17/pdfs/GMD-1811-351.pdf#page=4","Abrir facsímil")</f>
        <v>Abrir facsímil</v>
      </c>
      <c r="K9089" s="3" t="s">
        <v>23</v>
      </c>
    </row>
    <row r="9090" spans="1:11" ht="42" customHeight="1">
      <c r="A9090" s="2" t="s">
        <v>23141</v>
      </c>
      <c r="B9090" s="2" t="s">
        <v>23142</v>
      </c>
      <c r="C9090" s="2" t="s">
        <v>104</v>
      </c>
      <c r="D9090" s="2" t="s">
        <v>18</v>
      </c>
      <c r="E9090" s="4">
        <v>-32207</v>
      </c>
      <c r="F9090" s="3" t="s">
        <v>152</v>
      </c>
      <c r="G9090" s="3" t="s">
        <v>1565</v>
      </c>
      <c r="H9090" s="2" t="s">
        <v>21</v>
      </c>
      <c r="I9090" s="2" t="s">
        <v>23143</v>
      </c>
      <c r="J9090" s="3" t="str">
        <f>HYPERLINK("https://www.boe.es/gazeta/dias/1811/10/26/pdfs/GEI-1811-138.pdf#page=8","Abrir facsímil")</f>
        <v>Abrir facsímil</v>
      </c>
      <c r="K9090" s="3" t="s">
        <v>23</v>
      </c>
    </row>
    <row r="9091" spans="1:11" ht="42" customHeight="1">
      <c r="A9091" s="2" t="s">
        <v>23144</v>
      </c>
      <c r="B9091" s="2" t="s">
        <v>23145</v>
      </c>
      <c r="C9091" s="2" t="s">
        <v>26</v>
      </c>
      <c r="D9091" s="2" t="s">
        <v>18</v>
      </c>
      <c r="E9091" s="4">
        <v>-32188</v>
      </c>
      <c r="F9091" s="3" t="s">
        <v>356</v>
      </c>
      <c r="G9091" s="3" t="s">
        <v>248</v>
      </c>
      <c r="H9091" s="2" t="s">
        <v>21</v>
      </c>
      <c r="I9091" s="2" t="s">
        <v>23146</v>
      </c>
      <c r="J9091" s="3" t="str">
        <f>HYPERLINK("https://www.boe.es/gazeta/dias/1811/11/14/pdfs/GMD-1811-318.pdf#page=5","Abrir facsímil")</f>
        <v>Abrir facsímil</v>
      </c>
      <c r="K9091" s="3" t="s">
        <v>23</v>
      </c>
    </row>
    <row r="9092" spans="1:11" ht="42" customHeight="1">
      <c r="A9092" s="2" t="s">
        <v>23147</v>
      </c>
      <c r="B9092" s="2" t="s">
        <v>23148</v>
      </c>
      <c r="C9092" s="2" t="s">
        <v>26</v>
      </c>
      <c r="D9092" s="2" t="s">
        <v>18</v>
      </c>
      <c r="E9092" s="4">
        <v>-32389</v>
      </c>
      <c r="F9092" s="3" t="s">
        <v>5334</v>
      </c>
      <c r="G9092" s="3" t="s">
        <v>2384</v>
      </c>
      <c r="H9092" s="2" t="s">
        <v>21</v>
      </c>
      <c r="I9092" s="2" t="s">
        <v>23149</v>
      </c>
      <c r="J9092" s="3" t="str">
        <f>HYPERLINK("https://www.boe.es/gazeta/dias/1811/04/27/pdfs/GEI-1811-56.pdf#page=8","Abrir facsímil")</f>
        <v>Abrir facsímil</v>
      </c>
      <c r="K9092" s="3" t="s">
        <v>23</v>
      </c>
    </row>
    <row r="9093" spans="1:11" ht="42" customHeight="1">
      <c r="A9093" s="2" t="s">
        <v>23150</v>
      </c>
      <c r="B9093" s="2" t="s">
        <v>23151</v>
      </c>
      <c r="C9093" s="2" t="s">
        <v>26</v>
      </c>
      <c r="D9093" s="2" t="s">
        <v>141</v>
      </c>
      <c r="E9093" s="4">
        <v>-32238</v>
      </c>
      <c r="F9093" s="3" t="s">
        <v>166</v>
      </c>
      <c r="G9093" s="3" t="s">
        <v>39</v>
      </c>
      <c r="H9093" s="2" t="s">
        <v>21</v>
      </c>
      <c r="I9093" s="2" t="s">
        <v>23152</v>
      </c>
      <c r="J9093" s="3" t="str">
        <f>HYPERLINK("https://www.boe.es/gazeta/dias/1811/09/25/pdfs/GMD-C-1811-268.pdf#page=2","Abrir facsímil")</f>
        <v>Abrir facsímil</v>
      </c>
      <c r="K9093" s="3" t="s">
        <v>23</v>
      </c>
    </row>
    <row r="9094" spans="1:11" ht="42" customHeight="1">
      <c r="A9094" s="2" t="s">
        <v>23153</v>
      </c>
      <c r="B9094" s="2" t="s">
        <v>23154</v>
      </c>
      <c r="C9094" s="2" t="s">
        <v>367</v>
      </c>
      <c r="D9094" s="2" t="s">
        <v>18</v>
      </c>
      <c r="E9094" s="4">
        <v>-32428</v>
      </c>
      <c r="F9094" s="3" t="s">
        <v>1974</v>
      </c>
      <c r="G9094" s="3" t="s">
        <v>925</v>
      </c>
      <c r="H9094" s="2" t="s">
        <v>21</v>
      </c>
      <c r="I9094" s="2" t="s">
        <v>23155</v>
      </c>
      <c r="J9094" s="3" t="str">
        <f>HYPERLINK("https://www.boe.es/gazeta/dias/1811/03/19/pdfs/GEI-1811-39.pdf#page=2","Abrir facsímil")</f>
        <v>Abrir facsímil</v>
      </c>
      <c r="K9094" s="3" t="s">
        <v>23</v>
      </c>
    </row>
    <row r="9095" spans="1:11" ht="42" customHeight="1">
      <c r="A9095" s="2" t="s">
        <v>23156</v>
      </c>
      <c r="B9095" s="2" t="s">
        <v>23157</v>
      </c>
      <c r="C9095" s="2" t="s">
        <v>26</v>
      </c>
      <c r="D9095" s="2" t="s">
        <v>18</v>
      </c>
      <c r="E9095" s="4">
        <v>-32295</v>
      </c>
      <c r="F9095" s="3" t="s">
        <v>279</v>
      </c>
      <c r="G9095" s="3" t="s">
        <v>44</v>
      </c>
      <c r="H9095" s="2" t="s">
        <v>21</v>
      </c>
      <c r="I9095" s="2" t="s">
        <v>23158</v>
      </c>
      <c r="J9095" s="3" t="str">
        <f>HYPERLINK("https://www.boe.es/gazeta/dias/1811/07/30/pdfs/GEI-1811-99.pdf#page=8","Abrir facsímil")</f>
        <v>Abrir facsímil</v>
      </c>
      <c r="K9095" s="3" t="s">
        <v>23</v>
      </c>
    </row>
    <row r="9096" spans="1:11" ht="42" customHeight="1">
      <c r="A9096" s="2" t="s">
        <v>23159</v>
      </c>
      <c r="B9096" s="2" t="s">
        <v>23160</v>
      </c>
      <c r="C9096" s="2" t="s">
        <v>26</v>
      </c>
      <c r="D9096" s="2" t="s">
        <v>18</v>
      </c>
      <c r="E9096" s="4">
        <v>-32145</v>
      </c>
      <c r="F9096" s="3" t="s">
        <v>417</v>
      </c>
      <c r="G9096" s="3" t="s">
        <v>418</v>
      </c>
      <c r="H9096" s="2" t="s">
        <v>21</v>
      </c>
      <c r="I9096" s="2" t="s">
        <v>23161</v>
      </c>
      <c r="J9096" s="3" t="str">
        <f>HYPERLINK("https://www.boe.es/gazeta/dias/1811/12/27/pdfs/GMD-1811-361.pdf#page=4","Abrir facsímil")</f>
        <v>Abrir facsímil</v>
      </c>
      <c r="K9096" s="3" t="s">
        <v>23</v>
      </c>
    </row>
    <row r="9097" spans="1:11" ht="42" customHeight="1">
      <c r="A9097" s="2" t="s">
        <v>23162</v>
      </c>
      <c r="B9097" s="2" t="s">
        <v>23163</v>
      </c>
      <c r="C9097" s="2" t="s">
        <v>84</v>
      </c>
      <c r="D9097" s="2" t="s">
        <v>105</v>
      </c>
      <c r="E9097" s="4">
        <v>-32179</v>
      </c>
      <c r="F9097" s="3" t="s">
        <v>614</v>
      </c>
      <c r="G9097" s="3" t="s">
        <v>47</v>
      </c>
      <c r="H9097" s="2" t="s">
        <v>21</v>
      </c>
      <c r="I9097" s="2" t="s">
        <v>23164</v>
      </c>
      <c r="J9097" s="3" t="str">
        <f>HYPERLINK("https://www.boe.es/gazeta/dias/1811/11/23/pdfs/GEI-1811-153.pdf#page=8","Abrir facsímil")</f>
        <v>Abrir facsímil</v>
      </c>
      <c r="K9097" s="3" t="s">
        <v>23</v>
      </c>
    </row>
    <row r="9098" spans="1:11" ht="42" customHeight="1">
      <c r="A9098" s="2" t="s">
        <v>23165</v>
      </c>
      <c r="B9098" s="2" t="s">
        <v>23166</v>
      </c>
      <c r="C9098" s="2" t="s">
        <v>26</v>
      </c>
      <c r="D9098" s="2" t="s">
        <v>141</v>
      </c>
      <c r="E9098" s="4">
        <v>-32249</v>
      </c>
      <c r="F9098" s="3" t="s">
        <v>743</v>
      </c>
      <c r="G9098" s="3" t="s">
        <v>1021</v>
      </c>
      <c r="H9098" s="2" t="s">
        <v>21</v>
      </c>
      <c r="I9098" s="2" t="s">
        <v>23167</v>
      </c>
      <c r="J9098" s="3" t="str">
        <f>HYPERLINK("https://www.boe.es/gazeta/dias/1811/09/14/pdfs/GMD-C-1811-257.pdf#page=2","Abrir facsímil")</f>
        <v>Abrir facsímil</v>
      </c>
      <c r="K9098" s="3" t="s">
        <v>23</v>
      </c>
    </row>
    <row r="9099" spans="1:11" ht="42" customHeight="1">
      <c r="A9099" s="2" t="s">
        <v>23168</v>
      </c>
      <c r="B9099" s="2" t="s">
        <v>23169</v>
      </c>
      <c r="C9099" s="2" t="s">
        <v>367</v>
      </c>
      <c r="D9099" s="2" t="s">
        <v>18</v>
      </c>
      <c r="E9099" s="4">
        <v>-32297</v>
      </c>
      <c r="F9099" s="3" t="s">
        <v>2174</v>
      </c>
      <c r="G9099" s="3" t="s">
        <v>183</v>
      </c>
      <c r="H9099" s="2" t="s">
        <v>21</v>
      </c>
      <c r="I9099" s="2" t="s">
        <v>23170</v>
      </c>
      <c r="J9099" s="3" t="str">
        <f>HYPERLINK("https://www.boe.es/gazeta/dias/1811/07/28/pdfs/GMD-1811-209.pdf#page=4","Abrir facsímil")</f>
        <v>Abrir facsímil</v>
      </c>
      <c r="K9099" s="3" t="s">
        <v>23</v>
      </c>
    </row>
    <row r="9100" spans="1:11" ht="42" customHeight="1">
      <c r="A9100" s="2" t="s">
        <v>23171</v>
      </c>
      <c r="B9100" s="2" t="s">
        <v>23172</v>
      </c>
      <c r="C9100" s="2" t="s">
        <v>66</v>
      </c>
      <c r="D9100" s="2" t="s">
        <v>141</v>
      </c>
      <c r="E9100" s="4">
        <v>-32238</v>
      </c>
      <c r="F9100" s="3" t="s">
        <v>166</v>
      </c>
      <c r="G9100" s="3" t="s">
        <v>39</v>
      </c>
      <c r="H9100" s="2" t="s">
        <v>148</v>
      </c>
      <c r="I9100" s="2" t="s">
        <v>23173</v>
      </c>
      <c r="J9100" s="3" t="str">
        <f>HYPERLINK("https://www.boe.es/gazeta/dias/1811/09/25/pdfs/GMD-C-1811-268.pdf#page=2","Abrir facsímil")</f>
        <v>Abrir facsímil</v>
      </c>
      <c r="K9100" s="3" t="s">
        <v>150</v>
      </c>
    </row>
    <row r="9101" spans="1:11" ht="42" customHeight="1">
      <c r="A9101" s="2" t="s">
        <v>23174</v>
      </c>
      <c r="B9101" s="2" t="s">
        <v>23175</v>
      </c>
      <c r="C9101" s="2" t="s">
        <v>26</v>
      </c>
      <c r="D9101" s="2" t="s">
        <v>18</v>
      </c>
      <c r="E9101" s="4">
        <v>-32249</v>
      </c>
      <c r="F9101" s="3" t="s">
        <v>182</v>
      </c>
      <c r="G9101" s="3" t="s">
        <v>183</v>
      </c>
      <c r="H9101" s="2" t="s">
        <v>148</v>
      </c>
      <c r="I9101" s="2" t="s">
        <v>23176</v>
      </c>
      <c r="J9101" s="3" t="str">
        <f>HYPERLINK("https://www.boe.es/gazeta/dias/1811/09/14/pdfs/GMD-1811-257.pdf#page=4","Abrir facsímil")</f>
        <v>Abrir facsímil</v>
      </c>
      <c r="K9101" s="3" t="s">
        <v>150</v>
      </c>
    </row>
    <row r="9102" spans="1:11" ht="42" customHeight="1">
      <c r="A9102" s="2" t="s">
        <v>23177</v>
      </c>
      <c r="B9102" s="2" t="s">
        <v>23177</v>
      </c>
      <c r="C9102" s="2" t="s">
        <v>17</v>
      </c>
      <c r="D9102" s="2" t="s">
        <v>18</v>
      </c>
      <c r="E9102" s="4">
        <v>-32337</v>
      </c>
      <c r="F9102" s="3" t="s">
        <v>5266</v>
      </c>
      <c r="G9102" s="3" t="s">
        <v>47</v>
      </c>
      <c r="H9102" s="2" t="s">
        <v>148</v>
      </c>
      <c r="I9102" s="2" t="s">
        <v>23178</v>
      </c>
      <c r="J9102" s="3" t="str">
        <f>HYPERLINK("https://www.boe.es/gazeta/dias/1811/06/18/pdfs/GEI-1811-81.pdf#page=6","Abrir facsímil")</f>
        <v>Abrir facsímil</v>
      </c>
      <c r="K9102" s="3" t="s">
        <v>150</v>
      </c>
    </row>
    <row r="9103" spans="1:11" ht="42" customHeight="1">
      <c r="A9103" s="2" t="s">
        <v>23179</v>
      </c>
      <c r="B9103" s="2" t="s">
        <v>23180</v>
      </c>
      <c r="C9103" s="2" t="s">
        <v>37</v>
      </c>
      <c r="D9103" s="2" t="s">
        <v>18</v>
      </c>
      <c r="E9103" s="4">
        <v>-32158</v>
      </c>
      <c r="F9103" s="3" t="s">
        <v>46</v>
      </c>
      <c r="G9103" s="3" t="s">
        <v>47</v>
      </c>
      <c r="H9103" s="2" t="s">
        <v>148</v>
      </c>
      <c r="I9103" s="2" t="s">
        <v>23181</v>
      </c>
      <c r="J9103" s="3" t="str">
        <f>HYPERLINK("https://www.boe.es/gazeta/dias/1811/12/14/pdfs/GEI-1811-162.pdf#page=7","Abrir facsímil")</f>
        <v>Abrir facsímil</v>
      </c>
      <c r="K9103" s="3" t="s">
        <v>150</v>
      </c>
    </row>
    <row r="9104" spans="1:11" ht="42" customHeight="1">
      <c r="A9104" s="2" t="s">
        <v>23182</v>
      </c>
      <c r="B9104" s="2" t="s">
        <v>23183</v>
      </c>
      <c r="C9104" s="2" t="s">
        <v>17</v>
      </c>
      <c r="D9104" s="2" t="s">
        <v>18</v>
      </c>
      <c r="E9104" s="4">
        <v>-32477</v>
      </c>
      <c r="F9104" s="3" t="s">
        <v>6777</v>
      </c>
      <c r="G9104" s="3" t="s">
        <v>16549</v>
      </c>
      <c r="H9104" s="2" t="s">
        <v>148</v>
      </c>
      <c r="I9104" s="2" t="s">
        <v>23184</v>
      </c>
      <c r="J9104" s="3" t="str">
        <f>HYPERLINK("https://www.boe.es/gazeta/dias/1811/01/29/pdfs/GEI-1811-13.pdf#page=6","Abrir facsímil")</f>
        <v>Abrir facsímil</v>
      </c>
      <c r="K9104" s="3" t="s">
        <v>150</v>
      </c>
    </row>
    <row r="9105" spans="1:11" ht="42" customHeight="1">
      <c r="A9105" s="2" t="s">
        <v>23185</v>
      </c>
      <c r="B9105" s="2" t="s">
        <v>23186</v>
      </c>
      <c r="C9105" s="2" t="s">
        <v>17</v>
      </c>
      <c r="D9105" s="2" t="s">
        <v>18</v>
      </c>
      <c r="E9105" s="4">
        <v>-32256</v>
      </c>
      <c r="F9105" s="3" t="s">
        <v>161</v>
      </c>
      <c r="G9105" s="3" t="s">
        <v>39</v>
      </c>
      <c r="H9105" s="2" t="s">
        <v>148</v>
      </c>
      <c r="I9105" s="2" t="s">
        <v>23187</v>
      </c>
      <c r="J9105" s="3" t="str">
        <f>HYPERLINK("https://www.boe.es/gazeta/dias/1811/09/07/pdfs/GEI-1811-116.pdf#page=1","Abrir facsímil")</f>
        <v>Abrir facsímil</v>
      </c>
      <c r="K9105" s="3" t="s">
        <v>150</v>
      </c>
    </row>
    <row r="9106" spans="1:11" ht="42" customHeight="1">
      <c r="A9106" s="2" t="s">
        <v>23188</v>
      </c>
      <c r="B9106" s="2" t="s">
        <v>23189</v>
      </c>
      <c r="C9106" s="2" t="s">
        <v>26</v>
      </c>
      <c r="D9106" s="2" t="s">
        <v>18</v>
      </c>
      <c r="E9106" s="4">
        <v>-32494</v>
      </c>
      <c r="F9106" s="3" t="s">
        <v>3050</v>
      </c>
      <c r="G9106" s="3" t="s">
        <v>2442</v>
      </c>
      <c r="H9106" s="2" t="s">
        <v>148</v>
      </c>
      <c r="I9106" s="2" t="s">
        <v>23190</v>
      </c>
      <c r="J9106" s="3" t="str">
        <f>HYPERLINK("https://www.boe.es/gazeta/dias/1811/01/12/pdfs/GEI-1811-6.pdf#page=3","Abrir facsímil")</f>
        <v>Abrir facsímil</v>
      </c>
      <c r="K9106" s="3" t="s">
        <v>150</v>
      </c>
    </row>
    <row r="9107" spans="1:11" ht="42" customHeight="1">
      <c r="A9107" s="2" t="s">
        <v>23191</v>
      </c>
      <c r="B9107" s="2" t="s">
        <v>23192</v>
      </c>
      <c r="C9107" s="2" t="s">
        <v>26</v>
      </c>
      <c r="D9107" s="2" t="s">
        <v>18</v>
      </c>
      <c r="E9107" s="4">
        <v>-32284</v>
      </c>
      <c r="F9107" s="3" t="s">
        <v>170</v>
      </c>
      <c r="G9107" s="3" t="s">
        <v>162</v>
      </c>
      <c r="H9107" s="2" t="s">
        <v>148</v>
      </c>
      <c r="I9107" s="2" t="s">
        <v>23193</v>
      </c>
      <c r="J9107" s="3" t="str">
        <f>HYPERLINK("https://www.boe.es/gazeta/dias/1811/08/10/pdfs/GEI-1811-104.pdf#page=1","Abrir facsímil")</f>
        <v>Abrir facsímil</v>
      </c>
      <c r="K9107" s="3" t="s">
        <v>150</v>
      </c>
    </row>
    <row r="9108" spans="1:11" ht="42" customHeight="1">
      <c r="A9108" s="2" t="s">
        <v>23194</v>
      </c>
      <c r="B9108" s="2" t="s">
        <v>23194</v>
      </c>
      <c r="C9108" s="2" t="s">
        <v>17</v>
      </c>
      <c r="D9108" s="2" t="s">
        <v>204</v>
      </c>
      <c r="E9108" s="4">
        <v>-32154</v>
      </c>
      <c r="F9108" s="3" t="s">
        <v>7211</v>
      </c>
      <c r="G9108" s="3" t="s">
        <v>115</v>
      </c>
      <c r="H9108" s="2" t="s">
        <v>148</v>
      </c>
      <c r="I9108" s="2" t="s">
        <v>23195</v>
      </c>
      <c r="J9108" s="3" t="str">
        <f>HYPERLINK("https://www.boe.es/gazeta/dias/1811/12/18/pdfs/GMD-1811-352.pdf#page=3","Abrir facsímil")</f>
        <v>Abrir facsímil</v>
      </c>
      <c r="K9108" s="3" t="s">
        <v>150</v>
      </c>
    </row>
    <row r="9109" spans="1:11" ht="42" customHeight="1">
      <c r="A9109" s="2" t="s">
        <v>23196</v>
      </c>
      <c r="B9109" s="2" t="s">
        <v>23197</v>
      </c>
      <c r="C9109" s="2" t="s">
        <v>26</v>
      </c>
      <c r="D9109" s="2" t="s">
        <v>141</v>
      </c>
      <c r="E9109" s="4">
        <v>-32396</v>
      </c>
      <c r="F9109" s="3" t="s">
        <v>804</v>
      </c>
      <c r="G9109" s="3" t="s">
        <v>805</v>
      </c>
      <c r="H9109" s="2" t="s">
        <v>148</v>
      </c>
      <c r="I9109" s="2" t="s">
        <v>23198</v>
      </c>
      <c r="J9109" s="3" t="str">
        <f>HYPERLINK("https://www.boe.es/gazeta/dias/1811/04/20/pdfs/GEI-D-1811-53.pdf#page=4","Abrir facsímil")</f>
        <v>Abrir facsímil</v>
      </c>
      <c r="K9109" s="3" t="s">
        <v>150</v>
      </c>
    </row>
    <row r="9110" spans="1:11" ht="42" customHeight="1">
      <c r="A9110" s="2" t="s">
        <v>23199</v>
      </c>
      <c r="B9110" s="2" t="s">
        <v>23200</v>
      </c>
      <c r="C9110" s="2" t="s">
        <v>26</v>
      </c>
      <c r="D9110" s="2" t="s">
        <v>141</v>
      </c>
      <c r="E9110" s="4">
        <v>-32396</v>
      </c>
      <c r="F9110" s="3" t="s">
        <v>804</v>
      </c>
      <c r="G9110" s="3" t="s">
        <v>805</v>
      </c>
      <c r="H9110" s="2" t="s">
        <v>148</v>
      </c>
      <c r="I9110" s="2" t="s">
        <v>23201</v>
      </c>
      <c r="J9110" s="3" t="str">
        <f>HYPERLINK("https://www.boe.es/gazeta/dias/1811/04/20/pdfs/GEI-D-1811-53.pdf#page=4","Abrir facsímil")</f>
        <v>Abrir facsímil</v>
      </c>
      <c r="K9110" s="3" t="s">
        <v>150</v>
      </c>
    </row>
    <row r="9111" spans="1:11" ht="42" customHeight="1">
      <c r="A9111" s="2" t="s">
        <v>23202</v>
      </c>
      <c r="B9111" s="2" t="s">
        <v>23202</v>
      </c>
      <c r="C9111" s="2" t="s">
        <v>26</v>
      </c>
      <c r="D9111" s="2" t="s">
        <v>18</v>
      </c>
      <c r="E9111" s="4">
        <v>-32179</v>
      </c>
      <c r="F9111" s="3" t="s">
        <v>614</v>
      </c>
      <c r="G9111" s="3" t="s">
        <v>331</v>
      </c>
      <c r="H9111" s="2" t="s">
        <v>148</v>
      </c>
      <c r="I9111" s="2" t="s">
        <v>23203</v>
      </c>
      <c r="J9111" s="3" t="str">
        <f>HYPERLINK("https://www.boe.es/gazeta/dias/1811/11/23/pdfs/GEI-1811-153.pdf#page=2","Abrir facsímil")</f>
        <v>Abrir facsímil</v>
      </c>
      <c r="K9111" s="3" t="s">
        <v>150</v>
      </c>
    </row>
    <row r="9112" spans="1:11" ht="42" customHeight="1">
      <c r="A9112" s="2" t="s">
        <v>23204</v>
      </c>
      <c r="B9112" s="2" t="s">
        <v>23205</v>
      </c>
      <c r="C9112" s="2" t="s">
        <v>17</v>
      </c>
      <c r="D9112" s="2" t="s">
        <v>156</v>
      </c>
      <c r="E9112" s="4">
        <v>-32216</v>
      </c>
      <c r="F9112" s="3" t="s">
        <v>2739</v>
      </c>
      <c r="G9112" s="3" t="s">
        <v>16716</v>
      </c>
      <c r="H9112" s="2" t="s">
        <v>148</v>
      </c>
      <c r="I9112" s="2" t="s">
        <v>23206</v>
      </c>
      <c r="J9112" s="3" t="str">
        <f>HYPERLINK("https://www.boe.es/gazeta/dias/1811/10/17/pdfs/GEI-1811-134.pdf#page=7","Abrir facsímil")</f>
        <v>Abrir facsímil</v>
      </c>
      <c r="K9112" s="3" t="s">
        <v>150</v>
      </c>
    </row>
    <row r="9113" spans="1:11" ht="42" customHeight="1">
      <c r="A9113" s="2" t="s">
        <v>23207</v>
      </c>
      <c r="B9113" s="2" t="s">
        <v>23208</v>
      </c>
      <c r="C9113" s="2" t="s">
        <v>26</v>
      </c>
      <c r="D9113" s="2" t="s">
        <v>18</v>
      </c>
      <c r="E9113" s="4">
        <v>-32312</v>
      </c>
      <c r="F9113" s="3" t="s">
        <v>2640</v>
      </c>
      <c r="G9113" s="3" t="s">
        <v>162</v>
      </c>
      <c r="H9113" s="2" t="s">
        <v>148</v>
      </c>
      <c r="I9113" s="2" t="s">
        <v>23209</v>
      </c>
      <c r="J9113" s="3" t="str">
        <f>HYPERLINK("https://www.boe.es/gazeta/dias/1811/07/13/pdfs/GEI-1811-92.pdf#page=7","Abrir facsímil")</f>
        <v>Abrir facsímil</v>
      </c>
      <c r="K9113" s="3" t="s">
        <v>150</v>
      </c>
    </row>
    <row r="9114" spans="1:11" ht="42" customHeight="1">
      <c r="A9114" s="2" t="s">
        <v>23210</v>
      </c>
      <c r="B9114" s="2" t="s">
        <v>23211</v>
      </c>
      <c r="C9114" s="2" t="s">
        <v>26</v>
      </c>
      <c r="D9114" s="2" t="s">
        <v>18</v>
      </c>
      <c r="E9114" s="4">
        <v>-32260</v>
      </c>
      <c r="F9114" s="3" t="s">
        <v>27</v>
      </c>
      <c r="G9114" s="3" t="s">
        <v>1048</v>
      </c>
      <c r="H9114" s="2" t="s">
        <v>21</v>
      </c>
      <c r="I9114" s="2" t="s">
        <v>23212</v>
      </c>
      <c r="J9114" s="3" t="str">
        <f>HYPERLINK("https://www.boe.es/gazeta/dias/1811/09/03/pdfs/GEI-1811-114.pdf#page=2","Abrir facsímil")</f>
        <v>Abrir facsímil</v>
      </c>
      <c r="K9114" s="3" t="s">
        <v>23</v>
      </c>
    </row>
    <row r="9115" spans="1:11" ht="42" customHeight="1">
      <c r="A9115" s="2" t="s">
        <v>23213</v>
      </c>
      <c r="B9115" s="2" t="s">
        <v>23214</v>
      </c>
      <c r="C9115" s="2" t="s">
        <v>26</v>
      </c>
      <c r="D9115" s="2" t="s">
        <v>141</v>
      </c>
      <c r="E9115" s="4">
        <v>-32249</v>
      </c>
      <c r="F9115" s="3" t="s">
        <v>743</v>
      </c>
      <c r="G9115" s="3" t="s">
        <v>468</v>
      </c>
      <c r="H9115" s="2" t="s">
        <v>21</v>
      </c>
      <c r="I9115" s="2" t="s">
        <v>23215</v>
      </c>
      <c r="J9115" s="3" t="str">
        <f>HYPERLINK("https://www.boe.es/gazeta/dias/1811/09/14/pdfs/GMD-C-1811-257.pdf#page=1","Abrir facsímil")</f>
        <v>Abrir facsímil</v>
      </c>
      <c r="K9115" s="3" t="s">
        <v>23</v>
      </c>
    </row>
    <row r="9116" spans="1:11" ht="42" customHeight="1">
      <c r="A9116" s="2" t="s">
        <v>23216</v>
      </c>
      <c r="B9116" s="2" t="s">
        <v>23217</v>
      </c>
      <c r="C9116" s="2" t="s">
        <v>104</v>
      </c>
      <c r="D9116" s="2" t="s">
        <v>18</v>
      </c>
      <c r="E9116" s="4">
        <v>-32172</v>
      </c>
      <c r="F9116" s="3" t="s">
        <v>300</v>
      </c>
      <c r="G9116" s="3" t="s">
        <v>305</v>
      </c>
      <c r="H9116" s="2" t="s">
        <v>21</v>
      </c>
      <c r="I9116" s="2" t="s">
        <v>23218</v>
      </c>
      <c r="J9116" s="3" t="str">
        <f>HYPERLINK("https://www.boe.es/gazeta/dias/1811/11/30/pdfs/GMD-1811-334.pdf#page=3","Abrir facsímil")</f>
        <v>Abrir facsímil</v>
      </c>
      <c r="K9116" s="3" t="s">
        <v>23</v>
      </c>
    </row>
    <row r="9117" spans="1:11" ht="42" customHeight="1">
      <c r="A9117" s="2" t="s">
        <v>23219</v>
      </c>
      <c r="B9117" s="2" t="s">
        <v>23220</v>
      </c>
      <c r="C9117" s="2" t="s">
        <v>17</v>
      </c>
      <c r="D9117" s="2" t="s">
        <v>18</v>
      </c>
      <c r="E9117" s="4">
        <v>-32466</v>
      </c>
      <c r="F9117" s="3" t="s">
        <v>1514</v>
      </c>
      <c r="G9117" s="3" t="s">
        <v>846</v>
      </c>
      <c r="H9117" s="2" t="s">
        <v>148</v>
      </c>
      <c r="I9117" s="2" t="s">
        <v>23221</v>
      </c>
      <c r="J9117" s="3" t="str">
        <f>HYPERLINK("https://www.boe.es/gazeta/dias/1811/02/09/pdfs/GEI-1811-18.pdf#page=4","Abrir facsímil")</f>
        <v>Abrir facsímil</v>
      </c>
      <c r="K9117" s="3" t="s">
        <v>150</v>
      </c>
    </row>
    <row r="9118" spans="1:11" ht="42" customHeight="1">
      <c r="A9118" s="2" t="s">
        <v>23222</v>
      </c>
      <c r="B9118" s="2" t="s">
        <v>23223</v>
      </c>
      <c r="C9118" s="2" t="s">
        <v>104</v>
      </c>
      <c r="D9118" s="2" t="s">
        <v>528</v>
      </c>
      <c r="E9118" s="4">
        <v>-32219</v>
      </c>
      <c r="F9118" s="3" t="s">
        <v>529</v>
      </c>
      <c r="G9118" s="3" t="s">
        <v>530</v>
      </c>
      <c r="H9118" s="2" t="s">
        <v>148</v>
      </c>
      <c r="I9118" s="2" t="s">
        <v>23224</v>
      </c>
      <c r="J9118" s="3" t="str">
        <f>HYPERLINK("https://www.boe.es/gazeta/dias/1811/10/14/pdfs/GEI-1811-132E.pdf#page=4","Abrir facsímil")</f>
        <v>Abrir facsímil</v>
      </c>
      <c r="K9118" s="3" t="s">
        <v>150</v>
      </c>
    </row>
    <row r="9119" spans="1:11" ht="42" customHeight="1">
      <c r="A9119" s="2" t="s">
        <v>23225</v>
      </c>
      <c r="B9119" s="2" t="s">
        <v>23226</v>
      </c>
      <c r="C9119" s="2" t="s">
        <v>17</v>
      </c>
      <c r="D9119" s="2" t="s">
        <v>18</v>
      </c>
      <c r="E9119" s="4">
        <v>-32200</v>
      </c>
      <c r="F9119" s="3" t="s">
        <v>109</v>
      </c>
      <c r="G9119" s="3" t="s">
        <v>630</v>
      </c>
      <c r="H9119" s="2" t="s">
        <v>148</v>
      </c>
      <c r="I9119" s="2" t="s">
        <v>23227</v>
      </c>
      <c r="J9119" s="3" t="str">
        <f>HYPERLINK("https://www.boe.es/gazeta/dias/1811/11/02/pdfs/GEI-1811-141.pdf#page=2","Abrir facsímil")</f>
        <v>Abrir facsímil</v>
      </c>
      <c r="K9119" s="3" t="s">
        <v>150</v>
      </c>
    </row>
    <row r="9120" spans="1:11" ht="42" customHeight="1">
      <c r="A9120" s="2" t="s">
        <v>23228</v>
      </c>
      <c r="B9120" s="2" t="s">
        <v>23228</v>
      </c>
      <c r="C9120" s="2" t="s">
        <v>26</v>
      </c>
      <c r="D9120" s="2" t="s">
        <v>18</v>
      </c>
      <c r="E9120" s="4">
        <v>-32389</v>
      </c>
      <c r="F9120" s="3" t="s">
        <v>5683</v>
      </c>
      <c r="G9120" s="3" t="s">
        <v>12646</v>
      </c>
      <c r="H9120" s="2" t="s">
        <v>148</v>
      </c>
      <c r="I9120" s="2" t="s">
        <v>23229</v>
      </c>
      <c r="J9120" s="3" t="str">
        <f>HYPERLINK("https://www.boe.es/gazeta/dias/1811/04/27/pdfs/GMD-1811-117.pdf#page=1","Abrir facsímil")</f>
        <v>Abrir facsímil</v>
      </c>
      <c r="K9120" s="3" t="s">
        <v>150</v>
      </c>
    </row>
    <row r="9121" spans="1:11" ht="42" customHeight="1">
      <c r="A9121" s="2" t="s">
        <v>23230</v>
      </c>
      <c r="B9121" s="2" t="s">
        <v>23231</v>
      </c>
      <c r="C9121" s="2" t="s">
        <v>26</v>
      </c>
      <c r="D9121" s="2" t="s">
        <v>18</v>
      </c>
      <c r="E9121" s="4">
        <v>-32243</v>
      </c>
      <c r="F9121" s="3" t="s">
        <v>51</v>
      </c>
      <c r="G9121" s="3" t="s">
        <v>52</v>
      </c>
      <c r="H9121" s="2" t="s">
        <v>148</v>
      </c>
      <c r="I9121" s="2" t="s">
        <v>23232</v>
      </c>
      <c r="J9121" s="3" t="str">
        <f>HYPERLINK("https://www.boe.es/gazeta/dias/1811/09/20/pdfs/GMD-1811-263.pdf#page=4","Abrir facsímil")</f>
        <v>Abrir facsímil</v>
      </c>
      <c r="K9121" s="3" t="s">
        <v>150</v>
      </c>
    </row>
    <row r="9122" spans="1:11" ht="42" customHeight="1">
      <c r="A9122" s="2" t="s">
        <v>23233</v>
      </c>
      <c r="B9122" s="2" t="s">
        <v>23234</v>
      </c>
      <c r="C9122" s="2" t="s">
        <v>26</v>
      </c>
      <c r="D9122" s="2" t="s">
        <v>18</v>
      </c>
      <c r="E9122" s="4">
        <v>-32407</v>
      </c>
      <c r="F9122" s="3" t="s">
        <v>6083</v>
      </c>
      <c r="G9122" s="3" t="s">
        <v>498</v>
      </c>
      <c r="H9122" s="2" t="s">
        <v>148</v>
      </c>
      <c r="I9122" s="2" t="s">
        <v>23235</v>
      </c>
      <c r="J9122" s="3" t="str">
        <f>HYPERLINK("https://www.boe.es/gazeta/dias/1811/04/09/pdfs/GMD-1811-99.pdf#page=4","Abrir facsímil")</f>
        <v>Abrir facsímil</v>
      </c>
      <c r="K9122" s="3" t="s">
        <v>150</v>
      </c>
    </row>
    <row r="9123" spans="1:11" ht="42" customHeight="1">
      <c r="A9123" s="2" t="s">
        <v>23233</v>
      </c>
      <c r="B9123" s="2" t="s">
        <v>23234</v>
      </c>
      <c r="C9123" s="2" t="s">
        <v>26</v>
      </c>
      <c r="D9123" s="2" t="s">
        <v>18</v>
      </c>
      <c r="E9123" s="4">
        <v>-32355</v>
      </c>
      <c r="F9123" s="3" t="s">
        <v>2342</v>
      </c>
      <c r="G9123" s="3" t="s">
        <v>20</v>
      </c>
      <c r="H9123" s="2" t="s">
        <v>148</v>
      </c>
      <c r="I9123" s="2" t="s">
        <v>23236</v>
      </c>
      <c r="J9123" s="3" t="str">
        <f>HYPERLINK("https://www.boe.es/gazeta/dias/1811/05/31/pdfs/GMD-1811-151.pdf#page=4","Abrir facsímil")</f>
        <v>Abrir facsímil</v>
      </c>
      <c r="K9123" s="3" t="s">
        <v>150</v>
      </c>
    </row>
    <row r="9124" spans="1:11" ht="42" customHeight="1">
      <c r="A9124" s="2" t="s">
        <v>23237</v>
      </c>
      <c r="B9124" s="2" t="s">
        <v>23237</v>
      </c>
      <c r="C9124" s="2" t="s">
        <v>26</v>
      </c>
      <c r="D9124" s="2" t="s">
        <v>105</v>
      </c>
      <c r="E9124" s="4">
        <v>-32338</v>
      </c>
      <c r="F9124" s="3" t="s">
        <v>3355</v>
      </c>
      <c r="G9124" s="3" t="s">
        <v>3356</v>
      </c>
      <c r="H9124" s="2" t="s">
        <v>148</v>
      </c>
      <c r="I9124" s="2" t="s">
        <v>23238</v>
      </c>
      <c r="J9124" s="3" t="str">
        <f>HYPERLINK("https://www.boe.es/gazeta/dias/1811/06/17/pdfs/GMD-1811-168.pdf#page=2","Abrir facsímil")</f>
        <v>Abrir facsímil</v>
      </c>
      <c r="K9124" s="3" t="s">
        <v>150</v>
      </c>
    </row>
    <row r="9125" spans="1:11" ht="42" customHeight="1">
      <c r="A9125" s="2" t="s">
        <v>23239</v>
      </c>
      <c r="B9125" s="2" t="s">
        <v>23240</v>
      </c>
      <c r="C9125" s="2" t="s">
        <v>26</v>
      </c>
      <c r="D9125" s="2" t="s">
        <v>18</v>
      </c>
      <c r="E9125" s="4">
        <v>-32489</v>
      </c>
      <c r="F9125" s="3" t="s">
        <v>2073</v>
      </c>
      <c r="G9125" s="3" t="s">
        <v>44</v>
      </c>
      <c r="H9125" s="2" t="s">
        <v>148</v>
      </c>
      <c r="I9125" s="2" t="s">
        <v>23241</v>
      </c>
      <c r="J9125" s="3" t="str">
        <f>HYPERLINK("https://www.boe.es/gazeta/dias/1811/01/17/pdfs/GEI-1811-8.pdf#page=8","Abrir facsímil")</f>
        <v>Abrir facsímil</v>
      </c>
      <c r="K9125" s="3" t="s">
        <v>150</v>
      </c>
    </row>
    <row r="9126" spans="1:11" ht="42" customHeight="1">
      <c r="A9126" s="2" t="s">
        <v>23242</v>
      </c>
      <c r="B9126" s="2" t="s">
        <v>23243</v>
      </c>
      <c r="C9126" s="2" t="s">
        <v>26</v>
      </c>
      <c r="D9126" s="2" t="s">
        <v>18</v>
      </c>
      <c r="E9126" s="4">
        <v>-32489</v>
      </c>
      <c r="F9126" s="3" t="s">
        <v>2073</v>
      </c>
      <c r="G9126" s="3" t="s">
        <v>44</v>
      </c>
      <c r="H9126" s="2" t="s">
        <v>148</v>
      </c>
      <c r="I9126" s="2" t="s">
        <v>23244</v>
      </c>
      <c r="J9126" s="3" t="str">
        <f>HYPERLINK("https://www.boe.es/gazeta/dias/1811/01/17/pdfs/GEI-1811-8.pdf#page=8","Abrir facsímil")</f>
        <v>Abrir facsímil</v>
      </c>
      <c r="K9126" s="3" t="s">
        <v>150</v>
      </c>
    </row>
    <row r="9127" spans="1:11" ht="42" customHeight="1">
      <c r="A9127" s="2" t="s">
        <v>23245</v>
      </c>
      <c r="B9127" s="2" t="s">
        <v>23246</v>
      </c>
      <c r="C9127" s="2" t="s">
        <v>26</v>
      </c>
      <c r="D9127" s="2" t="s">
        <v>18</v>
      </c>
      <c r="E9127" s="4">
        <v>-32489</v>
      </c>
      <c r="F9127" s="3" t="s">
        <v>2073</v>
      </c>
      <c r="G9127" s="3" t="s">
        <v>44</v>
      </c>
      <c r="H9127" s="2" t="s">
        <v>148</v>
      </c>
      <c r="I9127" s="2" t="s">
        <v>23247</v>
      </c>
      <c r="J9127" s="3" t="str">
        <f>HYPERLINK("https://www.boe.es/gazeta/dias/1811/01/17/pdfs/GEI-1811-8.pdf#page=8","Abrir facsímil")</f>
        <v>Abrir facsímil</v>
      </c>
      <c r="K9127" s="3" t="s">
        <v>150</v>
      </c>
    </row>
    <row r="9128" spans="1:11" ht="42" customHeight="1">
      <c r="A9128" s="2" t="s">
        <v>23248</v>
      </c>
      <c r="B9128" s="2" t="s">
        <v>23249</v>
      </c>
      <c r="C9128" s="2" t="s">
        <v>37</v>
      </c>
      <c r="D9128" s="2" t="s">
        <v>18</v>
      </c>
      <c r="E9128" s="4">
        <v>-32192</v>
      </c>
      <c r="F9128" s="3" t="s">
        <v>673</v>
      </c>
      <c r="G9128" s="3" t="s">
        <v>305</v>
      </c>
      <c r="H9128" s="2" t="s">
        <v>148</v>
      </c>
      <c r="I9128" s="2" t="s">
        <v>23250</v>
      </c>
      <c r="J9128" s="3" t="str">
        <f>HYPERLINK("https://www.boe.es/gazeta/dias/1811/11/10/pdfs/GMD-1811-314.pdf#page=4","Abrir facsímil")</f>
        <v>Abrir facsímil</v>
      </c>
      <c r="K9128" s="3" t="s">
        <v>150</v>
      </c>
    </row>
    <row r="9129" spans="1:11" ht="42" customHeight="1">
      <c r="A9129" s="2" t="s">
        <v>23251</v>
      </c>
      <c r="B9129" s="2" t="s">
        <v>23252</v>
      </c>
      <c r="C9129" s="2" t="s">
        <v>17</v>
      </c>
      <c r="D9129" s="2" t="s">
        <v>18</v>
      </c>
      <c r="E9129" s="4">
        <v>-32228</v>
      </c>
      <c r="F9129" s="3" t="s">
        <v>372</v>
      </c>
      <c r="G9129" s="3" t="s">
        <v>20</v>
      </c>
      <c r="H9129" s="2" t="s">
        <v>148</v>
      </c>
      <c r="I9129" s="2" t="s">
        <v>23253</v>
      </c>
      <c r="J9129" s="3" t="str">
        <f>HYPERLINK("https://www.boe.es/gazeta/dias/1811/10/05/pdfs/GEI-1811-128.pdf#page=8","Abrir facsímil")</f>
        <v>Abrir facsímil</v>
      </c>
      <c r="K9129" s="3" t="s">
        <v>150</v>
      </c>
    </row>
    <row r="9130" spans="1:11" ht="42" customHeight="1">
      <c r="A9130" s="2" t="s">
        <v>23254</v>
      </c>
      <c r="B9130" s="2" t="s">
        <v>23255</v>
      </c>
      <c r="C9130" s="2" t="s">
        <v>17</v>
      </c>
      <c r="D9130" s="2" t="s">
        <v>156</v>
      </c>
      <c r="E9130" s="4">
        <v>-32300</v>
      </c>
      <c r="F9130" s="3" t="s">
        <v>61</v>
      </c>
      <c r="G9130" s="3" t="s">
        <v>221</v>
      </c>
      <c r="H9130" s="2" t="s">
        <v>148</v>
      </c>
      <c r="I9130" s="2" t="s">
        <v>23256</v>
      </c>
      <c r="J9130" s="3" t="str">
        <f>HYPERLINK("https://www.boe.es/gazeta/dias/1811/07/25/pdfs/GEI-1811-97.pdf#page=4","Abrir facsímil")</f>
        <v>Abrir facsímil</v>
      </c>
      <c r="K9130" s="3" t="s">
        <v>150</v>
      </c>
    </row>
    <row r="9131" spans="1:11" ht="42" customHeight="1">
      <c r="A9131" s="2" t="s">
        <v>23257</v>
      </c>
      <c r="B9131" s="2" t="s">
        <v>23258</v>
      </c>
      <c r="C9131" s="2" t="s">
        <v>26</v>
      </c>
      <c r="D9131" s="2" t="s">
        <v>141</v>
      </c>
      <c r="E9131" s="4">
        <v>-32238</v>
      </c>
      <c r="F9131" s="3" t="s">
        <v>166</v>
      </c>
      <c r="G9131" s="3" t="s">
        <v>39</v>
      </c>
      <c r="H9131" s="2" t="s">
        <v>148</v>
      </c>
      <c r="I9131" s="2" t="s">
        <v>23259</v>
      </c>
      <c r="J9131" s="3" t="str">
        <f>HYPERLINK("https://www.boe.es/gazeta/dias/1811/09/25/pdfs/GMD-C-1811-268.pdf#page=2","Abrir facsímil")</f>
        <v>Abrir facsímil</v>
      </c>
      <c r="K9131" s="3" t="s">
        <v>150</v>
      </c>
    </row>
    <row r="9132" spans="1:11" ht="42" customHeight="1">
      <c r="A9132" s="2" t="s">
        <v>23260</v>
      </c>
      <c r="B9132" s="2" t="s">
        <v>23261</v>
      </c>
      <c r="C9132" s="2" t="s">
        <v>26</v>
      </c>
      <c r="D9132" s="2" t="s">
        <v>18</v>
      </c>
      <c r="E9132" s="4">
        <v>-32153</v>
      </c>
      <c r="F9132" s="3" t="s">
        <v>123</v>
      </c>
      <c r="G9132" s="3" t="s">
        <v>288</v>
      </c>
      <c r="H9132" s="2" t="s">
        <v>148</v>
      </c>
      <c r="I9132" s="2" t="s">
        <v>23262</v>
      </c>
      <c r="J9132" s="3" t="str">
        <f>HYPERLINK("https://www.boe.es/gazeta/dias/1811/12/19/pdfs/GMD-1811-353.pdf#page=4","Abrir facsímil")</f>
        <v>Abrir facsímil</v>
      </c>
      <c r="K9132" s="3" t="s">
        <v>150</v>
      </c>
    </row>
    <row r="9133" spans="1:11" ht="42" customHeight="1">
      <c r="A9133" s="2" t="s">
        <v>23263</v>
      </c>
      <c r="B9133" s="2" t="s">
        <v>23263</v>
      </c>
      <c r="C9133" s="2" t="s">
        <v>84</v>
      </c>
      <c r="D9133" s="2" t="s">
        <v>18</v>
      </c>
      <c r="E9133" s="4">
        <v>-32143</v>
      </c>
      <c r="F9133" s="3" t="s">
        <v>1455</v>
      </c>
      <c r="G9133" s="3" t="s">
        <v>183</v>
      </c>
      <c r="H9133" s="2" t="s">
        <v>148</v>
      </c>
      <c r="I9133" s="2" t="s">
        <v>23264</v>
      </c>
      <c r="J9133" s="3" t="str">
        <f>HYPERLINK("https://www.boe.es/gazeta/dias/1811/12/29/pdfs/GMD-1811-363.pdf#page=4","Abrir facsímil")</f>
        <v>Abrir facsímil</v>
      </c>
      <c r="K9133" s="3" t="s">
        <v>150</v>
      </c>
    </row>
    <row r="9134" spans="1:11" ht="42" customHeight="1">
      <c r="A9134" s="2" t="s">
        <v>23265</v>
      </c>
      <c r="B9134" s="2" t="s">
        <v>23266</v>
      </c>
      <c r="C9134" s="2" t="s">
        <v>26</v>
      </c>
      <c r="D9134" s="2" t="s">
        <v>18</v>
      </c>
      <c r="E9134" s="4">
        <v>-32351</v>
      </c>
      <c r="F9134" s="3" t="s">
        <v>2332</v>
      </c>
      <c r="G9134" s="3" t="s">
        <v>44</v>
      </c>
      <c r="H9134" s="2" t="s">
        <v>148</v>
      </c>
      <c r="I9134" s="2" t="s">
        <v>23267</v>
      </c>
      <c r="J9134" s="3" t="str">
        <f>HYPERLINK("https://www.boe.es/gazeta/dias/1811/06/04/pdfs/GMD-1811-155.pdf#page=4","Abrir facsímil")</f>
        <v>Abrir facsímil</v>
      </c>
      <c r="K9134" s="3" t="s">
        <v>150</v>
      </c>
    </row>
    <row r="9135" spans="1:11" ht="42" customHeight="1">
      <c r="A9135" s="2" t="s">
        <v>23268</v>
      </c>
      <c r="B9135" s="2" t="s">
        <v>23269</v>
      </c>
      <c r="C9135" s="2" t="s">
        <v>104</v>
      </c>
      <c r="D9135" s="2" t="s">
        <v>18</v>
      </c>
      <c r="E9135" s="4">
        <v>-32172</v>
      </c>
      <c r="F9135" s="3" t="s">
        <v>300</v>
      </c>
      <c r="G9135" s="3" t="s">
        <v>301</v>
      </c>
      <c r="H9135" s="2" t="s">
        <v>148</v>
      </c>
      <c r="I9135" s="2" t="s">
        <v>23270</v>
      </c>
      <c r="J9135" s="3" t="str">
        <f>HYPERLINK("https://www.boe.es/gazeta/dias/1811/11/30/pdfs/GMD-1811-334.pdf#page=4","Abrir facsímil")</f>
        <v>Abrir facsímil</v>
      </c>
      <c r="K9135" s="3" t="s">
        <v>150</v>
      </c>
    </row>
    <row r="9136" spans="1:11" ht="42" customHeight="1">
      <c r="A9136" s="2" t="s">
        <v>23271</v>
      </c>
      <c r="B9136" s="2" t="s">
        <v>23272</v>
      </c>
      <c r="C9136" s="2" t="s">
        <v>26</v>
      </c>
      <c r="D9136" s="2" t="s">
        <v>18</v>
      </c>
      <c r="E9136" s="4">
        <v>-32442</v>
      </c>
      <c r="F9136" s="3" t="s">
        <v>634</v>
      </c>
      <c r="G9136" s="3" t="s">
        <v>3430</v>
      </c>
      <c r="H9136" s="2" t="s">
        <v>148</v>
      </c>
      <c r="I9136" s="2" t="s">
        <v>23273</v>
      </c>
      <c r="J9136" s="3" t="str">
        <f>HYPERLINK("https://www.boe.es/gazeta/dias/1811/03/05/pdfs/GEI-1811-29.pdf#page=3","Abrir facsímil")</f>
        <v>Abrir facsímil</v>
      </c>
      <c r="K9136" s="3" t="s">
        <v>150</v>
      </c>
    </row>
    <row r="9137" spans="1:11" ht="42" customHeight="1">
      <c r="A9137" s="2" t="s">
        <v>23274</v>
      </c>
      <c r="B9137" s="2" t="s">
        <v>23275</v>
      </c>
      <c r="C9137" s="2" t="s">
        <v>17</v>
      </c>
      <c r="D9137" s="2" t="s">
        <v>18</v>
      </c>
      <c r="E9137" s="4">
        <v>-32202</v>
      </c>
      <c r="F9137" s="3" t="s">
        <v>2194</v>
      </c>
      <c r="G9137" s="3" t="s">
        <v>7693</v>
      </c>
      <c r="H9137" s="2" t="s">
        <v>21</v>
      </c>
      <c r="I9137" s="2" t="s">
        <v>23276</v>
      </c>
      <c r="J9137" s="3" t="str">
        <f>HYPERLINK("https://www.boe.es/gazeta/dias/1811/10/31/pdfs/GEI-1811-140.pdf#page=3","Abrir facsímil")</f>
        <v>Abrir facsímil</v>
      </c>
      <c r="K9137" s="3" t="s">
        <v>23</v>
      </c>
    </row>
    <row r="9138" spans="1:11" ht="42" customHeight="1">
      <c r="A9138" s="2" t="s">
        <v>23277</v>
      </c>
      <c r="B9138" s="2" t="s">
        <v>23277</v>
      </c>
      <c r="C9138" s="2" t="s">
        <v>17</v>
      </c>
      <c r="D9138" s="2" t="s">
        <v>105</v>
      </c>
      <c r="E9138" s="4">
        <v>-32283</v>
      </c>
      <c r="F9138" s="3" t="s">
        <v>90</v>
      </c>
      <c r="G9138" s="3" t="s">
        <v>515</v>
      </c>
      <c r="H9138" s="2" t="s">
        <v>148</v>
      </c>
      <c r="I9138" s="2" t="s">
        <v>23278</v>
      </c>
      <c r="J9138" s="3" t="str">
        <f>HYPERLINK("https://www.boe.es/gazeta/dias/1811/08/11/pdfs/GMD-1811-223.pdf#page=3","Abrir facsímil")</f>
        <v>Abrir facsímil</v>
      </c>
      <c r="K9138" s="3" t="s">
        <v>150</v>
      </c>
    </row>
    <row r="9139" spans="1:11" ht="42" customHeight="1">
      <c r="A9139" s="2" t="s">
        <v>23279</v>
      </c>
      <c r="B9139" s="2" t="s">
        <v>23280</v>
      </c>
      <c r="C9139" s="2" t="s">
        <v>104</v>
      </c>
      <c r="D9139" s="2" t="s">
        <v>105</v>
      </c>
      <c r="E9139" s="4">
        <v>-32494</v>
      </c>
      <c r="F9139" s="3" t="s">
        <v>3050</v>
      </c>
      <c r="G9139" s="3" t="s">
        <v>1179</v>
      </c>
      <c r="H9139" s="2" t="s">
        <v>148</v>
      </c>
      <c r="I9139" s="2" t="s">
        <v>23281</v>
      </c>
      <c r="J9139" s="3" t="str">
        <f>HYPERLINK("https://www.boe.es/gazeta/dias/1811/01/12/pdfs/GEI-1811-6.pdf#page=7","Abrir facsímil")</f>
        <v>Abrir facsímil</v>
      </c>
      <c r="K9139" s="3" t="s">
        <v>150</v>
      </c>
    </row>
    <row r="9140" spans="1:11" ht="42" customHeight="1">
      <c r="A9140" s="2" t="s">
        <v>23282</v>
      </c>
      <c r="B9140" s="2" t="s">
        <v>23283</v>
      </c>
      <c r="C9140" s="2" t="s">
        <v>104</v>
      </c>
      <c r="D9140" s="2" t="s">
        <v>528</v>
      </c>
      <c r="E9140" s="4">
        <v>-32219</v>
      </c>
      <c r="F9140" s="3" t="s">
        <v>529</v>
      </c>
      <c r="G9140" s="3" t="s">
        <v>530</v>
      </c>
      <c r="H9140" s="2" t="s">
        <v>148</v>
      </c>
      <c r="I9140" s="2" t="s">
        <v>23284</v>
      </c>
      <c r="J9140" s="3" t="str">
        <f>HYPERLINK("https://www.boe.es/gazeta/dias/1811/10/14/pdfs/GEI-1811-132E.pdf#page=4","Abrir facsímil")</f>
        <v>Abrir facsímil</v>
      </c>
      <c r="K9140" s="3" t="s">
        <v>150</v>
      </c>
    </row>
    <row r="9141" spans="1:11" ht="42" customHeight="1">
      <c r="A9141" s="2" t="s">
        <v>23285</v>
      </c>
      <c r="B9141" s="2" t="s">
        <v>23285</v>
      </c>
      <c r="C9141" s="2" t="s">
        <v>26</v>
      </c>
      <c r="D9141" s="2" t="s">
        <v>18</v>
      </c>
      <c r="E9141" s="4">
        <v>-32172</v>
      </c>
      <c r="F9141" s="3" t="s">
        <v>707</v>
      </c>
      <c r="G9141" s="3" t="s">
        <v>1551</v>
      </c>
      <c r="H9141" s="2" t="s">
        <v>148</v>
      </c>
      <c r="I9141" s="2" t="s">
        <v>23286</v>
      </c>
      <c r="J9141" s="3" t="str">
        <f>HYPERLINK("https://www.boe.es/gazeta/dias/1811/11/30/pdfs/GEI-1811-156.pdf#page=5","Abrir facsímil")</f>
        <v>Abrir facsímil</v>
      </c>
      <c r="K9141" s="3" t="s">
        <v>150</v>
      </c>
    </row>
    <row r="9142" spans="1:11" ht="42" customHeight="1">
      <c r="A9142" s="2" t="s">
        <v>23287</v>
      </c>
      <c r="B9142" s="2" t="s">
        <v>23287</v>
      </c>
      <c r="C9142" s="2" t="s">
        <v>17</v>
      </c>
      <c r="D9142" s="2" t="s">
        <v>156</v>
      </c>
      <c r="E9142" s="4">
        <v>-32259</v>
      </c>
      <c r="F9142" s="3" t="s">
        <v>3276</v>
      </c>
      <c r="G9142" s="3" t="s">
        <v>468</v>
      </c>
      <c r="H9142" s="2" t="s">
        <v>148</v>
      </c>
      <c r="I9142" s="2" t="s">
        <v>23288</v>
      </c>
      <c r="J9142" s="3" t="str">
        <f>HYPERLINK("https://www.boe.es/gazeta/dias/1811/09/04/pdfs/GMD-1811-247.pdf#page=2","Abrir facsímil")</f>
        <v>Abrir facsímil</v>
      </c>
      <c r="K9142" s="3" t="s">
        <v>150</v>
      </c>
    </row>
    <row r="9143" spans="1:11" ht="42" customHeight="1">
      <c r="A9143" s="2" t="s">
        <v>23289</v>
      </c>
      <c r="B9143" s="2" t="s">
        <v>23289</v>
      </c>
      <c r="C9143" s="2" t="s">
        <v>17</v>
      </c>
      <c r="D9143" s="2" t="s">
        <v>18</v>
      </c>
      <c r="E9143" s="4">
        <v>-32481</v>
      </c>
      <c r="F9143" s="3" t="s">
        <v>1687</v>
      </c>
      <c r="G9143" s="3" t="s">
        <v>1688</v>
      </c>
      <c r="H9143" s="2" t="s">
        <v>148</v>
      </c>
      <c r="I9143" s="2" t="s">
        <v>23290</v>
      </c>
      <c r="J9143" s="3" t="str">
        <f>HYPERLINK("https://www.boe.es/gazeta/dias/1811/01/25/pdfs/GMD-1811-25.pdf#page=1","Abrir facsímil")</f>
        <v>Abrir facsímil</v>
      </c>
      <c r="K9143" s="3" t="s">
        <v>150</v>
      </c>
    </row>
    <row r="9144" spans="1:11" ht="42" customHeight="1">
      <c r="A9144" s="2" t="s">
        <v>23291</v>
      </c>
      <c r="B9144" s="2" t="s">
        <v>23292</v>
      </c>
      <c r="C9144" s="2" t="s">
        <v>17</v>
      </c>
      <c r="D9144" s="2" t="s">
        <v>156</v>
      </c>
      <c r="E9144" s="4">
        <v>-32235</v>
      </c>
      <c r="F9144" s="3" t="s">
        <v>190</v>
      </c>
      <c r="G9144" s="3" t="s">
        <v>188</v>
      </c>
      <c r="H9144" s="2" t="s">
        <v>148</v>
      </c>
      <c r="I9144" s="2" t="s">
        <v>23293</v>
      </c>
      <c r="J9144" s="3" t="str">
        <f>HYPERLINK("https://www.boe.es/gazeta/dias/1811/09/28/pdfs/GEI-1811-125.pdf#page=8","Abrir facsímil")</f>
        <v>Abrir facsímil</v>
      </c>
      <c r="K9144" s="3" t="s">
        <v>150</v>
      </c>
    </row>
    <row r="9145" spans="1:11" ht="42" customHeight="1">
      <c r="A9145" s="2" t="s">
        <v>23294</v>
      </c>
      <c r="B9145" s="2" t="s">
        <v>23294</v>
      </c>
      <c r="C9145" s="2" t="s">
        <v>17</v>
      </c>
      <c r="D9145" s="2" t="s">
        <v>18</v>
      </c>
      <c r="E9145" s="4">
        <v>-32283</v>
      </c>
      <c r="F9145" s="3" t="s">
        <v>90</v>
      </c>
      <c r="G9145" s="3" t="s">
        <v>515</v>
      </c>
      <c r="H9145" s="2" t="s">
        <v>148</v>
      </c>
      <c r="I9145" s="2" t="s">
        <v>23295</v>
      </c>
      <c r="J9145" s="3" t="str">
        <f>HYPERLINK("https://www.boe.es/gazeta/dias/1811/08/11/pdfs/GMD-1811-223.pdf#page=3","Abrir facsímil")</f>
        <v>Abrir facsímil</v>
      </c>
      <c r="K9145" s="3" t="s">
        <v>150</v>
      </c>
    </row>
    <row r="9146" spans="1:11" ht="42" customHeight="1">
      <c r="A9146" s="2" t="s">
        <v>23296</v>
      </c>
      <c r="B9146" s="2" t="s">
        <v>23297</v>
      </c>
      <c r="C9146" s="2" t="s">
        <v>84</v>
      </c>
      <c r="D9146" s="2" t="s">
        <v>18</v>
      </c>
      <c r="E9146" s="4">
        <v>-32321</v>
      </c>
      <c r="F9146" s="3" t="s">
        <v>2344</v>
      </c>
      <c r="G9146" s="3" t="s">
        <v>178</v>
      </c>
      <c r="H9146" s="2" t="s">
        <v>148</v>
      </c>
      <c r="I9146" s="2" t="s">
        <v>23298</v>
      </c>
      <c r="J9146" s="3" t="str">
        <f>HYPERLINK("https://www.boe.es/gazeta/dias/1811/07/04/pdfs/GMD-1811-185.pdf#page=4","Abrir facsímil")</f>
        <v>Abrir facsímil</v>
      </c>
      <c r="K9146" s="3" t="s">
        <v>150</v>
      </c>
    </row>
    <row r="9147" spans="1:11" ht="42" customHeight="1">
      <c r="A9147" s="2" t="s">
        <v>23299</v>
      </c>
      <c r="B9147" s="2" t="s">
        <v>23300</v>
      </c>
      <c r="C9147" s="2" t="s">
        <v>26</v>
      </c>
      <c r="D9147" s="2" t="s">
        <v>18</v>
      </c>
      <c r="E9147" s="4">
        <v>-32270</v>
      </c>
      <c r="F9147" s="3" t="s">
        <v>431</v>
      </c>
      <c r="G9147" s="3" t="s">
        <v>2080</v>
      </c>
      <c r="H9147" s="2" t="s">
        <v>148</v>
      </c>
      <c r="I9147" s="2" t="s">
        <v>23301</v>
      </c>
      <c r="J9147" s="3" t="str">
        <f>HYPERLINK("https://www.boe.es/gazeta/dias/1811/08/24/pdfs/GEI-1811-110.pdf#page=5","Abrir facsímil")</f>
        <v>Abrir facsímil</v>
      </c>
      <c r="K9147" s="3" t="s">
        <v>150</v>
      </c>
    </row>
    <row r="9148" spans="1:11" ht="42" customHeight="1">
      <c r="A9148" s="2" t="s">
        <v>23302</v>
      </c>
      <c r="B9148" s="2" t="s">
        <v>23303</v>
      </c>
      <c r="C9148" s="2" t="s">
        <v>26</v>
      </c>
      <c r="D9148" s="2" t="s">
        <v>141</v>
      </c>
      <c r="E9148" s="4">
        <v>-32238</v>
      </c>
      <c r="F9148" s="3" t="s">
        <v>166</v>
      </c>
      <c r="G9148" s="3" t="s">
        <v>129</v>
      </c>
      <c r="H9148" s="2" t="s">
        <v>148</v>
      </c>
      <c r="I9148" s="2" t="s">
        <v>23304</v>
      </c>
      <c r="J9148" s="3" t="str">
        <f>HYPERLINK("https://www.boe.es/gazeta/dias/1811/09/25/pdfs/GMD-C-1811-268.pdf#page=1","Abrir facsímil")</f>
        <v>Abrir facsímil</v>
      </c>
      <c r="K9148" s="3" t="s">
        <v>150</v>
      </c>
    </row>
    <row r="9149" spans="1:11" ht="42" customHeight="1">
      <c r="A9149" s="2" t="s">
        <v>23305</v>
      </c>
      <c r="B9149" s="2" t="s">
        <v>23306</v>
      </c>
      <c r="C9149" s="2" t="s">
        <v>26</v>
      </c>
      <c r="D9149" s="2" t="s">
        <v>18</v>
      </c>
      <c r="E9149" s="4">
        <v>-32237</v>
      </c>
      <c r="F9149" s="3" t="s">
        <v>717</v>
      </c>
      <c r="G9149" s="3" t="s">
        <v>47</v>
      </c>
      <c r="H9149" s="2" t="s">
        <v>148</v>
      </c>
      <c r="I9149" s="2" t="s">
        <v>23307</v>
      </c>
      <c r="J9149" s="3" t="str">
        <f>HYPERLINK("https://www.boe.es/gazeta/dias/1811/09/26/pdfs/GEI-1811-124.pdf#page=4","Abrir facsímil")</f>
        <v>Abrir facsímil</v>
      </c>
      <c r="K9149" s="3" t="s">
        <v>150</v>
      </c>
    </row>
    <row r="9150" spans="1:11" ht="42" customHeight="1">
      <c r="A9150" s="2" t="s">
        <v>23308</v>
      </c>
      <c r="B9150" s="2" t="s">
        <v>23309</v>
      </c>
      <c r="C9150" s="2" t="s">
        <v>26</v>
      </c>
      <c r="D9150" s="2" t="s">
        <v>18</v>
      </c>
      <c r="E9150" s="4">
        <v>-32230</v>
      </c>
      <c r="F9150" s="3" t="s">
        <v>625</v>
      </c>
      <c r="G9150" s="3" t="s">
        <v>1258</v>
      </c>
      <c r="H9150" s="2" t="s">
        <v>148</v>
      </c>
      <c r="I9150" s="2" t="s">
        <v>23310</v>
      </c>
      <c r="J9150" s="3" t="str">
        <f>HYPERLINK("https://www.boe.es/gazeta/dias/1811/10/03/pdfs/GEI-1811-127.pdf#page=8","Abrir facsímil")</f>
        <v>Abrir facsímil</v>
      </c>
      <c r="K9150" s="3" t="s">
        <v>150</v>
      </c>
    </row>
    <row r="9151" spans="1:11" ht="42" customHeight="1">
      <c r="A9151" s="2" t="s">
        <v>23311</v>
      </c>
      <c r="B9151" s="2" t="s">
        <v>23312</v>
      </c>
      <c r="C9151" s="2" t="s">
        <v>17</v>
      </c>
      <c r="D9151" s="2" t="s">
        <v>18</v>
      </c>
      <c r="E9151" s="4">
        <v>-32419</v>
      </c>
      <c r="F9151" s="3" t="s">
        <v>2585</v>
      </c>
      <c r="G9151" s="3" t="s">
        <v>4049</v>
      </c>
      <c r="H9151" s="2" t="s">
        <v>148</v>
      </c>
      <c r="I9151" s="2" t="s">
        <v>23313</v>
      </c>
      <c r="J9151" s="3" t="str">
        <f>HYPERLINK("https://www.boe.es/gazeta/dias/1811/03/28/pdfs/GEI-1811-43.pdf#page=7","Abrir facsímil")</f>
        <v>Abrir facsímil</v>
      </c>
      <c r="K9151" s="3" t="s">
        <v>150</v>
      </c>
    </row>
    <row r="9152" spans="1:11" ht="42" customHeight="1">
      <c r="A9152" s="2" t="s">
        <v>23314</v>
      </c>
      <c r="B9152" s="2" t="s">
        <v>23315</v>
      </c>
      <c r="C9152" s="2" t="s">
        <v>26</v>
      </c>
      <c r="D9152" s="2" t="s">
        <v>105</v>
      </c>
      <c r="E9152" s="4">
        <v>-32238</v>
      </c>
      <c r="F9152" s="3" t="s">
        <v>166</v>
      </c>
      <c r="G9152" s="3" t="s">
        <v>39</v>
      </c>
      <c r="H9152" s="2" t="s">
        <v>148</v>
      </c>
      <c r="I9152" s="2" t="s">
        <v>23316</v>
      </c>
      <c r="J9152" s="3" t="str">
        <f>HYPERLINK("https://www.boe.es/gazeta/dias/1811/09/25/pdfs/GMD-C-1811-268.pdf#page=2","Abrir facsímil")</f>
        <v>Abrir facsímil</v>
      </c>
      <c r="K9152" s="3" t="s">
        <v>150</v>
      </c>
    </row>
    <row r="9153" spans="1:11" ht="42" customHeight="1">
      <c r="A9153" s="2" t="s">
        <v>23317</v>
      </c>
      <c r="B9153" s="2" t="s">
        <v>23318</v>
      </c>
      <c r="C9153" s="2" t="s">
        <v>17</v>
      </c>
      <c r="D9153" s="2" t="s">
        <v>18</v>
      </c>
      <c r="E9153" s="4">
        <v>-32246</v>
      </c>
      <c r="F9153" s="3" t="s">
        <v>19</v>
      </c>
      <c r="G9153" s="3" t="s">
        <v>20</v>
      </c>
      <c r="H9153" s="2" t="s">
        <v>148</v>
      </c>
      <c r="I9153" s="2" t="s">
        <v>23319</v>
      </c>
      <c r="J9153" s="3" t="str">
        <f>HYPERLINK("https://www.boe.es/gazeta/dias/1811/09/17/pdfs/GEI-1811-120.pdf#page=24","Abrir facsímil")</f>
        <v>Abrir facsímil</v>
      </c>
      <c r="K9153" s="3" t="s">
        <v>150</v>
      </c>
    </row>
    <row r="9154" spans="1:11" ht="42" customHeight="1">
      <c r="A9154" s="2" t="s">
        <v>23320</v>
      </c>
      <c r="B9154" s="2" t="s">
        <v>23320</v>
      </c>
      <c r="C9154" s="2" t="s">
        <v>17</v>
      </c>
      <c r="D9154" s="2" t="s">
        <v>156</v>
      </c>
      <c r="E9154" s="4">
        <v>-32472</v>
      </c>
      <c r="F9154" s="3" t="s">
        <v>398</v>
      </c>
      <c r="G9154" s="3" t="s">
        <v>553</v>
      </c>
      <c r="H9154" s="2" t="s">
        <v>148</v>
      </c>
      <c r="I9154" s="2" t="s">
        <v>23321</v>
      </c>
      <c r="J9154" s="3" t="str">
        <f>HYPERLINK("https://www.boe.es/gazeta/dias/1811/02/03/pdfs/GMD-1811-34.pdf#page=1","Abrir facsímil")</f>
        <v>Abrir facsímil</v>
      </c>
      <c r="K9154" s="3" t="s">
        <v>150</v>
      </c>
    </row>
    <row r="9155" spans="1:11" ht="42" customHeight="1">
      <c r="A9155" s="2" t="s">
        <v>23322</v>
      </c>
      <c r="B9155" s="2" t="s">
        <v>23322</v>
      </c>
      <c r="C9155" s="2" t="s">
        <v>17</v>
      </c>
      <c r="D9155" s="2" t="s">
        <v>18</v>
      </c>
      <c r="E9155" s="4">
        <v>-32468</v>
      </c>
      <c r="F9155" s="3" t="s">
        <v>683</v>
      </c>
      <c r="G9155" s="3" t="s">
        <v>468</v>
      </c>
      <c r="H9155" s="2" t="s">
        <v>148</v>
      </c>
      <c r="I9155" s="2" t="s">
        <v>23323</v>
      </c>
      <c r="J9155" s="3" t="str">
        <f>HYPERLINK("https://www.boe.es/gazeta/dias/1811/02/07/pdfs/GEI-1811-17.pdf#page=3","Abrir facsímil")</f>
        <v>Abrir facsímil</v>
      </c>
      <c r="K9155" s="3" t="s">
        <v>150</v>
      </c>
    </row>
  </sheetData>
  <mergeCells count="4">
    <mergeCell ref="A1:K1"/>
    <mergeCell ref="A2:K2"/>
    <mergeCell ref="A3:K3"/>
    <mergeCell ref="A4:K4"/>
  </mergeCells>
  <conditionalFormatting sqref="K7:K9155">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71"/>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7" t="s">
        <v>23324</v>
      </c>
      <c r="B1" s="7"/>
      <c r="C1" s="7"/>
      <c r="D1" s="7"/>
      <c r="E1" s="7"/>
      <c r="F1" s="7"/>
    </row>
    <row r="2" spans="1:6" ht="22.05" customHeight="1">
      <c r="A2" s="11" t="s">
        <v>23325</v>
      </c>
      <c r="B2" s="11"/>
      <c r="C2" s="11"/>
      <c r="D2" s="11"/>
      <c r="E2" s="11"/>
      <c r="F2" s="11"/>
    </row>
    <row r="4" spans="1:6" ht="30" customHeight="1">
      <c r="A4" s="1" t="s">
        <v>8</v>
      </c>
      <c r="B4" s="1" t="s">
        <v>9</v>
      </c>
      <c r="C4" s="1" t="s">
        <v>23326</v>
      </c>
      <c r="D4" s="1" t="s">
        <v>23327</v>
      </c>
      <c r="E4" s="1" t="s">
        <v>23328</v>
      </c>
      <c r="F4" s="1" t="s">
        <v>23329</v>
      </c>
    </row>
    <row r="5" spans="1:6" ht="31.05" customHeight="1">
      <c r="A5" s="5">
        <v>-32505</v>
      </c>
      <c r="B5" s="2" t="s">
        <v>661</v>
      </c>
      <c r="C5" s="2" t="s">
        <v>23330</v>
      </c>
      <c r="D5" s="3">
        <v>4</v>
      </c>
      <c r="E5" s="3">
        <v>16</v>
      </c>
      <c r="F5" s="3" t="str">
        <f>HYPERLINK("https://www.boe.es/gazeta/dias/1811/01/01/pdfs/GMD-1811-1.pdf","Abrir PDF")</f>
        <v>Abrir PDF</v>
      </c>
    </row>
    <row r="6" spans="1:6" ht="31.05" customHeight="1">
      <c r="A6" s="5">
        <v>-32505</v>
      </c>
      <c r="B6" s="2" t="s">
        <v>475</v>
      </c>
      <c r="C6" s="2" t="s">
        <v>23331</v>
      </c>
      <c r="D6" s="3">
        <v>8</v>
      </c>
      <c r="E6" s="3">
        <v>59</v>
      </c>
      <c r="F6" s="3" t="str">
        <f>HYPERLINK("https://www.boe.es/gazeta/dias/1811/01/01/pdfs/GEI-1811-1.pdf","Abrir PDF")</f>
        <v>Abrir PDF</v>
      </c>
    </row>
    <row r="7" spans="1:6" ht="31.05" customHeight="1">
      <c r="A7" s="5">
        <v>-32504</v>
      </c>
      <c r="B7" s="2" t="s">
        <v>5988</v>
      </c>
      <c r="C7" s="2" t="s">
        <v>23332</v>
      </c>
      <c r="D7" s="3">
        <v>4</v>
      </c>
      <c r="E7" s="3">
        <v>5</v>
      </c>
      <c r="F7" s="3" t="str">
        <f>HYPERLINK("https://www.boe.es/gazeta/dias/1811/01/02/pdfs/GMD-1811-2.pdf","Abrir PDF")</f>
        <v>Abrir PDF</v>
      </c>
    </row>
    <row r="8" spans="1:6" ht="31.05" customHeight="1">
      <c r="A8" s="5">
        <v>-32503</v>
      </c>
      <c r="B8" s="2" t="s">
        <v>10608</v>
      </c>
      <c r="C8" s="2" t="s">
        <v>23333</v>
      </c>
      <c r="D8" s="3">
        <v>4</v>
      </c>
      <c r="E8" s="3">
        <v>5</v>
      </c>
      <c r="F8" s="3" t="str">
        <f>HYPERLINK("https://www.boe.es/gazeta/dias/1811/01/03/pdfs/GMD-1811-3.pdf","Abrir PDF")</f>
        <v>Abrir PDF</v>
      </c>
    </row>
    <row r="9" spans="1:6" ht="31.05" customHeight="1">
      <c r="A9" s="5">
        <v>-32503</v>
      </c>
      <c r="B9" s="2" t="s">
        <v>487</v>
      </c>
      <c r="C9" s="2" t="s">
        <v>23334</v>
      </c>
      <c r="D9" s="3">
        <v>8</v>
      </c>
      <c r="E9" s="3">
        <v>49</v>
      </c>
      <c r="F9" s="3" t="str">
        <f>HYPERLINK("https://www.boe.es/gazeta/dias/1811/01/03/pdfs/GEI-1811-2.pdf","Abrir PDF")</f>
        <v>Abrir PDF</v>
      </c>
    </row>
    <row r="10" spans="1:6" ht="31.05" customHeight="1">
      <c r="A10" s="5">
        <v>-32502</v>
      </c>
      <c r="B10" s="2" t="s">
        <v>6190</v>
      </c>
      <c r="C10" s="2" t="s">
        <v>23335</v>
      </c>
      <c r="D10" s="3">
        <v>4</v>
      </c>
      <c r="E10" s="3">
        <v>10</v>
      </c>
      <c r="F10" s="3" t="str">
        <f>HYPERLINK("https://www.boe.es/gazeta/dias/1811/01/04/pdfs/GMD-1811-4.pdf","Abrir PDF")</f>
        <v>Abrir PDF</v>
      </c>
    </row>
    <row r="11" spans="1:6" ht="31.05" customHeight="1">
      <c r="A11" s="5">
        <v>-32501</v>
      </c>
      <c r="B11" s="2" t="s">
        <v>1679</v>
      </c>
      <c r="C11" s="2" t="s">
        <v>23336</v>
      </c>
      <c r="D11" s="3">
        <v>4</v>
      </c>
      <c r="E11" s="3">
        <v>5</v>
      </c>
      <c r="F11" s="3" t="str">
        <f>HYPERLINK("https://www.boe.es/gazeta/dias/1811/01/05/pdfs/GMD-1811-5.pdf","Abrir PDF")</f>
        <v>Abrir PDF</v>
      </c>
    </row>
    <row r="12" spans="1:6" ht="31.05" customHeight="1">
      <c r="A12" s="5">
        <v>-32501</v>
      </c>
      <c r="B12" s="2" t="s">
        <v>509</v>
      </c>
      <c r="C12" s="2" t="s">
        <v>23337</v>
      </c>
      <c r="D12" s="3">
        <v>8</v>
      </c>
      <c r="E12" s="3">
        <v>43</v>
      </c>
      <c r="F12" s="3" t="str">
        <f>HYPERLINK("https://www.boe.es/gazeta/dias/1811/01/05/pdfs/GEI-1811-3.pdf","Abrir PDF")</f>
        <v>Abrir PDF</v>
      </c>
    </row>
    <row r="13" spans="1:6" ht="31.05" customHeight="1">
      <c r="A13" s="5">
        <v>-32500</v>
      </c>
      <c r="B13" s="2" t="s">
        <v>13322</v>
      </c>
      <c r="C13" s="2" t="s">
        <v>23338</v>
      </c>
      <c r="D13" s="3">
        <v>4</v>
      </c>
      <c r="E13" s="3">
        <v>3</v>
      </c>
      <c r="F13" s="3" t="str">
        <f>HYPERLINK("https://www.boe.es/gazeta/dias/1811/01/06/pdfs/GMD-1811-6.pdf","Abrir PDF")</f>
        <v>Abrir PDF</v>
      </c>
    </row>
    <row r="14" spans="1:6" ht="31.05" customHeight="1">
      <c r="A14" s="5">
        <v>-32499</v>
      </c>
      <c r="B14" s="2" t="s">
        <v>1685</v>
      </c>
      <c r="C14" s="2" t="s">
        <v>23339</v>
      </c>
      <c r="D14" s="3">
        <v>4</v>
      </c>
      <c r="E14" s="3">
        <v>4</v>
      </c>
      <c r="F14" s="3" t="str">
        <f>HYPERLINK("https://www.boe.es/gazeta/dias/1811/01/07/pdfs/GMD-1811-7.pdf","Abrir PDF")</f>
        <v>Abrir PDF</v>
      </c>
    </row>
    <row r="15" spans="1:6" ht="31.05" customHeight="1">
      <c r="A15" s="5">
        <v>-32498</v>
      </c>
      <c r="B15" s="2" t="s">
        <v>5452</v>
      </c>
      <c r="C15" s="2" t="s">
        <v>23340</v>
      </c>
      <c r="D15" s="3">
        <v>4</v>
      </c>
      <c r="E15" s="3">
        <v>2</v>
      </c>
      <c r="F15" s="3" t="str">
        <f>HYPERLINK("https://www.boe.es/gazeta/dias/1811/01/08/pdfs/GMD-1811-8.pdf","Abrir PDF")</f>
        <v>Abrir PDF</v>
      </c>
    </row>
    <row r="16" spans="1:6" ht="31.05" customHeight="1">
      <c r="A16" s="5">
        <v>-32498</v>
      </c>
      <c r="B16" s="2" t="s">
        <v>828</v>
      </c>
      <c r="C16" s="2" t="s">
        <v>23341</v>
      </c>
      <c r="D16" s="3">
        <v>8</v>
      </c>
      <c r="E16" s="3">
        <v>11</v>
      </c>
      <c r="F16" s="3" t="str">
        <f>HYPERLINK("https://www.boe.es/gazeta/dias/1811/01/08/pdfs/GEI-1811-4.pdf","Abrir PDF")</f>
        <v>Abrir PDF</v>
      </c>
    </row>
    <row r="17" spans="1:6" ht="31.05" customHeight="1">
      <c r="A17" s="5">
        <v>-32497</v>
      </c>
      <c r="B17" s="2" t="s">
        <v>23342</v>
      </c>
      <c r="C17" s="2" t="s">
        <v>23343</v>
      </c>
      <c r="D17" s="3">
        <v>4</v>
      </c>
      <c r="E17" s="3">
        <v>0</v>
      </c>
      <c r="F17" s="3" t="str">
        <f>HYPERLINK("https://www.boe.es/gazeta/dias/1811/01/09/pdfs/GMD-1811-9.pdf","Abrir PDF")</f>
        <v>Abrir PDF</v>
      </c>
    </row>
    <row r="18" spans="1:6" ht="31.05" customHeight="1">
      <c r="A18" s="5">
        <v>-32496</v>
      </c>
      <c r="B18" s="2" t="s">
        <v>5478</v>
      </c>
      <c r="C18" s="2" t="s">
        <v>23344</v>
      </c>
      <c r="D18" s="3">
        <v>4</v>
      </c>
      <c r="E18" s="3">
        <v>6</v>
      </c>
      <c r="F18" s="3" t="str">
        <f>HYPERLINK("https://www.boe.es/gazeta/dias/1811/01/10/pdfs/GMD-1811-10.pdf","Abrir PDF")</f>
        <v>Abrir PDF</v>
      </c>
    </row>
    <row r="19" spans="1:6" ht="31.05" customHeight="1">
      <c r="A19" s="5">
        <v>-32496</v>
      </c>
      <c r="B19" s="2" t="s">
        <v>1927</v>
      </c>
      <c r="C19" s="2" t="s">
        <v>23345</v>
      </c>
      <c r="D19" s="3">
        <v>8</v>
      </c>
      <c r="E19" s="3">
        <v>19</v>
      </c>
      <c r="F19" s="3" t="str">
        <f>HYPERLINK("https://www.boe.es/gazeta/dias/1811/01/10/pdfs/GEI-1811-5.pdf","Abrir PDF")</f>
        <v>Abrir PDF</v>
      </c>
    </row>
    <row r="20" spans="1:6" ht="31.05" customHeight="1">
      <c r="A20" s="5">
        <v>-32495</v>
      </c>
      <c r="B20" s="2" t="s">
        <v>1681</v>
      </c>
      <c r="C20" s="2" t="s">
        <v>23346</v>
      </c>
      <c r="D20" s="3">
        <v>4</v>
      </c>
      <c r="E20" s="3">
        <v>23</v>
      </c>
      <c r="F20" s="3" t="str">
        <f>HYPERLINK("https://www.boe.es/gazeta/dias/1811/01/11/pdfs/GMD-1811-11.pdf","Abrir PDF")</f>
        <v>Abrir PDF</v>
      </c>
    </row>
    <row r="21" spans="1:6" ht="31.05" customHeight="1">
      <c r="A21" s="5">
        <v>-32494</v>
      </c>
      <c r="B21" s="2" t="s">
        <v>585</v>
      </c>
      <c r="C21" s="2" t="s">
        <v>23347</v>
      </c>
      <c r="D21" s="3">
        <v>4</v>
      </c>
      <c r="E21" s="3">
        <v>20</v>
      </c>
      <c r="F21" s="3" t="str">
        <f>HYPERLINK("https://www.boe.es/gazeta/dias/1811/01/12/pdfs/GMD-1811-12.pdf","Abrir PDF")</f>
        <v>Abrir PDF</v>
      </c>
    </row>
    <row r="22" spans="1:6" ht="31.05" customHeight="1">
      <c r="A22" s="5">
        <v>-32494</v>
      </c>
      <c r="B22" s="2" t="s">
        <v>3050</v>
      </c>
      <c r="C22" s="2" t="s">
        <v>23348</v>
      </c>
      <c r="D22" s="3">
        <v>8</v>
      </c>
      <c r="E22" s="3">
        <v>38</v>
      </c>
      <c r="F22" s="3" t="str">
        <f>HYPERLINK("https://www.boe.es/gazeta/dias/1811/01/12/pdfs/GEI-1811-6.pdf","Abrir PDF")</f>
        <v>Abrir PDF</v>
      </c>
    </row>
    <row r="23" spans="1:6" ht="31.05" customHeight="1">
      <c r="A23" s="5">
        <v>-32493</v>
      </c>
      <c r="B23" s="2" t="s">
        <v>4085</v>
      </c>
      <c r="C23" s="2" t="s">
        <v>23349</v>
      </c>
      <c r="D23" s="3">
        <v>4</v>
      </c>
      <c r="E23" s="3">
        <v>2</v>
      </c>
      <c r="F23" s="3" t="str">
        <f>HYPERLINK("https://www.boe.es/gazeta/dias/1811/01/13/pdfs/GMD-1811-13.pdf","Abrir PDF")</f>
        <v>Abrir PDF</v>
      </c>
    </row>
    <row r="24" spans="1:6" ht="31.05" customHeight="1">
      <c r="A24" s="5">
        <v>-32492</v>
      </c>
      <c r="B24" s="2" t="s">
        <v>1512</v>
      </c>
      <c r="C24" s="2" t="s">
        <v>23350</v>
      </c>
      <c r="D24" s="3">
        <v>4</v>
      </c>
      <c r="E24" s="3">
        <v>8</v>
      </c>
      <c r="F24" s="3" t="str">
        <f>HYPERLINK("https://www.boe.es/gazeta/dias/1811/01/14/pdfs/GMD-1811-14.pdf","Abrir PDF")</f>
        <v>Abrir PDF</v>
      </c>
    </row>
    <row r="25" spans="1:6" ht="31.05" customHeight="1">
      <c r="A25" s="5">
        <v>-32491</v>
      </c>
      <c r="B25" s="2" t="s">
        <v>2280</v>
      </c>
      <c r="C25" s="2" t="s">
        <v>23351</v>
      </c>
      <c r="D25" s="3">
        <v>4</v>
      </c>
      <c r="E25" s="3">
        <v>8</v>
      </c>
      <c r="F25" s="3" t="str">
        <f>HYPERLINK("https://www.boe.es/gazeta/dias/1811/01/15/pdfs/GMD-1811-15.pdf","Abrir PDF")</f>
        <v>Abrir PDF</v>
      </c>
    </row>
    <row r="26" spans="1:6" ht="31.05" customHeight="1">
      <c r="A26" s="5">
        <v>-32491</v>
      </c>
      <c r="B26" s="2" t="s">
        <v>533</v>
      </c>
      <c r="C26" s="2" t="s">
        <v>23352</v>
      </c>
      <c r="D26" s="3">
        <v>12</v>
      </c>
      <c r="E26" s="3">
        <v>26</v>
      </c>
      <c r="F26" s="3" t="str">
        <f>HYPERLINK("https://www.boe.es/gazeta/dias/1811/01/15/pdfs/GEI-1811-7.pdf","Abrir PDF")</f>
        <v>Abrir PDF</v>
      </c>
    </row>
    <row r="27" spans="1:6" ht="31.05" customHeight="1">
      <c r="A27" s="5">
        <v>-32490</v>
      </c>
      <c r="B27" s="2" t="s">
        <v>2407</v>
      </c>
      <c r="C27" s="2" t="s">
        <v>23353</v>
      </c>
      <c r="D27" s="3">
        <v>4</v>
      </c>
      <c r="E27" s="3">
        <v>15</v>
      </c>
      <c r="F27" s="3" t="str">
        <f>HYPERLINK("https://www.boe.es/gazeta/dias/1811/01/16/pdfs/GMD-1811-16.pdf","Abrir PDF")</f>
        <v>Abrir PDF</v>
      </c>
    </row>
    <row r="28" spans="1:6" ht="31.05" customHeight="1">
      <c r="A28" s="5">
        <v>-32489</v>
      </c>
      <c r="B28" s="2" t="s">
        <v>722</v>
      </c>
      <c r="C28" s="2" t="s">
        <v>23354</v>
      </c>
      <c r="D28" s="3">
        <v>4</v>
      </c>
      <c r="E28" s="3">
        <v>14</v>
      </c>
      <c r="F28" s="3" t="str">
        <f>HYPERLINK("https://www.boe.es/gazeta/dias/1811/01/17/pdfs/GMD-1811-17.pdf","Abrir PDF")</f>
        <v>Abrir PDF</v>
      </c>
    </row>
    <row r="29" spans="1:6" ht="31.05" customHeight="1">
      <c r="A29" s="5">
        <v>-32489</v>
      </c>
      <c r="B29" s="2" t="s">
        <v>2073</v>
      </c>
      <c r="C29" s="2" t="s">
        <v>23355</v>
      </c>
      <c r="D29" s="3">
        <v>8</v>
      </c>
      <c r="E29" s="3">
        <v>49</v>
      </c>
      <c r="F29" s="3" t="str">
        <f>HYPERLINK("https://www.boe.es/gazeta/dias/1811/01/17/pdfs/GEI-1811-8.pdf","Abrir PDF")</f>
        <v>Abrir PDF</v>
      </c>
    </row>
    <row r="30" spans="1:6" ht="31.05" customHeight="1">
      <c r="A30" s="5">
        <v>-32488</v>
      </c>
      <c r="B30" s="2" t="s">
        <v>3154</v>
      </c>
      <c r="C30" s="2" t="s">
        <v>23356</v>
      </c>
      <c r="D30" s="3">
        <v>4</v>
      </c>
      <c r="E30" s="3">
        <v>6</v>
      </c>
      <c r="F30" s="3" t="str">
        <f>HYPERLINK("https://www.boe.es/gazeta/dias/1811/01/18/pdfs/GMD-1811-18.pdf","Abrir PDF")</f>
        <v>Abrir PDF</v>
      </c>
    </row>
    <row r="31" spans="1:6" ht="31.05" customHeight="1">
      <c r="A31" s="5">
        <v>-32487</v>
      </c>
      <c r="B31" s="2" t="s">
        <v>3104</v>
      </c>
      <c r="C31" s="2" t="s">
        <v>23357</v>
      </c>
      <c r="D31" s="3">
        <v>4</v>
      </c>
      <c r="E31" s="3">
        <v>9</v>
      </c>
      <c r="F31" s="3" t="str">
        <f>HYPERLINK("https://www.boe.es/gazeta/dias/1811/01/19/pdfs/GMD-1811-19.pdf","Abrir PDF")</f>
        <v>Abrir PDF</v>
      </c>
    </row>
    <row r="32" spans="1:6" ht="31.05" customHeight="1">
      <c r="A32" s="5">
        <v>-32487</v>
      </c>
      <c r="B32" s="2" t="s">
        <v>842</v>
      </c>
      <c r="C32" s="2" t="s">
        <v>23358</v>
      </c>
      <c r="D32" s="3">
        <v>8</v>
      </c>
      <c r="E32" s="3">
        <v>33</v>
      </c>
      <c r="F32" s="3" t="str">
        <f>HYPERLINK("https://www.boe.es/gazeta/dias/1811/01/19/pdfs/GEI-1811-9.pdf","Abrir PDF")</f>
        <v>Abrir PDF</v>
      </c>
    </row>
    <row r="33" spans="1:6" ht="31.05" customHeight="1">
      <c r="A33" s="5">
        <v>-32486</v>
      </c>
      <c r="B33" s="2" t="s">
        <v>556</v>
      </c>
      <c r="C33" s="2" t="s">
        <v>23359</v>
      </c>
      <c r="D33" s="3">
        <v>4</v>
      </c>
      <c r="E33" s="3">
        <v>13</v>
      </c>
      <c r="F33" s="3" t="str">
        <f>HYPERLINK("https://www.boe.es/gazeta/dias/1811/01/20/pdfs/GMD-1811-20.pdf","Abrir PDF")</f>
        <v>Abrir PDF</v>
      </c>
    </row>
    <row r="34" spans="1:6" ht="31.05" customHeight="1">
      <c r="A34" s="5">
        <v>-32485</v>
      </c>
      <c r="B34" s="2" t="s">
        <v>2106</v>
      </c>
      <c r="C34" s="2" t="s">
        <v>23360</v>
      </c>
      <c r="D34" s="3">
        <v>4</v>
      </c>
      <c r="E34" s="3">
        <v>5</v>
      </c>
      <c r="F34" s="3" t="str">
        <f>HYPERLINK("https://www.boe.es/gazeta/dias/1811/01/21/pdfs/GMD-1811-21.pdf","Abrir PDF")</f>
        <v>Abrir PDF</v>
      </c>
    </row>
    <row r="35" spans="1:6" ht="31.05" customHeight="1">
      <c r="A35" s="5">
        <v>-32484</v>
      </c>
      <c r="B35" s="2" t="s">
        <v>5000</v>
      </c>
      <c r="C35" s="2" t="s">
        <v>23361</v>
      </c>
      <c r="D35" s="3">
        <v>4</v>
      </c>
      <c r="E35" s="3">
        <v>2</v>
      </c>
      <c r="F35" s="3" t="str">
        <f>HYPERLINK("https://www.boe.es/gazeta/dias/1811/01/22/pdfs/GMD-1811-22.pdf","Abrir PDF")</f>
        <v>Abrir PDF</v>
      </c>
    </row>
    <row r="36" spans="1:6" ht="31.05" customHeight="1">
      <c r="A36" s="5">
        <v>-32484</v>
      </c>
      <c r="B36" s="2" t="s">
        <v>467</v>
      </c>
      <c r="C36" s="2" t="s">
        <v>23362</v>
      </c>
      <c r="D36" s="3">
        <v>8</v>
      </c>
      <c r="E36" s="3">
        <v>20</v>
      </c>
      <c r="F36" s="3" t="str">
        <f>HYPERLINK("https://www.boe.es/gazeta/dias/1811/01/22/pdfs/GEI-1811-10.pdf","Abrir PDF")</f>
        <v>Abrir PDF</v>
      </c>
    </row>
    <row r="37" spans="1:6" ht="31.05" customHeight="1">
      <c r="A37" s="5">
        <v>-32483</v>
      </c>
      <c r="B37" s="2" t="s">
        <v>1081</v>
      </c>
      <c r="C37" s="2" t="s">
        <v>23363</v>
      </c>
      <c r="D37" s="3">
        <v>4</v>
      </c>
      <c r="E37" s="3">
        <v>4</v>
      </c>
      <c r="F37" s="3" t="str">
        <f>HYPERLINK("https://www.boe.es/gazeta/dias/1811/01/23/pdfs/GMD-1811-23.pdf","Abrir PDF")</f>
        <v>Abrir PDF</v>
      </c>
    </row>
    <row r="38" spans="1:6" ht="31.05" customHeight="1">
      <c r="A38" s="5">
        <v>-32482</v>
      </c>
      <c r="B38" s="2" t="s">
        <v>16924</v>
      </c>
      <c r="C38" s="2" t="s">
        <v>23364</v>
      </c>
      <c r="D38" s="3">
        <v>4</v>
      </c>
      <c r="E38" s="3">
        <v>1</v>
      </c>
      <c r="F38" s="3" t="str">
        <f>HYPERLINK("https://www.boe.es/gazeta/dias/1811/01/24/pdfs/GMD-1811-24.pdf","Abrir PDF")</f>
        <v>Abrir PDF</v>
      </c>
    </row>
    <row r="39" spans="1:6" ht="31.05" customHeight="1">
      <c r="A39" s="5">
        <v>-32482</v>
      </c>
      <c r="B39" s="2" t="s">
        <v>924</v>
      </c>
      <c r="C39" s="2" t="s">
        <v>23365</v>
      </c>
      <c r="D39" s="3">
        <v>8</v>
      </c>
      <c r="E39" s="3">
        <v>19</v>
      </c>
      <c r="F39" s="3" t="str">
        <f>HYPERLINK("https://www.boe.es/gazeta/dias/1811/01/24/pdfs/GEI-1811-11.pdf","Abrir PDF")</f>
        <v>Abrir PDF</v>
      </c>
    </row>
    <row r="40" spans="1:6" ht="31.05" customHeight="1">
      <c r="A40" s="5">
        <v>-32481</v>
      </c>
      <c r="B40" s="2" t="s">
        <v>1687</v>
      </c>
      <c r="C40" s="2" t="s">
        <v>23366</v>
      </c>
      <c r="D40" s="3">
        <v>4</v>
      </c>
      <c r="E40" s="3">
        <v>14</v>
      </c>
      <c r="F40" s="3" t="str">
        <f>HYPERLINK("https://www.boe.es/gazeta/dias/1811/01/25/pdfs/GMD-1811-25.pdf","Abrir PDF")</f>
        <v>Abrir PDF</v>
      </c>
    </row>
    <row r="41" spans="1:6" ht="31.05" customHeight="1">
      <c r="A41" s="5">
        <v>-32480</v>
      </c>
      <c r="B41" s="2" t="s">
        <v>2421</v>
      </c>
      <c r="C41" s="2" t="s">
        <v>23367</v>
      </c>
      <c r="D41" s="3">
        <v>4</v>
      </c>
      <c r="E41" s="3">
        <v>15</v>
      </c>
      <c r="F41" s="3" t="str">
        <f>HYPERLINK("https://www.boe.es/gazeta/dias/1811/01/26/pdfs/GMD-1811-26.pdf","Abrir PDF")</f>
        <v>Abrir PDF</v>
      </c>
    </row>
    <row r="42" spans="1:6" ht="31.05" customHeight="1">
      <c r="A42" s="5">
        <v>-32480</v>
      </c>
      <c r="B42" s="2" t="s">
        <v>3061</v>
      </c>
      <c r="C42" s="2" t="s">
        <v>23368</v>
      </c>
      <c r="D42" s="3">
        <v>8</v>
      </c>
      <c r="E42" s="3">
        <v>20</v>
      </c>
      <c r="F42" s="3" t="str">
        <f>HYPERLINK("https://www.boe.es/gazeta/dias/1811/01/26/pdfs/GEI-1811-12.pdf","Abrir PDF")</f>
        <v>Abrir PDF</v>
      </c>
    </row>
    <row r="43" spans="1:6" ht="31.05" customHeight="1">
      <c r="A43" s="5">
        <v>-32479</v>
      </c>
      <c r="B43" s="2" t="s">
        <v>6824</v>
      </c>
      <c r="C43" s="2" t="s">
        <v>23369</v>
      </c>
      <c r="D43" s="3">
        <v>4</v>
      </c>
      <c r="E43" s="3">
        <v>5</v>
      </c>
      <c r="F43" s="3" t="str">
        <f>HYPERLINK("https://www.boe.es/gazeta/dias/1811/01/27/pdfs/GMD-1811-27.pdf","Abrir PDF")</f>
        <v>Abrir PDF</v>
      </c>
    </row>
    <row r="44" spans="1:6" ht="31.05" customHeight="1">
      <c r="A44" s="5">
        <v>-32478</v>
      </c>
      <c r="B44" s="2" t="s">
        <v>11391</v>
      </c>
      <c r="C44" s="2" t="s">
        <v>23370</v>
      </c>
      <c r="D44" s="3">
        <v>4</v>
      </c>
      <c r="E44" s="3">
        <v>1</v>
      </c>
      <c r="F44" s="3" t="str">
        <f>HYPERLINK("https://www.boe.es/gazeta/dias/1811/01/28/pdfs/GMD-1811-28.pdf","Abrir PDF")</f>
        <v>Abrir PDF</v>
      </c>
    </row>
    <row r="45" spans="1:6" ht="31.05" customHeight="1">
      <c r="A45" s="5">
        <v>-32477</v>
      </c>
      <c r="B45" s="2" t="s">
        <v>589</v>
      </c>
      <c r="C45" s="2" t="s">
        <v>23371</v>
      </c>
      <c r="D45" s="3">
        <v>4</v>
      </c>
      <c r="E45" s="3">
        <v>3</v>
      </c>
      <c r="F45" s="3" t="str">
        <f>HYPERLINK("https://www.boe.es/gazeta/dias/1811/01/29/pdfs/GMD-1811-29.pdf","Abrir PDF")</f>
        <v>Abrir PDF</v>
      </c>
    </row>
    <row r="46" spans="1:6" ht="31.05" customHeight="1">
      <c r="A46" s="5">
        <v>-32477</v>
      </c>
      <c r="B46" s="2" t="s">
        <v>6777</v>
      </c>
      <c r="C46" s="2" t="s">
        <v>23372</v>
      </c>
      <c r="D46" s="3">
        <v>8</v>
      </c>
      <c r="E46" s="3">
        <v>12</v>
      </c>
      <c r="F46" s="3" t="str">
        <f>HYPERLINK("https://www.boe.es/gazeta/dias/1811/01/29/pdfs/GEI-1811-13.pdf","Abrir PDF")</f>
        <v>Abrir PDF</v>
      </c>
    </row>
    <row r="47" spans="1:6" ht="31.05" customHeight="1">
      <c r="A47" s="5">
        <v>-32476</v>
      </c>
      <c r="B47" s="2" t="s">
        <v>1896</v>
      </c>
      <c r="C47" s="2" t="s">
        <v>23373</v>
      </c>
      <c r="D47" s="3">
        <v>4</v>
      </c>
      <c r="E47" s="3">
        <v>10</v>
      </c>
      <c r="F47" s="3" t="str">
        <f>HYPERLINK("https://www.boe.es/gazeta/dias/1811/01/30/pdfs/GMD-1811-30.pdf","Abrir PDF")</f>
        <v>Abrir PDF</v>
      </c>
    </row>
    <row r="48" spans="1:6" ht="31.05" customHeight="1">
      <c r="A48" s="5">
        <v>-32475</v>
      </c>
      <c r="B48" s="2" t="s">
        <v>259</v>
      </c>
      <c r="C48" s="2" t="s">
        <v>23374</v>
      </c>
      <c r="D48" s="3">
        <v>4</v>
      </c>
      <c r="E48" s="3">
        <v>13</v>
      </c>
      <c r="F48" s="3" t="str">
        <f>HYPERLINK("https://www.boe.es/gazeta/dias/1811/01/31/pdfs/GMD-1811-31.pdf","Abrir PDF")</f>
        <v>Abrir PDF</v>
      </c>
    </row>
    <row r="49" spans="1:6" ht="31.05" customHeight="1">
      <c r="A49" s="5">
        <v>-32475</v>
      </c>
      <c r="B49" s="2" t="s">
        <v>6882</v>
      </c>
      <c r="C49" s="2" t="s">
        <v>23375</v>
      </c>
      <c r="D49" s="3">
        <v>8</v>
      </c>
      <c r="E49" s="3">
        <v>6</v>
      </c>
      <c r="F49" s="3" t="str">
        <f>HYPERLINK("https://www.boe.es/gazeta/dias/1811/01/31/pdfs/GEI-1811-14.pdf","Abrir PDF")</f>
        <v>Abrir PDF</v>
      </c>
    </row>
    <row r="50" spans="1:6" ht="31.05" customHeight="1">
      <c r="A50" s="5">
        <v>-32474</v>
      </c>
      <c r="B50" s="2" t="s">
        <v>11509</v>
      </c>
      <c r="C50" s="2" t="s">
        <v>23376</v>
      </c>
      <c r="D50" s="3">
        <v>4</v>
      </c>
      <c r="E50" s="3">
        <v>3</v>
      </c>
      <c r="F50" s="3" t="str">
        <f>HYPERLINK("https://www.boe.es/gazeta/dias/1811/02/01/pdfs/GMD-1811-32.pdf","Abrir PDF")</f>
        <v>Abrir PDF</v>
      </c>
    </row>
    <row r="51" spans="1:6" ht="31.05" customHeight="1">
      <c r="A51" s="5">
        <v>-32473</v>
      </c>
      <c r="B51" s="2" t="s">
        <v>1109</v>
      </c>
      <c r="C51" s="2" t="s">
        <v>23377</v>
      </c>
      <c r="D51" s="3">
        <v>4</v>
      </c>
      <c r="E51" s="3">
        <v>13</v>
      </c>
      <c r="F51" s="3" t="str">
        <f>HYPERLINK("https://www.boe.es/gazeta/dias/1811/02/02/pdfs/GMD-1811-33.pdf","Abrir PDF")</f>
        <v>Abrir PDF</v>
      </c>
    </row>
    <row r="52" spans="1:6" ht="31.05" customHeight="1">
      <c r="A52" s="5">
        <v>-32473</v>
      </c>
      <c r="B52" s="2" t="s">
        <v>3399</v>
      </c>
      <c r="C52" s="2" t="s">
        <v>23378</v>
      </c>
      <c r="D52" s="3">
        <v>8</v>
      </c>
      <c r="E52" s="3">
        <v>10</v>
      </c>
      <c r="F52" s="3" t="str">
        <f>HYPERLINK("https://www.boe.es/gazeta/dias/1811/02/02/pdfs/GEI-1811-15.pdf","Abrir PDF")</f>
        <v>Abrir PDF</v>
      </c>
    </row>
    <row r="53" spans="1:6" ht="31.05" customHeight="1">
      <c r="A53" s="5">
        <v>-32472</v>
      </c>
      <c r="B53" s="2" t="s">
        <v>398</v>
      </c>
      <c r="C53" s="2" t="s">
        <v>23379</v>
      </c>
      <c r="D53" s="3">
        <v>4</v>
      </c>
      <c r="E53" s="3">
        <v>24</v>
      </c>
      <c r="F53" s="3" t="str">
        <f>HYPERLINK("https://www.boe.es/gazeta/dias/1811/02/03/pdfs/GMD-1811-34.pdf","Abrir PDF")</f>
        <v>Abrir PDF</v>
      </c>
    </row>
    <row r="54" spans="1:6" ht="31.05" customHeight="1">
      <c r="A54" s="5">
        <v>-32471</v>
      </c>
      <c r="B54" s="2" t="s">
        <v>1571</v>
      </c>
      <c r="C54" s="2" t="s">
        <v>23380</v>
      </c>
      <c r="D54" s="3">
        <v>4</v>
      </c>
      <c r="E54" s="3">
        <v>15</v>
      </c>
      <c r="F54" s="3" t="str">
        <f>HYPERLINK("https://www.boe.es/gazeta/dias/1811/02/04/pdfs/GMD-1811-35.pdf","Abrir PDF")</f>
        <v>Abrir PDF</v>
      </c>
    </row>
    <row r="55" spans="1:6" ht="31.05" customHeight="1">
      <c r="A55" s="5">
        <v>-32470</v>
      </c>
      <c r="B55" s="2" t="s">
        <v>10438</v>
      </c>
      <c r="C55" s="2" t="s">
        <v>23381</v>
      </c>
      <c r="D55" s="3">
        <v>4</v>
      </c>
      <c r="E55" s="3">
        <v>5</v>
      </c>
      <c r="F55" s="3" t="str">
        <f>HYPERLINK("https://www.boe.es/gazeta/dias/1811/02/05/pdfs/GMD-1811-36.pdf","Abrir PDF")</f>
        <v>Abrir PDF</v>
      </c>
    </row>
    <row r="56" spans="1:6" ht="31.05" customHeight="1">
      <c r="A56" s="5">
        <v>-32470</v>
      </c>
      <c r="B56" s="2" t="s">
        <v>1432</v>
      </c>
      <c r="C56" s="2" t="s">
        <v>23382</v>
      </c>
      <c r="D56" s="3">
        <v>8</v>
      </c>
      <c r="E56" s="3">
        <v>36</v>
      </c>
      <c r="F56" s="3" t="str">
        <f>HYPERLINK("https://www.boe.es/gazeta/dias/1811/02/05/pdfs/GEI-1811-16.pdf","Abrir PDF")</f>
        <v>Abrir PDF</v>
      </c>
    </row>
    <row r="57" spans="1:6" ht="31.05" customHeight="1">
      <c r="A57" s="5">
        <v>-32469</v>
      </c>
      <c r="B57" s="2" t="s">
        <v>3448</v>
      </c>
      <c r="C57" s="2" t="s">
        <v>23383</v>
      </c>
      <c r="D57" s="3">
        <v>4</v>
      </c>
      <c r="E57" s="3">
        <v>8</v>
      </c>
      <c r="F57" s="3" t="str">
        <f>HYPERLINK("https://www.boe.es/gazeta/dias/1811/02/06/pdfs/GMD-1811-37.pdf","Abrir PDF")</f>
        <v>Abrir PDF</v>
      </c>
    </row>
    <row r="58" spans="1:6" ht="31.05" customHeight="1">
      <c r="A58" s="5">
        <v>-32468</v>
      </c>
      <c r="B58" s="2" t="s">
        <v>11973</v>
      </c>
      <c r="C58" s="2" t="s">
        <v>23384</v>
      </c>
      <c r="D58" s="3">
        <v>4</v>
      </c>
      <c r="E58" s="3">
        <v>4</v>
      </c>
      <c r="F58" s="3" t="str">
        <f>HYPERLINK("https://www.boe.es/gazeta/dias/1811/02/07/pdfs/GMD-1811-38.pdf","Abrir PDF")</f>
        <v>Abrir PDF</v>
      </c>
    </row>
    <row r="59" spans="1:6" ht="31.05" customHeight="1">
      <c r="A59" s="5">
        <v>-32468</v>
      </c>
      <c r="B59" s="2" t="s">
        <v>683</v>
      </c>
      <c r="C59" s="2" t="s">
        <v>23385</v>
      </c>
      <c r="D59" s="3">
        <v>8</v>
      </c>
      <c r="E59" s="3">
        <v>12</v>
      </c>
      <c r="F59" s="3" t="str">
        <f>HYPERLINK("https://www.boe.es/gazeta/dias/1811/02/07/pdfs/GEI-1811-17.pdf","Abrir PDF")</f>
        <v>Abrir PDF</v>
      </c>
    </row>
    <row r="60" spans="1:6" ht="31.05" customHeight="1">
      <c r="A60" s="5">
        <v>-32467</v>
      </c>
      <c r="B60" s="2" t="s">
        <v>768</v>
      </c>
      <c r="C60" s="2" t="s">
        <v>23386</v>
      </c>
      <c r="D60" s="3">
        <v>4</v>
      </c>
      <c r="E60" s="3">
        <v>10</v>
      </c>
      <c r="F60" s="3" t="str">
        <f>HYPERLINK("https://www.boe.es/gazeta/dias/1811/02/08/pdfs/GMD-1811-39.pdf","Abrir PDF")</f>
        <v>Abrir PDF</v>
      </c>
    </row>
    <row r="61" spans="1:6" ht="31.05" customHeight="1">
      <c r="A61" s="5">
        <v>-32466</v>
      </c>
      <c r="B61" s="2" t="s">
        <v>23387</v>
      </c>
      <c r="C61" s="2" t="s">
        <v>23388</v>
      </c>
      <c r="D61" s="3">
        <v>4</v>
      </c>
      <c r="E61" s="3">
        <v>0</v>
      </c>
      <c r="F61" s="3" t="str">
        <f>HYPERLINK("https://www.boe.es/gazeta/dias/1811/02/09/pdfs/GMD-1811-40.pdf","Abrir PDF")</f>
        <v>Abrir PDF</v>
      </c>
    </row>
    <row r="62" spans="1:6" ht="31.05" customHeight="1">
      <c r="A62" s="5">
        <v>-32466</v>
      </c>
      <c r="B62" s="2" t="s">
        <v>1514</v>
      </c>
      <c r="C62" s="2" t="s">
        <v>23389</v>
      </c>
      <c r="D62" s="3">
        <v>8</v>
      </c>
      <c r="E62" s="3">
        <v>16</v>
      </c>
      <c r="F62" s="3" t="str">
        <f>HYPERLINK("https://www.boe.es/gazeta/dias/1811/02/09/pdfs/GEI-1811-18.pdf","Abrir PDF")</f>
        <v>Abrir PDF</v>
      </c>
    </row>
    <row r="63" spans="1:6" ht="31.05" customHeight="1">
      <c r="A63" s="5">
        <v>-32465</v>
      </c>
      <c r="B63" s="2" t="s">
        <v>4414</v>
      </c>
      <c r="C63" s="2" t="s">
        <v>23390</v>
      </c>
      <c r="D63" s="3">
        <v>4</v>
      </c>
      <c r="E63" s="3">
        <v>6</v>
      </c>
      <c r="F63" s="3" t="str">
        <f>HYPERLINK("https://www.boe.es/gazeta/dias/1811/02/10/pdfs/GMD-1811-41.pdf","Abrir PDF")</f>
        <v>Abrir PDF</v>
      </c>
    </row>
    <row r="64" spans="1:6" ht="31.05" customHeight="1">
      <c r="A64" s="5">
        <v>-32464</v>
      </c>
      <c r="B64" s="2" t="s">
        <v>4044</v>
      </c>
      <c r="C64" s="2" t="s">
        <v>23391</v>
      </c>
      <c r="D64" s="3">
        <v>4</v>
      </c>
      <c r="E64" s="3">
        <v>4</v>
      </c>
      <c r="F64" s="3" t="str">
        <f>HYPERLINK("https://www.boe.es/gazeta/dias/1811/02/11/pdfs/GMD-1811-42.pdf","Abrir PDF")</f>
        <v>Abrir PDF</v>
      </c>
    </row>
    <row r="65" spans="1:6" ht="31.05" customHeight="1">
      <c r="A65" s="5">
        <v>-32463</v>
      </c>
      <c r="B65" s="2" t="s">
        <v>4781</v>
      </c>
      <c r="C65" s="2" t="s">
        <v>23392</v>
      </c>
      <c r="D65" s="3">
        <v>4</v>
      </c>
      <c r="E65" s="3">
        <v>3</v>
      </c>
      <c r="F65" s="3" t="str">
        <f>HYPERLINK("https://www.boe.es/gazeta/dias/1811/02/12/pdfs/GMD-1811-43.pdf","Abrir PDF")</f>
        <v>Abrir PDF</v>
      </c>
    </row>
    <row r="66" spans="1:6" ht="31.05" customHeight="1">
      <c r="A66" s="5">
        <v>-32463</v>
      </c>
      <c r="B66" s="2" t="s">
        <v>734</v>
      </c>
      <c r="C66" s="2" t="s">
        <v>23393</v>
      </c>
      <c r="D66" s="3">
        <v>8</v>
      </c>
      <c r="E66" s="3">
        <v>57</v>
      </c>
      <c r="F66" s="3" t="str">
        <f>HYPERLINK("https://www.boe.es/gazeta/dias/1811/02/12/pdfs/GEI-1811-19.pdf","Abrir PDF")</f>
        <v>Abrir PDF</v>
      </c>
    </row>
    <row r="67" spans="1:6" ht="31.05" customHeight="1">
      <c r="A67" s="5">
        <v>-32462</v>
      </c>
      <c r="B67" s="2" t="s">
        <v>8217</v>
      </c>
      <c r="C67" s="2" t="s">
        <v>23394</v>
      </c>
      <c r="D67" s="3">
        <v>4</v>
      </c>
      <c r="E67" s="3">
        <v>5</v>
      </c>
      <c r="F67" s="3" t="str">
        <f>HYPERLINK("https://www.boe.es/gazeta/dias/1811/02/13/pdfs/GMD-1811-44.pdf","Abrir PDF")</f>
        <v>Abrir PDF</v>
      </c>
    </row>
    <row r="68" spans="1:6" ht="31.05" customHeight="1">
      <c r="A68" s="5">
        <v>-32461</v>
      </c>
      <c r="B68" s="2" t="s">
        <v>1383</v>
      </c>
      <c r="C68" s="2" t="s">
        <v>23395</v>
      </c>
      <c r="D68" s="3">
        <v>4</v>
      </c>
      <c r="E68" s="3">
        <v>10</v>
      </c>
      <c r="F68" s="3" t="str">
        <f>HYPERLINK("https://www.boe.es/gazeta/dias/1811/02/14/pdfs/GMD-1811-45.pdf","Abrir PDF")</f>
        <v>Abrir PDF</v>
      </c>
    </row>
    <row r="69" spans="1:6" ht="31.05" customHeight="1">
      <c r="A69" s="5">
        <v>-32461</v>
      </c>
      <c r="B69" s="2" t="s">
        <v>2429</v>
      </c>
      <c r="C69" s="2" t="s">
        <v>23396</v>
      </c>
      <c r="D69" s="3">
        <v>8</v>
      </c>
      <c r="E69" s="3">
        <v>29</v>
      </c>
      <c r="F69" s="3" t="str">
        <f>HYPERLINK("https://www.boe.es/gazeta/dias/1811/02/14/pdfs/GEI-1811-20.pdf","Abrir PDF")</f>
        <v>Abrir PDF</v>
      </c>
    </row>
    <row r="70" spans="1:6" ht="31.05" customHeight="1">
      <c r="A70" s="5">
        <v>-32460</v>
      </c>
      <c r="B70" s="2" t="s">
        <v>4783</v>
      </c>
      <c r="C70" s="2" t="s">
        <v>23397</v>
      </c>
      <c r="D70" s="3">
        <v>4</v>
      </c>
      <c r="E70" s="3">
        <v>8</v>
      </c>
      <c r="F70" s="3" t="str">
        <f>HYPERLINK("https://www.boe.es/gazeta/dias/1811/02/15/pdfs/GMD-1811-46.pdf","Abrir PDF")</f>
        <v>Abrir PDF</v>
      </c>
    </row>
    <row r="71" spans="1:6" ht="31.05" customHeight="1">
      <c r="A71" s="5">
        <v>-32459</v>
      </c>
      <c r="B71" s="2" t="s">
        <v>227</v>
      </c>
      <c r="C71" s="2" t="s">
        <v>23398</v>
      </c>
      <c r="D71" s="3">
        <v>4</v>
      </c>
      <c r="E71" s="3">
        <v>10</v>
      </c>
      <c r="F71" s="3" t="str">
        <f>HYPERLINK("https://www.boe.es/gazeta/dias/1811/02/16/pdfs/GMD-1811-47.pdf","Abrir PDF")</f>
        <v>Abrir PDF</v>
      </c>
    </row>
    <row r="72" spans="1:6" ht="31.05" customHeight="1">
      <c r="A72" s="5">
        <v>-32459</v>
      </c>
      <c r="B72" s="2" t="s">
        <v>1034</v>
      </c>
      <c r="C72" s="2" t="s">
        <v>23399</v>
      </c>
      <c r="D72" s="3">
        <v>8</v>
      </c>
      <c r="E72" s="3">
        <v>43</v>
      </c>
      <c r="F72" s="3" t="str">
        <f>HYPERLINK("https://www.boe.es/gazeta/dias/1811/02/16/pdfs/GEI-1811-21.pdf","Abrir PDF")</f>
        <v>Abrir PDF</v>
      </c>
    </row>
    <row r="73" spans="1:6" ht="31.05" customHeight="1">
      <c r="A73" s="5">
        <v>-32458</v>
      </c>
      <c r="B73" s="2" t="s">
        <v>8223</v>
      </c>
      <c r="C73" s="2" t="s">
        <v>23400</v>
      </c>
      <c r="D73" s="3">
        <v>4</v>
      </c>
      <c r="E73" s="3">
        <v>4</v>
      </c>
      <c r="F73" s="3" t="str">
        <f>HYPERLINK("https://www.boe.es/gazeta/dias/1811/02/17/pdfs/GMD-1811-48.pdf","Abrir PDF")</f>
        <v>Abrir PDF</v>
      </c>
    </row>
    <row r="74" spans="1:6" ht="31.05" customHeight="1">
      <c r="A74" s="5">
        <v>-32457</v>
      </c>
      <c r="B74" s="2" t="s">
        <v>3646</v>
      </c>
      <c r="C74" s="2" t="s">
        <v>23401</v>
      </c>
      <c r="D74" s="3">
        <v>4</v>
      </c>
      <c r="E74" s="3">
        <v>4</v>
      </c>
      <c r="F74" s="3" t="str">
        <f>HYPERLINK("https://www.boe.es/gazeta/dias/1811/02/18/pdfs/GMD-1811-49.pdf","Abrir PDF")</f>
        <v>Abrir PDF</v>
      </c>
    </row>
    <row r="75" spans="1:6" ht="31.05" customHeight="1">
      <c r="A75" s="5">
        <v>-32456</v>
      </c>
      <c r="B75" s="2" t="s">
        <v>4785</v>
      </c>
      <c r="C75" s="2" t="s">
        <v>23402</v>
      </c>
      <c r="D75" s="3">
        <v>4</v>
      </c>
      <c r="E75" s="3">
        <v>4</v>
      </c>
      <c r="F75" s="3" t="str">
        <f>HYPERLINK("https://www.boe.es/gazeta/dias/1811/02/19/pdfs/GMD-1811-50.pdf","Abrir PDF")</f>
        <v>Abrir PDF</v>
      </c>
    </row>
    <row r="76" spans="1:6" ht="31.05" customHeight="1">
      <c r="A76" s="5">
        <v>-32456</v>
      </c>
      <c r="B76" s="2" t="s">
        <v>1261</v>
      </c>
      <c r="C76" s="2" t="s">
        <v>23403</v>
      </c>
      <c r="D76" s="3">
        <v>8</v>
      </c>
      <c r="E76" s="3">
        <v>10</v>
      </c>
      <c r="F76" s="3" t="str">
        <f>HYPERLINK("https://www.boe.es/gazeta/dias/1811/02/19/pdfs/GEI-1811-22.pdf","Abrir PDF")</f>
        <v>Abrir PDF</v>
      </c>
    </row>
    <row r="77" spans="1:6" ht="31.05" customHeight="1">
      <c r="A77" s="5">
        <v>-32455</v>
      </c>
      <c r="B77" s="2" t="s">
        <v>8959</v>
      </c>
      <c r="C77" s="2" t="s">
        <v>23404</v>
      </c>
      <c r="D77" s="3">
        <v>4</v>
      </c>
      <c r="E77" s="3">
        <v>4</v>
      </c>
      <c r="F77" s="3" t="str">
        <f>HYPERLINK("https://www.boe.es/gazeta/dias/1811/02/20/pdfs/GMD-1811-51.pdf","Abrir PDF")</f>
        <v>Abrir PDF</v>
      </c>
    </row>
    <row r="78" spans="1:6" ht="31.05" customHeight="1">
      <c r="A78" s="5">
        <v>-32454</v>
      </c>
      <c r="B78" s="2" t="s">
        <v>2796</v>
      </c>
      <c r="C78" s="2" t="s">
        <v>23405</v>
      </c>
      <c r="D78" s="3">
        <v>4</v>
      </c>
      <c r="E78" s="3">
        <v>2</v>
      </c>
      <c r="F78" s="3" t="str">
        <f>HYPERLINK("https://www.boe.es/gazeta/dias/1811/02/21/pdfs/GMD-1811-52.pdf","Abrir PDF")</f>
        <v>Abrir PDF</v>
      </c>
    </row>
    <row r="79" spans="1:6" ht="31.05" customHeight="1">
      <c r="A79" s="5">
        <v>-32454</v>
      </c>
      <c r="B79" s="2" t="s">
        <v>2268</v>
      </c>
      <c r="C79" s="2" t="s">
        <v>23406</v>
      </c>
      <c r="D79" s="3">
        <v>8</v>
      </c>
      <c r="E79" s="3">
        <v>16</v>
      </c>
      <c r="F79" s="3" t="str">
        <f>HYPERLINK("https://www.boe.es/gazeta/dias/1811/02/21/pdfs/GEI-1811-23.pdf","Abrir PDF")</f>
        <v>Abrir PDF</v>
      </c>
    </row>
    <row r="80" spans="1:6" ht="31.05" customHeight="1">
      <c r="A80" s="5">
        <v>-32453</v>
      </c>
      <c r="B80" s="2" t="s">
        <v>2708</v>
      </c>
      <c r="C80" s="2" t="s">
        <v>23407</v>
      </c>
      <c r="D80" s="3">
        <v>4</v>
      </c>
      <c r="E80" s="3">
        <v>2</v>
      </c>
      <c r="F80" s="3" t="str">
        <f>HYPERLINK("https://www.boe.es/gazeta/dias/1811/02/22/pdfs/GMD-1811-53.pdf","Abrir PDF")</f>
        <v>Abrir PDF</v>
      </c>
    </row>
    <row r="81" spans="1:6" ht="31.05" customHeight="1">
      <c r="A81" s="5">
        <v>-32452</v>
      </c>
      <c r="B81" s="2" t="s">
        <v>15369</v>
      </c>
      <c r="C81" s="2" t="s">
        <v>23408</v>
      </c>
      <c r="D81" s="3">
        <v>4</v>
      </c>
      <c r="E81" s="3">
        <v>4</v>
      </c>
      <c r="F81" s="3" t="str">
        <f>HYPERLINK("https://www.boe.es/gazeta/dias/1811/02/23/pdfs/GMD-1811-54.pdf","Abrir PDF")</f>
        <v>Abrir PDF</v>
      </c>
    </row>
    <row r="82" spans="1:6" ht="31.05" customHeight="1">
      <c r="A82" s="5">
        <v>-32452</v>
      </c>
      <c r="B82" s="2" t="s">
        <v>106</v>
      </c>
      <c r="C82" s="2" t="s">
        <v>23409</v>
      </c>
      <c r="D82" s="3">
        <v>8</v>
      </c>
      <c r="E82" s="3">
        <v>47</v>
      </c>
      <c r="F82" s="3" t="str">
        <f>HYPERLINK("https://www.boe.es/gazeta/dias/1811/02/23/pdfs/GEI-1811-24.pdf","Abrir PDF")</f>
        <v>Abrir PDF</v>
      </c>
    </row>
    <row r="83" spans="1:6" ht="31.05" customHeight="1">
      <c r="A83" s="5">
        <v>-32451</v>
      </c>
      <c r="B83" s="2" t="s">
        <v>2651</v>
      </c>
      <c r="C83" s="2" t="s">
        <v>23410</v>
      </c>
      <c r="D83" s="3">
        <v>4</v>
      </c>
      <c r="E83" s="3">
        <v>14</v>
      </c>
      <c r="F83" s="3" t="str">
        <f>HYPERLINK("https://www.boe.es/gazeta/dias/1811/02/24/pdfs/GMD-1811-55.pdf","Abrir PDF")</f>
        <v>Abrir PDF</v>
      </c>
    </row>
    <row r="84" spans="1:6" ht="31.05" customHeight="1">
      <c r="A84" s="5">
        <v>-32450</v>
      </c>
      <c r="B84" s="2" t="s">
        <v>794</v>
      </c>
      <c r="C84" s="2" t="s">
        <v>23411</v>
      </c>
      <c r="D84" s="3">
        <v>4</v>
      </c>
      <c r="E84" s="3">
        <v>8</v>
      </c>
      <c r="F84" s="3" t="str">
        <f>HYPERLINK("https://www.boe.es/gazeta/dias/1811/02/25/pdfs/GMD-1811-56.pdf","Abrir PDF")</f>
        <v>Abrir PDF</v>
      </c>
    </row>
    <row r="85" spans="1:6" ht="31.05" customHeight="1">
      <c r="A85" s="5">
        <v>-32449</v>
      </c>
      <c r="B85" s="2" t="s">
        <v>8369</v>
      </c>
      <c r="C85" s="2" t="s">
        <v>23412</v>
      </c>
      <c r="D85" s="3">
        <v>4</v>
      </c>
      <c r="E85" s="3">
        <v>3</v>
      </c>
      <c r="F85" s="3" t="str">
        <f>HYPERLINK("https://www.boe.es/gazeta/dias/1811/02/26/pdfs/GMD-1811-57.pdf","Abrir PDF")</f>
        <v>Abrir PDF</v>
      </c>
    </row>
    <row r="86" spans="1:6" ht="31.05" customHeight="1">
      <c r="A86" s="5">
        <v>-32449</v>
      </c>
      <c r="B86" s="2" t="s">
        <v>381</v>
      </c>
      <c r="C86" s="2" t="s">
        <v>23413</v>
      </c>
      <c r="D86" s="3">
        <v>8</v>
      </c>
      <c r="E86" s="3">
        <v>18</v>
      </c>
      <c r="F86" s="3" t="str">
        <f>HYPERLINK("https://www.boe.es/gazeta/dias/1811/02/26/pdfs/GEI-1811-25.pdf","Abrir PDF")</f>
        <v>Abrir PDF</v>
      </c>
    </row>
    <row r="87" spans="1:6" ht="31.05" customHeight="1">
      <c r="A87" s="5">
        <v>-32448</v>
      </c>
      <c r="B87" s="2" t="s">
        <v>21869</v>
      </c>
      <c r="C87" s="2" t="s">
        <v>23414</v>
      </c>
      <c r="D87" s="3">
        <v>4</v>
      </c>
      <c r="E87" s="3">
        <v>1</v>
      </c>
      <c r="F87" s="3" t="str">
        <f>HYPERLINK("https://www.boe.es/gazeta/dias/1811/02/27/pdfs/GMD-1811-58.pdf","Abrir PDF")</f>
        <v>Abrir PDF</v>
      </c>
    </row>
    <row r="88" spans="1:6" ht="31.05" customHeight="1">
      <c r="A88" s="5">
        <v>-32447</v>
      </c>
      <c r="B88" s="2" t="s">
        <v>665</v>
      </c>
      <c r="C88" s="2" t="s">
        <v>23415</v>
      </c>
      <c r="D88" s="3">
        <v>4</v>
      </c>
      <c r="E88" s="3">
        <v>24</v>
      </c>
      <c r="F88" s="3" t="str">
        <f>HYPERLINK("https://www.boe.es/gazeta/dias/1811/02/28/pdfs/GMD-1811-59.pdf","Abrir PDF")</f>
        <v>Abrir PDF</v>
      </c>
    </row>
    <row r="89" spans="1:6" ht="31.05" customHeight="1">
      <c r="A89" s="5">
        <v>-32447</v>
      </c>
      <c r="B89" s="2" t="s">
        <v>3655</v>
      </c>
      <c r="C89" s="2" t="s">
        <v>23416</v>
      </c>
      <c r="D89" s="3">
        <v>8</v>
      </c>
      <c r="E89" s="3">
        <v>20</v>
      </c>
      <c r="F89" s="3" t="str">
        <f>HYPERLINK("https://www.boe.es/gazeta/dias/1811/02/28/pdfs/GEI-1811-26.pdf","Abrir PDF")</f>
        <v>Abrir PDF</v>
      </c>
    </row>
    <row r="90" spans="1:6" ht="31.05" customHeight="1">
      <c r="A90" s="5">
        <v>-32446</v>
      </c>
      <c r="B90" s="2" t="s">
        <v>13275</v>
      </c>
      <c r="C90" s="2" t="s">
        <v>23417</v>
      </c>
      <c r="D90" s="3">
        <v>4</v>
      </c>
      <c r="E90" s="3">
        <v>3</v>
      </c>
      <c r="F90" s="3" t="str">
        <f>HYPERLINK("https://www.boe.es/gazeta/dias/1811/03/01/pdfs/GMD-1811-60.pdf","Abrir PDF")</f>
        <v>Abrir PDF</v>
      </c>
    </row>
    <row r="91" spans="1:6" ht="31.05" customHeight="1">
      <c r="A91" s="5">
        <v>-32445</v>
      </c>
      <c r="B91" s="2" t="s">
        <v>880</v>
      </c>
      <c r="C91" s="2" t="s">
        <v>23418</v>
      </c>
      <c r="D91" s="3">
        <v>4</v>
      </c>
      <c r="E91" s="3">
        <v>12</v>
      </c>
      <c r="F91" s="3" t="str">
        <f>HYPERLINK("https://www.boe.es/gazeta/dias/1811/03/02/pdfs/GMD-1811-61.pdf","Abrir PDF")</f>
        <v>Abrir PDF</v>
      </c>
    </row>
    <row r="92" spans="1:6" ht="31.05" customHeight="1">
      <c r="A92" s="5">
        <v>-32445</v>
      </c>
      <c r="B92" s="2" t="s">
        <v>2032</v>
      </c>
      <c r="C92" s="2" t="s">
        <v>23419</v>
      </c>
      <c r="D92" s="3">
        <v>8</v>
      </c>
      <c r="E92" s="3">
        <v>4</v>
      </c>
      <c r="F92" s="3" t="str">
        <f>HYPERLINK("https://www.boe.es/gazeta/dias/1811/03/02/pdfs/GEI-1811-27.pdf","Abrir PDF")</f>
        <v>Abrir PDF</v>
      </c>
    </row>
    <row r="93" spans="1:6" ht="31.05" customHeight="1">
      <c r="A93" s="5">
        <v>-32444</v>
      </c>
      <c r="B93" s="2" t="s">
        <v>4512</v>
      </c>
      <c r="C93" s="2" t="s">
        <v>23420</v>
      </c>
      <c r="D93" s="3">
        <v>4</v>
      </c>
      <c r="E93" s="3">
        <v>10</v>
      </c>
      <c r="F93" s="3" t="str">
        <f>HYPERLINK("https://www.boe.es/gazeta/dias/1811/03/03/pdfs/GMD-1811-62.pdf","Abrir PDF")</f>
        <v>Abrir PDF</v>
      </c>
    </row>
    <row r="94" spans="1:6" ht="31.05" customHeight="1">
      <c r="A94" s="5">
        <v>-32443</v>
      </c>
      <c r="B94" s="2" t="s">
        <v>1522</v>
      </c>
      <c r="C94" s="2" t="s">
        <v>23421</v>
      </c>
      <c r="D94" s="3">
        <v>4</v>
      </c>
      <c r="E94" s="3">
        <v>7</v>
      </c>
      <c r="F94" s="3" t="str">
        <f>HYPERLINK("https://www.boe.es/gazeta/dias/1811/03/04/pdfs/GMD-1811-63.pdf","Abrir PDF")</f>
        <v>Abrir PDF</v>
      </c>
    </row>
    <row r="95" spans="1:6" ht="31.05" customHeight="1">
      <c r="A95" s="5">
        <v>-32443</v>
      </c>
      <c r="B95" s="2" t="s">
        <v>9220</v>
      </c>
      <c r="C95" s="2" t="s">
        <v>23422</v>
      </c>
      <c r="D95" s="3">
        <v>4</v>
      </c>
      <c r="E95" s="3">
        <v>2</v>
      </c>
      <c r="F95" s="3" t="str">
        <f>HYPERLINK("https://www.boe.es/gazeta/dias/1811/03/04/pdfs/GEI-1811-28E.pdf","Abrir PDF")</f>
        <v>Abrir PDF</v>
      </c>
    </row>
    <row r="96" spans="1:6" ht="31.05" customHeight="1">
      <c r="A96" s="5">
        <v>-32442</v>
      </c>
      <c r="B96" s="2" t="s">
        <v>2354</v>
      </c>
      <c r="C96" s="2" t="s">
        <v>23423</v>
      </c>
      <c r="D96" s="3">
        <v>4</v>
      </c>
      <c r="E96" s="3">
        <v>3</v>
      </c>
      <c r="F96" s="3" t="str">
        <f>HYPERLINK("https://www.boe.es/gazeta/dias/1811/03/05/pdfs/GMD-1811-64.pdf","Abrir PDF")</f>
        <v>Abrir PDF</v>
      </c>
    </row>
    <row r="97" spans="1:6" ht="31.05" customHeight="1">
      <c r="A97" s="5">
        <v>-32442</v>
      </c>
      <c r="B97" s="2" t="s">
        <v>634</v>
      </c>
      <c r="C97" s="2" t="s">
        <v>23424</v>
      </c>
      <c r="D97" s="3">
        <v>8</v>
      </c>
      <c r="E97" s="3">
        <v>30</v>
      </c>
      <c r="F97" s="3" t="str">
        <f>HYPERLINK("https://www.boe.es/gazeta/dias/1811/03/05/pdfs/GEI-1811-29.pdf","Abrir PDF")</f>
        <v>Abrir PDF</v>
      </c>
    </row>
    <row r="98" spans="1:6" ht="31.05" customHeight="1">
      <c r="A98" s="5">
        <v>-32442</v>
      </c>
      <c r="B98" s="2" t="s">
        <v>1733</v>
      </c>
      <c r="C98" s="2" t="s">
        <v>23425</v>
      </c>
      <c r="D98" s="3">
        <v>4</v>
      </c>
      <c r="E98" s="3">
        <v>1</v>
      </c>
      <c r="F98" s="3" t="str">
        <f>HYPERLINK("https://www.boe.es/gazeta/dias/1811/03/05/pdfs/GEI-1811-30E.pdf","Abrir PDF")</f>
        <v>Abrir PDF</v>
      </c>
    </row>
    <row r="99" spans="1:6" ht="31.05" customHeight="1">
      <c r="A99" s="5">
        <v>-32442</v>
      </c>
      <c r="B99" s="2" t="s">
        <v>23426</v>
      </c>
      <c r="C99" s="2" t="s">
        <v>23427</v>
      </c>
      <c r="D99" s="3">
        <v>2</v>
      </c>
      <c r="E99" s="3">
        <v>0</v>
      </c>
      <c r="F99" s="3" t="str">
        <f>HYPERLINK("https://www.boe.es/gazeta/dias/1811/03/05/pdfs/GEI-1811-31E.pdf","Abrir PDF")</f>
        <v>Abrir PDF</v>
      </c>
    </row>
    <row r="100" spans="1:6" ht="31.05" customHeight="1">
      <c r="A100" s="5">
        <v>-32441</v>
      </c>
      <c r="B100" s="2" t="s">
        <v>17978</v>
      </c>
      <c r="C100" s="2" t="s">
        <v>23428</v>
      </c>
      <c r="D100" s="3">
        <v>4</v>
      </c>
      <c r="E100" s="3">
        <v>1</v>
      </c>
      <c r="F100" s="3" t="str">
        <f>HYPERLINK("https://www.boe.es/gazeta/dias/1811/03/06/pdfs/GMD-1811-65.pdf","Abrir PDF")</f>
        <v>Abrir PDF</v>
      </c>
    </row>
    <row r="101" spans="1:6" ht="31.05" customHeight="1">
      <c r="A101" s="5">
        <v>-32440</v>
      </c>
      <c r="B101" s="2" t="s">
        <v>811</v>
      </c>
      <c r="C101" s="2" t="s">
        <v>23429</v>
      </c>
      <c r="D101" s="3">
        <v>4</v>
      </c>
      <c r="E101" s="3">
        <v>3</v>
      </c>
      <c r="F101" s="3" t="str">
        <f>HYPERLINK("https://www.boe.es/gazeta/dias/1811/03/07/pdfs/GMD-1811-66.pdf","Abrir PDF")</f>
        <v>Abrir PDF</v>
      </c>
    </row>
    <row r="102" spans="1:6" ht="31.05" customHeight="1">
      <c r="A102" s="5">
        <v>-32440</v>
      </c>
      <c r="B102" s="2" t="s">
        <v>1254</v>
      </c>
      <c r="C102" s="2" t="s">
        <v>23430</v>
      </c>
      <c r="D102" s="3">
        <v>8</v>
      </c>
      <c r="E102" s="3">
        <v>8</v>
      </c>
      <c r="F102" s="3" t="str">
        <f>HYPERLINK("https://www.boe.es/gazeta/dias/1811/03/07/pdfs/GEI-1811-32.pdf","Abrir PDF")</f>
        <v>Abrir PDF</v>
      </c>
    </row>
    <row r="103" spans="1:6" ht="31.05" customHeight="1">
      <c r="A103" s="5">
        <v>-32439</v>
      </c>
      <c r="B103" s="2" t="s">
        <v>4682</v>
      </c>
      <c r="C103" s="2" t="s">
        <v>23431</v>
      </c>
      <c r="D103" s="3">
        <v>4</v>
      </c>
      <c r="E103" s="3">
        <v>4</v>
      </c>
      <c r="F103" s="3" t="str">
        <f>HYPERLINK("https://www.boe.es/gazeta/dias/1811/03/08/pdfs/GMD-1811-67.pdf","Abrir PDF")</f>
        <v>Abrir PDF</v>
      </c>
    </row>
    <row r="104" spans="1:6" ht="31.05" customHeight="1">
      <c r="A104" s="5">
        <v>-32438</v>
      </c>
      <c r="B104" s="2" t="s">
        <v>4284</v>
      </c>
      <c r="C104" s="2" t="s">
        <v>23432</v>
      </c>
      <c r="D104" s="3">
        <v>4</v>
      </c>
      <c r="E104" s="3">
        <v>15</v>
      </c>
      <c r="F104" s="3" t="str">
        <f>HYPERLINK("https://www.boe.es/gazeta/dias/1811/03/09/pdfs/GMD-1811-68.pdf","Abrir PDF")</f>
        <v>Abrir PDF</v>
      </c>
    </row>
    <row r="105" spans="1:6" ht="31.05" customHeight="1">
      <c r="A105" s="5">
        <v>-32438</v>
      </c>
      <c r="B105" s="2" t="s">
        <v>114</v>
      </c>
      <c r="C105" s="2" t="s">
        <v>23433</v>
      </c>
      <c r="D105" s="3">
        <v>8</v>
      </c>
      <c r="E105" s="3">
        <v>46</v>
      </c>
      <c r="F105" s="3" t="str">
        <f>HYPERLINK("https://www.boe.es/gazeta/dias/1811/03/09/pdfs/GEI-1811-33.pdf","Abrir PDF")</f>
        <v>Abrir PDF</v>
      </c>
    </row>
    <row r="106" spans="1:6" ht="31.05" customHeight="1">
      <c r="A106" s="5">
        <v>-32438</v>
      </c>
      <c r="B106" s="2" t="s">
        <v>1970</v>
      </c>
      <c r="C106" s="2" t="s">
        <v>23434</v>
      </c>
      <c r="D106" s="3">
        <v>4</v>
      </c>
      <c r="E106" s="3">
        <v>2</v>
      </c>
      <c r="F106" s="3" t="str">
        <f>HYPERLINK("https://www.boe.es/gazeta/dias/1811/03/09/pdfs/GEI-1811-34E.pdf","Abrir PDF")</f>
        <v>Abrir PDF</v>
      </c>
    </row>
    <row r="107" spans="1:6" ht="31.05" customHeight="1">
      <c r="A107" s="5">
        <v>-32437</v>
      </c>
      <c r="B107" s="2" t="s">
        <v>4063</v>
      </c>
      <c r="C107" s="2" t="s">
        <v>23435</v>
      </c>
      <c r="D107" s="3">
        <v>4</v>
      </c>
      <c r="E107" s="3">
        <v>4</v>
      </c>
      <c r="F107" s="3" t="str">
        <f>HYPERLINK("https://www.boe.es/gazeta/dias/1811/03/10/pdfs/GMD-1811-69.pdf","Abrir PDF")</f>
        <v>Abrir PDF</v>
      </c>
    </row>
    <row r="108" spans="1:6" ht="31.05" customHeight="1">
      <c r="A108" s="5">
        <v>-32436</v>
      </c>
      <c r="B108" s="2" t="s">
        <v>1972</v>
      </c>
      <c r="C108" s="2" t="s">
        <v>23436</v>
      </c>
      <c r="D108" s="3">
        <v>4</v>
      </c>
      <c r="E108" s="3">
        <v>14</v>
      </c>
      <c r="F108" s="3" t="str">
        <f>HYPERLINK("https://www.boe.es/gazeta/dias/1811/03/11/pdfs/GMD-1811-70.pdf","Abrir PDF")</f>
        <v>Abrir PDF</v>
      </c>
    </row>
    <row r="109" spans="1:6" ht="31.05" customHeight="1">
      <c r="A109" s="5">
        <v>-32435</v>
      </c>
      <c r="B109" s="2" t="s">
        <v>6110</v>
      </c>
      <c r="C109" s="2" t="s">
        <v>23437</v>
      </c>
      <c r="D109" s="3">
        <v>4</v>
      </c>
      <c r="E109" s="3">
        <v>2</v>
      </c>
      <c r="F109" s="3" t="str">
        <f>HYPERLINK("https://www.boe.es/gazeta/dias/1811/03/12/pdfs/GMD-1811-71.pdf","Abrir PDF")</f>
        <v>Abrir PDF</v>
      </c>
    </row>
    <row r="110" spans="1:6" ht="31.05" customHeight="1">
      <c r="A110" s="5">
        <v>-32435</v>
      </c>
      <c r="B110" s="2" t="s">
        <v>224</v>
      </c>
      <c r="C110" s="2" t="s">
        <v>23438</v>
      </c>
      <c r="D110" s="3">
        <v>8</v>
      </c>
      <c r="E110" s="3">
        <v>9</v>
      </c>
      <c r="F110" s="3" t="str">
        <f>HYPERLINK("https://www.boe.es/gazeta/dias/1811/03/12/pdfs/GEI-1811-35.pdf","Abrir PDF")</f>
        <v>Abrir PDF</v>
      </c>
    </row>
    <row r="111" spans="1:6" ht="31.05" customHeight="1">
      <c r="A111" s="5">
        <v>-32435</v>
      </c>
      <c r="B111" s="2" t="s">
        <v>11833</v>
      </c>
      <c r="C111" s="2" t="s">
        <v>23439</v>
      </c>
      <c r="D111" s="3">
        <v>4</v>
      </c>
      <c r="E111" s="3">
        <v>8</v>
      </c>
      <c r="F111" s="3" t="str">
        <f>HYPERLINK("https://www.boe.es/gazeta/dias/1811/03/12/pdfs/GEI-1811-36E.pdf","Abrir PDF")</f>
        <v>Abrir PDF</v>
      </c>
    </row>
    <row r="112" spans="1:6" ht="31.05" customHeight="1">
      <c r="A112" s="5">
        <v>-32434</v>
      </c>
      <c r="B112" s="2" t="s">
        <v>1932</v>
      </c>
      <c r="C112" s="2" t="s">
        <v>23440</v>
      </c>
      <c r="D112" s="3">
        <v>4</v>
      </c>
      <c r="E112" s="3">
        <v>32</v>
      </c>
      <c r="F112" s="3" t="str">
        <f>HYPERLINK("https://www.boe.es/gazeta/dias/1811/03/13/pdfs/GMD-1811-72.pdf","Abrir PDF")</f>
        <v>Abrir PDF</v>
      </c>
    </row>
    <row r="113" spans="1:6" ht="31.05" customHeight="1">
      <c r="A113" s="5">
        <v>-32433</v>
      </c>
      <c r="B113" s="2" t="s">
        <v>209</v>
      </c>
      <c r="C113" s="2" t="s">
        <v>23441</v>
      </c>
      <c r="D113" s="3">
        <v>4</v>
      </c>
      <c r="E113" s="3">
        <v>47</v>
      </c>
      <c r="F113" s="3" t="str">
        <f>HYPERLINK("https://www.boe.es/gazeta/dias/1811/03/14/pdfs/GMD-1811-73.pdf","Abrir PDF")</f>
        <v>Abrir PDF</v>
      </c>
    </row>
    <row r="114" spans="1:6" ht="31.05" customHeight="1">
      <c r="A114" s="5">
        <v>-32433</v>
      </c>
      <c r="B114" s="2" t="s">
        <v>676</v>
      </c>
      <c r="C114" s="2" t="s">
        <v>23442</v>
      </c>
      <c r="D114" s="3">
        <v>8</v>
      </c>
      <c r="E114" s="3">
        <v>13</v>
      </c>
      <c r="F114" s="3" t="str">
        <f>HYPERLINK("https://www.boe.es/gazeta/dias/1811/03/14/pdfs/GEI-1811-37.pdf","Abrir PDF")</f>
        <v>Abrir PDF</v>
      </c>
    </row>
    <row r="115" spans="1:6" ht="31.05" customHeight="1">
      <c r="A115" s="5">
        <v>-32432</v>
      </c>
      <c r="B115" s="2" t="s">
        <v>8994</v>
      </c>
      <c r="C115" s="2" t="s">
        <v>23443</v>
      </c>
      <c r="D115" s="3">
        <v>4</v>
      </c>
      <c r="E115" s="3">
        <v>2</v>
      </c>
      <c r="F115" s="3" t="str">
        <f>HYPERLINK("https://www.boe.es/gazeta/dias/1811/03/15/pdfs/GMD-1811-74.pdf","Abrir PDF")</f>
        <v>Abrir PDF</v>
      </c>
    </row>
    <row r="116" spans="1:6" ht="31.05" customHeight="1">
      <c r="A116" s="5">
        <v>-32431</v>
      </c>
      <c r="B116" s="2" t="s">
        <v>668</v>
      </c>
      <c r="C116" s="2" t="s">
        <v>23444</v>
      </c>
      <c r="D116" s="3">
        <v>4</v>
      </c>
      <c r="E116" s="3">
        <v>10</v>
      </c>
      <c r="F116" s="3" t="str">
        <f>HYPERLINK("https://www.boe.es/gazeta/dias/1811/03/16/pdfs/GMD-1811-75.pdf","Abrir PDF")</f>
        <v>Abrir PDF</v>
      </c>
    </row>
    <row r="117" spans="1:6" ht="31.05" customHeight="1">
      <c r="A117" s="5">
        <v>-32431</v>
      </c>
      <c r="B117" s="2" t="s">
        <v>342</v>
      </c>
      <c r="C117" s="2" t="s">
        <v>23445</v>
      </c>
      <c r="D117" s="3">
        <v>8</v>
      </c>
      <c r="E117" s="3">
        <v>17</v>
      </c>
      <c r="F117" s="3" t="str">
        <f>HYPERLINK("https://www.boe.es/gazeta/dias/1811/03/16/pdfs/GEI-1811-38.pdf","Abrir PDF")</f>
        <v>Abrir PDF</v>
      </c>
    </row>
    <row r="118" spans="1:6" ht="31.05" customHeight="1">
      <c r="A118" s="5">
        <v>-32430</v>
      </c>
      <c r="B118" s="2" t="s">
        <v>4714</v>
      </c>
      <c r="C118" s="2" t="s">
        <v>23446</v>
      </c>
      <c r="D118" s="3">
        <v>4</v>
      </c>
      <c r="E118" s="3">
        <v>10</v>
      </c>
      <c r="F118" s="3" t="str">
        <f>HYPERLINK("https://www.boe.es/gazeta/dias/1811/03/17/pdfs/GMD-1811-76.pdf","Abrir PDF")</f>
        <v>Abrir PDF</v>
      </c>
    </row>
    <row r="119" spans="1:6" ht="31.05" customHeight="1">
      <c r="A119" s="5">
        <v>-32429</v>
      </c>
      <c r="B119" s="2" t="s">
        <v>770</v>
      </c>
      <c r="C119" s="2" t="s">
        <v>23447</v>
      </c>
      <c r="D119" s="3">
        <v>4</v>
      </c>
      <c r="E119" s="3">
        <v>9</v>
      </c>
      <c r="F119" s="3" t="str">
        <f>HYPERLINK("https://www.boe.es/gazeta/dias/1811/03/18/pdfs/GMD-1811-77.pdf","Abrir PDF")</f>
        <v>Abrir PDF</v>
      </c>
    </row>
    <row r="120" spans="1:6" ht="31.05" customHeight="1">
      <c r="A120" s="5">
        <v>-32428</v>
      </c>
      <c r="B120" s="2" t="s">
        <v>351</v>
      </c>
      <c r="C120" s="2" t="s">
        <v>23448</v>
      </c>
      <c r="D120" s="3">
        <v>4</v>
      </c>
      <c r="E120" s="3">
        <v>104</v>
      </c>
      <c r="F120" s="3" t="str">
        <f>HYPERLINK("https://www.boe.es/gazeta/dias/1811/03/19/pdfs/GMD-1811-78.pdf","Abrir PDF")</f>
        <v>Abrir PDF</v>
      </c>
    </row>
    <row r="121" spans="1:6" ht="31.05" customHeight="1">
      <c r="A121" s="5">
        <v>-32428</v>
      </c>
      <c r="B121" s="2" t="s">
        <v>1974</v>
      </c>
      <c r="C121" s="2" t="s">
        <v>23449</v>
      </c>
      <c r="D121" s="3">
        <v>8</v>
      </c>
      <c r="E121" s="3">
        <v>19</v>
      </c>
      <c r="F121" s="3" t="str">
        <f>HYPERLINK("https://www.boe.es/gazeta/dias/1811/03/19/pdfs/GEI-1811-39.pdf","Abrir PDF")</f>
        <v>Abrir PDF</v>
      </c>
    </row>
    <row r="122" spans="1:6" ht="31.05" customHeight="1">
      <c r="A122" s="5">
        <v>-32427</v>
      </c>
      <c r="B122" s="2" t="s">
        <v>2696</v>
      </c>
      <c r="C122" s="2" t="s">
        <v>23450</v>
      </c>
      <c r="D122" s="3">
        <v>4</v>
      </c>
      <c r="E122" s="3">
        <v>5</v>
      </c>
      <c r="F122" s="3" t="str">
        <f>HYPERLINK("https://www.boe.es/gazeta/dias/1811/03/20/pdfs/GMD-1811-79.pdf","Abrir PDF")</f>
        <v>Abrir PDF</v>
      </c>
    </row>
    <row r="123" spans="1:6" ht="31.05" customHeight="1">
      <c r="A123" s="5">
        <v>-32426</v>
      </c>
      <c r="B123" s="2" t="s">
        <v>244</v>
      </c>
      <c r="C123" s="2" t="s">
        <v>23451</v>
      </c>
      <c r="D123" s="3">
        <v>4</v>
      </c>
      <c r="E123" s="3">
        <v>8</v>
      </c>
      <c r="F123" s="3" t="str">
        <f>HYPERLINK("https://www.boe.es/gazeta/dias/1811/03/21/pdfs/GMD-1811-80.pdf","Abrir PDF")</f>
        <v>Abrir PDF</v>
      </c>
    </row>
    <row r="124" spans="1:6" ht="31.05" customHeight="1">
      <c r="A124" s="5">
        <v>-32426</v>
      </c>
      <c r="B124" s="2" t="s">
        <v>2729</v>
      </c>
      <c r="C124" s="2" t="s">
        <v>23452</v>
      </c>
      <c r="D124" s="3">
        <v>8</v>
      </c>
      <c r="E124" s="3">
        <v>12</v>
      </c>
      <c r="F124" s="3" t="str">
        <f>HYPERLINK("https://www.boe.es/gazeta/dias/1811/03/21/pdfs/GEI-1811-40.pdf","Abrir PDF")</f>
        <v>Abrir PDF</v>
      </c>
    </row>
    <row r="125" spans="1:6" ht="31.05" customHeight="1">
      <c r="A125" s="5">
        <v>-32425</v>
      </c>
      <c r="B125" s="2" t="s">
        <v>23072</v>
      </c>
      <c r="C125" s="2" t="s">
        <v>23453</v>
      </c>
      <c r="D125" s="3">
        <v>4</v>
      </c>
      <c r="E125" s="3">
        <v>1</v>
      </c>
      <c r="F125" s="3" t="str">
        <f>HYPERLINK("https://www.boe.es/gazeta/dias/1811/03/22/pdfs/GMD-1811-81.pdf","Abrir PDF")</f>
        <v>Abrir PDF</v>
      </c>
    </row>
    <row r="126" spans="1:6" ht="31.05" customHeight="1">
      <c r="A126" s="5">
        <v>-32424</v>
      </c>
      <c r="B126" s="2" t="s">
        <v>772</v>
      </c>
      <c r="C126" s="2" t="s">
        <v>23454</v>
      </c>
      <c r="D126" s="3">
        <v>4</v>
      </c>
      <c r="E126" s="3">
        <v>7</v>
      </c>
      <c r="F126" s="3" t="str">
        <f>HYPERLINK("https://www.boe.es/gazeta/dias/1811/03/23/pdfs/GMD-1811-82.pdf","Abrir PDF")</f>
        <v>Abrir PDF</v>
      </c>
    </row>
    <row r="127" spans="1:6" ht="31.05" customHeight="1">
      <c r="A127" s="5">
        <v>-32424</v>
      </c>
      <c r="B127" s="2" t="s">
        <v>1028</v>
      </c>
      <c r="C127" s="2" t="s">
        <v>23455</v>
      </c>
      <c r="D127" s="3">
        <v>8</v>
      </c>
      <c r="E127" s="3">
        <v>10</v>
      </c>
      <c r="F127" s="3" t="str">
        <f>HYPERLINK("https://www.boe.es/gazeta/dias/1811/03/23/pdfs/GEI-1811-41.pdf","Abrir PDF")</f>
        <v>Abrir PDF</v>
      </c>
    </row>
    <row r="128" spans="1:6" ht="31.05" customHeight="1">
      <c r="A128" s="5">
        <v>-32423</v>
      </c>
      <c r="B128" s="2" t="s">
        <v>6379</v>
      </c>
      <c r="C128" s="2" t="s">
        <v>23456</v>
      </c>
      <c r="D128" s="3">
        <v>4</v>
      </c>
      <c r="E128" s="3">
        <v>7</v>
      </c>
      <c r="F128" s="3" t="str">
        <f>HYPERLINK("https://www.boe.es/gazeta/dias/1811/03/24/pdfs/GMD-1811-83.pdf","Abrir PDF")</f>
        <v>Abrir PDF</v>
      </c>
    </row>
    <row r="129" spans="1:6" ht="31.05" customHeight="1">
      <c r="A129" s="5">
        <v>-32422</v>
      </c>
      <c r="B129" s="2" t="s">
        <v>5675</v>
      </c>
      <c r="C129" s="2" t="s">
        <v>23457</v>
      </c>
      <c r="D129" s="3">
        <v>4</v>
      </c>
      <c r="E129" s="3">
        <v>5</v>
      </c>
      <c r="F129" s="3" t="str">
        <f>HYPERLINK("https://www.boe.es/gazeta/dias/1811/03/25/pdfs/GMD-1811-84.pdf","Abrir PDF")</f>
        <v>Abrir PDF</v>
      </c>
    </row>
    <row r="130" spans="1:6" ht="31.05" customHeight="1">
      <c r="A130" s="5">
        <v>-32421</v>
      </c>
      <c r="B130" s="2" t="s">
        <v>6279</v>
      </c>
      <c r="C130" s="2" t="s">
        <v>23458</v>
      </c>
      <c r="D130" s="3">
        <v>4</v>
      </c>
      <c r="E130" s="3">
        <v>4</v>
      </c>
      <c r="F130" s="3" t="str">
        <f>HYPERLINK("https://www.boe.es/gazeta/dias/1811/03/26/pdfs/GMD-1811-85.pdf","Abrir PDF")</f>
        <v>Abrir PDF</v>
      </c>
    </row>
    <row r="131" spans="1:6" ht="31.05" customHeight="1">
      <c r="A131" s="5">
        <v>-32421</v>
      </c>
      <c r="B131" s="2" t="s">
        <v>79</v>
      </c>
      <c r="C131" s="2" t="s">
        <v>23459</v>
      </c>
      <c r="D131" s="3">
        <v>8</v>
      </c>
      <c r="E131" s="3">
        <v>68</v>
      </c>
      <c r="F131" s="3" t="str">
        <f>HYPERLINK("https://www.boe.es/gazeta/dias/1811/03/26/pdfs/GEI-1811-42.pdf","Abrir PDF")</f>
        <v>Abrir PDF</v>
      </c>
    </row>
    <row r="132" spans="1:6" ht="31.05" customHeight="1">
      <c r="A132" s="5">
        <v>-32420</v>
      </c>
      <c r="B132" s="2" t="s">
        <v>5076</v>
      </c>
      <c r="C132" s="2" t="s">
        <v>23460</v>
      </c>
      <c r="D132" s="3">
        <v>4</v>
      </c>
      <c r="E132" s="3">
        <v>4</v>
      </c>
      <c r="F132" s="3" t="str">
        <f>HYPERLINK("https://www.boe.es/gazeta/dias/1811/03/27/pdfs/GMD-1811-86.pdf","Abrir PDF")</f>
        <v>Abrir PDF</v>
      </c>
    </row>
    <row r="133" spans="1:6" ht="31.05" customHeight="1">
      <c r="A133" s="5">
        <v>-32419</v>
      </c>
      <c r="B133" s="2" t="s">
        <v>5133</v>
      </c>
      <c r="C133" s="2" t="s">
        <v>23461</v>
      </c>
      <c r="D133" s="3">
        <v>4</v>
      </c>
      <c r="E133" s="3">
        <v>5</v>
      </c>
      <c r="F133" s="3" t="str">
        <f>HYPERLINK("https://www.boe.es/gazeta/dias/1811/03/28/pdfs/GMD-1811-87.pdf","Abrir PDF")</f>
        <v>Abrir PDF</v>
      </c>
    </row>
    <row r="134" spans="1:6" ht="31.05" customHeight="1">
      <c r="A134" s="5">
        <v>-32419</v>
      </c>
      <c r="B134" s="2" t="s">
        <v>2585</v>
      </c>
      <c r="C134" s="2" t="s">
        <v>23462</v>
      </c>
      <c r="D134" s="3">
        <v>8</v>
      </c>
      <c r="E134" s="3">
        <v>16</v>
      </c>
      <c r="F134" s="3" t="str">
        <f>HYPERLINK("https://www.boe.es/gazeta/dias/1811/03/28/pdfs/GEI-1811-43.pdf","Abrir PDF")</f>
        <v>Abrir PDF</v>
      </c>
    </row>
    <row r="135" spans="1:6" ht="31.05" customHeight="1">
      <c r="A135" s="5">
        <v>-32418</v>
      </c>
      <c r="B135" s="2" t="s">
        <v>9181</v>
      </c>
      <c r="C135" s="2" t="s">
        <v>23463</v>
      </c>
      <c r="D135" s="3">
        <v>4</v>
      </c>
      <c r="E135" s="3">
        <v>8</v>
      </c>
      <c r="F135" s="3" t="str">
        <f>HYPERLINK("https://www.boe.es/gazeta/dias/1811/03/29/pdfs/GMD-1811-88.pdf","Abrir PDF")</f>
        <v>Abrir PDF</v>
      </c>
    </row>
    <row r="136" spans="1:6" ht="31.05" customHeight="1">
      <c r="A136" s="5">
        <v>-32417</v>
      </c>
      <c r="B136" s="2" t="s">
        <v>604</v>
      </c>
      <c r="C136" s="2" t="s">
        <v>23464</v>
      </c>
      <c r="D136" s="3">
        <v>4</v>
      </c>
      <c r="E136" s="3">
        <v>25</v>
      </c>
      <c r="F136" s="3" t="str">
        <f>HYPERLINK("https://www.boe.es/gazeta/dias/1811/03/30/pdfs/GMD-1811-89.pdf","Abrir PDF")</f>
        <v>Abrir PDF</v>
      </c>
    </row>
    <row r="137" spans="1:6" ht="31.05" customHeight="1">
      <c r="A137" s="5">
        <v>-32417</v>
      </c>
      <c r="B137" s="2" t="s">
        <v>7066</v>
      </c>
      <c r="C137" s="2" t="s">
        <v>23465</v>
      </c>
      <c r="D137" s="3">
        <v>8</v>
      </c>
      <c r="E137" s="3">
        <v>7</v>
      </c>
      <c r="F137" s="3" t="str">
        <f>HYPERLINK("https://www.boe.es/gazeta/dias/1811/03/30/pdfs/GEI-1811-44.pdf","Abrir PDF")</f>
        <v>Abrir PDF</v>
      </c>
    </row>
    <row r="138" spans="1:6" ht="31.05" customHeight="1">
      <c r="A138" s="5">
        <v>-32416</v>
      </c>
      <c r="B138" s="2" t="s">
        <v>954</v>
      </c>
      <c r="C138" s="2" t="s">
        <v>23466</v>
      </c>
      <c r="D138" s="3">
        <v>4</v>
      </c>
      <c r="E138" s="3">
        <v>88</v>
      </c>
      <c r="F138" s="3" t="str">
        <f>HYPERLINK("https://www.boe.es/gazeta/dias/1811/03/31/pdfs/GMD-1811-90.pdf","Abrir PDF")</f>
        <v>Abrir PDF</v>
      </c>
    </row>
    <row r="139" spans="1:6" ht="31.05" customHeight="1">
      <c r="A139" s="5">
        <v>-32415</v>
      </c>
      <c r="B139" s="2" t="s">
        <v>3041</v>
      </c>
      <c r="C139" s="2" t="s">
        <v>23467</v>
      </c>
      <c r="D139" s="3">
        <v>4</v>
      </c>
      <c r="E139" s="3">
        <v>5</v>
      </c>
      <c r="F139" s="3" t="str">
        <f>HYPERLINK("https://www.boe.es/gazeta/dias/1811/04/01/pdfs/GMD-1811-91.pdf","Abrir PDF")</f>
        <v>Abrir PDF</v>
      </c>
    </row>
    <row r="140" spans="1:6" ht="31.05" customHeight="1">
      <c r="A140" s="5">
        <v>-32414</v>
      </c>
      <c r="B140" s="2" t="s">
        <v>2588</v>
      </c>
      <c r="C140" s="2" t="s">
        <v>23468</v>
      </c>
      <c r="D140" s="3">
        <v>4</v>
      </c>
      <c r="E140" s="3">
        <v>9</v>
      </c>
      <c r="F140" s="3" t="str">
        <f>HYPERLINK("https://www.boe.es/gazeta/dias/1811/04/02/pdfs/GMD-1811-92.pdf","Abrir PDF")</f>
        <v>Abrir PDF</v>
      </c>
    </row>
    <row r="141" spans="1:6" ht="31.05" customHeight="1">
      <c r="A141" s="5">
        <v>-32414</v>
      </c>
      <c r="B141" s="2" t="s">
        <v>213</v>
      </c>
      <c r="C141" s="2" t="s">
        <v>23469</v>
      </c>
      <c r="D141" s="3">
        <v>8</v>
      </c>
      <c r="E141" s="3">
        <v>24</v>
      </c>
      <c r="F141" s="3" t="str">
        <f>HYPERLINK("https://www.boe.es/gazeta/dias/1811/04/02/pdfs/GEI-1811-45.pdf","Abrir PDF")</f>
        <v>Abrir PDF</v>
      </c>
    </row>
    <row r="142" spans="1:6" ht="31.05" customHeight="1">
      <c r="A142" s="5">
        <v>-32413</v>
      </c>
      <c r="B142" s="2" t="s">
        <v>5311</v>
      </c>
      <c r="C142" s="2" t="s">
        <v>23470</v>
      </c>
      <c r="D142" s="3">
        <v>4</v>
      </c>
      <c r="E142" s="3">
        <v>5</v>
      </c>
      <c r="F142" s="3" t="str">
        <f>HYPERLINK("https://www.boe.es/gazeta/dias/1811/04/03/pdfs/GMD-1811-93.pdf","Abrir PDF")</f>
        <v>Abrir PDF</v>
      </c>
    </row>
    <row r="143" spans="1:6" ht="31.05" customHeight="1">
      <c r="A143" s="5">
        <v>-32412</v>
      </c>
      <c r="B143" s="2" t="s">
        <v>5296</v>
      </c>
      <c r="C143" s="2" t="s">
        <v>23471</v>
      </c>
      <c r="D143" s="3">
        <v>4</v>
      </c>
      <c r="E143" s="3">
        <v>4</v>
      </c>
      <c r="F143" s="3" t="str">
        <f>HYPERLINK("https://www.boe.es/gazeta/dias/1811/04/04/pdfs/GMD-1811-94.pdf","Abrir PDF")</f>
        <v>Abrir PDF</v>
      </c>
    </row>
    <row r="144" spans="1:6" ht="31.05" customHeight="1">
      <c r="A144" s="5">
        <v>-32412</v>
      </c>
      <c r="B144" s="2" t="s">
        <v>998</v>
      </c>
      <c r="C144" s="2" t="s">
        <v>23472</v>
      </c>
      <c r="D144" s="3">
        <v>8</v>
      </c>
      <c r="E144" s="3">
        <v>20</v>
      </c>
      <c r="F144" s="3" t="str">
        <f>HYPERLINK("https://www.boe.es/gazeta/dias/1811/04/04/pdfs/GEI-1811-46.pdf","Abrir PDF")</f>
        <v>Abrir PDF</v>
      </c>
    </row>
    <row r="145" spans="1:6" ht="31.05" customHeight="1">
      <c r="A145" s="5">
        <v>-32411</v>
      </c>
      <c r="B145" s="2" t="s">
        <v>986</v>
      </c>
      <c r="C145" s="2" t="s">
        <v>23473</v>
      </c>
      <c r="D145" s="3">
        <v>4</v>
      </c>
      <c r="E145" s="3">
        <v>5</v>
      </c>
      <c r="F145" s="3" t="str">
        <f>HYPERLINK("https://www.boe.es/gazeta/dias/1811/04/05/pdfs/GMD-1811-95.pdf","Abrir PDF")</f>
        <v>Abrir PDF</v>
      </c>
    </row>
    <row r="146" spans="1:6" ht="31.05" customHeight="1">
      <c r="A146" s="5">
        <v>-32410</v>
      </c>
      <c r="B146" s="2" t="s">
        <v>6080</v>
      </c>
      <c r="C146" s="2" t="s">
        <v>23474</v>
      </c>
      <c r="D146" s="3">
        <v>4</v>
      </c>
      <c r="E146" s="3">
        <v>6</v>
      </c>
      <c r="F146" s="3" t="str">
        <f>HYPERLINK("https://www.boe.es/gazeta/dias/1811/04/06/pdfs/GMD-1811-96.pdf","Abrir PDF")</f>
        <v>Abrir PDF</v>
      </c>
    </row>
    <row r="147" spans="1:6" ht="31.05" customHeight="1">
      <c r="A147" s="5">
        <v>-32410</v>
      </c>
      <c r="B147" s="2" t="s">
        <v>2678</v>
      </c>
      <c r="C147" s="2" t="s">
        <v>23475</v>
      </c>
      <c r="D147" s="3">
        <v>8</v>
      </c>
      <c r="E147" s="3">
        <v>15</v>
      </c>
      <c r="F147" s="3" t="str">
        <f>HYPERLINK("https://www.boe.es/gazeta/dias/1811/04/06/pdfs/GEI-1811-47.pdf","Abrir PDF")</f>
        <v>Abrir PDF</v>
      </c>
    </row>
    <row r="148" spans="1:6" ht="31.05" customHeight="1">
      <c r="A148" s="5">
        <v>-32409</v>
      </c>
      <c r="B148" s="2" t="s">
        <v>4433</v>
      </c>
      <c r="C148" s="2" t="s">
        <v>23476</v>
      </c>
      <c r="D148" s="3">
        <v>4</v>
      </c>
      <c r="E148" s="3">
        <v>3</v>
      </c>
      <c r="F148" s="3" t="str">
        <f>HYPERLINK("https://www.boe.es/gazeta/dias/1811/04/07/pdfs/GMD-1811-97.pdf","Abrir PDF")</f>
        <v>Abrir PDF</v>
      </c>
    </row>
    <row r="149" spans="1:6" ht="31.05" customHeight="1">
      <c r="A149" s="5">
        <v>-32408</v>
      </c>
      <c r="B149" s="2" t="s">
        <v>17869</v>
      </c>
      <c r="C149" s="2" t="s">
        <v>23477</v>
      </c>
      <c r="D149" s="3">
        <v>4</v>
      </c>
      <c r="E149" s="3">
        <v>1</v>
      </c>
      <c r="F149" s="3" t="str">
        <f>HYPERLINK("https://www.boe.es/gazeta/dias/1811/04/08/pdfs/GMD-1811-98.pdf","Abrir PDF")</f>
        <v>Abrir PDF</v>
      </c>
    </row>
    <row r="150" spans="1:6" ht="31.05" customHeight="1">
      <c r="A150" s="5">
        <v>-32407</v>
      </c>
      <c r="B150" s="2" t="s">
        <v>6083</v>
      </c>
      <c r="C150" s="2" t="s">
        <v>23478</v>
      </c>
      <c r="D150" s="3">
        <v>4</v>
      </c>
      <c r="E150" s="3">
        <v>4</v>
      </c>
      <c r="F150" s="3" t="str">
        <f>HYPERLINK("https://www.boe.es/gazeta/dias/1811/04/09/pdfs/GMD-1811-99.pdf","Abrir PDF")</f>
        <v>Abrir PDF</v>
      </c>
    </row>
    <row r="151" spans="1:6" ht="31.05" customHeight="1">
      <c r="A151" s="5">
        <v>-32407</v>
      </c>
      <c r="B151" s="2" t="s">
        <v>38</v>
      </c>
      <c r="C151" s="2" t="s">
        <v>23479</v>
      </c>
      <c r="D151" s="3">
        <v>12</v>
      </c>
      <c r="E151" s="3">
        <v>47</v>
      </c>
      <c r="F151" s="3" t="str">
        <f>HYPERLINK("https://www.boe.es/gazeta/dias/1811/04/09/pdfs/GEI-1811-48.pdf","Abrir PDF")</f>
        <v>Abrir PDF</v>
      </c>
    </row>
    <row r="152" spans="1:6" ht="31.05" customHeight="1">
      <c r="A152" s="5">
        <v>-32406</v>
      </c>
      <c r="B152" s="2" t="s">
        <v>535</v>
      </c>
      <c r="C152" s="2" t="s">
        <v>23480</v>
      </c>
      <c r="D152" s="3">
        <v>4</v>
      </c>
      <c r="E152" s="3">
        <v>4</v>
      </c>
      <c r="F152" s="3" t="str">
        <f>HYPERLINK("https://www.boe.es/gazeta/dias/1811/04/10/pdfs/GMD-1811-100.pdf","Abrir PDF")</f>
        <v>Abrir PDF</v>
      </c>
    </row>
    <row r="153" spans="1:6" ht="31.05" customHeight="1">
      <c r="A153" s="5">
        <v>-32405</v>
      </c>
      <c r="B153" s="2" t="s">
        <v>363</v>
      </c>
      <c r="C153" s="2" t="s">
        <v>23481</v>
      </c>
      <c r="D153" s="3">
        <v>4</v>
      </c>
      <c r="E153" s="3">
        <v>6</v>
      </c>
      <c r="F153" s="3" t="str">
        <f>HYPERLINK("https://www.boe.es/gazeta/dias/1811/04/11/pdfs/GMD-1811-101.pdf","Abrir PDF")</f>
        <v>Abrir PDF</v>
      </c>
    </row>
    <row r="154" spans="1:6" ht="31.05" customHeight="1">
      <c r="A154" s="5">
        <v>-32405</v>
      </c>
      <c r="B154" s="2" t="s">
        <v>1413</v>
      </c>
      <c r="C154" s="2" t="s">
        <v>23482</v>
      </c>
      <c r="D154" s="3">
        <v>8</v>
      </c>
      <c r="E154" s="3">
        <v>35</v>
      </c>
      <c r="F154" s="3" t="str">
        <f>HYPERLINK("https://www.boe.es/gazeta/dias/1811/04/11/pdfs/GEI-1811-49.pdf","Abrir PDF")</f>
        <v>Abrir PDF</v>
      </c>
    </row>
    <row r="155" spans="1:6" ht="31.05" customHeight="1">
      <c r="A155" s="5">
        <v>-32404</v>
      </c>
      <c r="B155" s="2" t="s">
        <v>911</v>
      </c>
      <c r="C155" s="2" t="s">
        <v>23483</v>
      </c>
      <c r="D155" s="3">
        <v>4</v>
      </c>
      <c r="E155" s="3">
        <v>10</v>
      </c>
      <c r="F155" s="3" t="str">
        <f>HYPERLINK("https://www.boe.es/gazeta/dias/1811/04/12/pdfs/GMD-1811-102.pdf","Abrir PDF")</f>
        <v>Abrir PDF</v>
      </c>
    </row>
    <row r="156" spans="1:6" ht="31.05" customHeight="1">
      <c r="A156" s="5">
        <v>-32403</v>
      </c>
      <c r="B156" s="2" t="s">
        <v>4861</v>
      </c>
      <c r="C156" s="2" t="s">
        <v>23484</v>
      </c>
      <c r="D156" s="3">
        <v>4</v>
      </c>
      <c r="E156" s="3">
        <v>16</v>
      </c>
      <c r="F156" s="3" t="str">
        <f>HYPERLINK("https://www.boe.es/gazeta/dias/1811/04/13/pdfs/GMD-1811-103.pdf","Abrir PDF")</f>
        <v>Abrir PDF</v>
      </c>
    </row>
    <row r="157" spans="1:6" ht="31.05" customHeight="1">
      <c r="A157" s="5">
        <v>-32403</v>
      </c>
      <c r="B157" s="2" t="s">
        <v>1915</v>
      </c>
      <c r="C157" s="2" t="s">
        <v>23485</v>
      </c>
      <c r="D157" s="3">
        <v>8</v>
      </c>
      <c r="E157" s="3">
        <v>15</v>
      </c>
      <c r="F157" s="3" t="str">
        <f>HYPERLINK("https://www.boe.es/gazeta/dias/1811/04/13/pdfs/GEI-1811-50.pdf","Abrir PDF")</f>
        <v>Abrir PDF</v>
      </c>
    </row>
    <row r="158" spans="1:6" ht="31.05" customHeight="1">
      <c r="A158" s="5">
        <v>-32402</v>
      </c>
      <c r="B158" s="2" t="s">
        <v>9207</v>
      </c>
      <c r="C158" s="2" t="s">
        <v>23486</v>
      </c>
      <c r="D158" s="3">
        <v>4</v>
      </c>
      <c r="E158" s="3">
        <v>1</v>
      </c>
      <c r="F158" s="3" t="str">
        <f>HYPERLINK("https://www.boe.es/gazeta/dias/1811/04/14/pdfs/GMD-1811-104.pdf","Abrir PDF")</f>
        <v>Abrir PDF</v>
      </c>
    </row>
    <row r="159" spans="1:6" ht="31.05" customHeight="1">
      <c r="A159" s="5">
        <v>-32401</v>
      </c>
      <c r="B159" s="2" t="s">
        <v>1084</v>
      </c>
      <c r="C159" s="2" t="s">
        <v>23487</v>
      </c>
      <c r="D159" s="3">
        <v>4</v>
      </c>
      <c r="E159" s="3">
        <v>10</v>
      </c>
      <c r="F159" s="3" t="str">
        <f>HYPERLINK("https://www.boe.es/gazeta/dias/1811/04/15/pdfs/GMD-1811-105.pdf","Abrir PDF")</f>
        <v>Abrir PDF</v>
      </c>
    </row>
    <row r="160" spans="1:6" ht="31.05" customHeight="1">
      <c r="A160" s="5">
        <v>-32400</v>
      </c>
      <c r="B160" s="2" t="s">
        <v>3343</v>
      </c>
      <c r="C160" s="2" t="s">
        <v>23488</v>
      </c>
      <c r="D160" s="3">
        <v>4</v>
      </c>
      <c r="E160" s="3">
        <v>13</v>
      </c>
      <c r="F160" s="3" t="str">
        <f>HYPERLINK("https://www.boe.es/gazeta/dias/1811/04/16/pdfs/GMD-1811-106.pdf","Abrir PDF")</f>
        <v>Abrir PDF</v>
      </c>
    </row>
    <row r="161" spans="1:6" ht="31.05" customHeight="1">
      <c r="A161" s="5">
        <v>-32400</v>
      </c>
      <c r="B161" s="2" t="s">
        <v>13774</v>
      </c>
      <c r="C161" s="2" t="s">
        <v>23489</v>
      </c>
      <c r="D161" s="3">
        <v>8</v>
      </c>
      <c r="E161" s="3">
        <v>7</v>
      </c>
      <c r="F161" s="3" t="str">
        <f>HYPERLINK("https://www.boe.es/gazeta/dias/1811/04/16/pdfs/GEI-1811-51.pdf","Abrir PDF")</f>
        <v>Abrir PDF</v>
      </c>
    </row>
    <row r="162" spans="1:6" ht="31.05" customHeight="1">
      <c r="A162" s="5">
        <v>-32399</v>
      </c>
      <c r="B162" s="2" t="s">
        <v>6015</v>
      </c>
      <c r="C162" s="2" t="s">
        <v>23490</v>
      </c>
      <c r="D162" s="3">
        <v>4</v>
      </c>
      <c r="E162" s="3">
        <v>3</v>
      </c>
      <c r="F162" s="3" t="str">
        <f>HYPERLINK("https://www.boe.es/gazeta/dias/1811/04/17/pdfs/GMD-1811-107.pdf","Abrir PDF")</f>
        <v>Abrir PDF</v>
      </c>
    </row>
    <row r="163" spans="1:6" ht="31.05" customHeight="1">
      <c r="A163" s="5">
        <v>-32398</v>
      </c>
      <c r="B163" s="2" t="s">
        <v>14898</v>
      </c>
      <c r="C163" s="2" t="s">
        <v>23491</v>
      </c>
      <c r="D163" s="3">
        <v>4</v>
      </c>
      <c r="E163" s="3">
        <v>5</v>
      </c>
      <c r="F163" s="3" t="str">
        <f>HYPERLINK("https://www.boe.es/gazeta/dias/1811/04/18/pdfs/GMD-1811-108.pdf","Abrir PDF")</f>
        <v>Abrir PDF</v>
      </c>
    </row>
    <row r="164" spans="1:6" ht="31.05" customHeight="1">
      <c r="A164" s="5">
        <v>-32398</v>
      </c>
      <c r="B164" s="2" t="s">
        <v>946</v>
      </c>
      <c r="C164" s="2" t="s">
        <v>23492</v>
      </c>
      <c r="D164" s="3">
        <v>8</v>
      </c>
      <c r="E164" s="3">
        <v>11</v>
      </c>
      <c r="F164" s="3" t="str">
        <f>HYPERLINK("https://www.boe.es/gazeta/dias/1811/04/18/pdfs/GEI-1811-52.pdf","Abrir PDF")</f>
        <v>Abrir PDF</v>
      </c>
    </row>
    <row r="165" spans="1:6" ht="31.05" customHeight="1">
      <c r="A165" s="5">
        <v>-32397</v>
      </c>
      <c r="B165" s="2" t="s">
        <v>359</v>
      </c>
      <c r="C165" s="2" t="s">
        <v>23493</v>
      </c>
      <c r="D165" s="3">
        <v>4</v>
      </c>
      <c r="E165" s="3">
        <v>7</v>
      </c>
      <c r="F165" s="3" t="str">
        <f>HYPERLINK("https://www.boe.es/gazeta/dias/1811/04/19/pdfs/GMD-1811-109.pdf","Abrir PDF")</f>
        <v>Abrir PDF</v>
      </c>
    </row>
    <row r="166" spans="1:6" ht="31.05" customHeight="1">
      <c r="A166" s="5">
        <v>-32396</v>
      </c>
      <c r="B166" s="2" t="s">
        <v>1267</v>
      </c>
      <c r="C166" s="2" t="s">
        <v>23494</v>
      </c>
      <c r="D166" s="3">
        <v>4</v>
      </c>
      <c r="E166" s="3">
        <v>52</v>
      </c>
      <c r="F166" s="3" t="str">
        <f>HYPERLINK("https://www.boe.es/gazeta/dias/1811/04/20/pdfs/GMD-1811-110.pdf","Abrir PDF")</f>
        <v>Abrir PDF</v>
      </c>
    </row>
    <row r="167" spans="1:6" ht="31.05" customHeight="1">
      <c r="A167" s="5">
        <v>-32396</v>
      </c>
      <c r="B167" s="2" t="s">
        <v>2393</v>
      </c>
      <c r="C167" s="2" t="s">
        <v>23495</v>
      </c>
      <c r="D167" s="3">
        <v>8</v>
      </c>
      <c r="E167" s="3">
        <v>13</v>
      </c>
      <c r="F167" s="3" t="str">
        <f>HYPERLINK("https://www.boe.es/gazeta/dias/1811/04/20/pdfs/GEI-1811-53.pdf","Abrir PDF")</f>
        <v>Abrir PDF</v>
      </c>
    </row>
    <row r="168" spans="1:6" ht="31.05" customHeight="1">
      <c r="A168" s="5">
        <v>-32396</v>
      </c>
      <c r="B168" s="2" t="s">
        <v>804</v>
      </c>
      <c r="C168" s="2" t="s">
        <v>23496</v>
      </c>
      <c r="D168" s="3">
        <v>4</v>
      </c>
      <c r="E168" s="3">
        <v>51</v>
      </c>
      <c r="F168" s="3" t="str">
        <f>HYPERLINK("https://www.boe.es/gazeta/dias/1811/04/20/pdfs/GEI-D-1811-53.pdf","Abrir PDF")</f>
        <v>Abrir PDF</v>
      </c>
    </row>
    <row r="169" spans="1:6" ht="31.05" customHeight="1">
      <c r="A169" s="5">
        <v>-32395</v>
      </c>
      <c r="B169" s="2" t="s">
        <v>2968</v>
      </c>
      <c r="C169" s="2" t="s">
        <v>23497</v>
      </c>
      <c r="D169" s="3">
        <v>4</v>
      </c>
      <c r="E169" s="3">
        <v>3</v>
      </c>
      <c r="F169" s="3" t="str">
        <f>HYPERLINK("https://www.boe.es/gazeta/dias/1811/04/21/pdfs/GMD-1811-111.pdf","Abrir PDF")</f>
        <v>Abrir PDF</v>
      </c>
    </row>
    <row r="170" spans="1:6" ht="31.05" customHeight="1">
      <c r="A170" s="5">
        <v>-32394</v>
      </c>
      <c r="B170" s="2" t="s">
        <v>1709</v>
      </c>
      <c r="C170" s="2" t="s">
        <v>23498</v>
      </c>
      <c r="D170" s="3">
        <v>4</v>
      </c>
      <c r="E170" s="3">
        <v>24</v>
      </c>
      <c r="F170" s="3" t="str">
        <f>HYPERLINK("https://www.boe.es/gazeta/dias/1811/04/22/pdfs/GMD-1811-112.pdf","Abrir PDF")</f>
        <v>Abrir PDF</v>
      </c>
    </row>
    <row r="171" spans="1:6" ht="31.05" customHeight="1">
      <c r="A171" s="5">
        <v>-32393</v>
      </c>
      <c r="B171" s="2" t="s">
        <v>2467</v>
      </c>
      <c r="C171" s="2" t="s">
        <v>23499</v>
      </c>
      <c r="D171" s="3">
        <v>4</v>
      </c>
      <c r="E171" s="3">
        <v>4</v>
      </c>
      <c r="F171" s="3" t="str">
        <f>HYPERLINK("https://www.boe.es/gazeta/dias/1811/04/23/pdfs/GMD-1811-113.pdf","Abrir PDF")</f>
        <v>Abrir PDF</v>
      </c>
    </row>
    <row r="172" spans="1:6" ht="31.05" customHeight="1">
      <c r="A172" s="5">
        <v>-32393</v>
      </c>
      <c r="B172" s="2" t="s">
        <v>32</v>
      </c>
      <c r="C172" s="2" t="s">
        <v>23500</v>
      </c>
      <c r="D172" s="3">
        <v>8</v>
      </c>
      <c r="E172" s="3">
        <v>20</v>
      </c>
      <c r="F172" s="3" t="str">
        <f>HYPERLINK("https://www.boe.es/gazeta/dias/1811/04/23/pdfs/GEI-1811-54.pdf","Abrir PDF")</f>
        <v>Abrir PDF</v>
      </c>
    </row>
    <row r="173" spans="1:6" ht="31.05" customHeight="1">
      <c r="A173" s="5">
        <v>-32392</v>
      </c>
      <c r="B173" s="2" t="s">
        <v>3140</v>
      </c>
      <c r="C173" s="2" t="s">
        <v>23501</v>
      </c>
      <c r="D173" s="3">
        <v>4</v>
      </c>
      <c r="E173" s="3">
        <v>3</v>
      </c>
      <c r="F173" s="3" t="str">
        <f>HYPERLINK("https://www.boe.es/gazeta/dias/1811/04/24/pdfs/GMD-1811-114.pdf","Abrir PDF")</f>
        <v>Abrir PDF</v>
      </c>
    </row>
    <row r="174" spans="1:6" ht="31.05" customHeight="1">
      <c r="A174" s="5">
        <v>-32391</v>
      </c>
      <c r="B174" s="2" t="s">
        <v>2998</v>
      </c>
      <c r="C174" s="2" t="s">
        <v>23502</v>
      </c>
      <c r="D174" s="3">
        <v>4</v>
      </c>
      <c r="E174" s="3">
        <v>11</v>
      </c>
      <c r="F174" s="3" t="str">
        <f>HYPERLINK("https://www.boe.es/gazeta/dias/1811/04/25/pdfs/GMD-1811-115.pdf","Abrir PDF")</f>
        <v>Abrir PDF</v>
      </c>
    </row>
    <row r="175" spans="1:6" ht="31.05" customHeight="1">
      <c r="A175" s="5">
        <v>-32391</v>
      </c>
      <c r="B175" s="2" t="s">
        <v>252</v>
      </c>
      <c r="C175" s="2" t="s">
        <v>23503</v>
      </c>
      <c r="D175" s="3">
        <v>8</v>
      </c>
      <c r="E175" s="3">
        <v>17</v>
      </c>
      <c r="F175" s="3" t="str">
        <f>HYPERLINK("https://www.boe.es/gazeta/dias/1811/04/25/pdfs/GEI-1811-55.pdf","Abrir PDF")</f>
        <v>Abrir PDF</v>
      </c>
    </row>
    <row r="176" spans="1:6" ht="31.05" customHeight="1">
      <c r="A176" s="5">
        <v>-32390</v>
      </c>
      <c r="B176" s="2" t="s">
        <v>6268</v>
      </c>
      <c r="C176" s="2" t="s">
        <v>23504</v>
      </c>
      <c r="D176" s="3">
        <v>4</v>
      </c>
      <c r="E176" s="3">
        <v>8</v>
      </c>
      <c r="F176" s="3" t="str">
        <f>HYPERLINK("https://www.boe.es/gazeta/dias/1811/04/26/pdfs/GMD-1811-116.pdf","Abrir PDF")</f>
        <v>Abrir PDF</v>
      </c>
    </row>
    <row r="177" spans="1:6" ht="31.05" customHeight="1">
      <c r="A177" s="5">
        <v>-32389</v>
      </c>
      <c r="B177" s="2" t="s">
        <v>5683</v>
      </c>
      <c r="C177" s="2" t="s">
        <v>23505</v>
      </c>
      <c r="D177" s="3">
        <v>4</v>
      </c>
      <c r="E177" s="3">
        <v>14</v>
      </c>
      <c r="F177" s="3" t="str">
        <f>HYPERLINK("https://www.boe.es/gazeta/dias/1811/04/27/pdfs/GMD-1811-117.pdf","Abrir PDF")</f>
        <v>Abrir PDF</v>
      </c>
    </row>
    <row r="178" spans="1:6" ht="31.05" customHeight="1">
      <c r="A178" s="5">
        <v>-32389</v>
      </c>
      <c r="B178" s="2" t="s">
        <v>5334</v>
      </c>
      <c r="C178" s="2" t="s">
        <v>23506</v>
      </c>
      <c r="D178" s="3">
        <v>8</v>
      </c>
      <c r="E178" s="3">
        <v>27</v>
      </c>
      <c r="F178" s="3" t="str">
        <f>HYPERLINK("https://www.boe.es/gazeta/dias/1811/04/27/pdfs/GEI-1811-56.pdf","Abrir PDF")</f>
        <v>Abrir PDF</v>
      </c>
    </row>
    <row r="179" spans="1:6" ht="31.05" customHeight="1">
      <c r="A179" s="5">
        <v>-32389</v>
      </c>
      <c r="B179" s="2" t="s">
        <v>524</v>
      </c>
      <c r="C179" s="2" t="s">
        <v>23507</v>
      </c>
      <c r="D179" s="3">
        <v>4</v>
      </c>
      <c r="E179" s="3">
        <v>30</v>
      </c>
      <c r="F179" s="3" t="str">
        <f>HYPERLINK("https://www.boe.es/gazeta/dias/1811/04/27/pdfs/GEI-D-1811-56.pdf","Abrir PDF")</f>
        <v>Abrir PDF</v>
      </c>
    </row>
    <row r="180" spans="1:6" ht="31.05" customHeight="1">
      <c r="A180" s="5">
        <v>-32388</v>
      </c>
      <c r="B180" s="2" t="s">
        <v>2772</v>
      </c>
      <c r="C180" s="2" t="s">
        <v>23508</v>
      </c>
      <c r="D180" s="3">
        <v>4</v>
      </c>
      <c r="E180" s="3">
        <v>15</v>
      </c>
      <c r="F180" s="3" t="str">
        <f>HYPERLINK("https://www.boe.es/gazeta/dias/1811/04/28/pdfs/GMD-1811-118.pdf","Abrir PDF")</f>
        <v>Abrir PDF</v>
      </c>
    </row>
    <row r="181" spans="1:6" ht="31.05" customHeight="1">
      <c r="A181" s="5">
        <v>-32387</v>
      </c>
      <c r="B181" s="2" t="s">
        <v>7400</v>
      </c>
      <c r="C181" s="2" t="s">
        <v>23509</v>
      </c>
      <c r="D181" s="3">
        <v>4</v>
      </c>
      <c r="E181" s="3">
        <v>3</v>
      </c>
      <c r="F181" s="3" t="str">
        <f>HYPERLINK("https://www.boe.es/gazeta/dias/1811/04/29/pdfs/GMD-1811-119.pdf","Abrir PDF")</f>
        <v>Abrir PDF</v>
      </c>
    </row>
    <row r="182" spans="1:6" ht="31.05" customHeight="1">
      <c r="A182" s="5">
        <v>-32386</v>
      </c>
      <c r="B182" s="2" t="s">
        <v>6053</v>
      </c>
      <c r="C182" s="2" t="s">
        <v>23510</v>
      </c>
      <c r="D182" s="3">
        <v>4</v>
      </c>
      <c r="E182" s="3">
        <v>10</v>
      </c>
      <c r="F182" s="3" t="str">
        <f>HYPERLINK("https://www.boe.es/gazeta/dias/1811/04/30/pdfs/GMD-1811-120.pdf","Abrir PDF")</f>
        <v>Abrir PDF</v>
      </c>
    </row>
    <row r="183" spans="1:6" ht="31.05" customHeight="1">
      <c r="A183" s="5">
        <v>-32386</v>
      </c>
      <c r="B183" s="2" t="s">
        <v>1934</v>
      </c>
      <c r="C183" s="2" t="s">
        <v>23511</v>
      </c>
      <c r="D183" s="3">
        <v>8</v>
      </c>
      <c r="E183" s="3">
        <v>30</v>
      </c>
      <c r="F183" s="3" t="str">
        <f>HYPERLINK("https://www.boe.es/gazeta/dias/1811/04/30/pdfs/GEI-1811-57.pdf","Abrir PDF")</f>
        <v>Abrir PDF</v>
      </c>
    </row>
    <row r="184" spans="1:6" ht="31.05" customHeight="1">
      <c r="A184" s="5">
        <v>-32385</v>
      </c>
      <c r="B184" s="2" t="s">
        <v>2952</v>
      </c>
      <c r="C184" s="2" t="s">
        <v>23512</v>
      </c>
      <c r="D184" s="3">
        <v>4</v>
      </c>
      <c r="E184" s="3">
        <v>5</v>
      </c>
      <c r="F184" s="3" t="str">
        <f>HYPERLINK("https://www.boe.es/gazeta/dias/1811/05/01/pdfs/GMD-1811-121.pdf","Abrir PDF")</f>
        <v>Abrir PDF</v>
      </c>
    </row>
    <row r="185" spans="1:6" ht="31.05" customHeight="1">
      <c r="A185" s="5">
        <v>-32384</v>
      </c>
      <c r="B185" s="2" t="s">
        <v>23513</v>
      </c>
      <c r="C185" s="2" t="s">
        <v>23514</v>
      </c>
      <c r="D185" s="3">
        <v>4</v>
      </c>
      <c r="E185" s="3">
        <v>0</v>
      </c>
      <c r="F185" s="3" t="str">
        <f>HYPERLINK("https://www.boe.es/gazeta/dias/1811/05/02/pdfs/GMD-1811-122.pdf","Abrir PDF")</f>
        <v>Abrir PDF</v>
      </c>
    </row>
    <row r="186" spans="1:6" ht="31.05" customHeight="1">
      <c r="A186" s="5">
        <v>-32384</v>
      </c>
      <c r="B186" s="2" t="s">
        <v>338</v>
      </c>
      <c r="C186" s="2" t="s">
        <v>23515</v>
      </c>
      <c r="D186" s="3">
        <v>8</v>
      </c>
      <c r="E186" s="3">
        <v>39</v>
      </c>
      <c r="F186" s="3" t="str">
        <f>HYPERLINK("https://www.boe.es/gazeta/dias/1811/05/02/pdfs/GEI-1811-58.pdf","Abrir PDF")</f>
        <v>Abrir PDF</v>
      </c>
    </row>
    <row r="187" spans="1:6" ht="31.05" customHeight="1">
      <c r="A187" s="5">
        <v>-32384</v>
      </c>
      <c r="B187" s="2" t="s">
        <v>2599</v>
      </c>
      <c r="C187" s="2" t="s">
        <v>23516</v>
      </c>
      <c r="D187" s="3">
        <v>4</v>
      </c>
      <c r="E187" s="3">
        <v>10</v>
      </c>
      <c r="F187" s="3" t="str">
        <f>HYPERLINK("https://www.boe.es/gazeta/dias/1811/05/02/pdfs/GEI-D-1811-58.pdf","Abrir PDF")</f>
        <v>Abrir PDF</v>
      </c>
    </row>
    <row r="188" spans="1:6" ht="31.05" customHeight="1">
      <c r="A188" s="5">
        <v>-32383</v>
      </c>
      <c r="B188" s="2" t="s">
        <v>4500</v>
      </c>
      <c r="C188" s="2" t="s">
        <v>23517</v>
      </c>
      <c r="D188" s="3">
        <v>4</v>
      </c>
      <c r="E188" s="3">
        <v>8</v>
      </c>
      <c r="F188" s="3" t="str">
        <f>HYPERLINK("https://www.boe.es/gazeta/dias/1811/05/03/pdfs/GMD-1811-123.pdf","Abrir PDF")</f>
        <v>Abrir PDF</v>
      </c>
    </row>
    <row r="189" spans="1:6" ht="31.05" customHeight="1">
      <c r="A189" s="5">
        <v>-32382</v>
      </c>
      <c r="B189" s="2" t="s">
        <v>6451</v>
      </c>
      <c r="C189" s="2" t="s">
        <v>23518</v>
      </c>
      <c r="D189" s="3">
        <v>4</v>
      </c>
      <c r="E189" s="3">
        <v>5</v>
      </c>
      <c r="F189" s="3" t="str">
        <f>HYPERLINK("https://www.boe.es/gazeta/dias/1811/05/04/pdfs/GMD-1811-124.pdf","Abrir PDF")</f>
        <v>Abrir PDF</v>
      </c>
    </row>
    <row r="190" spans="1:6" ht="31.05" customHeight="1">
      <c r="A190" s="5">
        <v>-32382</v>
      </c>
      <c r="B190" s="2" t="s">
        <v>1269</v>
      </c>
      <c r="C190" s="2" t="s">
        <v>23519</v>
      </c>
      <c r="D190" s="3">
        <v>8</v>
      </c>
      <c r="E190" s="3">
        <v>10</v>
      </c>
      <c r="F190" s="3" t="str">
        <f>HYPERLINK("https://www.boe.es/gazeta/dias/1811/05/04/pdfs/GEI-1811-59.pdf","Abrir PDF")</f>
        <v>Abrir PDF</v>
      </c>
    </row>
    <row r="191" spans="1:6" ht="31.05" customHeight="1">
      <c r="A191" s="5">
        <v>-32381</v>
      </c>
      <c r="B191" s="2" t="s">
        <v>1698</v>
      </c>
      <c r="C191" s="2" t="s">
        <v>23520</v>
      </c>
      <c r="D191" s="3">
        <v>4</v>
      </c>
      <c r="E191" s="3">
        <v>21</v>
      </c>
      <c r="F191" s="3" t="str">
        <f>HYPERLINK("https://www.boe.es/gazeta/dias/1811/05/05/pdfs/GMD-1811-125.pdf","Abrir PDF")</f>
        <v>Abrir PDF</v>
      </c>
    </row>
    <row r="192" spans="1:6" ht="31.05" customHeight="1">
      <c r="A192" s="5">
        <v>-32380</v>
      </c>
      <c r="B192" s="2" t="s">
        <v>9358</v>
      </c>
      <c r="C192" s="2" t="s">
        <v>23521</v>
      </c>
      <c r="D192" s="3">
        <v>4</v>
      </c>
      <c r="E192" s="3">
        <v>2</v>
      </c>
      <c r="F192" s="3" t="str">
        <f>HYPERLINK("https://www.boe.es/gazeta/dias/1811/05/06/pdfs/GMD-1811-126.pdf","Abrir PDF")</f>
        <v>Abrir PDF</v>
      </c>
    </row>
    <row r="193" spans="1:6" ht="31.05" customHeight="1">
      <c r="A193" s="5">
        <v>-32379</v>
      </c>
      <c r="B193" s="2" t="s">
        <v>2357</v>
      </c>
      <c r="C193" s="2" t="s">
        <v>23522</v>
      </c>
      <c r="D193" s="3">
        <v>4</v>
      </c>
      <c r="E193" s="3">
        <v>5</v>
      </c>
      <c r="F193" s="3" t="str">
        <f>HYPERLINK("https://www.boe.es/gazeta/dias/1811/05/07/pdfs/GMD-1811-127.pdf","Abrir PDF")</f>
        <v>Abrir PDF</v>
      </c>
    </row>
    <row r="194" spans="1:6" ht="31.05" customHeight="1">
      <c r="A194" s="5">
        <v>-32379</v>
      </c>
      <c r="B194" s="2" t="s">
        <v>462</v>
      </c>
      <c r="C194" s="2" t="s">
        <v>23523</v>
      </c>
      <c r="D194" s="3">
        <v>8</v>
      </c>
      <c r="E194" s="3">
        <v>111</v>
      </c>
      <c r="F194" s="3" t="str">
        <f>HYPERLINK("https://www.boe.es/gazeta/dias/1811/05/07/pdfs/GEI-1811-60.pdf","Abrir PDF")</f>
        <v>Abrir PDF</v>
      </c>
    </row>
    <row r="195" spans="1:6" ht="31.05" customHeight="1">
      <c r="A195" s="5">
        <v>-32379</v>
      </c>
      <c r="B195" s="2" t="s">
        <v>23524</v>
      </c>
      <c r="C195" s="2" t="s">
        <v>23525</v>
      </c>
      <c r="D195" s="3">
        <v>4</v>
      </c>
      <c r="E195" s="3">
        <v>0</v>
      </c>
      <c r="F195" s="3" t="str">
        <f>HYPERLINK("https://www.boe.es/gazeta/dias/1811/05/07/pdfs/GEI-D-1811-60.pdf","Abrir PDF")</f>
        <v>Abrir PDF</v>
      </c>
    </row>
    <row r="196" spans="1:6" ht="31.05" customHeight="1">
      <c r="A196" s="5">
        <v>-32378</v>
      </c>
      <c r="B196" s="2" t="s">
        <v>2655</v>
      </c>
      <c r="C196" s="2" t="s">
        <v>23526</v>
      </c>
      <c r="D196" s="3">
        <v>4</v>
      </c>
      <c r="E196" s="3">
        <v>3</v>
      </c>
      <c r="F196" s="3" t="str">
        <f>HYPERLINK("https://www.boe.es/gazeta/dias/1811/05/08/pdfs/GMD-1811-128.pdf","Abrir PDF")</f>
        <v>Abrir PDF</v>
      </c>
    </row>
    <row r="197" spans="1:6" ht="31.05" customHeight="1">
      <c r="A197" s="5">
        <v>-32377</v>
      </c>
      <c r="B197" s="2" t="s">
        <v>2461</v>
      </c>
      <c r="C197" s="2" t="s">
        <v>23527</v>
      </c>
      <c r="D197" s="3">
        <v>4</v>
      </c>
      <c r="E197" s="3">
        <v>14</v>
      </c>
      <c r="F197" s="3" t="str">
        <f>HYPERLINK("https://www.boe.es/gazeta/dias/1811/05/09/pdfs/GMD-1811-129.pdf","Abrir PDF")</f>
        <v>Abrir PDF</v>
      </c>
    </row>
    <row r="198" spans="1:6" ht="31.05" customHeight="1">
      <c r="A198" s="5">
        <v>-32377</v>
      </c>
      <c r="B198" s="2" t="s">
        <v>6097</v>
      </c>
      <c r="C198" s="2" t="s">
        <v>23528</v>
      </c>
      <c r="D198" s="3">
        <v>8</v>
      </c>
      <c r="E198" s="3">
        <v>11</v>
      </c>
      <c r="F198" s="3" t="str">
        <f>HYPERLINK("https://www.boe.es/gazeta/dias/1811/05/09/pdfs/GEI-1811-61.pdf","Abrir PDF")</f>
        <v>Abrir PDF</v>
      </c>
    </row>
    <row r="199" spans="1:6" ht="31.05" customHeight="1">
      <c r="A199" s="5">
        <v>-32376</v>
      </c>
      <c r="B199" s="2" t="s">
        <v>5460</v>
      </c>
      <c r="C199" s="2" t="s">
        <v>23529</v>
      </c>
      <c r="D199" s="3">
        <v>4</v>
      </c>
      <c r="E199" s="3">
        <v>7</v>
      </c>
      <c r="F199" s="3" t="str">
        <f>HYPERLINK("https://www.boe.es/gazeta/dias/1811/05/10/pdfs/GMD-1811-130.pdf","Abrir PDF")</f>
        <v>Abrir PDF</v>
      </c>
    </row>
    <row r="200" spans="1:6" ht="31.05" customHeight="1">
      <c r="A200" s="5">
        <v>-32375</v>
      </c>
      <c r="B200" s="2" t="s">
        <v>1516</v>
      </c>
      <c r="C200" s="2" t="s">
        <v>23530</v>
      </c>
      <c r="D200" s="3">
        <v>4</v>
      </c>
      <c r="E200" s="3">
        <v>3</v>
      </c>
      <c r="F200" s="3" t="str">
        <f>HYPERLINK("https://www.boe.es/gazeta/dias/1811/05/11/pdfs/GMD-1811-131.pdf","Abrir PDF")</f>
        <v>Abrir PDF</v>
      </c>
    </row>
    <row r="201" spans="1:6" ht="31.05" customHeight="1">
      <c r="A201" s="5">
        <v>-32375</v>
      </c>
      <c r="B201" s="2" t="s">
        <v>1209</v>
      </c>
      <c r="C201" s="2" t="s">
        <v>23531</v>
      </c>
      <c r="D201" s="3">
        <v>8</v>
      </c>
      <c r="E201" s="3">
        <v>26</v>
      </c>
      <c r="F201" s="3" t="str">
        <f>HYPERLINK("https://www.boe.es/gazeta/dias/1811/05/11/pdfs/GEI-1811-62.pdf","Abrir PDF")</f>
        <v>Abrir PDF</v>
      </c>
    </row>
    <row r="202" spans="1:6" ht="31.05" customHeight="1">
      <c r="A202" s="5">
        <v>-32374</v>
      </c>
      <c r="B202" s="2" t="s">
        <v>10021</v>
      </c>
      <c r="C202" s="2" t="s">
        <v>23532</v>
      </c>
      <c r="D202" s="3">
        <v>4</v>
      </c>
      <c r="E202" s="3">
        <v>6</v>
      </c>
      <c r="F202" s="3" t="str">
        <f>HYPERLINK("https://www.boe.es/gazeta/dias/1811/05/12/pdfs/GMD-1811-132.pdf","Abrir PDF")</f>
        <v>Abrir PDF</v>
      </c>
    </row>
    <row r="203" spans="1:6" ht="31.05" customHeight="1">
      <c r="A203" s="5">
        <v>-32373</v>
      </c>
      <c r="B203" s="2" t="s">
        <v>271</v>
      </c>
      <c r="C203" s="2" t="s">
        <v>23533</v>
      </c>
      <c r="D203" s="3">
        <v>4</v>
      </c>
      <c r="E203" s="3">
        <v>4</v>
      </c>
      <c r="F203" s="3" t="str">
        <f>HYPERLINK("https://www.boe.es/gazeta/dias/1811/05/13/pdfs/GMD-1811-133.pdf","Abrir PDF")</f>
        <v>Abrir PDF</v>
      </c>
    </row>
    <row r="204" spans="1:6" ht="31.05" customHeight="1">
      <c r="A204" s="5">
        <v>-32372</v>
      </c>
      <c r="B204" s="2" t="s">
        <v>1508</v>
      </c>
      <c r="C204" s="2" t="s">
        <v>23534</v>
      </c>
      <c r="D204" s="3">
        <v>4</v>
      </c>
      <c r="E204" s="3">
        <v>3</v>
      </c>
      <c r="F204" s="3" t="str">
        <f>HYPERLINK("https://www.boe.es/gazeta/dias/1811/05/14/pdfs/GMD-1811-134.pdf","Abrir PDF")</f>
        <v>Abrir PDF</v>
      </c>
    </row>
    <row r="205" spans="1:6" ht="31.05" customHeight="1">
      <c r="A205" s="5">
        <v>-32372</v>
      </c>
      <c r="B205" s="2" t="s">
        <v>2690</v>
      </c>
      <c r="C205" s="2" t="s">
        <v>23535</v>
      </c>
      <c r="D205" s="3">
        <v>8</v>
      </c>
      <c r="E205" s="3">
        <v>15</v>
      </c>
      <c r="F205" s="3" t="str">
        <f>HYPERLINK("https://www.boe.es/gazeta/dias/1811/05/14/pdfs/GEI-1811-63.pdf","Abrir PDF")</f>
        <v>Abrir PDF</v>
      </c>
    </row>
    <row r="206" spans="1:6" ht="31.05" customHeight="1">
      <c r="A206" s="5">
        <v>-32371</v>
      </c>
      <c r="B206" s="2" t="s">
        <v>1518</v>
      </c>
      <c r="C206" s="2" t="s">
        <v>23536</v>
      </c>
      <c r="D206" s="3">
        <v>4</v>
      </c>
      <c r="E206" s="3">
        <v>6</v>
      </c>
      <c r="F206" s="3" t="str">
        <f>HYPERLINK("https://www.boe.es/gazeta/dias/1811/05/15/pdfs/GMD-1811-135.pdf","Abrir PDF")</f>
        <v>Abrir PDF</v>
      </c>
    </row>
    <row r="207" spans="1:6" ht="31.05" customHeight="1">
      <c r="A207" s="5">
        <v>-32370</v>
      </c>
      <c r="B207" s="2" t="s">
        <v>11369</v>
      </c>
      <c r="C207" s="2" t="s">
        <v>23537</v>
      </c>
      <c r="D207" s="3">
        <v>4</v>
      </c>
      <c r="E207" s="3">
        <v>2</v>
      </c>
      <c r="F207" s="3" t="str">
        <f>HYPERLINK("https://www.boe.es/gazeta/dias/1811/05/16/pdfs/GMD-1811-136.pdf","Abrir PDF")</f>
        <v>Abrir PDF</v>
      </c>
    </row>
    <row r="208" spans="1:6" ht="31.05" customHeight="1">
      <c r="A208" s="5">
        <v>-32370</v>
      </c>
      <c r="B208" s="2" t="s">
        <v>146</v>
      </c>
      <c r="C208" s="2" t="s">
        <v>23538</v>
      </c>
      <c r="D208" s="3">
        <v>8</v>
      </c>
      <c r="E208" s="3">
        <v>14</v>
      </c>
      <c r="F208" s="3" t="str">
        <f>HYPERLINK("https://www.boe.es/gazeta/dias/1811/05/16/pdfs/GEI-1811-64.pdf","Abrir PDF")</f>
        <v>Abrir PDF</v>
      </c>
    </row>
    <row r="209" spans="1:6" ht="31.05" customHeight="1">
      <c r="A209" s="5">
        <v>-32369</v>
      </c>
      <c r="B209" s="2" t="s">
        <v>896</v>
      </c>
      <c r="C209" s="2" t="s">
        <v>23539</v>
      </c>
      <c r="D209" s="3">
        <v>4</v>
      </c>
      <c r="E209" s="3">
        <v>4</v>
      </c>
      <c r="F209" s="3" t="str">
        <f>HYPERLINK("https://www.boe.es/gazeta/dias/1811/05/17/pdfs/GMD-1811-137.pdf","Abrir PDF")</f>
        <v>Abrir PDF</v>
      </c>
    </row>
    <row r="210" spans="1:6" ht="31.05" customHeight="1">
      <c r="A210" s="5">
        <v>-32368</v>
      </c>
      <c r="B210" s="2" t="s">
        <v>1561</v>
      </c>
      <c r="C210" s="2" t="s">
        <v>23540</v>
      </c>
      <c r="D210" s="3">
        <v>4</v>
      </c>
      <c r="E210" s="3">
        <v>16</v>
      </c>
      <c r="F210" s="3" t="str">
        <f>HYPERLINK("https://www.boe.es/gazeta/dias/1811/05/18/pdfs/GMD-1811-138.pdf","Abrir PDF")</f>
        <v>Abrir PDF</v>
      </c>
    </row>
    <row r="211" spans="1:6" ht="31.05" customHeight="1">
      <c r="A211" s="5">
        <v>-32368</v>
      </c>
      <c r="B211" s="2" t="s">
        <v>2511</v>
      </c>
      <c r="C211" s="2" t="s">
        <v>23541</v>
      </c>
      <c r="D211" s="3">
        <v>8</v>
      </c>
      <c r="E211" s="3">
        <v>10</v>
      </c>
      <c r="F211" s="3" t="str">
        <f>HYPERLINK("https://www.boe.es/gazeta/dias/1811/05/18/pdfs/GEI-1811-65.pdf","Abrir PDF")</f>
        <v>Abrir PDF</v>
      </c>
    </row>
    <row r="212" spans="1:6" ht="31.05" customHeight="1">
      <c r="A212" s="5">
        <v>-32367</v>
      </c>
      <c r="B212" s="2" t="s">
        <v>4693</v>
      </c>
      <c r="C212" s="2" t="s">
        <v>23542</v>
      </c>
      <c r="D212" s="3">
        <v>4</v>
      </c>
      <c r="E212" s="3">
        <v>8</v>
      </c>
      <c r="F212" s="3" t="str">
        <f>HYPERLINK("https://www.boe.es/gazeta/dias/1811/05/19/pdfs/GMD-1811-139.pdf","Abrir PDF")</f>
        <v>Abrir PDF</v>
      </c>
    </row>
    <row r="213" spans="1:6" ht="31.05" customHeight="1">
      <c r="A213" s="5">
        <v>-32366</v>
      </c>
      <c r="B213" s="2" t="s">
        <v>5468</v>
      </c>
      <c r="C213" s="2" t="s">
        <v>23543</v>
      </c>
      <c r="D213" s="3">
        <v>4</v>
      </c>
      <c r="E213" s="3">
        <v>3</v>
      </c>
      <c r="F213" s="3" t="str">
        <f>HYPERLINK("https://www.boe.es/gazeta/dias/1811/05/20/pdfs/GMD-1811-140.pdf","Abrir PDF")</f>
        <v>Abrir PDF</v>
      </c>
    </row>
    <row r="214" spans="1:6" ht="31.05" customHeight="1">
      <c r="A214" s="5">
        <v>-32366</v>
      </c>
      <c r="B214" s="2" t="s">
        <v>1986</v>
      </c>
      <c r="C214" s="2" t="s">
        <v>23544</v>
      </c>
      <c r="D214" s="3">
        <v>1</v>
      </c>
      <c r="E214" s="3">
        <v>1</v>
      </c>
      <c r="F214" s="3" t="str">
        <f>HYPERLINK("https://www.boe.es/gazeta/dias/1811/05/20/pdfs/GEI-1811-66E.pdf","Abrir PDF")</f>
        <v>Abrir PDF</v>
      </c>
    </row>
    <row r="215" spans="1:6" ht="31.05" customHeight="1">
      <c r="A215" s="5">
        <v>-32365</v>
      </c>
      <c r="B215" s="2" t="s">
        <v>5322</v>
      </c>
      <c r="C215" s="2" t="s">
        <v>23545</v>
      </c>
      <c r="D215" s="3">
        <v>4</v>
      </c>
      <c r="E215" s="3">
        <v>5</v>
      </c>
      <c r="F215" s="3" t="str">
        <f>HYPERLINK("https://www.boe.es/gazeta/dias/1811/05/21/pdfs/GMD-1811-141.pdf","Abrir PDF")</f>
        <v>Abrir PDF</v>
      </c>
    </row>
    <row r="216" spans="1:6" ht="31.05" customHeight="1">
      <c r="A216" s="5">
        <v>-32365</v>
      </c>
      <c r="B216" s="2" t="s">
        <v>119</v>
      </c>
      <c r="C216" s="2" t="s">
        <v>23546</v>
      </c>
      <c r="D216" s="3">
        <v>8</v>
      </c>
      <c r="E216" s="3">
        <v>18</v>
      </c>
      <c r="F216" s="3" t="str">
        <f>HYPERLINK("https://www.boe.es/gazeta/dias/1811/05/21/pdfs/GEI-1811-67.pdf","Abrir PDF")</f>
        <v>Abrir PDF</v>
      </c>
    </row>
    <row r="217" spans="1:6" ht="31.05" customHeight="1">
      <c r="A217" s="5">
        <v>-32365</v>
      </c>
      <c r="B217" s="2" t="s">
        <v>1304</v>
      </c>
      <c r="C217" s="2" t="s">
        <v>23547</v>
      </c>
      <c r="D217" s="3">
        <v>4</v>
      </c>
      <c r="E217" s="3">
        <v>20</v>
      </c>
      <c r="F217" s="3" t="str">
        <f>HYPERLINK("https://www.boe.es/gazeta/dias/1811/05/21/pdfs/GEI-D-1811-67.pdf","Abrir PDF")</f>
        <v>Abrir PDF</v>
      </c>
    </row>
    <row r="218" spans="1:6" ht="31.05" customHeight="1">
      <c r="A218" s="5">
        <v>-32364</v>
      </c>
      <c r="B218" s="2" t="s">
        <v>2783</v>
      </c>
      <c r="C218" s="2" t="s">
        <v>23548</v>
      </c>
      <c r="D218" s="3">
        <v>4</v>
      </c>
      <c r="E218" s="3">
        <v>4</v>
      </c>
      <c r="F218" s="3" t="str">
        <f>HYPERLINK("https://www.boe.es/gazeta/dias/1811/05/22/pdfs/GMD-1811-142.pdf","Abrir PDF")</f>
        <v>Abrir PDF</v>
      </c>
    </row>
    <row r="219" spans="1:6" ht="31.05" customHeight="1">
      <c r="A219" s="5">
        <v>-32363</v>
      </c>
      <c r="B219" s="2" t="s">
        <v>4788</v>
      </c>
      <c r="C219" s="2" t="s">
        <v>23549</v>
      </c>
      <c r="D219" s="3">
        <v>4</v>
      </c>
      <c r="E219" s="3">
        <v>6</v>
      </c>
      <c r="F219" s="3" t="str">
        <f>HYPERLINK("https://www.boe.es/gazeta/dias/1811/05/23/pdfs/GMD-1811-143.pdf","Abrir PDF")</f>
        <v>Abrir PDF</v>
      </c>
    </row>
    <row r="220" spans="1:6" ht="31.05" customHeight="1">
      <c r="A220" s="5">
        <v>-32363</v>
      </c>
      <c r="B220" s="2" t="s">
        <v>1645</v>
      </c>
      <c r="C220" s="2" t="s">
        <v>23550</v>
      </c>
      <c r="D220" s="3">
        <v>8</v>
      </c>
      <c r="E220" s="3">
        <v>22</v>
      </c>
      <c r="F220" s="3" t="str">
        <f>HYPERLINK("https://www.boe.es/gazeta/dias/1811/05/23/pdfs/GEI-1811-68.pdf","Abrir PDF")</f>
        <v>Abrir PDF</v>
      </c>
    </row>
    <row r="221" spans="1:6" ht="31.05" customHeight="1">
      <c r="A221" s="5">
        <v>-32363</v>
      </c>
      <c r="B221" s="2" t="s">
        <v>2912</v>
      </c>
      <c r="C221" s="2" t="s">
        <v>23551</v>
      </c>
      <c r="D221" s="3">
        <v>2</v>
      </c>
      <c r="E221" s="3">
        <v>2</v>
      </c>
      <c r="F221" s="3" t="str">
        <f>HYPERLINK("https://www.boe.es/gazeta/dias/1811/05/23/pdfs/GEI-1811-69E.pdf","Abrir PDF")</f>
        <v>Abrir PDF</v>
      </c>
    </row>
    <row r="222" spans="1:6" ht="31.05" customHeight="1">
      <c r="A222" s="5">
        <v>-32362</v>
      </c>
      <c r="B222" s="2" t="s">
        <v>11467</v>
      </c>
      <c r="C222" s="2" t="s">
        <v>23552</v>
      </c>
      <c r="D222" s="3">
        <v>4</v>
      </c>
      <c r="E222" s="3">
        <v>2</v>
      </c>
      <c r="F222" s="3" t="str">
        <f>HYPERLINK("https://www.boe.es/gazeta/dias/1811/05/24/pdfs/GMD-1811-144.pdf","Abrir PDF")</f>
        <v>Abrir PDF</v>
      </c>
    </row>
    <row r="223" spans="1:6" ht="31.05" customHeight="1">
      <c r="A223" s="5">
        <v>-32362</v>
      </c>
      <c r="B223" s="2" t="s">
        <v>1990</v>
      </c>
      <c r="C223" s="2" t="s">
        <v>23553</v>
      </c>
      <c r="D223" s="3">
        <v>7</v>
      </c>
      <c r="E223" s="3">
        <v>12</v>
      </c>
      <c r="F223" s="3" t="str">
        <f>HYPERLINK("https://www.boe.es/gazeta/dias/1811/05/24/pdfs/GEI-1811-70E.pdf","Abrir PDF")</f>
        <v>Abrir PDF</v>
      </c>
    </row>
    <row r="224" spans="1:6" ht="31.05" customHeight="1">
      <c r="A224" s="5">
        <v>-32361</v>
      </c>
      <c r="B224" s="2" t="s">
        <v>5102</v>
      </c>
      <c r="C224" s="2" t="s">
        <v>23554</v>
      </c>
      <c r="D224" s="3">
        <v>4</v>
      </c>
      <c r="E224" s="3">
        <v>3</v>
      </c>
      <c r="F224" s="3" t="str">
        <f>HYPERLINK("https://www.boe.es/gazeta/dias/1811/05/25/pdfs/GMD-1811-145.pdf","Abrir PDF")</f>
        <v>Abrir PDF</v>
      </c>
    </row>
    <row r="225" spans="1:6" ht="31.05" customHeight="1">
      <c r="A225" s="5">
        <v>-32361</v>
      </c>
      <c r="B225" s="2" t="s">
        <v>1104</v>
      </c>
      <c r="C225" s="2" t="s">
        <v>23555</v>
      </c>
      <c r="D225" s="3">
        <v>8</v>
      </c>
      <c r="E225" s="3">
        <v>35</v>
      </c>
      <c r="F225" s="3" t="str">
        <f>HYPERLINK("https://www.boe.es/gazeta/dias/1811/05/25/pdfs/GEI-1811-71.pdf","Abrir PDF")</f>
        <v>Abrir PDF</v>
      </c>
    </row>
    <row r="226" spans="1:6" ht="31.05" customHeight="1">
      <c r="A226" s="5">
        <v>-32360</v>
      </c>
      <c r="B226" s="2" t="s">
        <v>5470</v>
      </c>
      <c r="C226" s="2" t="s">
        <v>23556</v>
      </c>
      <c r="D226" s="3">
        <v>4</v>
      </c>
      <c r="E226" s="3">
        <v>7</v>
      </c>
      <c r="F226" s="3" t="str">
        <f>HYPERLINK("https://www.boe.es/gazeta/dias/1811/05/26/pdfs/GMD-1811-146.pdf","Abrir PDF")</f>
        <v>Abrir PDF</v>
      </c>
    </row>
    <row r="227" spans="1:6" ht="31.05" customHeight="1">
      <c r="A227" s="5">
        <v>-32359</v>
      </c>
      <c r="B227" s="2" t="s">
        <v>7795</v>
      </c>
      <c r="C227" s="2" t="s">
        <v>23557</v>
      </c>
      <c r="D227" s="3">
        <v>4</v>
      </c>
      <c r="E227" s="3">
        <v>8</v>
      </c>
      <c r="F227" s="3" t="str">
        <f>HYPERLINK("https://www.boe.es/gazeta/dias/1811/05/27/pdfs/GMD-1811-147.pdf","Abrir PDF")</f>
        <v>Abrir PDF</v>
      </c>
    </row>
    <row r="228" spans="1:6" ht="31.05" customHeight="1">
      <c r="A228" s="5">
        <v>-32358</v>
      </c>
      <c r="B228" s="2" t="s">
        <v>3186</v>
      </c>
      <c r="C228" s="2" t="s">
        <v>23558</v>
      </c>
      <c r="D228" s="3">
        <v>4</v>
      </c>
      <c r="E228" s="3">
        <v>10</v>
      </c>
      <c r="F228" s="3" t="str">
        <f>HYPERLINK("https://www.boe.es/gazeta/dias/1811/05/28/pdfs/GMD-1811-148.pdf","Abrir PDF")</f>
        <v>Abrir PDF</v>
      </c>
    </row>
    <row r="229" spans="1:6" ht="31.05" customHeight="1">
      <c r="A229" s="5">
        <v>-32358</v>
      </c>
      <c r="B229" s="2" t="s">
        <v>2971</v>
      </c>
      <c r="C229" s="2" t="s">
        <v>23559</v>
      </c>
      <c r="D229" s="3">
        <v>8</v>
      </c>
      <c r="E229" s="3">
        <v>19</v>
      </c>
      <c r="F229" s="3" t="str">
        <f>HYPERLINK("https://www.boe.es/gazeta/dias/1811/05/28/pdfs/GEI-1811-72.pdf","Abrir PDF")</f>
        <v>Abrir PDF</v>
      </c>
    </row>
    <row r="230" spans="1:6" ht="31.05" customHeight="1">
      <c r="A230" s="5">
        <v>-32357</v>
      </c>
      <c r="B230" s="2" t="s">
        <v>2775</v>
      </c>
      <c r="C230" s="2" t="s">
        <v>23560</v>
      </c>
      <c r="D230" s="3">
        <v>4</v>
      </c>
      <c r="E230" s="3">
        <v>8</v>
      </c>
      <c r="F230" s="3" t="str">
        <f>HYPERLINK("https://www.boe.es/gazeta/dias/1811/05/29/pdfs/GMD-1811-149.pdf","Abrir PDF")</f>
        <v>Abrir PDF</v>
      </c>
    </row>
    <row r="231" spans="1:6" ht="31.05" customHeight="1">
      <c r="A231" s="5">
        <v>-32356</v>
      </c>
      <c r="B231" s="2" t="s">
        <v>648</v>
      </c>
      <c r="C231" s="2" t="s">
        <v>23561</v>
      </c>
      <c r="D231" s="3">
        <v>4</v>
      </c>
      <c r="E231" s="3">
        <v>5</v>
      </c>
      <c r="F231" s="3" t="str">
        <f>HYPERLINK("https://www.boe.es/gazeta/dias/1811/05/30/pdfs/GMD-1811-150.pdf","Abrir PDF")</f>
        <v>Abrir PDF</v>
      </c>
    </row>
    <row r="232" spans="1:6" ht="31.05" customHeight="1">
      <c r="A232" s="5">
        <v>-32356</v>
      </c>
      <c r="B232" s="2" t="s">
        <v>1992</v>
      </c>
      <c r="C232" s="2" t="s">
        <v>23562</v>
      </c>
      <c r="D232" s="3">
        <v>8</v>
      </c>
      <c r="E232" s="3">
        <v>36</v>
      </c>
      <c r="F232" s="3" t="str">
        <f>HYPERLINK("https://www.boe.es/gazeta/dias/1811/05/30/pdfs/GEI-1811-73.pdf","Abrir PDF")</f>
        <v>Abrir PDF</v>
      </c>
    </row>
    <row r="233" spans="1:6" ht="31.05" customHeight="1">
      <c r="A233" s="5">
        <v>-32355</v>
      </c>
      <c r="B233" s="2" t="s">
        <v>2342</v>
      </c>
      <c r="C233" s="2" t="s">
        <v>23563</v>
      </c>
      <c r="D233" s="3">
        <v>4</v>
      </c>
      <c r="E233" s="3">
        <v>18</v>
      </c>
      <c r="F233" s="3" t="str">
        <f>HYPERLINK("https://www.boe.es/gazeta/dias/1811/05/31/pdfs/GMD-1811-151.pdf","Abrir PDF")</f>
        <v>Abrir PDF</v>
      </c>
    </row>
    <row r="234" spans="1:6" ht="31.05" customHeight="1">
      <c r="A234" s="5">
        <v>-32355</v>
      </c>
      <c r="B234" s="2" t="s">
        <v>537</v>
      </c>
      <c r="C234" s="2" t="s">
        <v>23564</v>
      </c>
      <c r="D234" s="3">
        <v>16</v>
      </c>
      <c r="E234" s="3">
        <v>34</v>
      </c>
      <c r="F234" s="3" t="str">
        <f>HYPERLINK("https://www.boe.es/gazeta/dias/1811/05/31/pdfs/GMD-C-1811-151.pdf","Abrir PDF")</f>
        <v>Abrir PDF</v>
      </c>
    </row>
    <row r="235" spans="1:6" ht="31.05" customHeight="1">
      <c r="A235" s="5">
        <v>-32354</v>
      </c>
      <c r="B235" s="2" t="s">
        <v>6018</v>
      </c>
      <c r="C235" s="2" t="s">
        <v>23565</v>
      </c>
      <c r="D235" s="3">
        <v>4</v>
      </c>
      <c r="E235" s="3">
        <v>1</v>
      </c>
      <c r="F235" s="3" t="str">
        <f>HYPERLINK("https://www.boe.es/gazeta/dias/1811/06/01/pdfs/GMD-1811-152.pdf","Abrir PDF")</f>
        <v>Abrir PDF</v>
      </c>
    </row>
    <row r="236" spans="1:6" ht="31.05" customHeight="1">
      <c r="A236" s="5">
        <v>-32354</v>
      </c>
      <c r="B236" s="2" t="s">
        <v>2914</v>
      </c>
      <c r="C236" s="2" t="s">
        <v>23566</v>
      </c>
      <c r="D236" s="3">
        <v>8</v>
      </c>
      <c r="E236" s="3">
        <v>15</v>
      </c>
      <c r="F236" s="3" t="str">
        <f>HYPERLINK("https://www.boe.es/gazeta/dias/1811/06/01/pdfs/GEI-1811-74.pdf","Abrir PDF")</f>
        <v>Abrir PDF</v>
      </c>
    </row>
    <row r="237" spans="1:6" ht="31.05" customHeight="1">
      <c r="A237" s="5">
        <v>-32353</v>
      </c>
      <c r="B237" s="2" t="s">
        <v>18131</v>
      </c>
      <c r="C237" s="2" t="s">
        <v>23567</v>
      </c>
      <c r="D237" s="3">
        <v>4</v>
      </c>
      <c r="E237" s="3">
        <v>1</v>
      </c>
      <c r="F237" s="3" t="str">
        <f>HYPERLINK("https://www.boe.es/gazeta/dias/1811/06/02/pdfs/GMD-1811-153.pdf","Abrir PDF")</f>
        <v>Abrir PDF</v>
      </c>
    </row>
    <row r="238" spans="1:6" ht="31.05" customHeight="1">
      <c r="A238" s="5">
        <v>-32352</v>
      </c>
      <c r="B238" s="2" t="s">
        <v>834</v>
      </c>
      <c r="C238" s="2" t="s">
        <v>23568</v>
      </c>
      <c r="D238" s="3">
        <v>4</v>
      </c>
      <c r="E238" s="3">
        <v>7</v>
      </c>
      <c r="F238" s="3" t="str">
        <f>HYPERLINK("https://www.boe.es/gazeta/dias/1811/06/03/pdfs/GMD-1811-154.pdf","Abrir PDF")</f>
        <v>Abrir PDF</v>
      </c>
    </row>
    <row r="239" spans="1:6" ht="31.05" customHeight="1">
      <c r="A239" s="5">
        <v>-32351</v>
      </c>
      <c r="B239" s="2" t="s">
        <v>2332</v>
      </c>
      <c r="C239" s="2" t="s">
        <v>23569</v>
      </c>
      <c r="D239" s="3">
        <v>4</v>
      </c>
      <c r="E239" s="3">
        <v>5</v>
      </c>
      <c r="F239" s="3" t="str">
        <f>HYPERLINK("https://www.boe.es/gazeta/dias/1811/06/04/pdfs/GMD-1811-155.pdf","Abrir PDF")</f>
        <v>Abrir PDF</v>
      </c>
    </row>
    <row r="240" spans="1:6" ht="31.05" customHeight="1">
      <c r="A240" s="5">
        <v>-32351</v>
      </c>
      <c r="B240" s="2" t="s">
        <v>2163</v>
      </c>
      <c r="C240" s="2" t="s">
        <v>23570</v>
      </c>
      <c r="D240" s="3">
        <v>8</v>
      </c>
      <c r="E240" s="3">
        <v>11</v>
      </c>
      <c r="F240" s="3" t="str">
        <f>HYPERLINK("https://www.boe.es/gazeta/dias/1811/06/04/pdfs/GEI-1811-75.pdf","Abrir PDF")</f>
        <v>Abrir PDF</v>
      </c>
    </row>
    <row r="241" spans="1:6" ht="31.05" customHeight="1">
      <c r="A241" s="5">
        <v>-32350</v>
      </c>
      <c r="B241" s="2" t="s">
        <v>4957</v>
      </c>
      <c r="C241" s="2" t="s">
        <v>23571</v>
      </c>
      <c r="D241" s="3">
        <v>4</v>
      </c>
      <c r="E241" s="3">
        <v>5</v>
      </c>
      <c r="F241" s="3" t="str">
        <f>HYPERLINK("https://www.boe.es/gazeta/dias/1811/06/05/pdfs/GMD-1811-156.pdf","Abrir PDF")</f>
        <v>Abrir PDF</v>
      </c>
    </row>
    <row r="242" spans="1:6" ht="31.05" customHeight="1">
      <c r="A242" s="5">
        <v>-32349</v>
      </c>
      <c r="B242" s="2" t="s">
        <v>3983</v>
      </c>
      <c r="C242" s="2" t="s">
        <v>23572</v>
      </c>
      <c r="D242" s="3">
        <v>4</v>
      </c>
      <c r="E242" s="3">
        <v>17</v>
      </c>
      <c r="F242" s="3" t="str">
        <f>HYPERLINK("https://www.boe.es/gazeta/dias/1811/06/06/pdfs/GMD-1811-157.pdf","Abrir PDF")</f>
        <v>Abrir PDF</v>
      </c>
    </row>
    <row r="243" spans="1:6" ht="31.05" customHeight="1">
      <c r="A243" s="5">
        <v>-32349</v>
      </c>
      <c r="B243" s="2" t="s">
        <v>239</v>
      </c>
      <c r="C243" s="2" t="s">
        <v>23573</v>
      </c>
      <c r="D243" s="3">
        <v>8</v>
      </c>
      <c r="E243" s="3">
        <v>46</v>
      </c>
      <c r="F243" s="3" t="str">
        <f>HYPERLINK("https://www.boe.es/gazeta/dias/1811/06/06/pdfs/GEI-1811-76.pdf","Abrir PDF")</f>
        <v>Abrir PDF</v>
      </c>
    </row>
    <row r="244" spans="1:6" ht="31.05" customHeight="1">
      <c r="A244" s="5">
        <v>-32348</v>
      </c>
      <c r="B244" s="2" t="s">
        <v>1086</v>
      </c>
      <c r="C244" s="2" t="s">
        <v>23574</v>
      </c>
      <c r="D244" s="3">
        <v>4</v>
      </c>
      <c r="E244" s="3">
        <v>1</v>
      </c>
      <c r="F244" s="3" t="str">
        <f>HYPERLINK("https://www.boe.es/gazeta/dias/1811/06/07/pdfs/GMD-1811-158.pdf","Abrir PDF")</f>
        <v>Abrir PDF</v>
      </c>
    </row>
    <row r="245" spans="1:6" ht="31.05" customHeight="1">
      <c r="A245" s="5">
        <v>-32347</v>
      </c>
      <c r="B245" s="2" t="s">
        <v>5230</v>
      </c>
      <c r="C245" s="2" t="s">
        <v>23575</v>
      </c>
      <c r="D245" s="3">
        <v>4</v>
      </c>
      <c r="E245" s="3">
        <v>5</v>
      </c>
      <c r="F245" s="3" t="str">
        <f>HYPERLINK("https://www.boe.es/gazeta/dias/1811/06/08/pdfs/GMD-1811-159.pdf","Abrir PDF")</f>
        <v>Abrir PDF</v>
      </c>
    </row>
    <row r="246" spans="1:6" ht="31.05" customHeight="1">
      <c r="A246" s="5">
        <v>-32347</v>
      </c>
      <c r="B246" s="2" t="s">
        <v>1911</v>
      </c>
      <c r="C246" s="2" t="s">
        <v>23576</v>
      </c>
      <c r="D246" s="3">
        <v>8</v>
      </c>
      <c r="E246" s="3">
        <v>10</v>
      </c>
      <c r="F246" s="3" t="str">
        <f>HYPERLINK("https://www.boe.es/gazeta/dias/1811/06/08/pdfs/GEI-1811-77.pdf","Abrir PDF")</f>
        <v>Abrir PDF</v>
      </c>
    </row>
    <row r="247" spans="1:6" ht="31.05" customHeight="1">
      <c r="A247" s="5">
        <v>-32346</v>
      </c>
      <c r="B247" s="2" t="s">
        <v>3180</v>
      </c>
      <c r="C247" s="2" t="s">
        <v>23577</v>
      </c>
      <c r="D247" s="3">
        <v>4</v>
      </c>
      <c r="E247" s="3">
        <v>5</v>
      </c>
      <c r="F247" s="3" t="str">
        <f>HYPERLINK("https://www.boe.es/gazeta/dias/1811/06/09/pdfs/GMD-1811-160.pdf","Abrir PDF")</f>
        <v>Abrir PDF</v>
      </c>
    </row>
    <row r="248" spans="1:6" ht="31.05" customHeight="1">
      <c r="A248" s="5">
        <v>-32345</v>
      </c>
      <c r="B248" s="2" t="s">
        <v>9686</v>
      </c>
      <c r="C248" s="2" t="s">
        <v>23578</v>
      </c>
      <c r="D248" s="3">
        <v>4</v>
      </c>
      <c r="E248" s="3">
        <v>8</v>
      </c>
      <c r="F248" s="3" t="str">
        <f>HYPERLINK("https://www.boe.es/gazeta/dias/1811/06/10/pdfs/GMD-1811-161.pdf","Abrir PDF")</f>
        <v>Abrir PDF</v>
      </c>
    </row>
    <row r="249" spans="1:6" ht="31.05" customHeight="1">
      <c r="A249" s="5">
        <v>-32344</v>
      </c>
      <c r="B249" s="2" t="s">
        <v>16340</v>
      </c>
      <c r="C249" s="2" t="s">
        <v>23579</v>
      </c>
      <c r="D249" s="3">
        <v>4</v>
      </c>
      <c r="E249" s="3">
        <v>1</v>
      </c>
      <c r="F249" s="3" t="str">
        <f>HYPERLINK("https://www.boe.es/gazeta/dias/1811/06/11/pdfs/GMD-1811-162.pdf","Abrir PDF")</f>
        <v>Abrir PDF</v>
      </c>
    </row>
    <row r="250" spans="1:6" ht="31.05" customHeight="1">
      <c r="A250" s="5">
        <v>-32344</v>
      </c>
      <c r="B250" s="2" t="s">
        <v>761</v>
      </c>
      <c r="C250" s="2" t="s">
        <v>23580</v>
      </c>
      <c r="D250" s="3">
        <v>8</v>
      </c>
      <c r="E250" s="3">
        <v>27</v>
      </c>
      <c r="F250" s="3" t="str">
        <f>HYPERLINK("https://www.boe.es/gazeta/dias/1811/06/11/pdfs/GEI-1811-78.pdf","Abrir PDF")</f>
        <v>Abrir PDF</v>
      </c>
    </row>
    <row r="251" spans="1:6" ht="31.05" customHeight="1">
      <c r="A251" s="5">
        <v>-32344</v>
      </c>
      <c r="B251" s="2" t="s">
        <v>1548</v>
      </c>
      <c r="C251" s="2" t="s">
        <v>23581</v>
      </c>
      <c r="D251" s="3">
        <v>4</v>
      </c>
      <c r="E251" s="3">
        <v>3</v>
      </c>
      <c r="F251" s="3" t="str">
        <f>HYPERLINK("https://www.boe.es/gazeta/dias/1811/06/11/pdfs/GEI-D-1811-78.pdf","Abrir PDF")</f>
        <v>Abrir PDF</v>
      </c>
    </row>
    <row r="252" spans="1:6" ht="31.05" customHeight="1">
      <c r="A252" s="5">
        <v>-32343</v>
      </c>
      <c r="B252" s="2" t="s">
        <v>6073</v>
      </c>
      <c r="C252" s="2" t="s">
        <v>23582</v>
      </c>
      <c r="D252" s="3">
        <v>4</v>
      </c>
      <c r="E252" s="3">
        <v>8</v>
      </c>
      <c r="F252" s="3" t="str">
        <f>HYPERLINK("https://www.boe.es/gazeta/dias/1811/06/12/pdfs/GMD-1811-163.pdf","Abrir PDF")</f>
        <v>Abrir PDF</v>
      </c>
    </row>
    <row r="253" spans="1:6" ht="31.05" customHeight="1">
      <c r="A253" s="5">
        <v>-32342</v>
      </c>
      <c r="B253" s="2" t="s">
        <v>16159</v>
      </c>
      <c r="C253" s="2" t="s">
        <v>23583</v>
      </c>
      <c r="D253" s="3">
        <v>4</v>
      </c>
      <c r="E253" s="3">
        <v>1</v>
      </c>
      <c r="F253" s="3" t="str">
        <f>HYPERLINK("https://www.boe.es/gazeta/dias/1811/06/13/pdfs/GMD-1811-164.pdf","Abrir PDF")</f>
        <v>Abrir PDF</v>
      </c>
    </row>
    <row r="254" spans="1:6" ht="31.05" customHeight="1">
      <c r="A254" s="5">
        <v>-32342</v>
      </c>
      <c r="B254" s="2" t="s">
        <v>1474</v>
      </c>
      <c r="C254" s="2" t="s">
        <v>23584</v>
      </c>
      <c r="D254" s="3">
        <v>8</v>
      </c>
      <c r="E254" s="3">
        <v>22</v>
      </c>
      <c r="F254" s="3" t="str">
        <f>HYPERLINK("https://www.boe.es/gazeta/dias/1811/06/13/pdfs/GEI-1811-79.pdf","Abrir PDF")</f>
        <v>Abrir PDF</v>
      </c>
    </row>
    <row r="255" spans="1:6" ht="31.05" customHeight="1">
      <c r="A255" s="5">
        <v>-32341</v>
      </c>
      <c r="B255" s="2" t="s">
        <v>23585</v>
      </c>
      <c r="C255" s="2" t="s">
        <v>23586</v>
      </c>
      <c r="D255" s="3">
        <v>4</v>
      </c>
      <c r="E255" s="3">
        <v>0</v>
      </c>
      <c r="F255" s="3" t="str">
        <f>HYPERLINK("https://www.boe.es/gazeta/dias/1811/06/14/pdfs/GMD-1811-165.pdf","Abrir PDF")</f>
        <v>Abrir PDF</v>
      </c>
    </row>
    <row r="256" spans="1:6" ht="31.05" customHeight="1">
      <c r="A256" s="5">
        <v>-32340</v>
      </c>
      <c r="B256" s="2" t="s">
        <v>6102</v>
      </c>
      <c r="C256" s="2" t="s">
        <v>23587</v>
      </c>
      <c r="D256" s="3">
        <v>4</v>
      </c>
      <c r="E256" s="3">
        <v>3</v>
      </c>
      <c r="F256" s="3" t="str">
        <f>HYPERLINK("https://www.boe.es/gazeta/dias/1811/06/15/pdfs/GMD-1811-166.pdf","Abrir PDF")</f>
        <v>Abrir PDF</v>
      </c>
    </row>
    <row r="257" spans="1:6" ht="31.05" customHeight="1">
      <c r="A257" s="5">
        <v>-32340</v>
      </c>
      <c r="B257" s="2" t="s">
        <v>565</v>
      </c>
      <c r="C257" s="2" t="s">
        <v>23588</v>
      </c>
      <c r="D257" s="3">
        <v>8</v>
      </c>
      <c r="E257" s="3">
        <v>45</v>
      </c>
      <c r="F257" s="3" t="str">
        <f>HYPERLINK("https://www.boe.es/gazeta/dias/1811/06/15/pdfs/GEI-1811-80.pdf","Abrir PDF")</f>
        <v>Abrir PDF</v>
      </c>
    </row>
    <row r="258" spans="1:6" ht="31.05" customHeight="1">
      <c r="A258" s="5">
        <v>-32339</v>
      </c>
      <c r="B258" s="2" t="s">
        <v>1853</v>
      </c>
      <c r="C258" s="2" t="s">
        <v>23589</v>
      </c>
      <c r="D258" s="3">
        <v>4</v>
      </c>
      <c r="E258" s="3">
        <v>12</v>
      </c>
      <c r="F258" s="3" t="str">
        <f>HYPERLINK("https://www.boe.es/gazeta/dias/1811/06/16/pdfs/GMD-1811-167.pdf","Abrir PDF")</f>
        <v>Abrir PDF</v>
      </c>
    </row>
    <row r="259" spans="1:6" ht="31.05" customHeight="1">
      <c r="A259" s="5">
        <v>-32338</v>
      </c>
      <c r="B259" s="2" t="s">
        <v>3355</v>
      </c>
      <c r="C259" s="2" t="s">
        <v>23590</v>
      </c>
      <c r="D259" s="3">
        <v>4</v>
      </c>
      <c r="E259" s="3">
        <v>6</v>
      </c>
      <c r="F259" s="3" t="str">
        <f>HYPERLINK("https://www.boe.es/gazeta/dias/1811/06/17/pdfs/GMD-1811-168.pdf","Abrir PDF")</f>
        <v>Abrir PDF</v>
      </c>
    </row>
    <row r="260" spans="1:6" ht="31.05" customHeight="1">
      <c r="A260" s="5">
        <v>-32337</v>
      </c>
      <c r="B260" s="2" t="s">
        <v>786</v>
      </c>
      <c r="C260" s="2" t="s">
        <v>23591</v>
      </c>
      <c r="D260" s="3">
        <v>4</v>
      </c>
      <c r="E260" s="3">
        <v>6</v>
      </c>
      <c r="F260" s="3" t="str">
        <f>HYPERLINK("https://www.boe.es/gazeta/dias/1811/06/18/pdfs/GMD-1811-169.pdf","Abrir PDF")</f>
        <v>Abrir PDF</v>
      </c>
    </row>
    <row r="261" spans="1:6" ht="31.05" customHeight="1">
      <c r="A261" s="5">
        <v>-32337</v>
      </c>
      <c r="B261" s="2" t="s">
        <v>5266</v>
      </c>
      <c r="C261" s="2" t="s">
        <v>23592</v>
      </c>
      <c r="D261" s="3">
        <v>8</v>
      </c>
      <c r="E261" s="3">
        <v>15</v>
      </c>
      <c r="F261" s="3" t="str">
        <f>HYPERLINK("https://www.boe.es/gazeta/dias/1811/06/18/pdfs/GEI-1811-81.pdf","Abrir PDF")</f>
        <v>Abrir PDF</v>
      </c>
    </row>
    <row r="262" spans="1:6" ht="31.05" customHeight="1">
      <c r="A262" s="5">
        <v>-32336</v>
      </c>
      <c r="B262" s="2" t="s">
        <v>8466</v>
      </c>
      <c r="C262" s="2" t="s">
        <v>23593</v>
      </c>
      <c r="D262" s="3">
        <v>4</v>
      </c>
      <c r="E262" s="3">
        <v>5</v>
      </c>
      <c r="F262" s="3" t="str">
        <f>HYPERLINK("https://www.boe.es/gazeta/dias/1811/06/19/pdfs/GMD-1811-170.pdf","Abrir PDF")</f>
        <v>Abrir PDF</v>
      </c>
    </row>
    <row r="263" spans="1:6" ht="31.05" customHeight="1">
      <c r="A263" s="5">
        <v>-32335</v>
      </c>
      <c r="B263" s="2" t="s">
        <v>7373</v>
      </c>
      <c r="C263" s="2" t="s">
        <v>23594</v>
      </c>
      <c r="D263" s="3">
        <v>4</v>
      </c>
      <c r="E263" s="3">
        <v>4</v>
      </c>
      <c r="F263" s="3" t="str">
        <f>HYPERLINK("https://www.boe.es/gazeta/dias/1811/06/20/pdfs/GMD-1811-171.pdf","Abrir PDF")</f>
        <v>Abrir PDF</v>
      </c>
    </row>
    <row r="264" spans="1:6" ht="31.05" customHeight="1">
      <c r="A264" s="5">
        <v>-32335</v>
      </c>
      <c r="B264" s="2" t="s">
        <v>3776</v>
      </c>
      <c r="C264" s="2" t="s">
        <v>23595</v>
      </c>
      <c r="D264" s="3">
        <v>8</v>
      </c>
      <c r="E264" s="3">
        <v>21</v>
      </c>
      <c r="F264" s="3" t="str">
        <f>HYPERLINK("https://www.boe.es/gazeta/dias/1811/06/20/pdfs/GEI-1811-82.pdf","Abrir PDF")</f>
        <v>Abrir PDF</v>
      </c>
    </row>
    <row r="265" spans="1:6" ht="31.05" customHeight="1">
      <c r="A265" s="5">
        <v>-32334</v>
      </c>
      <c r="B265" s="2" t="s">
        <v>20408</v>
      </c>
      <c r="C265" s="2" t="s">
        <v>23596</v>
      </c>
      <c r="D265" s="3">
        <v>4</v>
      </c>
      <c r="E265" s="3">
        <v>1</v>
      </c>
      <c r="F265" s="3" t="str">
        <f>HYPERLINK("https://www.boe.es/gazeta/dias/1811/06/21/pdfs/GMD-1811-172.pdf","Abrir PDF")</f>
        <v>Abrir PDF</v>
      </c>
    </row>
    <row r="266" spans="1:6" ht="31.05" customHeight="1">
      <c r="A266" s="5">
        <v>-32333</v>
      </c>
      <c r="B266" s="2" t="s">
        <v>11259</v>
      </c>
      <c r="C266" s="2" t="s">
        <v>23597</v>
      </c>
      <c r="D266" s="3">
        <v>4</v>
      </c>
      <c r="E266" s="3">
        <v>4</v>
      </c>
      <c r="F266" s="3" t="str">
        <f>HYPERLINK("https://www.boe.es/gazeta/dias/1811/06/22/pdfs/GMD-1811-173.pdf","Abrir PDF")</f>
        <v>Abrir PDF</v>
      </c>
    </row>
    <row r="267" spans="1:6" ht="31.05" customHeight="1">
      <c r="A267" s="5">
        <v>-32333</v>
      </c>
      <c r="B267" s="2" t="s">
        <v>292</v>
      </c>
      <c r="C267" s="2" t="s">
        <v>23598</v>
      </c>
      <c r="D267" s="3">
        <v>8</v>
      </c>
      <c r="E267" s="3">
        <v>28</v>
      </c>
      <c r="F267" s="3" t="str">
        <f>HYPERLINK("https://www.boe.es/gazeta/dias/1811/06/22/pdfs/GEI-1811-83.pdf","Abrir PDF")</f>
        <v>Abrir PDF</v>
      </c>
    </row>
    <row r="268" spans="1:6" ht="31.05" customHeight="1">
      <c r="A268" s="5">
        <v>-32332</v>
      </c>
      <c r="B268" s="2" t="s">
        <v>13475</v>
      </c>
      <c r="C268" s="2" t="s">
        <v>23599</v>
      </c>
      <c r="D268" s="3">
        <v>4</v>
      </c>
      <c r="E268" s="3">
        <v>1</v>
      </c>
      <c r="F268" s="3" t="str">
        <f>HYPERLINK("https://www.boe.es/gazeta/dias/1811/06/23/pdfs/GMD-1811-174.pdf","Abrir PDF")</f>
        <v>Abrir PDF</v>
      </c>
    </row>
    <row r="269" spans="1:6" ht="31.05" customHeight="1">
      <c r="A269" s="5">
        <v>-32331</v>
      </c>
      <c r="B269" s="2" t="s">
        <v>781</v>
      </c>
      <c r="C269" s="2" t="s">
        <v>23600</v>
      </c>
      <c r="D269" s="3">
        <v>4</v>
      </c>
      <c r="E269" s="3">
        <v>8</v>
      </c>
      <c r="F269" s="3" t="str">
        <f>HYPERLINK("https://www.boe.es/gazeta/dias/1811/06/24/pdfs/GMD-1811-175.pdf","Abrir PDF")</f>
        <v>Abrir PDF</v>
      </c>
    </row>
    <row r="270" spans="1:6" ht="31.05" customHeight="1">
      <c r="A270" s="5">
        <v>-32330</v>
      </c>
      <c r="B270" s="2" t="s">
        <v>1997</v>
      </c>
      <c r="C270" s="2" t="s">
        <v>23601</v>
      </c>
      <c r="D270" s="3">
        <v>4</v>
      </c>
      <c r="E270" s="3">
        <v>15</v>
      </c>
      <c r="F270" s="3" t="str">
        <f>HYPERLINK("https://www.boe.es/gazeta/dias/1811/06/25/pdfs/GMD-1811-176.pdf","Abrir PDF")</f>
        <v>Abrir PDF</v>
      </c>
    </row>
    <row r="271" spans="1:6" ht="31.05" customHeight="1">
      <c r="A271" s="5">
        <v>-32330</v>
      </c>
      <c r="B271" s="2" t="s">
        <v>1824</v>
      </c>
      <c r="C271" s="2" t="s">
        <v>23602</v>
      </c>
      <c r="D271" s="3">
        <v>8</v>
      </c>
      <c r="E271" s="3">
        <v>18</v>
      </c>
      <c r="F271" s="3" t="str">
        <f>HYPERLINK("https://www.boe.es/gazeta/dias/1811/06/25/pdfs/GEI-1811-84.pdf","Abrir PDF")</f>
        <v>Abrir PDF</v>
      </c>
    </row>
    <row r="272" spans="1:6" ht="31.05" customHeight="1">
      <c r="A272" s="5">
        <v>-32330</v>
      </c>
      <c r="B272" s="2" t="s">
        <v>1713</v>
      </c>
      <c r="C272" s="2" t="s">
        <v>23603</v>
      </c>
      <c r="D272" s="3">
        <v>8</v>
      </c>
      <c r="E272" s="3">
        <v>7</v>
      </c>
      <c r="F272" s="3" t="str">
        <f>HYPERLINK("https://www.boe.es/gazeta/dias/1811/06/25/pdfs/GEI-D-1811-84.pdf","Abrir PDF")</f>
        <v>Abrir PDF</v>
      </c>
    </row>
    <row r="273" spans="1:6" ht="31.05" customHeight="1">
      <c r="A273" s="5">
        <v>-32329</v>
      </c>
      <c r="B273" s="2" t="s">
        <v>3214</v>
      </c>
      <c r="C273" s="2" t="s">
        <v>23604</v>
      </c>
      <c r="D273" s="3">
        <v>4</v>
      </c>
      <c r="E273" s="3">
        <v>6</v>
      </c>
      <c r="F273" s="3" t="str">
        <f>HYPERLINK("https://www.boe.es/gazeta/dias/1811/06/26/pdfs/GMD-1811-177.pdf","Abrir PDF")</f>
        <v>Abrir PDF</v>
      </c>
    </row>
    <row r="274" spans="1:6" ht="31.05" customHeight="1">
      <c r="A274" s="5">
        <v>-32328</v>
      </c>
      <c r="B274" s="2" t="s">
        <v>2055</v>
      </c>
      <c r="C274" s="2" t="s">
        <v>23605</v>
      </c>
      <c r="D274" s="3">
        <v>4</v>
      </c>
      <c r="E274" s="3">
        <v>10</v>
      </c>
      <c r="F274" s="3" t="str">
        <f>HYPERLINK("https://www.boe.es/gazeta/dias/1811/06/27/pdfs/GMD-1811-178.pdf","Abrir PDF")</f>
        <v>Abrir PDF</v>
      </c>
    </row>
    <row r="275" spans="1:6" ht="31.05" customHeight="1">
      <c r="A275" s="5">
        <v>-32328</v>
      </c>
      <c r="B275" s="2" t="s">
        <v>1653</v>
      </c>
      <c r="C275" s="2" t="s">
        <v>23606</v>
      </c>
      <c r="D275" s="3">
        <v>8</v>
      </c>
      <c r="E275" s="3">
        <v>11</v>
      </c>
      <c r="F275" s="3" t="str">
        <f>HYPERLINK("https://www.boe.es/gazeta/dias/1811/06/27/pdfs/GEI-1811-85.pdf","Abrir PDF")</f>
        <v>Abrir PDF</v>
      </c>
    </row>
    <row r="276" spans="1:6" ht="31.05" customHeight="1">
      <c r="A276" s="5">
        <v>-32327</v>
      </c>
      <c r="B276" s="2" t="s">
        <v>9216</v>
      </c>
      <c r="C276" s="2" t="s">
        <v>23607</v>
      </c>
      <c r="D276" s="3">
        <v>4</v>
      </c>
      <c r="E276" s="3">
        <v>3</v>
      </c>
      <c r="F276" s="3" t="str">
        <f>HYPERLINK("https://www.boe.es/gazeta/dias/1811/06/28/pdfs/GMD-1811-179.pdf","Abrir PDF")</f>
        <v>Abrir PDF</v>
      </c>
    </row>
    <row r="277" spans="1:6" ht="31.05" customHeight="1">
      <c r="A277" s="5">
        <v>-32326</v>
      </c>
      <c r="B277" s="2" t="s">
        <v>2321</v>
      </c>
      <c r="C277" s="2" t="s">
        <v>23608</v>
      </c>
      <c r="D277" s="3">
        <v>4</v>
      </c>
      <c r="E277" s="3">
        <v>9</v>
      </c>
      <c r="F277" s="3" t="str">
        <f>HYPERLINK("https://www.boe.es/gazeta/dias/1811/06/29/pdfs/GMD-1811-180.pdf","Abrir PDF")</f>
        <v>Abrir PDF</v>
      </c>
    </row>
    <row r="278" spans="1:6" ht="31.05" customHeight="1">
      <c r="A278" s="5">
        <v>-32326</v>
      </c>
      <c r="B278" s="2" t="s">
        <v>43</v>
      </c>
      <c r="C278" s="2" t="s">
        <v>23609</v>
      </c>
      <c r="D278" s="3">
        <v>8</v>
      </c>
      <c r="E278" s="3">
        <v>43</v>
      </c>
      <c r="F278" s="3" t="str">
        <f>HYPERLINK("https://www.boe.es/gazeta/dias/1811/06/29/pdfs/GEI-1811-86.pdf","Abrir PDF")</f>
        <v>Abrir PDF</v>
      </c>
    </row>
    <row r="279" spans="1:6" ht="31.05" customHeight="1">
      <c r="A279" s="5">
        <v>-32325</v>
      </c>
      <c r="B279" s="2" t="s">
        <v>552</v>
      </c>
      <c r="C279" s="2" t="s">
        <v>23610</v>
      </c>
      <c r="D279" s="3">
        <v>4</v>
      </c>
      <c r="E279" s="3">
        <v>19</v>
      </c>
      <c r="F279" s="3" t="str">
        <f>HYPERLINK("https://www.boe.es/gazeta/dias/1811/06/30/pdfs/GMD-1811-181.pdf","Abrir PDF")</f>
        <v>Abrir PDF</v>
      </c>
    </row>
    <row r="280" spans="1:6" ht="31.05" customHeight="1">
      <c r="A280" s="5">
        <v>-32324</v>
      </c>
      <c r="B280" s="2" t="s">
        <v>730</v>
      </c>
      <c r="C280" s="2" t="s">
        <v>23611</v>
      </c>
      <c r="D280" s="3">
        <v>4</v>
      </c>
      <c r="E280" s="3">
        <v>9</v>
      </c>
      <c r="F280" s="3" t="str">
        <f>HYPERLINK("https://www.boe.es/gazeta/dias/1811/07/01/pdfs/GMD-1811-182.pdf","Abrir PDF")</f>
        <v>Abrir PDF</v>
      </c>
    </row>
    <row r="281" spans="1:6" ht="31.05" customHeight="1">
      <c r="A281" s="5">
        <v>-32323</v>
      </c>
      <c r="B281" s="2" t="s">
        <v>2289</v>
      </c>
      <c r="C281" s="2" t="s">
        <v>23612</v>
      </c>
      <c r="D281" s="3">
        <v>4</v>
      </c>
      <c r="E281" s="3">
        <v>12</v>
      </c>
      <c r="F281" s="3" t="str">
        <f>HYPERLINK("https://www.boe.es/gazeta/dias/1811/07/02/pdfs/GMD-1811-183.pdf","Abrir PDF")</f>
        <v>Abrir PDF</v>
      </c>
    </row>
    <row r="282" spans="1:6" ht="31.05" customHeight="1">
      <c r="A282" s="5">
        <v>-32323</v>
      </c>
      <c r="B282" s="2" t="s">
        <v>322</v>
      </c>
      <c r="C282" s="2" t="s">
        <v>23613</v>
      </c>
      <c r="D282" s="3">
        <v>8</v>
      </c>
      <c r="E282" s="3">
        <v>41</v>
      </c>
      <c r="F282" s="3" t="str">
        <f>HYPERLINK("https://www.boe.es/gazeta/dias/1811/07/02/pdfs/GEI-1811-87.pdf","Abrir PDF")</f>
        <v>Abrir PDF</v>
      </c>
    </row>
    <row r="283" spans="1:6" ht="31.05" customHeight="1">
      <c r="A283" s="5">
        <v>-32322</v>
      </c>
      <c r="B283" s="2" t="s">
        <v>13477</v>
      </c>
      <c r="C283" s="2" t="s">
        <v>23614</v>
      </c>
      <c r="D283" s="3">
        <v>4</v>
      </c>
      <c r="E283" s="3">
        <v>2</v>
      </c>
      <c r="F283" s="3" t="str">
        <f>HYPERLINK("https://www.boe.es/gazeta/dias/1811/07/03/pdfs/GMD-1811-184.pdf","Abrir PDF")</f>
        <v>Abrir PDF</v>
      </c>
    </row>
    <row r="284" spans="1:6" ht="31.05" customHeight="1">
      <c r="A284" s="5">
        <v>-32321</v>
      </c>
      <c r="B284" s="2" t="s">
        <v>2344</v>
      </c>
      <c r="C284" s="2" t="s">
        <v>23615</v>
      </c>
      <c r="D284" s="3">
        <v>4</v>
      </c>
      <c r="E284" s="3">
        <v>7</v>
      </c>
      <c r="F284" s="3" t="str">
        <f>HYPERLINK("https://www.boe.es/gazeta/dias/1811/07/04/pdfs/GMD-1811-185.pdf","Abrir PDF")</f>
        <v>Abrir PDF</v>
      </c>
    </row>
    <row r="285" spans="1:6" ht="31.05" customHeight="1">
      <c r="A285" s="5">
        <v>-32321</v>
      </c>
      <c r="B285" s="2" t="s">
        <v>1829</v>
      </c>
      <c r="C285" s="2" t="s">
        <v>23616</v>
      </c>
      <c r="D285" s="3">
        <v>8</v>
      </c>
      <c r="E285" s="3">
        <v>27</v>
      </c>
      <c r="F285" s="3" t="str">
        <f>HYPERLINK("https://www.boe.es/gazeta/dias/1811/07/04/pdfs/GEI-1811-88.pdf","Abrir PDF")</f>
        <v>Abrir PDF</v>
      </c>
    </row>
    <row r="286" spans="1:6" ht="31.05" customHeight="1">
      <c r="A286" s="5">
        <v>-32320</v>
      </c>
      <c r="B286" s="2" t="s">
        <v>3234</v>
      </c>
      <c r="C286" s="2" t="s">
        <v>23617</v>
      </c>
      <c r="D286" s="3">
        <v>4</v>
      </c>
      <c r="E286" s="3">
        <v>6</v>
      </c>
      <c r="F286" s="3" t="str">
        <f>HYPERLINK("https://www.boe.es/gazeta/dias/1811/07/05/pdfs/GMD-1811-186.pdf","Abrir PDF")</f>
        <v>Abrir PDF</v>
      </c>
    </row>
    <row r="287" spans="1:6" ht="31.05" customHeight="1">
      <c r="A287" s="5">
        <v>-32319</v>
      </c>
      <c r="B287" s="2" t="s">
        <v>2035</v>
      </c>
      <c r="C287" s="2" t="s">
        <v>23618</v>
      </c>
      <c r="D287" s="3">
        <v>4</v>
      </c>
      <c r="E287" s="3">
        <v>7</v>
      </c>
      <c r="F287" s="3" t="str">
        <f>HYPERLINK("https://www.boe.es/gazeta/dias/1811/07/06/pdfs/GMD-1811-187.pdf","Abrir PDF")</f>
        <v>Abrir PDF</v>
      </c>
    </row>
    <row r="288" spans="1:6" ht="31.05" customHeight="1">
      <c r="A288" s="5">
        <v>-32319</v>
      </c>
      <c r="B288" s="2" t="s">
        <v>975</v>
      </c>
      <c r="C288" s="2" t="s">
        <v>23619</v>
      </c>
      <c r="D288" s="3">
        <v>8</v>
      </c>
      <c r="E288" s="3">
        <v>20</v>
      </c>
      <c r="F288" s="3" t="str">
        <f>HYPERLINK("https://www.boe.es/gazeta/dias/1811/07/06/pdfs/GEI-1811-89.pdf","Abrir PDF")</f>
        <v>Abrir PDF</v>
      </c>
    </row>
    <row r="289" spans="1:6" ht="31.05" customHeight="1">
      <c r="A289" s="5">
        <v>-32319</v>
      </c>
      <c r="B289" s="2" t="s">
        <v>907</v>
      </c>
      <c r="C289" s="2" t="s">
        <v>23620</v>
      </c>
      <c r="D289" s="3">
        <v>4</v>
      </c>
      <c r="E289" s="3">
        <v>21</v>
      </c>
      <c r="F289" s="3" t="str">
        <f>HYPERLINK("https://www.boe.es/gazeta/dias/1811/07/06/pdfs/GEI-D-1811-89.pdf","Abrir PDF")</f>
        <v>Abrir PDF</v>
      </c>
    </row>
    <row r="290" spans="1:6" ht="31.05" customHeight="1">
      <c r="A290" s="5">
        <v>-32318</v>
      </c>
      <c r="B290" s="2" t="s">
        <v>1193</v>
      </c>
      <c r="C290" s="2" t="s">
        <v>23621</v>
      </c>
      <c r="D290" s="3">
        <v>4</v>
      </c>
      <c r="E290" s="3">
        <v>22</v>
      </c>
      <c r="F290" s="3" t="str">
        <f>HYPERLINK("https://www.boe.es/gazeta/dias/1811/07/07/pdfs/GMD-1811-188.pdf","Abrir PDF")</f>
        <v>Abrir PDF</v>
      </c>
    </row>
    <row r="291" spans="1:6" ht="31.05" customHeight="1">
      <c r="A291" s="5">
        <v>-32317</v>
      </c>
      <c r="B291" s="2" t="s">
        <v>2313</v>
      </c>
      <c r="C291" s="2" t="s">
        <v>23622</v>
      </c>
      <c r="D291" s="3">
        <v>4</v>
      </c>
      <c r="E291" s="3">
        <v>5</v>
      </c>
      <c r="F291" s="3" t="str">
        <f>HYPERLINK("https://www.boe.es/gazeta/dias/1811/07/08/pdfs/GMD-1811-189.pdf","Abrir PDF")</f>
        <v>Abrir PDF</v>
      </c>
    </row>
    <row r="292" spans="1:6" ht="31.05" customHeight="1">
      <c r="A292" s="5">
        <v>-32316</v>
      </c>
      <c r="B292" s="2" t="s">
        <v>6733</v>
      </c>
      <c r="C292" s="2" t="s">
        <v>23623</v>
      </c>
      <c r="D292" s="3">
        <v>4</v>
      </c>
      <c r="E292" s="3">
        <v>2</v>
      </c>
      <c r="F292" s="3" t="str">
        <f>HYPERLINK("https://www.boe.es/gazeta/dias/1811/07/09/pdfs/GMD-1811-190.pdf","Abrir PDF")</f>
        <v>Abrir PDF</v>
      </c>
    </row>
    <row r="293" spans="1:6" ht="31.05" customHeight="1">
      <c r="A293" s="5">
        <v>-32316</v>
      </c>
      <c r="B293" s="2" t="s">
        <v>5337</v>
      </c>
      <c r="C293" s="2" t="s">
        <v>23624</v>
      </c>
      <c r="D293" s="3">
        <v>8</v>
      </c>
      <c r="E293" s="3">
        <v>13</v>
      </c>
      <c r="F293" s="3" t="str">
        <f>HYPERLINK("https://www.boe.es/gazeta/dias/1811/07/09/pdfs/GEI-1811-90.pdf","Abrir PDF")</f>
        <v>Abrir PDF</v>
      </c>
    </row>
    <row r="294" spans="1:6" ht="31.05" customHeight="1">
      <c r="A294" s="5">
        <v>-32315</v>
      </c>
      <c r="B294" s="2" t="s">
        <v>3189</v>
      </c>
      <c r="C294" s="2" t="s">
        <v>23625</v>
      </c>
      <c r="D294" s="3">
        <v>4</v>
      </c>
      <c r="E294" s="3">
        <v>14</v>
      </c>
      <c r="F294" s="3" t="str">
        <f>HYPERLINK("https://www.boe.es/gazeta/dias/1811/07/10/pdfs/GMD-1811-191.pdf","Abrir PDF")</f>
        <v>Abrir PDF</v>
      </c>
    </row>
    <row r="295" spans="1:6" ht="31.05" customHeight="1">
      <c r="A295" s="5">
        <v>-32314</v>
      </c>
      <c r="B295" s="2" t="s">
        <v>6914</v>
      </c>
      <c r="C295" s="2" t="s">
        <v>23626</v>
      </c>
      <c r="D295" s="3">
        <v>4</v>
      </c>
      <c r="E295" s="3">
        <v>12</v>
      </c>
      <c r="F295" s="3" t="str">
        <f>HYPERLINK("https://www.boe.es/gazeta/dias/1811/07/11/pdfs/GMD-1811-192.pdf","Abrir PDF")</f>
        <v>Abrir PDF</v>
      </c>
    </row>
    <row r="296" spans="1:6" ht="31.05" customHeight="1">
      <c r="A296" s="5">
        <v>-32314</v>
      </c>
      <c r="B296" s="2" t="s">
        <v>2051</v>
      </c>
      <c r="C296" s="2" t="s">
        <v>23627</v>
      </c>
      <c r="D296" s="3">
        <v>2</v>
      </c>
      <c r="E296" s="3">
        <v>17</v>
      </c>
      <c r="F296" s="3" t="str">
        <f>HYPERLINK("https://www.boe.es/gazeta/dias/1811/07/11/pdfs/GMD-C-1811-192.pdf","Abrir PDF")</f>
        <v>Abrir PDF</v>
      </c>
    </row>
    <row r="297" spans="1:6" ht="31.05" customHeight="1">
      <c r="A297" s="5">
        <v>-32314</v>
      </c>
      <c r="B297" s="2" t="s">
        <v>570</v>
      </c>
      <c r="C297" s="2" t="s">
        <v>23628</v>
      </c>
      <c r="D297" s="3">
        <v>8</v>
      </c>
      <c r="E297" s="3">
        <v>20</v>
      </c>
      <c r="F297" s="3" t="str">
        <f>HYPERLINK("https://www.boe.es/gazeta/dias/1811/07/11/pdfs/GEI-1811-91.pdf","Abrir PDF")</f>
        <v>Abrir PDF</v>
      </c>
    </row>
    <row r="298" spans="1:6" ht="31.05" customHeight="1">
      <c r="A298" s="5">
        <v>-32313</v>
      </c>
      <c r="B298" s="2" t="s">
        <v>4708</v>
      </c>
      <c r="C298" s="2" t="s">
        <v>23629</v>
      </c>
      <c r="D298" s="3">
        <v>4</v>
      </c>
      <c r="E298" s="3">
        <v>2</v>
      </c>
      <c r="F298" s="3" t="str">
        <f>HYPERLINK("https://www.boe.es/gazeta/dias/1811/07/12/pdfs/GMD-1811-193.pdf","Abrir PDF")</f>
        <v>Abrir PDF</v>
      </c>
    </row>
    <row r="299" spans="1:6" ht="31.05" customHeight="1">
      <c r="A299" s="5">
        <v>-32312</v>
      </c>
      <c r="B299" s="2" t="s">
        <v>8542</v>
      </c>
      <c r="C299" s="2" t="s">
        <v>23630</v>
      </c>
      <c r="D299" s="3">
        <v>4</v>
      </c>
      <c r="E299" s="3">
        <v>1</v>
      </c>
      <c r="F299" s="3" t="str">
        <f>HYPERLINK("https://www.boe.es/gazeta/dias/1811/07/13/pdfs/GMD-1811-194.pdf","Abrir PDF")</f>
        <v>Abrir PDF</v>
      </c>
    </row>
    <row r="300" spans="1:6" ht="31.05" customHeight="1">
      <c r="A300" s="5">
        <v>-32312</v>
      </c>
      <c r="B300" s="2" t="s">
        <v>2640</v>
      </c>
      <c r="C300" s="2" t="s">
        <v>23631</v>
      </c>
      <c r="D300" s="3">
        <v>8</v>
      </c>
      <c r="E300" s="3">
        <v>17</v>
      </c>
      <c r="F300" s="3" t="str">
        <f>HYPERLINK("https://www.boe.es/gazeta/dias/1811/07/13/pdfs/GEI-1811-92.pdf","Abrir PDF")</f>
        <v>Abrir PDF</v>
      </c>
    </row>
    <row r="301" spans="1:6" ht="31.05" customHeight="1">
      <c r="A301" s="5">
        <v>-32311</v>
      </c>
      <c r="B301" s="2" t="s">
        <v>9612</v>
      </c>
      <c r="C301" s="2" t="s">
        <v>23632</v>
      </c>
      <c r="D301" s="3">
        <v>4</v>
      </c>
      <c r="E301" s="3">
        <v>5</v>
      </c>
      <c r="F301" s="3" t="str">
        <f>HYPERLINK("https://www.boe.es/gazeta/dias/1811/07/14/pdfs/GMD-1811-195.pdf","Abrir PDF")</f>
        <v>Abrir PDF</v>
      </c>
    </row>
    <row r="302" spans="1:6" ht="31.05" customHeight="1">
      <c r="A302" s="5">
        <v>-32310</v>
      </c>
      <c r="B302" s="2" t="s">
        <v>2317</v>
      </c>
      <c r="C302" s="2" t="s">
        <v>23633</v>
      </c>
      <c r="D302" s="3">
        <v>4</v>
      </c>
      <c r="E302" s="3">
        <v>8</v>
      </c>
      <c r="F302" s="3" t="str">
        <f>HYPERLINK("https://www.boe.es/gazeta/dias/1811/07/15/pdfs/GMD-1811-196.pdf","Abrir PDF")</f>
        <v>Abrir PDF</v>
      </c>
    </row>
    <row r="303" spans="1:6" ht="31.05" customHeight="1">
      <c r="A303" s="5">
        <v>-32309</v>
      </c>
      <c r="B303" s="2" t="s">
        <v>7621</v>
      </c>
      <c r="C303" s="2" t="s">
        <v>23634</v>
      </c>
      <c r="D303" s="3">
        <v>4</v>
      </c>
      <c r="E303" s="3">
        <v>3</v>
      </c>
      <c r="F303" s="3" t="str">
        <f>HYPERLINK("https://www.boe.es/gazeta/dias/1811/07/16/pdfs/GMD-1811-197.pdf","Abrir PDF")</f>
        <v>Abrir PDF</v>
      </c>
    </row>
    <row r="304" spans="1:6" ht="31.05" customHeight="1">
      <c r="A304" s="5">
        <v>-32309</v>
      </c>
      <c r="B304" s="2" t="s">
        <v>2496</v>
      </c>
      <c r="C304" s="2" t="s">
        <v>23635</v>
      </c>
      <c r="D304" s="3">
        <v>8</v>
      </c>
      <c r="E304" s="3">
        <v>50</v>
      </c>
      <c r="F304" s="3" t="str">
        <f>HYPERLINK("https://www.boe.es/gazeta/dias/1811/07/16/pdfs/GEI-1811-93.pdf","Abrir PDF")</f>
        <v>Abrir PDF</v>
      </c>
    </row>
    <row r="305" spans="1:6" ht="31.05" customHeight="1">
      <c r="A305" s="5">
        <v>-32308</v>
      </c>
      <c r="B305" s="2" t="s">
        <v>4572</v>
      </c>
      <c r="C305" s="2" t="s">
        <v>23636</v>
      </c>
      <c r="D305" s="3">
        <v>4</v>
      </c>
      <c r="E305" s="3">
        <v>10</v>
      </c>
      <c r="F305" s="3" t="str">
        <f>HYPERLINK("https://www.boe.es/gazeta/dias/1811/07/17/pdfs/GMD-1811-198.pdf","Abrir PDF")</f>
        <v>Abrir PDF</v>
      </c>
    </row>
    <row r="306" spans="1:6" ht="31.05" customHeight="1">
      <c r="A306" s="5">
        <v>-32307</v>
      </c>
      <c r="B306" s="2" t="s">
        <v>2614</v>
      </c>
      <c r="C306" s="2" t="s">
        <v>23637</v>
      </c>
      <c r="D306" s="3">
        <v>4</v>
      </c>
      <c r="E306" s="3">
        <v>9</v>
      </c>
      <c r="F306" s="3" t="str">
        <f>HYPERLINK("https://www.boe.es/gazeta/dias/1811/07/18/pdfs/GMD-1811-199.pdf","Abrir PDF")</f>
        <v>Abrir PDF</v>
      </c>
    </row>
    <row r="307" spans="1:6" ht="31.05" customHeight="1">
      <c r="A307" s="5">
        <v>-32307</v>
      </c>
      <c r="B307" s="2" t="s">
        <v>1112</v>
      </c>
      <c r="C307" s="2" t="s">
        <v>23638</v>
      </c>
      <c r="D307" s="3">
        <v>8</v>
      </c>
      <c r="E307" s="3">
        <v>18</v>
      </c>
      <c r="F307" s="3" t="str">
        <f>HYPERLINK("https://www.boe.es/gazeta/dias/1811/07/18/pdfs/GEI-1811-94.pdf","Abrir PDF")</f>
        <v>Abrir PDF</v>
      </c>
    </row>
    <row r="308" spans="1:6" ht="31.05" customHeight="1">
      <c r="A308" s="5">
        <v>-32306</v>
      </c>
      <c r="B308" s="2" t="s">
        <v>3878</v>
      </c>
      <c r="C308" s="2" t="s">
        <v>23639</v>
      </c>
      <c r="D308" s="3">
        <v>4</v>
      </c>
      <c r="E308" s="3">
        <v>5</v>
      </c>
      <c r="F308" s="3" t="str">
        <f>HYPERLINK("https://www.boe.es/gazeta/dias/1811/07/19/pdfs/GMD-1811-200.pdf","Abrir PDF")</f>
        <v>Abrir PDF</v>
      </c>
    </row>
    <row r="309" spans="1:6" ht="31.05" customHeight="1">
      <c r="A309" s="5">
        <v>-32305</v>
      </c>
      <c r="B309" s="2" t="s">
        <v>12656</v>
      </c>
      <c r="C309" s="2" t="s">
        <v>23640</v>
      </c>
      <c r="D309" s="3">
        <v>4</v>
      </c>
      <c r="E309" s="3">
        <v>7</v>
      </c>
      <c r="F309" s="3" t="str">
        <f>HYPERLINK("https://www.boe.es/gazeta/dias/1811/07/20/pdfs/GMD-1811-201.pdf","Abrir PDF")</f>
        <v>Abrir PDF</v>
      </c>
    </row>
    <row r="310" spans="1:6" ht="31.05" customHeight="1">
      <c r="A310" s="5">
        <v>-32305</v>
      </c>
      <c r="B310" s="2" t="s">
        <v>1575</v>
      </c>
      <c r="C310" s="2" t="s">
        <v>23641</v>
      </c>
      <c r="D310" s="3">
        <v>8</v>
      </c>
      <c r="E310" s="3">
        <v>11</v>
      </c>
      <c r="F310" s="3" t="str">
        <f>HYPERLINK("https://www.boe.es/gazeta/dias/1811/07/20/pdfs/GEI-1811-95.pdf","Abrir PDF")</f>
        <v>Abrir PDF</v>
      </c>
    </row>
    <row r="311" spans="1:6" ht="31.05" customHeight="1">
      <c r="A311" s="5">
        <v>-32304</v>
      </c>
      <c r="B311" s="2" t="s">
        <v>2808</v>
      </c>
      <c r="C311" s="2" t="s">
        <v>23642</v>
      </c>
      <c r="D311" s="3">
        <v>4</v>
      </c>
      <c r="E311" s="3">
        <v>4</v>
      </c>
      <c r="F311" s="3" t="str">
        <f>HYPERLINK("https://www.boe.es/gazeta/dias/1811/07/21/pdfs/GMD-1811-202.pdf","Abrir PDF")</f>
        <v>Abrir PDF</v>
      </c>
    </row>
    <row r="312" spans="1:6" ht="31.05" customHeight="1">
      <c r="A312" s="5">
        <v>-32303</v>
      </c>
      <c r="B312" s="2" t="s">
        <v>2811</v>
      </c>
      <c r="C312" s="2" t="s">
        <v>23643</v>
      </c>
      <c r="D312" s="3">
        <v>4</v>
      </c>
      <c r="E312" s="3">
        <v>13</v>
      </c>
      <c r="F312" s="3" t="str">
        <f>HYPERLINK("https://www.boe.es/gazeta/dias/1811/07/22/pdfs/GMD-1811-203.pdf","Abrir PDF")</f>
        <v>Abrir PDF</v>
      </c>
    </row>
    <row r="313" spans="1:6" ht="31.05" customHeight="1">
      <c r="A313" s="5">
        <v>-32302</v>
      </c>
      <c r="B313" s="2" t="s">
        <v>412</v>
      </c>
      <c r="C313" s="2" t="s">
        <v>23644</v>
      </c>
      <c r="D313" s="3">
        <v>4</v>
      </c>
      <c r="E313" s="3">
        <v>7</v>
      </c>
      <c r="F313" s="3" t="str">
        <f>HYPERLINK("https://www.boe.es/gazeta/dias/1811/07/23/pdfs/GMD-1811-204.pdf","Abrir PDF")</f>
        <v>Abrir PDF</v>
      </c>
    </row>
    <row r="314" spans="1:6" ht="31.05" customHeight="1">
      <c r="A314" s="5">
        <v>-32302</v>
      </c>
      <c r="B314" s="2" t="s">
        <v>864</v>
      </c>
      <c r="C314" s="2" t="s">
        <v>23645</v>
      </c>
      <c r="D314" s="3">
        <v>8</v>
      </c>
      <c r="E314" s="3">
        <v>15</v>
      </c>
      <c r="F314" s="3" t="str">
        <f>HYPERLINK("https://www.boe.es/gazeta/dias/1811/07/23/pdfs/GEI-1811-96.pdf","Abrir PDF")</f>
        <v>Abrir PDF</v>
      </c>
    </row>
    <row r="315" spans="1:6" ht="31.05" customHeight="1">
      <c r="A315" s="5">
        <v>-32301</v>
      </c>
      <c r="B315" s="2" t="s">
        <v>4048</v>
      </c>
      <c r="C315" s="2" t="s">
        <v>23646</v>
      </c>
      <c r="D315" s="3">
        <v>4</v>
      </c>
      <c r="E315" s="3">
        <v>3</v>
      </c>
      <c r="F315" s="3" t="str">
        <f>HYPERLINK("https://www.boe.es/gazeta/dias/1811/07/24/pdfs/GMD-1811-205.pdf","Abrir PDF")</f>
        <v>Abrir PDF</v>
      </c>
    </row>
    <row r="316" spans="1:6" ht="31.05" customHeight="1">
      <c r="A316" s="5">
        <v>-32300</v>
      </c>
      <c r="B316" s="2" t="s">
        <v>492</v>
      </c>
      <c r="C316" s="2" t="s">
        <v>23647</v>
      </c>
      <c r="D316" s="3">
        <v>4</v>
      </c>
      <c r="E316" s="3">
        <v>52</v>
      </c>
      <c r="F316" s="3" t="str">
        <f>HYPERLINK("https://www.boe.es/gazeta/dias/1811/07/25/pdfs/GMD-1811-206.pdf","Abrir PDF")</f>
        <v>Abrir PDF</v>
      </c>
    </row>
    <row r="317" spans="1:6" ht="31.05" customHeight="1">
      <c r="A317" s="5">
        <v>-32300</v>
      </c>
      <c r="B317" s="2" t="s">
        <v>61</v>
      </c>
      <c r="C317" s="2" t="s">
        <v>23648</v>
      </c>
      <c r="D317" s="3">
        <v>8</v>
      </c>
      <c r="E317" s="3">
        <v>86</v>
      </c>
      <c r="F317" s="3" t="str">
        <f>HYPERLINK("https://www.boe.es/gazeta/dias/1811/07/25/pdfs/GEI-1811-97.pdf","Abrir PDF")</f>
        <v>Abrir PDF</v>
      </c>
    </row>
    <row r="318" spans="1:6" ht="31.05" customHeight="1">
      <c r="A318" s="5">
        <v>-32299</v>
      </c>
      <c r="B318" s="2" t="s">
        <v>2124</v>
      </c>
      <c r="C318" s="2" t="s">
        <v>23649</v>
      </c>
      <c r="D318" s="3">
        <v>4</v>
      </c>
      <c r="E318" s="3">
        <v>11</v>
      </c>
      <c r="F318" s="3" t="str">
        <f>HYPERLINK("https://www.boe.es/gazeta/dias/1811/07/26/pdfs/GMD-1811-207.pdf","Abrir PDF")</f>
        <v>Abrir PDF</v>
      </c>
    </row>
    <row r="319" spans="1:6" ht="31.05" customHeight="1">
      <c r="A319" s="5">
        <v>-32298</v>
      </c>
      <c r="B319" s="2" t="s">
        <v>2813</v>
      </c>
      <c r="C319" s="2" t="s">
        <v>23650</v>
      </c>
      <c r="D319" s="3">
        <v>4</v>
      </c>
      <c r="E319" s="3">
        <v>4</v>
      </c>
      <c r="F319" s="3" t="str">
        <f>HYPERLINK("https://www.boe.es/gazeta/dias/1811/07/27/pdfs/GMD-1811-208.pdf","Abrir PDF")</f>
        <v>Abrir PDF</v>
      </c>
    </row>
    <row r="320" spans="1:6" ht="31.05" customHeight="1">
      <c r="A320" s="5">
        <v>-32298</v>
      </c>
      <c r="B320" s="2" t="s">
        <v>133</v>
      </c>
      <c r="C320" s="2" t="s">
        <v>23651</v>
      </c>
      <c r="D320" s="3">
        <v>8</v>
      </c>
      <c r="E320" s="3">
        <v>31</v>
      </c>
      <c r="F320" s="3" t="str">
        <f>HYPERLINK("https://www.boe.es/gazeta/dias/1811/07/27/pdfs/GEI-1811-98.pdf","Abrir PDF")</f>
        <v>Abrir PDF</v>
      </c>
    </row>
    <row r="321" spans="1:6" ht="31.05" customHeight="1">
      <c r="A321" s="5">
        <v>-32297</v>
      </c>
      <c r="B321" s="2" t="s">
        <v>2174</v>
      </c>
      <c r="C321" s="2" t="s">
        <v>23652</v>
      </c>
      <c r="D321" s="3">
        <v>4</v>
      </c>
      <c r="E321" s="3">
        <v>42</v>
      </c>
      <c r="F321" s="3" t="str">
        <f>HYPERLINK("https://www.boe.es/gazeta/dias/1811/07/28/pdfs/GMD-1811-209.pdf","Abrir PDF")</f>
        <v>Abrir PDF</v>
      </c>
    </row>
    <row r="322" spans="1:6" ht="31.05" customHeight="1">
      <c r="A322" s="5">
        <v>-32296</v>
      </c>
      <c r="B322" s="2" t="s">
        <v>8352</v>
      </c>
      <c r="C322" s="2" t="s">
        <v>23653</v>
      </c>
      <c r="D322" s="3">
        <v>4</v>
      </c>
      <c r="E322" s="3">
        <v>3</v>
      </c>
      <c r="F322" s="3" t="str">
        <f>HYPERLINK("https://www.boe.es/gazeta/dias/1811/07/29/pdfs/GMD-1811-210.pdf","Abrir PDF")</f>
        <v>Abrir PDF</v>
      </c>
    </row>
    <row r="323" spans="1:6" ht="31.05" customHeight="1">
      <c r="A323" s="5">
        <v>-32295</v>
      </c>
      <c r="B323" s="2" t="s">
        <v>6168</v>
      </c>
      <c r="C323" s="2" t="s">
        <v>23654</v>
      </c>
      <c r="D323" s="3">
        <v>4</v>
      </c>
      <c r="E323" s="3">
        <v>10</v>
      </c>
      <c r="F323" s="3" t="str">
        <f>HYPERLINK("https://www.boe.es/gazeta/dias/1811/07/30/pdfs/GMD-1811-211.pdf","Abrir PDF")</f>
        <v>Abrir PDF</v>
      </c>
    </row>
    <row r="324" spans="1:6" ht="31.05" customHeight="1">
      <c r="A324" s="5">
        <v>-32295</v>
      </c>
      <c r="B324" s="2" t="s">
        <v>279</v>
      </c>
      <c r="C324" s="2" t="s">
        <v>23655</v>
      </c>
      <c r="D324" s="3">
        <v>8</v>
      </c>
      <c r="E324" s="3">
        <v>53</v>
      </c>
      <c r="F324" s="3" t="str">
        <f>HYPERLINK("https://www.boe.es/gazeta/dias/1811/07/30/pdfs/GEI-1811-99.pdf","Abrir PDF")</f>
        <v>Abrir PDF</v>
      </c>
    </row>
    <row r="325" spans="1:6" ht="31.05" customHeight="1">
      <c r="A325" s="5">
        <v>-32294</v>
      </c>
      <c r="B325" s="2" t="s">
        <v>3123</v>
      </c>
      <c r="C325" s="2" t="s">
        <v>23656</v>
      </c>
      <c r="D325" s="3">
        <v>4</v>
      </c>
      <c r="E325" s="3">
        <v>17</v>
      </c>
      <c r="F325" s="3" t="str">
        <f>HYPERLINK("https://www.boe.es/gazeta/dias/1811/07/31/pdfs/GMD-1811-212.pdf","Abrir PDF")</f>
        <v>Abrir PDF</v>
      </c>
    </row>
    <row r="326" spans="1:6" ht="31.05" customHeight="1">
      <c r="A326" s="5">
        <v>-32293</v>
      </c>
      <c r="B326" s="2" t="s">
        <v>2815</v>
      </c>
      <c r="C326" s="2" t="s">
        <v>23657</v>
      </c>
      <c r="D326" s="3">
        <v>4</v>
      </c>
      <c r="E326" s="3">
        <v>11</v>
      </c>
      <c r="F326" s="3" t="str">
        <f>HYPERLINK("https://www.boe.es/gazeta/dias/1811/08/01/pdfs/GMD-1811-213.pdf","Abrir PDF")</f>
        <v>Abrir PDF</v>
      </c>
    </row>
    <row r="327" spans="1:6" ht="31.05" customHeight="1">
      <c r="A327" s="5">
        <v>-32293</v>
      </c>
      <c r="B327" s="2" t="s">
        <v>3064</v>
      </c>
      <c r="C327" s="2" t="s">
        <v>23658</v>
      </c>
      <c r="D327" s="3">
        <v>8</v>
      </c>
      <c r="E327" s="3">
        <v>15</v>
      </c>
      <c r="F327" s="3" t="str">
        <f>HYPERLINK("https://www.boe.es/gazeta/dias/1811/08/01/pdfs/GEI-1811-100.pdf","Abrir PDF")</f>
        <v>Abrir PDF</v>
      </c>
    </row>
    <row r="328" spans="1:6" ht="31.05" customHeight="1">
      <c r="A328" s="5">
        <v>-32292</v>
      </c>
      <c r="B328" s="2" t="s">
        <v>408</v>
      </c>
      <c r="C328" s="2" t="s">
        <v>23659</v>
      </c>
      <c r="D328" s="3">
        <v>4</v>
      </c>
      <c r="E328" s="3">
        <v>24</v>
      </c>
      <c r="F328" s="3" t="str">
        <f>HYPERLINK("https://www.boe.es/gazeta/dias/1811/08/02/pdfs/GMD-1811-214.pdf","Abrir PDF")</f>
        <v>Abrir PDF</v>
      </c>
    </row>
    <row r="329" spans="1:6" ht="31.05" customHeight="1">
      <c r="A329" s="5">
        <v>-32291</v>
      </c>
      <c r="B329" s="2" t="s">
        <v>13464</v>
      </c>
      <c r="C329" s="2" t="s">
        <v>23660</v>
      </c>
      <c r="D329" s="3">
        <v>4</v>
      </c>
      <c r="E329" s="3">
        <v>5</v>
      </c>
      <c r="F329" s="3" t="str">
        <f>HYPERLINK("https://www.boe.es/gazeta/dias/1811/08/03/pdfs/GMD-1811-215.pdf","Abrir PDF")</f>
        <v>Abrir PDF</v>
      </c>
    </row>
    <row r="330" spans="1:6" ht="31.05" customHeight="1">
      <c r="A330" s="5">
        <v>-32291</v>
      </c>
      <c r="B330" s="2" t="s">
        <v>712</v>
      </c>
      <c r="C330" s="2" t="s">
        <v>23661</v>
      </c>
      <c r="D330" s="3">
        <v>8</v>
      </c>
      <c r="E330" s="3">
        <v>20</v>
      </c>
      <c r="F330" s="3" t="str">
        <f>HYPERLINK("https://www.boe.es/gazeta/dias/1811/08/03/pdfs/GEI-1811-101.pdf","Abrir PDF")</f>
        <v>Abrir PDF</v>
      </c>
    </row>
    <row r="331" spans="1:6" ht="31.05" customHeight="1">
      <c r="A331" s="5">
        <v>-32290</v>
      </c>
      <c r="B331" s="2" t="s">
        <v>6678</v>
      </c>
      <c r="C331" s="2" t="s">
        <v>23662</v>
      </c>
      <c r="D331" s="3">
        <v>4</v>
      </c>
      <c r="E331" s="3">
        <v>3</v>
      </c>
      <c r="F331" s="3" t="str">
        <f>HYPERLINK("https://www.boe.es/gazeta/dias/1811/08/04/pdfs/GMD-1811-216.pdf","Abrir PDF")</f>
        <v>Abrir PDF</v>
      </c>
    </row>
    <row r="332" spans="1:6" ht="31.05" customHeight="1">
      <c r="A332" s="5">
        <v>-32289</v>
      </c>
      <c r="B332" s="2" t="s">
        <v>10165</v>
      </c>
      <c r="C332" s="2" t="s">
        <v>23663</v>
      </c>
      <c r="D332" s="3">
        <v>4</v>
      </c>
      <c r="E332" s="3">
        <v>2</v>
      </c>
      <c r="F332" s="3" t="str">
        <f>HYPERLINK("https://www.boe.es/gazeta/dias/1811/08/05/pdfs/GMD-1811-217.pdf","Abrir PDF")</f>
        <v>Abrir PDF</v>
      </c>
    </row>
    <row r="333" spans="1:6" ht="31.05" customHeight="1">
      <c r="A333" s="5">
        <v>-32288</v>
      </c>
      <c r="B333" s="2" t="s">
        <v>14428</v>
      </c>
      <c r="C333" s="2" t="s">
        <v>23664</v>
      </c>
      <c r="D333" s="3">
        <v>4</v>
      </c>
      <c r="E333" s="3">
        <v>1</v>
      </c>
      <c r="F333" s="3" t="str">
        <f>HYPERLINK("https://www.boe.es/gazeta/dias/1811/08/06/pdfs/GMD-1811-218.pdf","Abrir PDF")</f>
        <v>Abrir PDF</v>
      </c>
    </row>
    <row r="334" spans="1:6" ht="31.05" customHeight="1">
      <c r="A334" s="5">
        <v>-32288</v>
      </c>
      <c r="B334" s="2" t="s">
        <v>95</v>
      </c>
      <c r="C334" s="2" t="s">
        <v>23665</v>
      </c>
      <c r="D334" s="3">
        <v>8</v>
      </c>
      <c r="E334" s="3">
        <v>77</v>
      </c>
      <c r="F334" s="3" t="str">
        <f>HYPERLINK("https://www.boe.es/gazeta/dias/1811/08/06/pdfs/GEI-1811-102.pdf","Abrir PDF")</f>
        <v>Abrir PDF</v>
      </c>
    </row>
    <row r="335" spans="1:6" ht="31.05" customHeight="1">
      <c r="A335" s="5">
        <v>-32287</v>
      </c>
      <c r="B335" s="2" t="s">
        <v>16946</v>
      </c>
      <c r="C335" s="2" t="s">
        <v>23666</v>
      </c>
      <c r="D335" s="3">
        <v>4</v>
      </c>
      <c r="E335" s="3">
        <v>3</v>
      </c>
      <c r="F335" s="3" t="str">
        <f>HYPERLINK("https://www.boe.es/gazeta/dias/1811/08/07/pdfs/GMD-1811-219.pdf","Abrir PDF")</f>
        <v>Abrir PDF</v>
      </c>
    </row>
    <row r="336" spans="1:6" ht="31.05" customHeight="1">
      <c r="A336" s="5">
        <v>-32286</v>
      </c>
      <c r="B336" s="2" t="s">
        <v>1420</v>
      </c>
      <c r="C336" s="2" t="s">
        <v>23667</v>
      </c>
      <c r="D336" s="3">
        <v>4</v>
      </c>
      <c r="E336" s="3">
        <v>3</v>
      </c>
      <c r="F336" s="3" t="str">
        <f>HYPERLINK("https://www.boe.es/gazeta/dias/1811/08/08/pdfs/GMD-1811-220.pdf","Abrir PDF")</f>
        <v>Abrir PDF</v>
      </c>
    </row>
    <row r="337" spans="1:6" ht="31.05" customHeight="1">
      <c r="A337" s="5">
        <v>-32286</v>
      </c>
      <c r="B337" s="2" t="s">
        <v>754</v>
      </c>
      <c r="C337" s="2" t="s">
        <v>23668</v>
      </c>
      <c r="D337" s="3">
        <v>8</v>
      </c>
      <c r="E337" s="3">
        <v>80</v>
      </c>
      <c r="F337" s="3" t="str">
        <f>HYPERLINK("https://www.boe.es/gazeta/dias/1811/08/08/pdfs/GEI-1811-103.pdf","Abrir PDF")</f>
        <v>Abrir PDF</v>
      </c>
    </row>
    <row r="338" spans="1:6" ht="31.05" customHeight="1">
      <c r="A338" s="5">
        <v>-32285</v>
      </c>
      <c r="B338" s="2" t="s">
        <v>3716</v>
      </c>
      <c r="C338" s="2" t="s">
        <v>23669</v>
      </c>
      <c r="D338" s="3">
        <v>4</v>
      </c>
      <c r="E338" s="3">
        <v>11</v>
      </c>
      <c r="F338" s="3" t="str">
        <f>HYPERLINK("https://www.boe.es/gazeta/dias/1811/08/09/pdfs/GMD-1811-221.pdf","Abrir PDF")</f>
        <v>Abrir PDF</v>
      </c>
    </row>
    <row r="339" spans="1:6" ht="31.05" customHeight="1">
      <c r="A339" s="5">
        <v>-32284</v>
      </c>
      <c r="B339" s="2" t="s">
        <v>2818</v>
      </c>
      <c r="C339" s="2" t="s">
        <v>23670</v>
      </c>
      <c r="D339" s="3">
        <v>4</v>
      </c>
      <c r="E339" s="3">
        <v>6</v>
      </c>
      <c r="F339" s="3" t="str">
        <f>HYPERLINK("https://www.boe.es/gazeta/dias/1811/08/10/pdfs/GMD-1811-222.pdf","Abrir PDF")</f>
        <v>Abrir PDF</v>
      </c>
    </row>
    <row r="340" spans="1:6" ht="31.05" customHeight="1">
      <c r="A340" s="5">
        <v>-32284</v>
      </c>
      <c r="B340" s="2" t="s">
        <v>170</v>
      </c>
      <c r="C340" s="2" t="s">
        <v>23671</v>
      </c>
      <c r="D340" s="3">
        <v>8</v>
      </c>
      <c r="E340" s="3">
        <v>36</v>
      </c>
      <c r="F340" s="3" t="str">
        <f>HYPERLINK("https://www.boe.es/gazeta/dias/1811/08/10/pdfs/GEI-1811-104.pdf","Abrir PDF")</f>
        <v>Abrir PDF</v>
      </c>
    </row>
    <row r="341" spans="1:6" ht="31.05" customHeight="1">
      <c r="A341" s="5">
        <v>-32283</v>
      </c>
      <c r="B341" s="2" t="s">
        <v>90</v>
      </c>
      <c r="C341" s="2" t="s">
        <v>23672</v>
      </c>
      <c r="D341" s="3">
        <v>4</v>
      </c>
      <c r="E341" s="3">
        <v>45</v>
      </c>
      <c r="F341" s="3" t="str">
        <f>HYPERLINK("https://www.boe.es/gazeta/dias/1811/08/11/pdfs/GMD-1811-223.pdf","Abrir PDF")</f>
        <v>Abrir PDF</v>
      </c>
    </row>
    <row r="342" spans="1:6" ht="31.05" customHeight="1">
      <c r="A342" s="5">
        <v>-32282</v>
      </c>
      <c r="B342" s="2" t="s">
        <v>10800</v>
      </c>
      <c r="C342" s="2" t="s">
        <v>23673</v>
      </c>
      <c r="D342" s="3">
        <v>4</v>
      </c>
      <c r="E342" s="3">
        <v>7</v>
      </c>
      <c r="F342" s="3" t="str">
        <f>HYPERLINK("https://www.boe.es/gazeta/dias/1811/08/12/pdfs/GMD-1811-224.pdf","Abrir PDF")</f>
        <v>Abrir PDF</v>
      </c>
    </row>
    <row r="343" spans="1:6" ht="31.05" customHeight="1">
      <c r="A343" s="5">
        <v>-32281</v>
      </c>
      <c r="B343" s="2" t="s">
        <v>1041</v>
      </c>
      <c r="C343" s="2" t="s">
        <v>23674</v>
      </c>
      <c r="D343" s="3">
        <v>4</v>
      </c>
      <c r="E343" s="3">
        <v>10</v>
      </c>
      <c r="F343" s="3" t="str">
        <f>HYPERLINK("https://www.boe.es/gazeta/dias/1811/08/13/pdfs/GMD-1811-225.pdf","Abrir PDF")</f>
        <v>Abrir PDF</v>
      </c>
    </row>
    <row r="344" spans="1:6" ht="31.05" customHeight="1">
      <c r="A344" s="5">
        <v>-32281</v>
      </c>
      <c r="B344" s="2" t="s">
        <v>982</v>
      </c>
      <c r="C344" s="2" t="s">
        <v>23675</v>
      </c>
      <c r="D344" s="3">
        <v>8</v>
      </c>
      <c r="E344" s="3">
        <v>22</v>
      </c>
      <c r="F344" s="3" t="str">
        <f>HYPERLINK("https://www.boe.es/gazeta/dias/1811/08/13/pdfs/GEI-1811-105.pdf","Abrir PDF")</f>
        <v>Abrir PDF</v>
      </c>
    </row>
    <row r="345" spans="1:6" ht="31.05" customHeight="1">
      <c r="A345" s="5">
        <v>-32280</v>
      </c>
      <c r="B345" s="2" t="s">
        <v>7865</v>
      </c>
      <c r="C345" s="2" t="s">
        <v>23676</v>
      </c>
      <c r="D345" s="3">
        <v>4</v>
      </c>
      <c r="E345" s="3">
        <v>5</v>
      </c>
      <c r="F345" s="3" t="str">
        <f>HYPERLINK("https://www.boe.es/gazeta/dias/1811/08/14/pdfs/GMD-1811-226.pdf","Abrir PDF")</f>
        <v>Abrir PDF</v>
      </c>
    </row>
    <row r="346" spans="1:6" ht="31.05" customHeight="1">
      <c r="A346" s="5">
        <v>-32280</v>
      </c>
      <c r="B346" s="2" t="s">
        <v>142</v>
      </c>
      <c r="C346" s="2" t="s">
        <v>23677</v>
      </c>
      <c r="D346" s="3">
        <v>2</v>
      </c>
      <c r="E346" s="3">
        <v>88</v>
      </c>
      <c r="F346" s="3" t="str">
        <f>HYPERLINK("https://www.boe.es/gazeta/dias/1811/08/14/pdfs/GMD-C-1811-226.pdf","Abrir PDF")</f>
        <v>Abrir PDF</v>
      </c>
    </row>
    <row r="347" spans="1:6" ht="31.05" customHeight="1">
      <c r="A347" s="5">
        <v>-32279</v>
      </c>
      <c r="B347" s="2" t="s">
        <v>540</v>
      </c>
      <c r="C347" s="2" t="s">
        <v>23678</v>
      </c>
      <c r="D347" s="3">
        <v>4</v>
      </c>
      <c r="E347" s="3">
        <v>51</v>
      </c>
      <c r="F347" s="3" t="str">
        <f>HYPERLINK("https://www.boe.es/gazeta/dias/1811/08/15/pdfs/GMD-1811-227.pdf","Abrir PDF")</f>
        <v>Abrir PDF</v>
      </c>
    </row>
    <row r="348" spans="1:6" ht="31.05" customHeight="1">
      <c r="A348" s="5">
        <v>-32279</v>
      </c>
      <c r="B348" s="2" t="s">
        <v>444</v>
      </c>
      <c r="C348" s="2" t="s">
        <v>23679</v>
      </c>
      <c r="D348" s="3">
        <v>8</v>
      </c>
      <c r="E348" s="3">
        <v>9</v>
      </c>
      <c r="F348" s="3" t="str">
        <f>HYPERLINK("https://www.boe.es/gazeta/dias/1811/08/15/pdfs/GEI-1811-106.pdf","Abrir PDF")</f>
        <v>Abrir PDF</v>
      </c>
    </row>
    <row r="349" spans="1:6" ht="31.05" customHeight="1">
      <c r="A349" s="5">
        <v>-32278</v>
      </c>
      <c r="B349" s="2" t="s">
        <v>765</v>
      </c>
      <c r="C349" s="2" t="s">
        <v>23680</v>
      </c>
      <c r="D349" s="3">
        <v>4</v>
      </c>
      <c r="E349" s="3">
        <v>6</v>
      </c>
      <c r="F349" s="3" t="str">
        <f>HYPERLINK("https://www.boe.es/gazeta/dias/1811/08/16/pdfs/GMD-1811-228.pdf","Abrir PDF")</f>
        <v>Abrir PDF</v>
      </c>
    </row>
    <row r="350" spans="1:6" ht="31.05" customHeight="1">
      <c r="A350" s="5">
        <v>-32277</v>
      </c>
      <c r="B350" s="2" t="s">
        <v>230</v>
      </c>
      <c r="C350" s="2" t="s">
        <v>23681</v>
      </c>
      <c r="D350" s="3">
        <v>4</v>
      </c>
      <c r="E350" s="3">
        <v>2</v>
      </c>
      <c r="F350" s="3" t="str">
        <f>HYPERLINK("https://www.boe.es/gazeta/dias/1811/08/17/pdfs/GMD-1811-229.pdf","Abrir PDF")</f>
        <v>Abrir PDF</v>
      </c>
    </row>
    <row r="351" spans="1:6" ht="31.05" customHeight="1">
      <c r="A351" s="5">
        <v>-32277</v>
      </c>
      <c r="B351" s="2" t="s">
        <v>1765</v>
      </c>
      <c r="C351" s="2" t="s">
        <v>23682</v>
      </c>
      <c r="D351" s="3">
        <v>8</v>
      </c>
      <c r="E351" s="3">
        <v>15</v>
      </c>
      <c r="F351" s="3" t="str">
        <f>HYPERLINK("https://www.boe.es/gazeta/dias/1811/08/17/pdfs/GEI-1811-107.pdf","Abrir PDF")</f>
        <v>Abrir PDF</v>
      </c>
    </row>
    <row r="352" spans="1:6" ht="31.05" customHeight="1">
      <c r="A352" s="5">
        <v>-32276</v>
      </c>
      <c r="B352" s="2" t="s">
        <v>1361</v>
      </c>
      <c r="C352" s="2" t="s">
        <v>23683</v>
      </c>
      <c r="D352" s="3">
        <v>4</v>
      </c>
      <c r="E352" s="3">
        <v>14</v>
      </c>
      <c r="F352" s="3" t="str">
        <f>HYPERLINK("https://www.boe.es/gazeta/dias/1811/08/18/pdfs/GMD-1811-230.pdf","Abrir PDF")</f>
        <v>Abrir PDF</v>
      </c>
    </row>
    <row r="353" spans="1:6" ht="31.05" customHeight="1">
      <c r="A353" s="5">
        <v>-32275</v>
      </c>
      <c r="B353" s="2" t="s">
        <v>1277</v>
      </c>
      <c r="C353" s="2" t="s">
        <v>23684</v>
      </c>
      <c r="D353" s="3">
        <v>4</v>
      </c>
      <c r="E353" s="3">
        <v>5</v>
      </c>
      <c r="F353" s="3" t="str">
        <f>HYPERLINK("https://www.boe.es/gazeta/dias/1811/08/19/pdfs/GMD-1811-231.pdf","Abrir PDF")</f>
        <v>Abrir PDF</v>
      </c>
    </row>
    <row r="354" spans="1:6" ht="31.05" customHeight="1">
      <c r="A354" s="5">
        <v>-32274</v>
      </c>
      <c r="B354" s="2" t="s">
        <v>988</v>
      </c>
      <c r="C354" s="2" t="s">
        <v>23685</v>
      </c>
      <c r="D354" s="3">
        <v>4</v>
      </c>
      <c r="E354" s="3">
        <v>7</v>
      </c>
      <c r="F354" s="3" t="str">
        <f>HYPERLINK("https://www.boe.es/gazeta/dias/1811/08/20/pdfs/GMD-1811-232.pdf","Abrir PDF")</f>
        <v>Abrir PDF</v>
      </c>
    </row>
    <row r="355" spans="1:6" ht="31.05" customHeight="1">
      <c r="A355" s="5">
        <v>-32274</v>
      </c>
      <c r="B355" s="2" t="s">
        <v>5081</v>
      </c>
      <c r="C355" s="2" t="s">
        <v>23686</v>
      </c>
      <c r="D355" s="3">
        <v>8</v>
      </c>
      <c r="E355" s="3">
        <v>9</v>
      </c>
      <c r="F355" s="3" t="str">
        <f>HYPERLINK("https://www.boe.es/gazeta/dias/1811/08/20/pdfs/GEI-1811-108.pdf","Abrir PDF")</f>
        <v>Abrir PDF</v>
      </c>
    </row>
    <row r="356" spans="1:6" ht="31.05" customHeight="1">
      <c r="A356" s="5">
        <v>-32273</v>
      </c>
      <c r="B356" s="2" t="s">
        <v>2820</v>
      </c>
      <c r="C356" s="2" t="s">
        <v>23687</v>
      </c>
      <c r="D356" s="3">
        <v>4</v>
      </c>
      <c r="E356" s="3">
        <v>5</v>
      </c>
      <c r="F356" s="3" t="str">
        <f>HYPERLINK("https://www.boe.es/gazeta/dias/1811/08/21/pdfs/GMD-1811-233.pdf","Abrir PDF")</f>
        <v>Abrir PDF</v>
      </c>
    </row>
    <row r="357" spans="1:6" ht="31.05" customHeight="1">
      <c r="A357" s="5">
        <v>-32272</v>
      </c>
      <c r="B357" s="2" t="s">
        <v>12710</v>
      </c>
      <c r="C357" s="2" t="s">
        <v>23688</v>
      </c>
      <c r="D357" s="3">
        <v>4</v>
      </c>
      <c r="E357" s="3">
        <v>2</v>
      </c>
      <c r="F357" s="3" t="str">
        <f>HYPERLINK("https://www.boe.es/gazeta/dias/1811/08/22/pdfs/GMD-1811-234.pdf","Abrir PDF")</f>
        <v>Abrir PDF</v>
      </c>
    </row>
    <row r="358" spans="1:6" ht="31.05" customHeight="1">
      <c r="A358" s="5">
        <v>-32272</v>
      </c>
      <c r="B358" s="2" t="s">
        <v>1150</v>
      </c>
      <c r="C358" s="2" t="s">
        <v>23689</v>
      </c>
      <c r="D358" s="3">
        <v>2</v>
      </c>
      <c r="E358" s="3">
        <v>43</v>
      </c>
      <c r="F358" s="3" t="str">
        <f>HYPERLINK("https://www.boe.es/gazeta/dias/1811/08/22/pdfs/GMD-C-1811-234.pdf","Abrir PDF")</f>
        <v>Abrir PDF</v>
      </c>
    </row>
    <row r="359" spans="1:6" ht="31.05" customHeight="1">
      <c r="A359" s="5">
        <v>-32272</v>
      </c>
      <c r="B359" s="2" t="s">
        <v>1121</v>
      </c>
      <c r="C359" s="2" t="s">
        <v>23690</v>
      </c>
      <c r="D359" s="3">
        <v>8</v>
      </c>
      <c r="E359" s="3">
        <v>22</v>
      </c>
      <c r="F359" s="3" t="str">
        <f>HYPERLINK("https://www.boe.es/gazeta/dias/1811/08/22/pdfs/GEI-1811-109.pdf","Abrir PDF")</f>
        <v>Abrir PDF</v>
      </c>
    </row>
    <row r="360" spans="1:6" ht="31.05" customHeight="1">
      <c r="A360" s="5">
        <v>-32271</v>
      </c>
      <c r="B360" s="2" t="s">
        <v>2902</v>
      </c>
      <c r="C360" s="2" t="s">
        <v>23691</v>
      </c>
      <c r="D360" s="3">
        <v>4</v>
      </c>
      <c r="E360" s="3">
        <v>4</v>
      </c>
      <c r="F360" s="3" t="str">
        <f>HYPERLINK("https://www.boe.es/gazeta/dias/1811/08/23/pdfs/GMD-1811-235.pdf","Abrir PDF")</f>
        <v>Abrir PDF</v>
      </c>
    </row>
    <row r="361" spans="1:6" ht="31.05" customHeight="1">
      <c r="A361" s="5">
        <v>-32270</v>
      </c>
      <c r="B361" s="2" t="s">
        <v>2617</v>
      </c>
      <c r="C361" s="2" t="s">
        <v>23692</v>
      </c>
      <c r="D361" s="3">
        <v>4</v>
      </c>
      <c r="E361" s="3">
        <v>6</v>
      </c>
      <c r="F361" s="3" t="str">
        <f>HYPERLINK("https://www.boe.es/gazeta/dias/1811/08/24/pdfs/GMD-1811-236.pdf","Abrir PDF")</f>
        <v>Abrir PDF</v>
      </c>
    </row>
    <row r="362" spans="1:6" ht="31.05" customHeight="1">
      <c r="A362" s="5">
        <v>-32270</v>
      </c>
      <c r="B362" s="2" t="s">
        <v>431</v>
      </c>
      <c r="C362" s="2" t="s">
        <v>23693</v>
      </c>
      <c r="D362" s="3">
        <v>8</v>
      </c>
      <c r="E362" s="3">
        <v>53</v>
      </c>
      <c r="F362" s="3" t="str">
        <f>HYPERLINK("https://www.boe.es/gazeta/dias/1811/08/24/pdfs/GEI-1811-110.pdf","Abrir PDF")</f>
        <v>Abrir PDF</v>
      </c>
    </row>
    <row r="363" spans="1:6" ht="31.05" customHeight="1">
      <c r="A363" s="5">
        <v>-32269</v>
      </c>
      <c r="B363" s="2" t="s">
        <v>56</v>
      </c>
      <c r="C363" s="2" t="s">
        <v>23694</v>
      </c>
      <c r="D363" s="3">
        <v>4</v>
      </c>
      <c r="E363" s="3">
        <v>6</v>
      </c>
      <c r="F363" s="3" t="str">
        <f>HYPERLINK("https://www.boe.es/gazeta/dias/1811/08/25/pdfs/GMD-1811-237.pdf","Abrir PDF")</f>
        <v>Abrir PDF</v>
      </c>
    </row>
    <row r="364" spans="1:6" ht="31.05" customHeight="1">
      <c r="A364" s="5">
        <v>-32268</v>
      </c>
      <c r="B364" s="2" t="s">
        <v>3683</v>
      </c>
      <c r="C364" s="2" t="s">
        <v>23695</v>
      </c>
      <c r="D364" s="3">
        <v>4</v>
      </c>
      <c r="E364" s="3">
        <v>8</v>
      </c>
      <c r="F364" s="3" t="str">
        <f>HYPERLINK("https://www.boe.es/gazeta/dias/1811/08/26/pdfs/GMD-1811-238.pdf","Abrir PDF")</f>
        <v>Abrir PDF</v>
      </c>
    </row>
    <row r="365" spans="1:6" ht="31.05" customHeight="1">
      <c r="A365" s="5">
        <v>-32267</v>
      </c>
      <c r="B365" s="2" t="s">
        <v>8812</v>
      </c>
      <c r="C365" s="2" t="s">
        <v>23696</v>
      </c>
      <c r="D365" s="3">
        <v>4</v>
      </c>
      <c r="E365" s="3">
        <v>4</v>
      </c>
      <c r="F365" s="3" t="str">
        <f>HYPERLINK("https://www.boe.es/gazeta/dias/1811/08/27/pdfs/GMD-1811-239.pdf","Abrir PDF")</f>
        <v>Abrir PDF</v>
      </c>
    </row>
    <row r="366" spans="1:6" ht="31.05" customHeight="1">
      <c r="A366" s="5">
        <v>-32267</v>
      </c>
      <c r="B366" s="2" t="s">
        <v>1045</v>
      </c>
      <c r="C366" s="2" t="s">
        <v>23697</v>
      </c>
      <c r="D366" s="3">
        <v>8</v>
      </c>
      <c r="E366" s="3">
        <v>21</v>
      </c>
      <c r="F366" s="3" t="str">
        <f>HYPERLINK("https://www.boe.es/gazeta/dias/1811/08/27/pdfs/GEI-1811-111.pdf","Abrir PDF")</f>
        <v>Abrir PDF</v>
      </c>
    </row>
    <row r="367" spans="1:6" ht="31.05" customHeight="1">
      <c r="A367" s="5">
        <v>-32266</v>
      </c>
      <c r="B367" s="2" t="s">
        <v>1234</v>
      </c>
      <c r="C367" s="2" t="s">
        <v>23698</v>
      </c>
      <c r="D367" s="3">
        <v>4</v>
      </c>
      <c r="E367" s="3">
        <v>5</v>
      </c>
      <c r="F367" s="3" t="str">
        <f>HYPERLINK("https://www.boe.es/gazeta/dias/1811/08/28/pdfs/GMD-1811-240.pdf","Abrir PDF")</f>
        <v>Abrir PDF</v>
      </c>
    </row>
    <row r="368" spans="1:6" ht="31.05" customHeight="1">
      <c r="A368" s="5">
        <v>-32265</v>
      </c>
      <c r="B368" s="2" t="s">
        <v>12728</v>
      </c>
      <c r="C368" s="2" t="s">
        <v>23699</v>
      </c>
      <c r="D368" s="3">
        <v>4</v>
      </c>
      <c r="E368" s="3">
        <v>2</v>
      </c>
      <c r="F368" s="3" t="str">
        <f>HYPERLINK("https://www.boe.es/gazeta/dias/1811/08/29/pdfs/GMD-1811-241.pdf","Abrir PDF")</f>
        <v>Abrir PDF</v>
      </c>
    </row>
    <row r="369" spans="1:6" ht="31.05" customHeight="1">
      <c r="A369" s="5">
        <v>-32265</v>
      </c>
      <c r="B369" s="2" t="s">
        <v>2375</v>
      </c>
      <c r="C369" s="2" t="s">
        <v>23700</v>
      </c>
      <c r="D369" s="3">
        <v>8</v>
      </c>
      <c r="E369" s="3">
        <v>20</v>
      </c>
      <c r="F369" s="3" t="str">
        <f>HYPERLINK("https://www.boe.es/gazeta/dias/1811/08/29/pdfs/GEI-1811-112.pdf","Abrir PDF")</f>
        <v>Abrir PDF</v>
      </c>
    </row>
    <row r="370" spans="1:6" ht="31.05" customHeight="1">
      <c r="A370" s="5">
        <v>-32264</v>
      </c>
      <c r="B370" s="2" t="s">
        <v>3038</v>
      </c>
      <c r="C370" s="2" t="s">
        <v>23701</v>
      </c>
      <c r="D370" s="3">
        <v>4</v>
      </c>
      <c r="E370" s="3">
        <v>11</v>
      </c>
      <c r="F370" s="3" t="str">
        <f>HYPERLINK("https://www.boe.es/gazeta/dias/1811/08/30/pdfs/GMD-1811-242.pdf","Abrir PDF")</f>
        <v>Abrir PDF</v>
      </c>
    </row>
    <row r="371" spans="1:6" ht="31.05" customHeight="1">
      <c r="A371" s="5">
        <v>-32263</v>
      </c>
      <c r="B371" s="2" t="s">
        <v>3780</v>
      </c>
      <c r="C371" s="2" t="s">
        <v>23702</v>
      </c>
      <c r="D371" s="3">
        <v>4</v>
      </c>
      <c r="E371" s="3">
        <v>18</v>
      </c>
      <c r="F371" s="3" t="str">
        <f>HYPERLINK("https://www.boe.es/gazeta/dias/1811/08/31/pdfs/GMD-1811-243.pdf","Abrir PDF")</f>
        <v>Abrir PDF</v>
      </c>
    </row>
    <row r="372" spans="1:6" ht="31.05" customHeight="1">
      <c r="A372" s="5">
        <v>-32263</v>
      </c>
      <c r="B372" s="2" t="s">
        <v>128</v>
      </c>
      <c r="C372" s="2" t="s">
        <v>23703</v>
      </c>
      <c r="D372" s="3">
        <v>8</v>
      </c>
      <c r="E372" s="3">
        <v>21</v>
      </c>
      <c r="F372" s="3" t="str">
        <f>HYPERLINK("https://www.boe.es/gazeta/dias/1811/08/31/pdfs/GEI-1811-113.pdf","Abrir PDF")</f>
        <v>Abrir PDF</v>
      </c>
    </row>
    <row r="373" spans="1:6" ht="31.05" customHeight="1">
      <c r="A373" s="5">
        <v>-32262</v>
      </c>
      <c r="B373" s="2" t="s">
        <v>7530</v>
      </c>
      <c r="C373" s="2" t="s">
        <v>23704</v>
      </c>
      <c r="D373" s="3">
        <v>4</v>
      </c>
      <c r="E373" s="3">
        <v>2</v>
      </c>
      <c r="F373" s="3" t="str">
        <f>HYPERLINK("https://www.boe.es/gazeta/dias/1811/09/01/pdfs/GMD-1811-244.pdf","Abrir PDF")</f>
        <v>Abrir PDF</v>
      </c>
    </row>
    <row r="374" spans="1:6" ht="31.05" customHeight="1">
      <c r="A374" s="5">
        <v>-32261</v>
      </c>
      <c r="B374" s="2" t="s">
        <v>1694</v>
      </c>
      <c r="C374" s="2" t="s">
        <v>23705</v>
      </c>
      <c r="D374" s="3">
        <v>4</v>
      </c>
      <c r="E374" s="3">
        <v>4</v>
      </c>
      <c r="F374" s="3" t="str">
        <f>HYPERLINK("https://www.boe.es/gazeta/dias/1811/09/02/pdfs/GMD-1811-245.pdf","Abrir PDF")</f>
        <v>Abrir PDF</v>
      </c>
    </row>
    <row r="375" spans="1:6" ht="31.05" customHeight="1">
      <c r="A375" s="5">
        <v>-32260</v>
      </c>
      <c r="B375" s="2" t="s">
        <v>1773</v>
      </c>
      <c r="C375" s="2" t="s">
        <v>23706</v>
      </c>
      <c r="D375" s="3">
        <v>4</v>
      </c>
      <c r="E375" s="3">
        <v>4</v>
      </c>
      <c r="F375" s="3" t="str">
        <f>HYPERLINK("https://www.boe.es/gazeta/dias/1811/09/03/pdfs/GMD-1811-246.pdf","Abrir PDF")</f>
        <v>Abrir PDF</v>
      </c>
    </row>
    <row r="376" spans="1:6" ht="31.05" customHeight="1">
      <c r="A376" s="5">
        <v>-32260</v>
      </c>
      <c r="B376" s="2" t="s">
        <v>27</v>
      </c>
      <c r="C376" s="2" t="s">
        <v>23707</v>
      </c>
      <c r="D376" s="3">
        <v>8</v>
      </c>
      <c r="E376" s="3">
        <v>24</v>
      </c>
      <c r="F376" s="3" t="str">
        <f>HYPERLINK("https://www.boe.es/gazeta/dias/1811/09/03/pdfs/GEI-1811-114.pdf","Abrir PDF")</f>
        <v>Abrir PDF</v>
      </c>
    </row>
    <row r="377" spans="1:6" ht="31.05" customHeight="1">
      <c r="A377" s="5">
        <v>-32259</v>
      </c>
      <c r="B377" s="2" t="s">
        <v>3276</v>
      </c>
      <c r="C377" s="2" t="s">
        <v>23708</v>
      </c>
      <c r="D377" s="3">
        <v>4</v>
      </c>
      <c r="E377" s="3">
        <v>16</v>
      </c>
      <c r="F377" s="3" t="str">
        <f>HYPERLINK("https://www.boe.es/gazeta/dias/1811/09/04/pdfs/GMD-1811-247.pdf","Abrir PDF")</f>
        <v>Abrir PDF</v>
      </c>
    </row>
    <row r="378" spans="1:6" ht="31.05" customHeight="1">
      <c r="A378" s="5">
        <v>-32258</v>
      </c>
      <c r="B378" s="2" t="s">
        <v>7467</v>
      </c>
      <c r="C378" s="2" t="s">
        <v>23709</v>
      </c>
      <c r="D378" s="3">
        <v>4</v>
      </c>
      <c r="E378" s="3">
        <v>9</v>
      </c>
      <c r="F378" s="3" t="str">
        <f>HYPERLINK("https://www.boe.es/gazeta/dias/1811/09/05/pdfs/GMD-1811-248.pdf","Abrir PDF")</f>
        <v>Abrir PDF</v>
      </c>
    </row>
    <row r="379" spans="1:6" ht="31.05" customHeight="1">
      <c r="A379" s="5">
        <v>-32258</v>
      </c>
      <c r="B379" s="2" t="s">
        <v>449</v>
      </c>
      <c r="C379" s="2" t="s">
        <v>23710</v>
      </c>
      <c r="D379" s="3">
        <v>8</v>
      </c>
      <c r="E379" s="3">
        <v>32</v>
      </c>
      <c r="F379" s="3" t="str">
        <f>HYPERLINK("https://www.boe.es/gazeta/dias/1811/09/05/pdfs/GEI-1811-115.pdf","Abrir PDF")</f>
        <v>Abrir PDF</v>
      </c>
    </row>
    <row r="380" spans="1:6" ht="31.05" customHeight="1">
      <c r="A380" s="5">
        <v>-32257</v>
      </c>
      <c r="B380" s="2" t="s">
        <v>1093</v>
      </c>
      <c r="C380" s="2" t="s">
        <v>23711</v>
      </c>
      <c r="D380" s="3">
        <v>4</v>
      </c>
      <c r="E380" s="3">
        <v>10</v>
      </c>
      <c r="F380" s="3" t="str">
        <f>HYPERLINK("https://www.boe.es/gazeta/dias/1811/09/06/pdfs/GMD-1811-249.pdf","Abrir PDF")</f>
        <v>Abrir PDF</v>
      </c>
    </row>
    <row r="381" spans="1:6" ht="31.05" customHeight="1">
      <c r="A381" s="5">
        <v>-32256</v>
      </c>
      <c r="B381" s="2" t="s">
        <v>5690</v>
      </c>
      <c r="C381" s="2" t="s">
        <v>23712</v>
      </c>
      <c r="D381" s="3">
        <v>4</v>
      </c>
      <c r="E381" s="3">
        <v>2</v>
      </c>
      <c r="F381" s="3" t="str">
        <f>HYPERLINK("https://www.boe.es/gazeta/dias/1811/09/07/pdfs/GMD-1811-250.pdf","Abrir PDF")</f>
        <v>Abrir PDF</v>
      </c>
    </row>
    <row r="382" spans="1:6" ht="31.05" customHeight="1">
      <c r="A382" s="5">
        <v>-32256</v>
      </c>
      <c r="B382" s="2" t="s">
        <v>161</v>
      </c>
      <c r="C382" s="2" t="s">
        <v>23713</v>
      </c>
      <c r="D382" s="3">
        <v>8</v>
      </c>
      <c r="E382" s="3">
        <v>24</v>
      </c>
      <c r="F382" s="3" t="str">
        <f>HYPERLINK("https://www.boe.es/gazeta/dias/1811/09/07/pdfs/GEI-1811-116.pdf","Abrir PDF")</f>
        <v>Abrir PDF</v>
      </c>
    </row>
    <row r="383" spans="1:6" ht="31.05" customHeight="1">
      <c r="A383" s="5">
        <v>-32255</v>
      </c>
      <c r="B383" s="2" t="s">
        <v>187</v>
      </c>
      <c r="C383" s="2" t="s">
        <v>23714</v>
      </c>
      <c r="D383" s="3">
        <v>4</v>
      </c>
      <c r="E383" s="3">
        <v>8</v>
      </c>
      <c r="F383" s="3" t="str">
        <f>HYPERLINK("https://www.boe.es/gazeta/dias/1811/09/08/pdfs/GMD-1811-251.pdf","Abrir PDF")</f>
        <v>Abrir PDF</v>
      </c>
    </row>
    <row r="384" spans="1:6" ht="31.05" customHeight="1">
      <c r="A384" s="5">
        <v>-32254</v>
      </c>
      <c r="B384" s="2" t="s">
        <v>10748</v>
      </c>
      <c r="C384" s="2" t="s">
        <v>23715</v>
      </c>
      <c r="D384" s="3">
        <v>4</v>
      </c>
      <c r="E384" s="3">
        <v>4</v>
      </c>
      <c r="F384" s="3" t="str">
        <f>HYPERLINK("https://www.boe.es/gazeta/dias/1811/09/09/pdfs/GMD-1811-252.pdf","Abrir PDF")</f>
        <v>Abrir PDF</v>
      </c>
    </row>
    <row r="385" spans="1:6" ht="31.05" customHeight="1">
      <c r="A385" s="5">
        <v>-32253</v>
      </c>
      <c r="B385" s="2" t="s">
        <v>9677</v>
      </c>
      <c r="C385" s="2" t="s">
        <v>23716</v>
      </c>
      <c r="D385" s="3">
        <v>4</v>
      </c>
      <c r="E385" s="3">
        <v>1</v>
      </c>
      <c r="F385" s="3" t="str">
        <f>HYPERLINK("https://www.boe.es/gazeta/dias/1811/09/10/pdfs/GMD-1811-253.pdf","Abrir PDF")</f>
        <v>Abrir PDF</v>
      </c>
    </row>
    <row r="386" spans="1:6" ht="31.05" customHeight="1">
      <c r="A386" s="5">
        <v>-32253</v>
      </c>
      <c r="B386" s="2" t="s">
        <v>581</v>
      </c>
      <c r="C386" s="2" t="s">
        <v>23717</v>
      </c>
      <c r="D386" s="3">
        <v>8</v>
      </c>
      <c r="E386" s="3">
        <v>12</v>
      </c>
      <c r="F386" s="3" t="str">
        <f>HYPERLINK("https://www.boe.es/gazeta/dias/1811/09/10/pdfs/GEI-1811-117.pdf","Abrir PDF")</f>
        <v>Abrir PDF</v>
      </c>
    </row>
    <row r="387" spans="1:6" ht="31.05" customHeight="1">
      <c r="A387" s="5">
        <v>-32252</v>
      </c>
      <c r="B387" s="2" t="s">
        <v>3502</v>
      </c>
      <c r="C387" s="2" t="s">
        <v>23718</v>
      </c>
      <c r="D387" s="3">
        <v>4</v>
      </c>
      <c r="E387" s="3">
        <v>7</v>
      </c>
      <c r="F387" s="3" t="str">
        <f>HYPERLINK("https://www.boe.es/gazeta/dias/1811/09/11/pdfs/GMD-1811-254.pdf","Abrir PDF")</f>
        <v>Abrir PDF</v>
      </c>
    </row>
    <row r="388" spans="1:6" ht="31.05" customHeight="1">
      <c r="A388" s="5">
        <v>-32251</v>
      </c>
      <c r="B388" s="2" t="s">
        <v>1089</v>
      </c>
      <c r="C388" s="2" t="s">
        <v>23719</v>
      </c>
      <c r="D388" s="3">
        <v>4</v>
      </c>
      <c r="E388" s="3">
        <v>6</v>
      </c>
      <c r="F388" s="3" t="str">
        <f>HYPERLINK("https://www.boe.es/gazeta/dias/1811/09/12/pdfs/GMD-1811-255.pdf","Abrir PDF")</f>
        <v>Abrir PDF</v>
      </c>
    </row>
    <row r="389" spans="1:6" ht="31.05" customHeight="1">
      <c r="A389" s="5">
        <v>-32251</v>
      </c>
      <c r="B389" s="2" t="s">
        <v>726</v>
      </c>
      <c r="C389" s="2" t="s">
        <v>23720</v>
      </c>
      <c r="D389" s="3">
        <v>8</v>
      </c>
      <c r="E389" s="3">
        <v>38</v>
      </c>
      <c r="F389" s="3" t="str">
        <f>HYPERLINK("https://www.boe.es/gazeta/dias/1811/09/12/pdfs/GEI-1811-118.pdf","Abrir PDF")</f>
        <v>Abrir PDF</v>
      </c>
    </row>
    <row r="390" spans="1:6" ht="31.05" customHeight="1">
      <c r="A390" s="5">
        <v>-32250</v>
      </c>
      <c r="B390" s="2" t="s">
        <v>2823</v>
      </c>
      <c r="C390" s="2" t="s">
        <v>23721</v>
      </c>
      <c r="D390" s="3">
        <v>4</v>
      </c>
      <c r="E390" s="3">
        <v>18</v>
      </c>
      <c r="F390" s="3" t="str">
        <f>HYPERLINK("https://www.boe.es/gazeta/dias/1811/09/13/pdfs/GMD-1811-256.pdf","Abrir PDF")</f>
        <v>Abrir PDF</v>
      </c>
    </row>
    <row r="391" spans="1:6" ht="31.05" customHeight="1">
      <c r="A391" s="5">
        <v>-32250</v>
      </c>
      <c r="B391" s="2" t="s">
        <v>1178</v>
      </c>
      <c r="C391" s="2" t="s">
        <v>23722</v>
      </c>
      <c r="D391" s="3">
        <v>12</v>
      </c>
      <c r="E391" s="3">
        <v>13</v>
      </c>
      <c r="F391" s="3" t="str">
        <f>HYPERLINK("https://www.boe.es/gazeta/dias/1811/09/13/pdfs/GMD-C-1811-256.pdf","Abrir PDF")</f>
        <v>Abrir PDF</v>
      </c>
    </row>
    <row r="392" spans="1:6" ht="31.05" customHeight="1">
      <c r="A392" s="5">
        <v>-32249</v>
      </c>
      <c r="B392" s="2" t="s">
        <v>182</v>
      </c>
      <c r="C392" s="2" t="s">
        <v>23723</v>
      </c>
      <c r="D392" s="3">
        <v>4</v>
      </c>
      <c r="E392" s="3">
        <v>39</v>
      </c>
      <c r="F392" s="3" t="str">
        <f>HYPERLINK("https://www.boe.es/gazeta/dias/1811/09/14/pdfs/GMD-1811-257.pdf","Abrir PDF")</f>
        <v>Abrir PDF</v>
      </c>
    </row>
    <row r="393" spans="1:6" ht="31.05" customHeight="1">
      <c r="A393" s="5">
        <v>-32249</v>
      </c>
      <c r="B393" s="2" t="s">
        <v>743</v>
      </c>
      <c r="C393" s="2" t="s">
        <v>23724</v>
      </c>
      <c r="D393" s="3">
        <v>2</v>
      </c>
      <c r="E393" s="3">
        <v>118</v>
      </c>
      <c r="F393" s="3" t="str">
        <f>HYPERLINK("https://www.boe.es/gazeta/dias/1811/09/14/pdfs/GMD-C-1811-257.pdf","Abrir PDF")</f>
        <v>Abrir PDF</v>
      </c>
    </row>
    <row r="394" spans="1:6" ht="31.05" customHeight="1">
      <c r="A394" s="5">
        <v>-32249</v>
      </c>
      <c r="B394" s="2" t="s">
        <v>824</v>
      </c>
      <c r="C394" s="2" t="s">
        <v>23725</v>
      </c>
      <c r="D394" s="3">
        <v>8</v>
      </c>
      <c r="E394" s="3">
        <v>18</v>
      </c>
      <c r="F394" s="3" t="str">
        <f>HYPERLINK("https://www.boe.es/gazeta/dias/1811/09/14/pdfs/GEI-1811-119.pdf","Abrir PDF")</f>
        <v>Abrir PDF</v>
      </c>
    </row>
    <row r="395" spans="1:6" ht="31.05" customHeight="1">
      <c r="A395" s="5">
        <v>-32249</v>
      </c>
      <c r="B395" s="2" t="s">
        <v>5222</v>
      </c>
      <c r="C395" s="2" t="s">
        <v>23726</v>
      </c>
      <c r="D395" s="3">
        <v>4</v>
      </c>
      <c r="E395" s="3">
        <v>11</v>
      </c>
      <c r="F395" s="3" t="str">
        <f>HYPERLINK("https://www.boe.es/gazeta/dias/1811/09/14/pdfs/GEI-D-1811-119.pdf","Abrir PDF")</f>
        <v>Abrir PDF</v>
      </c>
    </row>
    <row r="396" spans="1:6" ht="31.05" customHeight="1">
      <c r="A396" s="5">
        <v>-32248</v>
      </c>
      <c r="B396" s="2" t="s">
        <v>622</v>
      </c>
      <c r="C396" s="2" t="s">
        <v>23727</v>
      </c>
      <c r="D396" s="3">
        <v>4</v>
      </c>
      <c r="E396" s="3">
        <v>17</v>
      </c>
      <c r="F396" s="3" t="str">
        <f>HYPERLINK("https://www.boe.es/gazeta/dias/1811/09/15/pdfs/GMD-1811-258.pdf","Abrir PDF")</f>
        <v>Abrir PDF</v>
      </c>
    </row>
    <row r="397" spans="1:6" ht="31.05" customHeight="1">
      <c r="A397" s="5">
        <v>-32247</v>
      </c>
      <c r="B397" s="2" t="s">
        <v>12590</v>
      </c>
      <c r="C397" s="2" t="s">
        <v>23728</v>
      </c>
      <c r="D397" s="3">
        <v>4</v>
      </c>
      <c r="E397" s="3">
        <v>4</v>
      </c>
      <c r="F397" s="3" t="str">
        <f>HYPERLINK("https://www.boe.es/gazeta/dias/1811/09/16/pdfs/GMD-1811-259.pdf","Abrir PDF")</f>
        <v>Abrir PDF</v>
      </c>
    </row>
    <row r="398" spans="1:6" ht="31.05" customHeight="1">
      <c r="A398" s="5">
        <v>-32246</v>
      </c>
      <c r="B398" s="2" t="s">
        <v>1901</v>
      </c>
      <c r="C398" s="2" t="s">
        <v>23729</v>
      </c>
      <c r="D398" s="3">
        <v>4</v>
      </c>
      <c r="E398" s="3">
        <v>7</v>
      </c>
      <c r="F398" s="3" t="str">
        <f>HYPERLINK("https://www.boe.es/gazeta/dias/1811/09/17/pdfs/GMD-1811-260.pdf","Abrir PDF")</f>
        <v>Abrir PDF</v>
      </c>
    </row>
    <row r="399" spans="1:6" ht="31.05" customHeight="1">
      <c r="A399" s="5">
        <v>-32246</v>
      </c>
      <c r="B399" s="2" t="s">
        <v>19</v>
      </c>
      <c r="C399" s="2" t="s">
        <v>23730</v>
      </c>
      <c r="D399" s="3">
        <v>24</v>
      </c>
      <c r="E399" s="3">
        <v>60</v>
      </c>
      <c r="F399" s="3" t="str">
        <f>HYPERLINK("https://www.boe.es/gazeta/dias/1811/09/17/pdfs/GEI-1811-120.pdf","Abrir PDF")</f>
        <v>Abrir PDF</v>
      </c>
    </row>
    <row r="400" spans="1:6" ht="31.05" customHeight="1">
      <c r="A400" s="5">
        <v>-32245</v>
      </c>
      <c r="B400" s="2" t="s">
        <v>6296</v>
      </c>
      <c r="C400" s="2" t="s">
        <v>23731</v>
      </c>
      <c r="D400" s="3">
        <v>4</v>
      </c>
      <c r="E400" s="3">
        <v>7</v>
      </c>
      <c r="F400" s="3" t="str">
        <f>HYPERLINK("https://www.boe.es/gazeta/dias/1811/09/18/pdfs/GMD-1811-261.pdf","Abrir PDF")</f>
        <v>Abrir PDF</v>
      </c>
    </row>
    <row r="401" spans="1:6" ht="31.05" customHeight="1">
      <c r="A401" s="5">
        <v>-32244</v>
      </c>
      <c r="B401" s="2" t="s">
        <v>14154</v>
      </c>
      <c r="C401" s="2" t="s">
        <v>23732</v>
      </c>
      <c r="D401" s="3">
        <v>4</v>
      </c>
      <c r="E401" s="3">
        <v>4</v>
      </c>
      <c r="F401" s="3" t="str">
        <f>HYPERLINK("https://www.boe.es/gazeta/dias/1811/09/19/pdfs/GMD-1811-262.pdf","Abrir PDF")</f>
        <v>Abrir PDF</v>
      </c>
    </row>
    <row r="402" spans="1:6" ht="31.05" customHeight="1">
      <c r="A402" s="5">
        <v>-32244</v>
      </c>
      <c r="B402" s="2" t="s">
        <v>4301</v>
      </c>
      <c r="C402" s="2" t="s">
        <v>23733</v>
      </c>
      <c r="D402" s="3">
        <v>8</v>
      </c>
      <c r="E402" s="3">
        <v>13</v>
      </c>
      <c r="F402" s="3" t="str">
        <f>HYPERLINK("https://www.boe.es/gazeta/dias/1811/09/19/pdfs/GEI-1811-121.pdf","Abrir PDF")</f>
        <v>Abrir PDF</v>
      </c>
    </row>
    <row r="403" spans="1:6" ht="31.05" customHeight="1">
      <c r="A403" s="5">
        <v>-32243</v>
      </c>
      <c r="B403" s="2" t="s">
        <v>51</v>
      </c>
      <c r="C403" s="2" t="s">
        <v>23734</v>
      </c>
      <c r="D403" s="3">
        <v>4</v>
      </c>
      <c r="E403" s="3">
        <v>8</v>
      </c>
      <c r="F403" s="3" t="str">
        <f>HYPERLINK("https://www.boe.es/gazeta/dias/1811/09/20/pdfs/GMD-1811-263.pdf","Abrir PDF")</f>
        <v>Abrir PDF</v>
      </c>
    </row>
    <row r="404" spans="1:6" ht="31.05" customHeight="1">
      <c r="A404" s="5">
        <v>-32242</v>
      </c>
      <c r="B404" s="2" t="s">
        <v>3015</v>
      </c>
      <c r="C404" s="2" t="s">
        <v>23735</v>
      </c>
      <c r="D404" s="3">
        <v>4</v>
      </c>
      <c r="E404" s="3">
        <v>15</v>
      </c>
      <c r="F404" s="3" t="str">
        <f>HYPERLINK("https://www.boe.es/gazeta/dias/1811/09/21/pdfs/GMD-1811-264.pdf","Abrir PDF")</f>
        <v>Abrir PDF</v>
      </c>
    </row>
    <row r="405" spans="1:6" ht="31.05" customHeight="1">
      <c r="A405" s="5">
        <v>-32242</v>
      </c>
      <c r="B405" s="2" t="s">
        <v>1295</v>
      </c>
      <c r="C405" s="2" t="s">
        <v>23736</v>
      </c>
      <c r="D405" s="3">
        <v>8</v>
      </c>
      <c r="E405" s="3">
        <v>95</v>
      </c>
      <c r="F405" s="3" t="str">
        <f>HYPERLINK("https://www.boe.es/gazeta/dias/1811/09/21/pdfs/GEI-1811-122.pdf","Abrir PDF")</f>
        <v>Abrir PDF</v>
      </c>
    </row>
    <row r="406" spans="1:6" ht="31.05" customHeight="1">
      <c r="A406" s="5">
        <v>-32241</v>
      </c>
      <c r="B406" s="2" t="s">
        <v>514</v>
      </c>
      <c r="C406" s="2" t="s">
        <v>23737</v>
      </c>
      <c r="D406" s="3">
        <v>4</v>
      </c>
      <c r="E406" s="3">
        <v>24</v>
      </c>
      <c r="F406" s="3" t="str">
        <f>HYPERLINK("https://www.boe.es/gazeta/dias/1811/09/22/pdfs/GMD-1811-265.pdf","Abrir PDF")</f>
        <v>Abrir PDF</v>
      </c>
    </row>
    <row r="407" spans="1:6" ht="31.05" customHeight="1">
      <c r="A407" s="5">
        <v>-32240</v>
      </c>
      <c r="B407" s="2" t="s">
        <v>2753</v>
      </c>
      <c r="C407" s="2" t="s">
        <v>23738</v>
      </c>
      <c r="D407" s="3">
        <v>4</v>
      </c>
      <c r="E407" s="3">
        <v>11</v>
      </c>
      <c r="F407" s="3" t="str">
        <f>HYPERLINK("https://www.boe.es/gazeta/dias/1811/09/23/pdfs/GMD-1811-266.pdf","Abrir PDF")</f>
        <v>Abrir PDF</v>
      </c>
    </row>
    <row r="408" spans="1:6" ht="31.05" customHeight="1">
      <c r="A408" s="5">
        <v>-32239</v>
      </c>
      <c r="B408" s="2" t="s">
        <v>3634</v>
      </c>
      <c r="C408" s="2" t="s">
        <v>23739</v>
      </c>
      <c r="D408" s="3">
        <v>4</v>
      </c>
      <c r="E408" s="3">
        <v>3</v>
      </c>
      <c r="F408" s="3" t="str">
        <f>HYPERLINK("https://www.boe.es/gazeta/dias/1811/09/24/pdfs/GMD-1811-267.pdf","Abrir PDF")</f>
        <v>Abrir PDF</v>
      </c>
    </row>
    <row r="409" spans="1:6" ht="31.05" customHeight="1">
      <c r="A409" s="5">
        <v>-32239</v>
      </c>
      <c r="B409" s="2" t="s">
        <v>1225</v>
      </c>
      <c r="C409" s="2" t="s">
        <v>23740</v>
      </c>
      <c r="D409" s="3">
        <v>8</v>
      </c>
      <c r="E409" s="3">
        <v>13</v>
      </c>
      <c r="F409" s="3" t="str">
        <f>HYPERLINK("https://www.boe.es/gazeta/dias/1811/09/24/pdfs/GEI-1811-123.pdf","Abrir PDF")</f>
        <v>Abrir PDF</v>
      </c>
    </row>
    <row r="410" spans="1:6" ht="31.05" customHeight="1">
      <c r="A410" s="5">
        <v>-32238</v>
      </c>
      <c r="B410" s="2" t="s">
        <v>4075</v>
      </c>
      <c r="C410" s="2" t="s">
        <v>23741</v>
      </c>
      <c r="D410" s="3">
        <v>4</v>
      </c>
      <c r="E410" s="3">
        <v>2</v>
      </c>
      <c r="F410" s="3" t="str">
        <f>HYPERLINK("https://www.boe.es/gazeta/dias/1811/09/25/pdfs/GMD-1811-268.pdf","Abrir PDF")</f>
        <v>Abrir PDF</v>
      </c>
    </row>
    <row r="411" spans="1:6" ht="31.05" customHeight="1">
      <c r="A411" s="5">
        <v>-32238</v>
      </c>
      <c r="B411" s="2" t="s">
        <v>166</v>
      </c>
      <c r="C411" s="2" t="s">
        <v>23742</v>
      </c>
      <c r="D411" s="3">
        <v>4</v>
      </c>
      <c r="E411" s="3">
        <v>187</v>
      </c>
      <c r="F411" s="3" t="str">
        <f>HYPERLINK("https://www.boe.es/gazeta/dias/1811/09/25/pdfs/GMD-C-1811-268.pdf","Abrir PDF")</f>
        <v>Abrir PDF</v>
      </c>
    </row>
    <row r="412" spans="1:6" ht="31.05" customHeight="1">
      <c r="A412" s="5">
        <v>-32237</v>
      </c>
      <c r="B412" s="2" t="s">
        <v>136</v>
      </c>
      <c r="C412" s="2" t="s">
        <v>23743</v>
      </c>
      <c r="D412" s="3">
        <v>4</v>
      </c>
      <c r="E412" s="3">
        <v>11</v>
      </c>
      <c r="F412" s="3" t="str">
        <f>HYPERLINK("https://www.boe.es/gazeta/dias/1811/09/26/pdfs/GMD-1811-269.pdf","Abrir PDF")</f>
        <v>Abrir PDF</v>
      </c>
    </row>
    <row r="413" spans="1:6" ht="31.05" customHeight="1">
      <c r="A413" s="5">
        <v>-32237</v>
      </c>
      <c r="B413" s="2" t="s">
        <v>717</v>
      </c>
      <c r="C413" s="2" t="s">
        <v>23744</v>
      </c>
      <c r="D413" s="3">
        <v>8</v>
      </c>
      <c r="E413" s="3">
        <v>43</v>
      </c>
      <c r="F413" s="3" t="str">
        <f>HYPERLINK("https://www.boe.es/gazeta/dias/1811/09/26/pdfs/GEI-1811-124.pdf","Abrir PDF")</f>
        <v>Abrir PDF</v>
      </c>
    </row>
    <row r="414" spans="1:6" ht="31.05" customHeight="1">
      <c r="A414" s="5">
        <v>-32236</v>
      </c>
      <c r="B414" s="2" t="s">
        <v>8973</v>
      </c>
      <c r="C414" s="2" t="s">
        <v>23745</v>
      </c>
      <c r="D414" s="3">
        <v>4</v>
      </c>
      <c r="E414" s="3">
        <v>3</v>
      </c>
      <c r="F414" s="3" t="str">
        <f>HYPERLINK("https://www.boe.es/gazeta/dias/1811/09/27/pdfs/GMD-1811-270.pdf","Abrir PDF")</f>
        <v>Abrir PDF</v>
      </c>
    </row>
    <row r="415" spans="1:6" ht="31.05" customHeight="1">
      <c r="A415" s="5">
        <v>-32235</v>
      </c>
      <c r="B415" s="2" t="s">
        <v>376</v>
      </c>
      <c r="C415" s="2" t="s">
        <v>23746</v>
      </c>
      <c r="D415" s="3">
        <v>4</v>
      </c>
      <c r="E415" s="3">
        <v>15</v>
      </c>
      <c r="F415" s="3" t="str">
        <f>HYPERLINK("https://www.boe.es/gazeta/dias/1811/09/28/pdfs/GMD-1811-271.pdf","Abrir PDF")</f>
        <v>Abrir PDF</v>
      </c>
    </row>
    <row r="416" spans="1:6" ht="31.05" customHeight="1">
      <c r="A416" s="5">
        <v>-32235</v>
      </c>
      <c r="B416" s="2" t="s">
        <v>190</v>
      </c>
      <c r="C416" s="2" t="s">
        <v>23747</v>
      </c>
      <c r="D416" s="3">
        <v>8</v>
      </c>
      <c r="E416" s="3">
        <v>83</v>
      </c>
      <c r="F416" s="3" t="str">
        <f>HYPERLINK("https://www.boe.es/gazeta/dias/1811/09/28/pdfs/GEI-1811-125.pdf","Abrir PDF")</f>
        <v>Abrir PDF</v>
      </c>
    </row>
    <row r="417" spans="1:6" ht="31.05" customHeight="1">
      <c r="A417" s="5">
        <v>-32234</v>
      </c>
      <c r="B417" s="2" t="s">
        <v>12552</v>
      </c>
      <c r="C417" s="2" t="s">
        <v>23748</v>
      </c>
      <c r="D417" s="3">
        <v>4</v>
      </c>
      <c r="E417" s="3">
        <v>8</v>
      </c>
      <c r="F417" s="3" t="str">
        <f>HYPERLINK("https://www.boe.es/gazeta/dias/1811/09/29/pdfs/GMD-1811-272.pdf","Abrir PDF")</f>
        <v>Abrir PDF</v>
      </c>
    </row>
    <row r="418" spans="1:6" ht="31.05" customHeight="1">
      <c r="A418" s="5">
        <v>-32233</v>
      </c>
      <c r="B418" s="2" t="s">
        <v>3504</v>
      </c>
      <c r="C418" s="2" t="s">
        <v>23749</v>
      </c>
      <c r="D418" s="3">
        <v>4</v>
      </c>
      <c r="E418" s="3">
        <v>7</v>
      </c>
      <c r="F418" s="3" t="str">
        <f>HYPERLINK("https://www.boe.es/gazeta/dias/1811/09/30/pdfs/GMD-1811-273.pdf","Abrir PDF")</f>
        <v>Abrir PDF</v>
      </c>
    </row>
    <row r="419" spans="1:6" ht="31.05" customHeight="1">
      <c r="A419" s="5">
        <v>-32232</v>
      </c>
      <c r="B419" s="2" t="s">
        <v>1879</v>
      </c>
      <c r="C419" s="2" t="s">
        <v>23750</v>
      </c>
      <c r="D419" s="3">
        <v>4</v>
      </c>
      <c r="E419" s="3">
        <v>23</v>
      </c>
      <c r="F419" s="3" t="str">
        <f>HYPERLINK("https://www.boe.es/gazeta/dias/1811/10/01/pdfs/GMD-1811-274.pdf","Abrir PDF")</f>
        <v>Abrir PDF</v>
      </c>
    </row>
    <row r="420" spans="1:6" ht="31.05" customHeight="1">
      <c r="A420" s="5">
        <v>-32232</v>
      </c>
      <c r="B420" s="2" t="s">
        <v>1816</v>
      </c>
      <c r="C420" s="2" t="s">
        <v>23751</v>
      </c>
      <c r="D420" s="3">
        <v>8</v>
      </c>
      <c r="E420" s="3">
        <v>36</v>
      </c>
      <c r="F420" s="3" t="str">
        <f>HYPERLINK("https://www.boe.es/gazeta/dias/1811/10/01/pdfs/GEI-1811-126.pdf","Abrir PDF")</f>
        <v>Abrir PDF</v>
      </c>
    </row>
    <row r="421" spans="1:6" ht="31.05" customHeight="1">
      <c r="A421" s="5">
        <v>-32231</v>
      </c>
      <c r="B421" s="2" t="s">
        <v>2755</v>
      </c>
      <c r="C421" s="2" t="s">
        <v>23752</v>
      </c>
      <c r="D421" s="3">
        <v>4</v>
      </c>
      <c r="E421" s="3">
        <v>8</v>
      </c>
      <c r="F421" s="3" t="str">
        <f>HYPERLINK("https://www.boe.es/gazeta/dias/1811/10/02/pdfs/GMD-1811-275.pdf","Abrir PDF")</f>
        <v>Abrir PDF</v>
      </c>
    </row>
    <row r="422" spans="1:6" ht="31.05" customHeight="1">
      <c r="A422" s="5">
        <v>-32230</v>
      </c>
      <c r="B422" s="2" t="s">
        <v>856</v>
      </c>
      <c r="C422" s="2" t="s">
        <v>23753</v>
      </c>
      <c r="D422" s="3">
        <v>4</v>
      </c>
      <c r="E422" s="3">
        <v>6</v>
      </c>
      <c r="F422" s="3" t="str">
        <f>HYPERLINK("https://www.boe.es/gazeta/dias/1811/10/03/pdfs/GMD-1811-276.pdf","Abrir PDF")</f>
        <v>Abrir PDF</v>
      </c>
    </row>
    <row r="423" spans="1:6" ht="31.05" customHeight="1">
      <c r="A423" s="5">
        <v>-32230</v>
      </c>
      <c r="B423" s="2" t="s">
        <v>625</v>
      </c>
      <c r="C423" s="2" t="s">
        <v>23754</v>
      </c>
      <c r="D423" s="3">
        <v>8</v>
      </c>
      <c r="E423" s="3">
        <v>74</v>
      </c>
      <c r="F423" s="3" t="str">
        <f>HYPERLINK("https://www.boe.es/gazeta/dias/1811/10/03/pdfs/GEI-1811-127.pdf","Abrir PDF")</f>
        <v>Abrir PDF</v>
      </c>
    </row>
    <row r="424" spans="1:6" ht="31.05" customHeight="1">
      <c r="A424" s="5">
        <v>-32229</v>
      </c>
      <c r="B424" s="2" t="s">
        <v>2523</v>
      </c>
      <c r="C424" s="2" t="s">
        <v>23755</v>
      </c>
      <c r="D424" s="3">
        <v>4</v>
      </c>
      <c r="E424" s="3">
        <v>11</v>
      </c>
      <c r="F424" s="3" t="str">
        <f>HYPERLINK("https://www.boe.es/gazeta/dias/1811/10/04/pdfs/GMD-1811-277.pdf","Abrir PDF")</f>
        <v>Abrir PDF</v>
      </c>
    </row>
    <row r="425" spans="1:6" ht="31.05" customHeight="1">
      <c r="A425" s="5">
        <v>-32228</v>
      </c>
      <c r="B425" s="2" t="s">
        <v>899</v>
      </c>
      <c r="C425" s="2" t="s">
        <v>23756</v>
      </c>
      <c r="D425" s="3">
        <v>4</v>
      </c>
      <c r="E425" s="3">
        <v>13</v>
      </c>
      <c r="F425" s="3" t="str">
        <f>HYPERLINK("https://www.boe.es/gazeta/dias/1811/10/05/pdfs/GMD-1811-278.pdf","Abrir PDF")</f>
        <v>Abrir PDF</v>
      </c>
    </row>
    <row r="426" spans="1:6" ht="31.05" customHeight="1">
      <c r="A426" s="5">
        <v>-32228</v>
      </c>
      <c r="B426" s="2" t="s">
        <v>372</v>
      </c>
      <c r="C426" s="2" t="s">
        <v>23757</v>
      </c>
      <c r="D426" s="3">
        <v>8</v>
      </c>
      <c r="E426" s="3">
        <v>38</v>
      </c>
      <c r="F426" s="3" t="str">
        <f>HYPERLINK("https://www.boe.es/gazeta/dias/1811/10/05/pdfs/GEI-1811-128.pdf","Abrir PDF")</f>
        <v>Abrir PDF</v>
      </c>
    </row>
    <row r="427" spans="1:6" ht="31.05" customHeight="1">
      <c r="A427" s="5">
        <v>-32227</v>
      </c>
      <c r="B427" s="2" t="s">
        <v>4688</v>
      </c>
      <c r="C427" s="2" t="s">
        <v>23758</v>
      </c>
      <c r="D427" s="3">
        <v>4</v>
      </c>
      <c r="E427" s="3">
        <v>8</v>
      </c>
      <c r="F427" s="3" t="str">
        <f>HYPERLINK("https://www.boe.es/gazeta/dias/1811/10/06/pdfs/GMD-1811-279.pdf","Abrir PDF")</f>
        <v>Abrir PDF</v>
      </c>
    </row>
    <row r="428" spans="1:6" ht="31.05" customHeight="1">
      <c r="A428" s="5">
        <v>-32226</v>
      </c>
      <c r="B428" s="2" t="s">
        <v>618</v>
      </c>
      <c r="C428" s="2" t="s">
        <v>23759</v>
      </c>
      <c r="D428" s="3">
        <v>4</v>
      </c>
      <c r="E428" s="3">
        <v>12</v>
      </c>
      <c r="F428" s="3" t="str">
        <f>HYPERLINK("https://www.boe.es/gazeta/dias/1811/10/07/pdfs/GMD-1811-280.pdf","Abrir PDF")</f>
        <v>Abrir PDF</v>
      </c>
    </row>
    <row r="429" spans="1:6" ht="31.05" customHeight="1">
      <c r="A429" s="5">
        <v>-32225</v>
      </c>
      <c r="B429" s="2" t="s">
        <v>2347</v>
      </c>
      <c r="C429" s="2" t="s">
        <v>23760</v>
      </c>
      <c r="D429" s="3">
        <v>4</v>
      </c>
      <c r="E429" s="3">
        <v>7</v>
      </c>
      <c r="F429" s="3" t="str">
        <f>HYPERLINK("https://www.boe.es/gazeta/dias/1811/10/08/pdfs/GMD-1811-281.pdf","Abrir PDF")</f>
        <v>Abrir PDF</v>
      </c>
    </row>
    <row r="430" spans="1:6" ht="31.05" customHeight="1">
      <c r="A430" s="5">
        <v>-32225</v>
      </c>
      <c r="B430" s="2" t="s">
        <v>390</v>
      </c>
      <c r="C430" s="2" t="s">
        <v>23761</v>
      </c>
      <c r="D430" s="3">
        <v>8</v>
      </c>
      <c r="E430" s="3">
        <v>40</v>
      </c>
      <c r="F430" s="3" t="str">
        <f>HYPERLINK("https://www.boe.es/gazeta/dias/1811/10/08/pdfs/GEI-1811-129.pdf","Abrir PDF")</f>
        <v>Abrir PDF</v>
      </c>
    </row>
    <row r="431" spans="1:6" ht="31.05" customHeight="1">
      <c r="A431" s="5">
        <v>-32224</v>
      </c>
      <c r="B431" s="2" t="s">
        <v>12889</v>
      </c>
      <c r="C431" s="2" t="s">
        <v>23762</v>
      </c>
      <c r="D431" s="3">
        <v>4</v>
      </c>
      <c r="E431" s="3">
        <v>2</v>
      </c>
      <c r="F431" s="3" t="str">
        <f>HYPERLINK("https://www.boe.es/gazeta/dias/1811/10/09/pdfs/GMD-1811-282.pdf","Abrir PDF")</f>
        <v>Abrir PDF</v>
      </c>
    </row>
    <row r="432" spans="1:6" ht="31.05" customHeight="1">
      <c r="A432" s="5">
        <v>-32223</v>
      </c>
      <c r="B432" s="2" t="s">
        <v>5139</v>
      </c>
      <c r="C432" s="2" t="s">
        <v>23763</v>
      </c>
      <c r="D432" s="3">
        <v>4</v>
      </c>
      <c r="E432" s="3">
        <v>9</v>
      </c>
      <c r="F432" s="3" t="str">
        <f>HYPERLINK("https://www.boe.es/gazeta/dias/1811/10/10/pdfs/GMD-1811-283.pdf","Abrir PDF")</f>
        <v>Abrir PDF</v>
      </c>
    </row>
    <row r="433" spans="1:6" ht="31.05" customHeight="1">
      <c r="A433" s="5">
        <v>-32223</v>
      </c>
      <c r="B433" s="2" t="s">
        <v>1788</v>
      </c>
      <c r="C433" s="2" t="s">
        <v>23764</v>
      </c>
      <c r="D433" s="3">
        <v>8</v>
      </c>
      <c r="E433" s="3">
        <v>13</v>
      </c>
      <c r="F433" s="3" t="str">
        <f>HYPERLINK("https://www.boe.es/gazeta/dias/1811/10/10/pdfs/GEI-1811-130.pdf","Abrir PDF")</f>
        <v>Abrir PDF</v>
      </c>
    </row>
    <row r="434" spans="1:6" ht="31.05" customHeight="1">
      <c r="A434" s="5">
        <v>-32222</v>
      </c>
      <c r="B434" s="2" t="s">
        <v>4460</v>
      </c>
      <c r="C434" s="2" t="s">
        <v>23765</v>
      </c>
      <c r="D434" s="3">
        <v>4</v>
      </c>
      <c r="E434" s="3">
        <v>6</v>
      </c>
      <c r="F434" s="3" t="str">
        <f>HYPERLINK("https://www.boe.es/gazeta/dias/1811/10/11/pdfs/GMD-1811-284.pdf","Abrir PDF")</f>
        <v>Abrir PDF</v>
      </c>
    </row>
    <row r="435" spans="1:6" ht="31.05" customHeight="1">
      <c r="A435" s="5">
        <v>-32221</v>
      </c>
      <c r="B435" s="2" t="s">
        <v>775</v>
      </c>
      <c r="C435" s="2" t="s">
        <v>23766</v>
      </c>
      <c r="D435" s="3">
        <v>4</v>
      </c>
      <c r="E435" s="3">
        <v>4</v>
      </c>
      <c r="F435" s="3" t="str">
        <f>HYPERLINK("https://www.boe.es/gazeta/dias/1811/10/12/pdfs/GMD-1811-285.pdf","Abrir PDF")</f>
        <v>Abrir PDF</v>
      </c>
    </row>
    <row r="436" spans="1:6" ht="31.05" customHeight="1">
      <c r="A436" s="5">
        <v>-32221</v>
      </c>
      <c r="B436" s="2" t="s">
        <v>747</v>
      </c>
      <c r="C436" s="2" t="s">
        <v>23767</v>
      </c>
      <c r="D436" s="3">
        <v>8</v>
      </c>
      <c r="E436" s="3">
        <v>14</v>
      </c>
      <c r="F436" s="3" t="str">
        <f>HYPERLINK("https://www.boe.es/gazeta/dias/1811/10/12/pdfs/GEI-1811-131.pdf","Abrir PDF")</f>
        <v>Abrir PDF</v>
      </c>
    </row>
    <row r="437" spans="1:6" ht="31.05" customHeight="1">
      <c r="A437" s="5">
        <v>-32220</v>
      </c>
      <c r="B437" s="2" t="s">
        <v>2852</v>
      </c>
      <c r="C437" s="2" t="s">
        <v>23768</v>
      </c>
      <c r="D437" s="3">
        <v>4</v>
      </c>
      <c r="E437" s="3">
        <v>4</v>
      </c>
      <c r="F437" s="3" t="str">
        <f>HYPERLINK("https://www.boe.es/gazeta/dias/1811/10/13/pdfs/GMD-1811-286.pdf","Abrir PDF")</f>
        <v>Abrir PDF</v>
      </c>
    </row>
    <row r="438" spans="1:6" ht="31.05" customHeight="1">
      <c r="A438" s="5">
        <v>-32219</v>
      </c>
      <c r="B438" s="2" t="s">
        <v>2681</v>
      </c>
      <c r="C438" s="2" t="s">
        <v>23769</v>
      </c>
      <c r="D438" s="3">
        <v>4</v>
      </c>
      <c r="E438" s="3">
        <v>8</v>
      </c>
      <c r="F438" s="3" t="str">
        <f>HYPERLINK("https://www.boe.es/gazeta/dias/1811/10/14/pdfs/GMD-1811-287.pdf","Abrir PDF")</f>
        <v>Abrir PDF</v>
      </c>
    </row>
    <row r="439" spans="1:6" ht="31.05" customHeight="1">
      <c r="A439" s="5">
        <v>-32219</v>
      </c>
      <c r="B439" s="2" t="s">
        <v>529</v>
      </c>
      <c r="C439" s="2" t="s">
        <v>23770</v>
      </c>
      <c r="D439" s="3">
        <v>4</v>
      </c>
      <c r="E439" s="3">
        <v>34</v>
      </c>
      <c r="F439" s="3" t="str">
        <f>HYPERLINK("https://www.boe.es/gazeta/dias/1811/10/14/pdfs/GEI-1811-132E.pdf","Abrir PDF")</f>
        <v>Abrir PDF</v>
      </c>
    </row>
    <row r="440" spans="1:6" ht="31.05" customHeight="1">
      <c r="A440" s="5">
        <v>-32218</v>
      </c>
      <c r="B440" s="2" t="s">
        <v>545</v>
      </c>
      <c r="C440" s="2" t="s">
        <v>23771</v>
      </c>
      <c r="D440" s="3">
        <v>4</v>
      </c>
      <c r="E440" s="3">
        <v>8</v>
      </c>
      <c r="F440" s="3" t="str">
        <f>HYPERLINK("https://www.boe.es/gazeta/dias/1811/10/15/pdfs/GMD-1811-288.pdf","Abrir PDF")</f>
        <v>Abrir PDF</v>
      </c>
    </row>
    <row r="441" spans="1:6" ht="31.05" customHeight="1">
      <c r="A441" s="5">
        <v>-32218</v>
      </c>
      <c r="B441" s="2" t="s">
        <v>938</v>
      </c>
      <c r="C441" s="2" t="s">
        <v>23772</v>
      </c>
      <c r="D441" s="3">
        <v>8</v>
      </c>
      <c r="E441" s="3">
        <v>24</v>
      </c>
      <c r="F441" s="3" t="str">
        <f>HYPERLINK("https://www.boe.es/gazeta/dias/1811/10/15/pdfs/GEI-1811-133.pdf","Abrir PDF")</f>
        <v>Abrir PDF</v>
      </c>
    </row>
    <row r="442" spans="1:6" ht="31.05" customHeight="1">
      <c r="A442" s="5">
        <v>-32217</v>
      </c>
      <c r="B442" s="2" t="s">
        <v>1351</v>
      </c>
      <c r="C442" s="2" t="s">
        <v>23773</v>
      </c>
      <c r="D442" s="3">
        <v>4</v>
      </c>
      <c r="E442" s="3">
        <v>4</v>
      </c>
      <c r="F442" s="3" t="str">
        <f>HYPERLINK("https://www.boe.es/gazeta/dias/1811/10/16/pdfs/GMD-1811-289.pdf","Abrir PDF")</f>
        <v>Abrir PDF</v>
      </c>
    </row>
    <row r="443" spans="1:6" ht="31.05" customHeight="1">
      <c r="A443" s="5">
        <v>-32216</v>
      </c>
      <c r="B443" s="2" t="s">
        <v>5136</v>
      </c>
      <c r="C443" s="2" t="s">
        <v>23774</v>
      </c>
      <c r="D443" s="3">
        <v>4</v>
      </c>
      <c r="E443" s="3">
        <v>8</v>
      </c>
      <c r="F443" s="3" t="str">
        <f>HYPERLINK("https://www.boe.es/gazeta/dias/1811/10/17/pdfs/GMD-1811-290.pdf","Abrir PDF")</f>
        <v>Abrir PDF</v>
      </c>
    </row>
    <row r="444" spans="1:6" ht="31.05" customHeight="1">
      <c r="A444" s="5">
        <v>-32216</v>
      </c>
      <c r="B444" s="2" t="s">
        <v>2739</v>
      </c>
      <c r="C444" s="2" t="s">
        <v>23775</v>
      </c>
      <c r="D444" s="3">
        <v>8</v>
      </c>
      <c r="E444" s="3">
        <v>15</v>
      </c>
      <c r="F444" s="3" t="str">
        <f>HYPERLINK("https://www.boe.es/gazeta/dias/1811/10/17/pdfs/GEI-1811-134.pdf","Abrir PDF")</f>
        <v>Abrir PDF</v>
      </c>
    </row>
    <row r="445" spans="1:6" ht="31.05" customHeight="1">
      <c r="A445" s="5">
        <v>-32215</v>
      </c>
      <c r="B445" s="2" t="s">
        <v>6300</v>
      </c>
      <c r="C445" s="2" t="s">
        <v>23776</v>
      </c>
      <c r="D445" s="3">
        <v>4</v>
      </c>
      <c r="E445" s="3">
        <v>10</v>
      </c>
      <c r="F445" s="3" t="str">
        <f>HYPERLINK("https://www.boe.es/gazeta/dias/1811/10/18/pdfs/GMD-1811-291.pdf","Abrir PDF")</f>
        <v>Abrir PDF</v>
      </c>
    </row>
    <row r="446" spans="1:6" ht="31.05" customHeight="1">
      <c r="A446" s="5">
        <v>-32214</v>
      </c>
      <c r="B446" s="2" t="s">
        <v>11685</v>
      </c>
      <c r="C446" s="2" t="s">
        <v>23777</v>
      </c>
      <c r="D446" s="3">
        <v>6</v>
      </c>
      <c r="E446" s="3">
        <v>1</v>
      </c>
      <c r="F446" s="3" t="str">
        <f>HYPERLINK("https://www.boe.es/gazeta/dias/1811/10/19/pdfs/GMD-1811-292.pdf","Abrir PDF")</f>
        <v>Abrir PDF</v>
      </c>
    </row>
    <row r="447" spans="1:6" ht="31.05" customHeight="1">
      <c r="A447" s="5">
        <v>-32214</v>
      </c>
      <c r="B447" s="2" t="s">
        <v>1753</v>
      </c>
      <c r="C447" s="2" t="s">
        <v>23778</v>
      </c>
      <c r="D447" s="3">
        <v>8</v>
      </c>
      <c r="E447" s="3">
        <v>14</v>
      </c>
      <c r="F447" s="3" t="str">
        <f>HYPERLINK("https://www.boe.es/gazeta/dias/1811/10/19/pdfs/GEI-1811-135.pdf","Abrir PDF")</f>
        <v>Abrir PDF</v>
      </c>
    </row>
    <row r="448" spans="1:6" ht="31.05" customHeight="1">
      <c r="A448" s="5">
        <v>-32213</v>
      </c>
      <c r="B448" s="2" t="s">
        <v>4653</v>
      </c>
      <c r="C448" s="2" t="s">
        <v>23779</v>
      </c>
      <c r="D448" s="3">
        <v>4</v>
      </c>
      <c r="E448" s="3">
        <v>15</v>
      </c>
      <c r="F448" s="3" t="str">
        <f>HYPERLINK("https://www.boe.es/gazeta/dias/1811/10/20/pdfs/GMD-1811-293.pdf","Abrir PDF")</f>
        <v>Abrir PDF</v>
      </c>
    </row>
    <row r="449" spans="1:6" ht="31.05" customHeight="1">
      <c r="A449" s="5">
        <v>-32212</v>
      </c>
      <c r="B449" s="2" t="s">
        <v>9831</v>
      </c>
      <c r="C449" s="2" t="s">
        <v>23780</v>
      </c>
      <c r="D449" s="3">
        <v>4</v>
      </c>
      <c r="E449" s="3">
        <v>2</v>
      </c>
      <c r="F449" s="3" t="str">
        <f>HYPERLINK("https://www.boe.es/gazeta/dias/1811/10/21/pdfs/GMD-1811-294.pdf","Abrir PDF")</f>
        <v>Abrir PDF</v>
      </c>
    </row>
    <row r="450" spans="1:6" ht="31.05" customHeight="1">
      <c r="A450" s="5">
        <v>-32211</v>
      </c>
      <c r="B450" s="2" t="s">
        <v>1230</v>
      </c>
      <c r="C450" s="2" t="s">
        <v>23781</v>
      </c>
      <c r="D450" s="3">
        <v>4</v>
      </c>
      <c r="E450" s="3">
        <v>17</v>
      </c>
      <c r="F450" s="3" t="str">
        <f>HYPERLINK("https://www.boe.es/gazeta/dias/1811/10/22/pdfs/GMD-1811-295.pdf","Abrir PDF")</f>
        <v>Abrir PDF</v>
      </c>
    </row>
    <row r="451" spans="1:6" ht="31.05" customHeight="1">
      <c r="A451" s="5">
        <v>-32211</v>
      </c>
      <c r="B451" s="2" t="s">
        <v>1074</v>
      </c>
      <c r="C451" s="2" t="s">
        <v>23782</v>
      </c>
      <c r="D451" s="3">
        <v>8</v>
      </c>
      <c r="E451" s="3">
        <v>16</v>
      </c>
      <c r="F451" s="3" t="str">
        <f>HYPERLINK("https://www.boe.es/gazeta/dias/1811/10/22/pdfs/GEI-1811-136.pdf","Abrir PDF")</f>
        <v>Abrir PDF</v>
      </c>
    </row>
    <row r="452" spans="1:6" ht="31.05" customHeight="1">
      <c r="A452" s="5">
        <v>-32211</v>
      </c>
      <c r="B452" s="2" t="s">
        <v>2887</v>
      </c>
      <c r="C452" s="2" t="s">
        <v>23783</v>
      </c>
      <c r="D452" s="3">
        <v>4</v>
      </c>
      <c r="E452" s="3">
        <v>5</v>
      </c>
      <c r="F452" s="3" t="str">
        <f>HYPERLINK("https://www.boe.es/gazeta/dias/1811/10/22/pdfs/GEI-D-1811-136.pdf","Abrir PDF")</f>
        <v>Abrir PDF</v>
      </c>
    </row>
    <row r="453" spans="1:6" ht="31.05" customHeight="1">
      <c r="A453" s="5">
        <v>-32210</v>
      </c>
      <c r="B453" s="2" t="s">
        <v>1737</v>
      </c>
      <c r="C453" s="2" t="s">
        <v>23784</v>
      </c>
      <c r="D453" s="3">
        <v>6</v>
      </c>
      <c r="E453" s="3">
        <v>28</v>
      </c>
      <c r="F453" s="3" t="str">
        <f>HYPERLINK("https://www.boe.es/gazeta/dias/1811/10/23/pdfs/GMD-1811-296.pdf","Abrir PDF")</f>
        <v>Abrir PDF</v>
      </c>
    </row>
    <row r="454" spans="1:6" ht="31.05" customHeight="1">
      <c r="A454" s="5">
        <v>-32209</v>
      </c>
      <c r="B454" s="2" t="s">
        <v>1324</v>
      </c>
      <c r="C454" s="2" t="s">
        <v>23785</v>
      </c>
      <c r="D454" s="3">
        <v>4</v>
      </c>
      <c r="E454" s="3">
        <v>14</v>
      </c>
      <c r="F454" s="3" t="str">
        <f>HYPERLINK("https://www.boe.es/gazeta/dias/1811/10/24/pdfs/GMD-1811-297.pdf","Abrir PDF")</f>
        <v>Abrir PDF</v>
      </c>
    </row>
    <row r="455" spans="1:6" ht="31.05" customHeight="1">
      <c r="A455" s="5">
        <v>-32209</v>
      </c>
      <c r="B455" s="2" t="s">
        <v>9303</v>
      </c>
      <c r="C455" s="2" t="s">
        <v>23786</v>
      </c>
      <c r="D455" s="3">
        <v>8</v>
      </c>
      <c r="E455" s="3">
        <v>14</v>
      </c>
      <c r="F455" s="3" t="str">
        <f>HYPERLINK("https://www.boe.es/gazeta/dias/1811/10/24/pdfs/GEI-1811-137.pdf","Abrir PDF")</f>
        <v>Abrir PDF</v>
      </c>
    </row>
    <row r="456" spans="1:6" ht="31.05" customHeight="1">
      <c r="A456" s="5">
        <v>-32209</v>
      </c>
      <c r="B456" s="2" t="s">
        <v>1779</v>
      </c>
      <c r="C456" s="2" t="s">
        <v>23787</v>
      </c>
      <c r="D456" s="3">
        <v>4</v>
      </c>
      <c r="E456" s="3">
        <v>7</v>
      </c>
      <c r="F456" s="3" t="str">
        <f>HYPERLINK("https://www.boe.es/gazeta/dias/1811/10/24/pdfs/GEI-D-1811-137.pdf","Abrir PDF")</f>
        <v>Abrir PDF</v>
      </c>
    </row>
    <row r="457" spans="1:6" ht="31.05" customHeight="1">
      <c r="A457" s="5">
        <v>-32208</v>
      </c>
      <c r="B457" s="2" t="s">
        <v>8346</v>
      </c>
      <c r="C457" s="2" t="s">
        <v>23788</v>
      </c>
      <c r="D457" s="3">
        <v>4</v>
      </c>
      <c r="E457" s="3">
        <v>4</v>
      </c>
      <c r="F457" s="3" t="str">
        <f>HYPERLINK("https://www.boe.es/gazeta/dias/1811/10/25/pdfs/GMD-1811-298.pdf","Abrir PDF")</f>
        <v>Abrir PDF</v>
      </c>
    </row>
    <row r="458" spans="1:6" ht="31.05" customHeight="1">
      <c r="A458" s="5">
        <v>-32207</v>
      </c>
      <c r="B458" s="2" t="s">
        <v>2761</v>
      </c>
      <c r="C458" s="2" t="s">
        <v>23789</v>
      </c>
      <c r="D458" s="3">
        <v>4</v>
      </c>
      <c r="E458" s="3">
        <v>7</v>
      </c>
      <c r="F458" s="3" t="str">
        <f>HYPERLINK("https://www.boe.es/gazeta/dias/1811/10/26/pdfs/GMD-1811-299.pdf","Abrir PDF")</f>
        <v>Abrir PDF</v>
      </c>
    </row>
    <row r="459" spans="1:6" ht="31.05" customHeight="1">
      <c r="A459" s="5">
        <v>-32207</v>
      </c>
      <c r="B459" s="2" t="s">
        <v>152</v>
      </c>
      <c r="C459" s="2" t="s">
        <v>23790</v>
      </c>
      <c r="D459" s="3">
        <v>8</v>
      </c>
      <c r="E459" s="3">
        <v>27</v>
      </c>
      <c r="F459" s="3" t="str">
        <f>HYPERLINK("https://www.boe.es/gazeta/dias/1811/10/26/pdfs/GEI-1811-138.pdf","Abrir PDF")</f>
        <v>Abrir PDF</v>
      </c>
    </row>
    <row r="460" spans="1:6" ht="31.05" customHeight="1">
      <c r="A460" s="5">
        <v>-32206</v>
      </c>
      <c r="B460" s="2" t="s">
        <v>9976</v>
      </c>
      <c r="C460" s="2" t="s">
        <v>23791</v>
      </c>
      <c r="D460" s="3">
        <v>4</v>
      </c>
      <c r="E460" s="3">
        <v>7</v>
      </c>
      <c r="F460" s="3" t="str">
        <f>HYPERLINK("https://www.boe.es/gazeta/dias/1811/10/27/pdfs/GMD-1811-300.pdf","Abrir PDF")</f>
        <v>Abrir PDF</v>
      </c>
    </row>
    <row r="461" spans="1:6" ht="31.05" customHeight="1">
      <c r="A461" s="5">
        <v>-32205</v>
      </c>
      <c r="B461" s="2" t="s">
        <v>7179</v>
      </c>
      <c r="C461" s="2" t="s">
        <v>23792</v>
      </c>
      <c r="D461" s="3">
        <v>4</v>
      </c>
      <c r="E461" s="3">
        <v>6</v>
      </c>
      <c r="F461" s="3" t="str">
        <f>HYPERLINK("https://www.boe.es/gazeta/dias/1811/10/28/pdfs/GMD-1811-301.pdf","Abrir PDF")</f>
        <v>Abrir PDF</v>
      </c>
    </row>
    <row r="462" spans="1:6" ht="31.05" customHeight="1">
      <c r="A462" s="5">
        <v>-32204</v>
      </c>
      <c r="B462" s="2" t="s">
        <v>177</v>
      </c>
      <c r="C462" s="2" t="s">
        <v>23793</v>
      </c>
      <c r="D462" s="3">
        <v>4</v>
      </c>
      <c r="E462" s="3">
        <v>33</v>
      </c>
      <c r="F462" s="3" t="str">
        <f>HYPERLINK("https://www.boe.es/gazeta/dias/1811/10/29/pdfs/GMD-1811-302.pdf","Abrir PDF")</f>
        <v>Abrir PDF</v>
      </c>
    </row>
    <row r="463" spans="1:6" ht="31.05" customHeight="1">
      <c r="A463" s="5">
        <v>-32204</v>
      </c>
      <c r="B463" s="2" t="s">
        <v>1053</v>
      </c>
      <c r="C463" s="2" t="s">
        <v>23794</v>
      </c>
      <c r="D463" s="3">
        <v>8</v>
      </c>
      <c r="E463" s="3">
        <v>17</v>
      </c>
      <c r="F463" s="3" t="str">
        <f>HYPERLINK("https://www.boe.es/gazeta/dias/1811/10/29/pdfs/GEI-1811-139.pdf","Abrir PDF")</f>
        <v>Abrir PDF</v>
      </c>
    </row>
    <row r="464" spans="1:6" ht="31.05" customHeight="1">
      <c r="A464" s="5">
        <v>-32203</v>
      </c>
      <c r="B464" s="2" t="s">
        <v>8645</v>
      </c>
      <c r="C464" s="2" t="s">
        <v>23795</v>
      </c>
      <c r="D464" s="3">
        <v>4</v>
      </c>
      <c r="E464" s="3">
        <v>8</v>
      </c>
      <c r="F464" s="3" t="str">
        <f>HYPERLINK("https://www.boe.es/gazeta/dias/1811/10/30/pdfs/GMD-1811-303.pdf","Abrir PDF")</f>
        <v>Abrir PDF</v>
      </c>
    </row>
    <row r="465" spans="1:6" ht="31.05" customHeight="1">
      <c r="A465" s="5">
        <v>-32202</v>
      </c>
      <c r="B465" s="2" t="s">
        <v>1634</v>
      </c>
      <c r="C465" s="2" t="s">
        <v>23796</v>
      </c>
      <c r="D465" s="3">
        <v>4</v>
      </c>
      <c r="E465" s="3">
        <v>12</v>
      </c>
      <c r="F465" s="3" t="str">
        <f>HYPERLINK("https://www.boe.es/gazeta/dias/1811/10/31/pdfs/GMD-1811-304.pdf","Abrir PDF")</f>
        <v>Abrir PDF</v>
      </c>
    </row>
    <row r="466" spans="1:6" ht="31.05" customHeight="1">
      <c r="A466" s="5">
        <v>-32202</v>
      </c>
      <c r="B466" s="2" t="s">
        <v>2194</v>
      </c>
      <c r="C466" s="2" t="s">
        <v>23797</v>
      </c>
      <c r="D466" s="3">
        <v>8</v>
      </c>
      <c r="E466" s="3">
        <v>17</v>
      </c>
      <c r="F466" s="3" t="str">
        <f>HYPERLINK("https://www.boe.es/gazeta/dias/1811/10/31/pdfs/GEI-1811-140.pdf","Abrir PDF")</f>
        <v>Abrir PDF</v>
      </c>
    </row>
    <row r="467" spans="1:6" ht="31.05" customHeight="1">
      <c r="A467" s="5">
        <v>-32201</v>
      </c>
      <c r="B467" s="2" t="s">
        <v>2643</v>
      </c>
      <c r="C467" s="2" t="s">
        <v>23798</v>
      </c>
      <c r="D467" s="3">
        <v>4</v>
      </c>
      <c r="E467" s="3">
        <v>14</v>
      </c>
      <c r="F467" s="3" t="str">
        <f>HYPERLINK("https://www.boe.es/gazeta/dias/1811/11/01/pdfs/GMD-1811-305.pdf","Abrir PDF")</f>
        <v>Abrir PDF</v>
      </c>
    </row>
    <row r="468" spans="1:6" ht="31.05" customHeight="1">
      <c r="A468" s="5">
        <v>-32200</v>
      </c>
      <c r="B468" s="2" t="s">
        <v>8807</v>
      </c>
      <c r="C468" s="2" t="s">
        <v>23799</v>
      </c>
      <c r="D468" s="3">
        <v>4</v>
      </c>
      <c r="E468" s="3">
        <v>5</v>
      </c>
      <c r="F468" s="3" t="str">
        <f>HYPERLINK("https://www.boe.es/gazeta/dias/1811/11/02/pdfs/GMD-1811-306.pdf","Abrir PDF")</f>
        <v>Abrir PDF</v>
      </c>
    </row>
    <row r="469" spans="1:6" ht="31.05" customHeight="1">
      <c r="A469" s="5">
        <v>-32200</v>
      </c>
      <c r="B469" s="2" t="s">
        <v>109</v>
      </c>
      <c r="C469" s="2" t="s">
        <v>23800</v>
      </c>
      <c r="D469" s="3">
        <v>8</v>
      </c>
      <c r="E469" s="3">
        <v>131</v>
      </c>
      <c r="F469" s="3" t="str">
        <f>HYPERLINK("https://www.boe.es/gazeta/dias/1811/11/02/pdfs/GEI-1811-141.pdf","Abrir PDF")</f>
        <v>Abrir PDF</v>
      </c>
    </row>
    <row r="470" spans="1:6" ht="31.05" customHeight="1">
      <c r="A470" s="5">
        <v>-32199</v>
      </c>
      <c r="B470" s="2" t="s">
        <v>23801</v>
      </c>
      <c r="C470" s="2" t="s">
        <v>23802</v>
      </c>
      <c r="D470" s="3">
        <v>4</v>
      </c>
      <c r="E470" s="3">
        <v>0</v>
      </c>
      <c r="F470" s="3" t="str">
        <f>HYPERLINK("https://www.boe.es/gazeta/dias/1811/11/03/pdfs/GMD-1811-307.pdf","Abrir PDF")</f>
        <v>Abrir PDF</v>
      </c>
    </row>
    <row r="471" spans="1:6" ht="31.05" customHeight="1">
      <c r="A471" s="5">
        <v>-32198</v>
      </c>
      <c r="B471" s="2" t="s">
        <v>330</v>
      </c>
      <c r="C471" s="2" t="s">
        <v>23803</v>
      </c>
      <c r="D471" s="3">
        <v>4</v>
      </c>
      <c r="E471" s="3">
        <v>5</v>
      </c>
      <c r="F471" s="3" t="str">
        <f>HYPERLINK("https://www.boe.es/gazeta/dias/1811/11/04/pdfs/GMD-1811-308.pdf","Abrir PDF")</f>
        <v>Abrir PDF</v>
      </c>
    </row>
    <row r="472" spans="1:6" ht="31.05" customHeight="1">
      <c r="A472" s="5">
        <v>-32198</v>
      </c>
      <c r="B472" s="2" t="s">
        <v>6209</v>
      </c>
      <c r="C472" s="2" t="s">
        <v>23804</v>
      </c>
      <c r="D472" s="3">
        <v>4</v>
      </c>
      <c r="E472" s="3">
        <v>7</v>
      </c>
      <c r="F472" s="3" t="str">
        <f>HYPERLINK("https://www.boe.es/gazeta/dias/1811/11/04/pdfs/GEI-1811-142E.pdf","Abrir PDF")</f>
        <v>Abrir PDF</v>
      </c>
    </row>
    <row r="473" spans="1:6" ht="31.05" customHeight="1">
      <c r="A473" s="5">
        <v>-32197</v>
      </c>
      <c r="B473" s="2" t="s">
        <v>2390</v>
      </c>
      <c r="C473" s="2" t="s">
        <v>23805</v>
      </c>
      <c r="D473" s="3">
        <v>4</v>
      </c>
      <c r="E473" s="3">
        <v>5</v>
      </c>
      <c r="F473" s="3" t="str">
        <f>HYPERLINK("https://www.boe.es/gazeta/dias/1811/11/05/pdfs/GMD-1811-309.pdf","Abrir PDF")</f>
        <v>Abrir PDF</v>
      </c>
    </row>
    <row r="474" spans="1:6" ht="31.05" customHeight="1">
      <c r="A474" s="5">
        <v>-32197</v>
      </c>
      <c r="B474" s="2" t="s">
        <v>687</v>
      </c>
      <c r="C474" s="2" t="s">
        <v>23806</v>
      </c>
      <c r="D474" s="3">
        <v>8</v>
      </c>
      <c r="E474" s="3">
        <v>38</v>
      </c>
      <c r="F474" s="3" t="str">
        <f>HYPERLINK("https://www.boe.es/gazeta/dias/1811/11/05/pdfs/GEI-1811-143.pdf","Abrir PDF")</f>
        <v>Abrir PDF</v>
      </c>
    </row>
    <row r="475" spans="1:6" ht="31.05" customHeight="1">
      <c r="A475" s="5">
        <v>-32196</v>
      </c>
      <c r="B475" s="2" t="s">
        <v>8418</v>
      </c>
      <c r="C475" s="2" t="s">
        <v>23807</v>
      </c>
      <c r="D475" s="3">
        <v>4</v>
      </c>
      <c r="E475" s="3">
        <v>6</v>
      </c>
      <c r="F475" s="3" t="str">
        <f>HYPERLINK("https://www.boe.es/gazeta/dias/1811/11/06/pdfs/GMD-1811-310.pdf","Abrir PDF")</f>
        <v>Abrir PDF</v>
      </c>
    </row>
    <row r="476" spans="1:6" ht="31.05" customHeight="1">
      <c r="A476" s="5">
        <v>-32195</v>
      </c>
      <c r="B476" s="2" t="s">
        <v>8457</v>
      </c>
      <c r="C476" s="2" t="s">
        <v>23808</v>
      </c>
      <c r="D476" s="3">
        <v>4</v>
      </c>
      <c r="E476" s="3">
        <v>4</v>
      </c>
      <c r="F476" s="3" t="str">
        <f>HYPERLINK("https://www.boe.es/gazeta/dias/1811/11/07/pdfs/GMD-1811-311.pdf","Abrir PDF")</f>
        <v>Abrir PDF</v>
      </c>
    </row>
    <row r="477" spans="1:6" ht="31.05" customHeight="1">
      <c r="A477" s="5">
        <v>-32195</v>
      </c>
      <c r="B477" s="2" t="s">
        <v>439</v>
      </c>
      <c r="C477" s="2" t="s">
        <v>23809</v>
      </c>
      <c r="D477" s="3">
        <v>8</v>
      </c>
      <c r="E477" s="3">
        <v>64</v>
      </c>
      <c r="F477" s="3" t="str">
        <f>HYPERLINK("https://www.boe.es/gazeta/dias/1811/11/07/pdfs/GEI-1811-144.pdf","Abrir PDF")</f>
        <v>Abrir PDF</v>
      </c>
    </row>
    <row r="478" spans="1:6" ht="31.05" customHeight="1">
      <c r="A478" s="5">
        <v>-32194</v>
      </c>
      <c r="B478" s="2" t="s">
        <v>1062</v>
      </c>
      <c r="C478" s="2" t="s">
        <v>23810</v>
      </c>
      <c r="D478" s="3">
        <v>4</v>
      </c>
      <c r="E478" s="3">
        <v>7</v>
      </c>
      <c r="F478" s="3" t="str">
        <f>HYPERLINK("https://www.boe.es/gazeta/dias/1811/11/08/pdfs/GMD-1811-312.pdf","Abrir PDF")</f>
        <v>Abrir PDF</v>
      </c>
    </row>
    <row r="479" spans="1:6" ht="31.05" customHeight="1">
      <c r="A479" s="5">
        <v>-32193</v>
      </c>
      <c r="B479" s="2" t="s">
        <v>6497</v>
      </c>
      <c r="C479" s="2" t="s">
        <v>23811</v>
      </c>
      <c r="D479" s="3">
        <v>4</v>
      </c>
      <c r="E479" s="3">
        <v>5</v>
      </c>
      <c r="F479" s="3" t="str">
        <f>HYPERLINK("https://www.boe.es/gazeta/dias/1811/11/09/pdfs/GMD-1811-313.pdf","Abrir PDF")</f>
        <v>Abrir PDF</v>
      </c>
    </row>
    <row r="480" spans="1:6" ht="31.05" customHeight="1">
      <c r="A480" s="5">
        <v>-32193</v>
      </c>
      <c r="B480" s="2" t="s">
        <v>1037</v>
      </c>
      <c r="C480" s="2" t="s">
        <v>23812</v>
      </c>
      <c r="D480" s="3">
        <v>8</v>
      </c>
      <c r="E480" s="3">
        <v>35</v>
      </c>
      <c r="F480" s="3" t="str">
        <f>HYPERLINK("https://www.boe.es/gazeta/dias/1811/11/09/pdfs/GEI-1811-145.pdf","Abrir PDF")</f>
        <v>Abrir PDF</v>
      </c>
    </row>
    <row r="481" spans="1:6" ht="31.05" customHeight="1">
      <c r="A481" s="5">
        <v>-32192</v>
      </c>
      <c r="B481" s="2" t="s">
        <v>673</v>
      </c>
      <c r="C481" s="2" t="s">
        <v>23813</v>
      </c>
      <c r="D481" s="3">
        <v>4</v>
      </c>
      <c r="E481" s="3">
        <v>38</v>
      </c>
      <c r="F481" s="3" t="str">
        <f>HYPERLINK("https://www.boe.es/gazeta/dias/1811/11/10/pdfs/GMD-1811-314.pdf","Abrir PDF")</f>
        <v>Abrir PDF</v>
      </c>
    </row>
    <row r="482" spans="1:6" ht="31.05" customHeight="1">
      <c r="A482" s="5">
        <v>-32192</v>
      </c>
      <c r="B482" s="2" t="s">
        <v>2920</v>
      </c>
      <c r="C482" s="2" t="s">
        <v>23814</v>
      </c>
      <c r="D482" s="3">
        <v>4</v>
      </c>
      <c r="E482" s="3">
        <v>2</v>
      </c>
      <c r="F482" s="3" t="str">
        <f>HYPERLINK("https://www.boe.es/gazeta/dias/1811/11/10/pdfs/GEI-1811-146E.pdf","Abrir PDF")</f>
        <v>Abrir PDF</v>
      </c>
    </row>
    <row r="483" spans="1:6" ht="31.05" customHeight="1">
      <c r="A483" s="5">
        <v>-32191</v>
      </c>
      <c r="B483" s="2" t="s">
        <v>2483</v>
      </c>
      <c r="C483" s="2" t="s">
        <v>23815</v>
      </c>
      <c r="D483" s="3">
        <v>4</v>
      </c>
      <c r="E483" s="3">
        <v>7</v>
      </c>
      <c r="F483" s="3" t="str">
        <f>HYPERLINK("https://www.boe.es/gazeta/dias/1811/11/11/pdfs/GMD-1811-315.pdf","Abrir PDF")</f>
        <v>Abrir PDF</v>
      </c>
    </row>
    <row r="484" spans="1:6" ht="31.05" customHeight="1">
      <c r="A484" s="5">
        <v>-32191</v>
      </c>
      <c r="B484" s="2" t="s">
        <v>2538</v>
      </c>
      <c r="C484" s="2" t="s">
        <v>23816</v>
      </c>
      <c r="D484" s="3">
        <v>8</v>
      </c>
      <c r="E484" s="3">
        <v>20</v>
      </c>
      <c r="F484" s="3" t="str">
        <f>HYPERLINK("https://www.boe.es/gazeta/dias/1811/11/11/pdfs/GEI-1811-147E.pdf","Abrir PDF")</f>
        <v>Abrir PDF</v>
      </c>
    </row>
    <row r="485" spans="1:6" ht="31.05" customHeight="1">
      <c r="A485" s="5">
        <v>-32190</v>
      </c>
      <c r="B485" s="2" t="s">
        <v>1282</v>
      </c>
      <c r="C485" s="2" t="s">
        <v>23817</v>
      </c>
      <c r="D485" s="3">
        <v>4</v>
      </c>
      <c r="E485" s="3">
        <v>8</v>
      </c>
      <c r="F485" s="3" t="str">
        <f>HYPERLINK("https://www.boe.es/gazeta/dias/1811/11/12/pdfs/GMD-1811-316.pdf","Abrir PDF")</f>
        <v>Abrir PDF</v>
      </c>
    </row>
    <row r="486" spans="1:6" ht="31.05" customHeight="1">
      <c r="A486" s="5">
        <v>-32190</v>
      </c>
      <c r="B486" s="2" t="s">
        <v>85</v>
      </c>
      <c r="C486" s="2" t="s">
        <v>23818</v>
      </c>
      <c r="D486" s="3">
        <v>8</v>
      </c>
      <c r="E486" s="3">
        <v>15</v>
      </c>
      <c r="F486" s="3" t="str">
        <f>HYPERLINK("https://www.boe.es/gazeta/dias/1811/11/12/pdfs/GEI-1811-148.pdf","Abrir PDF")</f>
        <v>Abrir PDF</v>
      </c>
    </row>
    <row r="487" spans="1:6" ht="31.05" customHeight="1">
      <c r="A487" s="5">
        <v>-32189</v>
      </c>
      <c r="B487" s="2" t="s">
        <v>8935</v>
      </c>
      <c r="C487" s="2" t="s">
        <v>23819</v>
      </c>
      <c r="D487" s="3">
        <v>4</v>
      </c>
      <c r="E487" s="3">
        <v>6</v>
      </c>
      <c r="F487" s="3" t="str">
        <f>HYPERLINK("https://www.boe.es/gazeta/dias/1811/11/13/pdfs/GMD-1811-317.pdf","Abrir PDF")</f>
        <v>Abrir PDF</v>
      </c>
    </row>
    <row r="488" spans="1:6" ht="31.05" customHeight="1">
      <c r="A488" s="5">
        <v>-32188</v>
      </c>
      <c r="B488" s="2" t="s">
        <v>356</v>
      </c>
      <c r="C488" s="2" t="s">
        <v>23820</v>
      </c>
      <c r="D488" s="3">
        <v>6</v>
      </c>
      <c r="E488" s="3">
        <v>155</v>
      </c>
      <c r="F488" s="3" t="str">
        <f>HYPERLINK("https://www.boe.es/gazeta/dias/1811/11/14/pdfs/GMD-1811-318.pdf","Abrir PDF")</f>
        <v>Abrir PDF</v>
      </c>
    </row>
    <row r="489" spans="1:6" ht="31.05" customHeight="1">
      <c r="A489" s="5">
        <v>-32188</v>
      </c>
      <c r="B489" s="2" t="s">
        <v>74</v>
      </c>
      <c r="C489" s="2" t="s">
        <v>23821</v>
      </c>
      <c r="D489" s="3">
        <v>8</v>
      </c>
      <c r="E489" s="3">
        <v>15</v>
      </c>
      <c r="F489" s="3" t="str">
        <f>HYPERLINK("https://www.boe.es/gazeta/dias/1811/11/14/pdfs/GEI-1811-149.pdf","Abrir PDF")</f>
        <v>Abrir PDF</v>
      </c>
    </row>
    <row r="490" spans="1:6" ht="31.05" customHeight="1">
      <c r="A490" s="5">
        <v>-32188</v>
      </c>
      <c r="B490" s="2" t="s">
        <v>505</v>
      </c>
      <c r="C490" s="2" t="s">
        <v>23822</v>
      </c>
      <c r="D490" s="3">
        <v>4</v>
      </c>
      <c r="E490" s="3">
        <v>102</v>
      </c>
      <c r="F490" s="3" t="str">
        <f>HYPERLINK("https://www.boe.es/gazeta/dias/1811/11/14/pdfs/GEI-D-1811-149.pdf","Abrir PDF")</f>
        <v>Abrir PDF</v>
      </c>
    </row>
    <row r="491" spans="1:6" ht="31.05" customHeight="1">
      <c r="A491" s="5">
        <v>-32187</v>
      </c>
      <c r="B491" s="2" t="s">
        <v>1775</v>
      </c>
      <c r="C491" s="2" t="s">
        <v>23823</v>
      </c>
      <c r="D491" s="3">
        <v>4</v>
      </c>
      <c r="E491" s="3">
        <v>21</v>
      </c>
      <c r="F491" s="3" t="str">
        <f>HYPERLINK("https://www.boe.es/gazeta/dias/1811/11/15/pdfs/GMD-1811-319.pdf","Abrir PDF")</f>
        <v>Abrir PDF</v>
      </c>
    </row>
    <row r="492" spans="1:6" ht="31.05" customHeight="1">
      <c r="A492" s="5">
        <v>-32186</v>
      </c>
      <c r="B492" s="2" t="s">
        <v>23824</v>
      </c>
      <c r="C492" s="2" t="s">
        <v>23825</v>
      </c>
      <c r="D492" s="3">
        <v>4</v>
      </c>
      <c r="E492" s="3">
        <v>0</v>
      </c>
      <c r="F492" s="3" t="str">
        <f>HYPERLINK("https://www.boe.es/gazeta/dias/1811/11/16/pdfs/GMD-1811-320.pdf","Abrir PDF")</f>
        <v>Abrir PDF</v>
      </c>
    </row>
    <row r="493" spans="1:6" ht="31.05" customHeight="1">
      <c r="A493" s="5">
        <v>-32186</v>
      </c>
      <c r="B493" s="2" t="s">
        <v>1425</v>
      </c>
      <c r="C493" s="2" t="s">
        <v>23826</v>
      </c>
      <c r="D493" s="3">
        <v>8</v>
      </c>
      <c r="E493" s="3">
        <v>16</v>
      </c>
      <c r="F493" s="3" t="str">
        <f>HYPERLINK("https://www.boe.es/gazeta/dias/1811/11/16/pdfs/GEI-1811-150.pdf","Abrir PDF")</f>
        <v>Abrir PDF</v>
      </c>
    </row>
    <row r="494" spans="1:6" ht="31.05" customHeight="1">
      <c r="A494" s="5">
        <v>-32185</v>
      </c>
      <c r="B494" s="2" t="s">
        <v>1329</v>
      </c>
      <c r="C494" s="2" t="s">
        <v>23827</v>
      </c>
      <c r="D494" s="3">
        <v>4</v>
      </c>
      <c r="E494" s="3">
        <v>7</v>
      </c>
      <c r="F494" s="3" t="str">
        <f>HYPERLINK("https://www.boe.es/gazeta/dias/1811/11/17/pdfs/GMD-1811-321.pdf","Abrir PDF")</f>
        <v>Abrir PDF</v>
      </c>
    </row>
    <row r="495" spans="1:6" ht="31.05" customHeight="1">
      <c r="A495" s="5">
        <v>-32184</v>
      </c>
      <c r="B495" s="2" t="s">
        <v>275</v>
      </c>
      <c r="C495" s="2" t="s">
        <v>23828</v>
      </c>
      <c r="D495" s="3">
        <v>4</v>
      </c>
      <c r="E495" s="3">
        <v>6</v>
      </c>
      <c r="F495" s="3" t="str">
        <f>HYPERLINK("https://www.boe.es/gazeta/dias/1811/11/18/pdfs/GMD-1811-322.pdf","Abrir PDF")</f>
        <v>Abrir PDF</v>
      </c>
    </row>
    <row r="496" spans="1:6" ht="31.05" customHeight="1">
      <c r="A496" s="5">
        <v>-32183</v>
      </c>
      <c r="B496" s="2" t="s">
        <v>5972</v>
      </c>
      <c r="C496" s="2" t="s">
        <v>23829</v>
      </c>
      <c r="D496" s="3">
        <v>4</v>
      </c>
      <c r="E496" s="3">
        <v>6</v>
      </c>
      <c r="F496" s="3" t="str">
        <f>HYPERLINK("https://www.boe.es/gazeta/dias/1811/11/19/pdfs/GMD-1811-323.pdf","Abrir PDF")</f>
        <v>Abrir PDF</v>
      </c>
    </row>
    <row r="497" spans="1:6" ht="31.05" customHeight="1">
      <c r="A497" s="5">
        <v>-32183</v>
      </c>
      <c r="B497" s="2" t="s">
        <v>3310</v>
      </c>
      <c r="C497" s="2" t="s">
        <v>23830</v>
      </c>
      <c r="D497" s="3">
        <v>8</v>
      </c>
      <c r="E497" s="3">
        <v>17</v>
      </c>
      <c r="F497" s="3" t="str">
        <f>HYPERLINK("https://www.boe.es/gazeta/dias/1811/11/19/pdfs/GEI-1811-151.pdf","Abrir PDF")</f>
        <v>Abrir PDF</v>
      </c>
    </row>
    <row r="498" spans="1:6" ht="31.05" customHeight="1">
      <c r="A498" s="5">
        <v>-32182</v>
      </c>
      <c r="B498" s="2" t="s">
        <v>653</v>
      </c>
      <c r="C498" s="2" t="s">
        <v>23831</v>
      </c>
      <c r="D498" s="3">
        <v>4</v>
      </c>
      <c r="E498" s="3">
        <v>7</v>
      </c>
      <c r="F498" s="3" t="str">
        <f>HYPERLINK("https://www.boe.es/gazeta/dias/1811/11/20/pdfs/GMD-1811-324.pdf","Abrir PDF")</f>
        <v>Abrir PDF</v>
      </c>
    </row>
    <row r="499" spans="1:6" ht="31.05" customHeight="1">
      <c r="A499" s="5">
        <v>-32181</v>
      </c>
      <c r="B499" s="2" t="s">
        <v>1169</v>
      </c>
      <c r="C499" s="2" t="s">
        <v>23832</v>
      </c>
      <c r="D499" s="3">
        <v>4</v>
      </c>
      <c r="E499" s="3">
        <v>32</v>
      </c>
      <c r="F499" s="3" t="str">
        <f>HYPERLINK("https://www.boe.es/gazeta/dias/1811/11/21/pdfs/GMD-1811-325.pdf","Abrir PDF")</f>
        <v>Abrir PDF</v>
      </c>
    </row>
    <row r="500" spans="1:6" ht="31.05" customHeight="1">
      <c r="A500" s="5">
        <v>-32181</v>
      </c>
      <c r="B500" s="2" t="s">
        <v>368</v>
      </c>
      <c r="C500" s="2" t="s">
        <v>23833</v>
      </c>
      <c r="D500" s="3">
        <v>6</v>
      </c>
      <c r="E500" s="3">
        <v>10</v>
      </c>
      <c r="F500" s="3" t="str">
        <f>HYPERLINK("https://www.boe.es/gazeta/dias/1811/11/21/pdfs/GEI-1811-152.pdf","Abrir PDF")</f>
        <v>Abrir PDF</v>
      </c>
    </row>
    <row r="501" spans="1:6" ht="31.05" customHeight="1">
      <c r="A501" s="5">
        <v>-32180</v>
      </c>
      <c r="B501" s="2" t="s">
        <v>9096</v>
      </c>
      <c r="C501" s="2" t="s">
        <v>23834</v>
      </c>
      <c r="D501" s="3">
        <v>4</v>
      </c>
      <c r="E501" s="3">
        <v>5</v>
      </c>
      <c r="F501" s="3" t="str">
        <f>HYPERLINK("https://www.boe.es/gazeta/dias/1811/11/22/pdfs/GMD-1811-326.pdf","Abrir PDF")</f>
        <v>Abrir PDF</v>
      </c>
    </row>
    <row r="502" spans="1:6" ht="31.05" customHeight="1">
      <c r="A502" s="5">
        <v>-32179</v>
      </c>
      <c r="B502" s="2" t="s">
        <v>3269</v>
      </c>
      <c r="C502" s="2" t="s">
        <v>23835</v>
      </c>
      <c r="D502" s="3">
        <v>4</v>
      </c>
      <c r="E502" s="3">
        <v>8</v>
      </c>
      <c r="F502" s="3" t="str">
        <f>HYPERLINK("https://www.boe.es/gazeta/dias/1811/11/23/pdfs/GMD-1811-327.pdf","Abrir PDF")</f>
        <v>Abrir PDF</v>
      </c>
    </row>
    <row r="503" spans="1:6" ht="31.05" customHeight="1">
      <c r="A503" s="5">
        <v>-32179</v>
      </c>
      <c r="B503" s="2" t="s">
        <v>614</v>
      </c>
      <c r="C503" s="2" t="s">
        <v>23836</v>
      </c>
      <c r="D503" s="3">
        <v>8</v>
      </c>
      <c r="E503" s="3">
        <v>61</v>
      </c>
      <c r="F503" s="3" t="str">
        <f>HYPERLINK("https://www.boe.es/gazeta/dias/1811/11/23/pdfs/GEI-1811-153.pdf","Abrir PDF")</f>
        <v>Abrir PDF</v>
      </c>
    </row>
    <row r="504" spans="1:6" ht="31.05" customHeight="1">
      <c r="A504" s="5">
        <v>-32179</v>
      </c>
      <c r="B504" s="2" t="s">
        <v>2924</v>
      </c>
      <c r="C504" s="2" t="s">
        <v>23837</v>
      </c>
      <c r="D504" s="3">
        <v>4</v>
      </c>
      <c r="E504" s="3">
        <v>14</v>
      </c>
      <c r="F504" s="3" t="str">
        <f>HYPERLINK("https://www.boe.es/gazeta/dias/1811/11/23/pdfs/GEI-D-1811-153.pdf","Abrir PDF")</f>
        <v>Abrir PDF</v>
      </c>
    </row>
    <row r="505" spans="1:6" ht="31.05" customHeight="1">
      <c r="A505" s="5">
        <v>-32178</v>
      </c>
      <c r="B505" s="2" t="s">
        <v>14295</v>
      </c>
      <c r="C505" s="2" t="s">
        <v>23838</v>
      </c>
      <c r="D505" s="3">
        <v>4</v>
      </c>
      <c r="E505" s="3">
        <v>1</v>
      </c>
      <c r="F505" s="3" t="str">
        <f>HYPERLINK("https://www.boe.es/gazeta/dias/1811/11/24/pdfs/GMD-1811-328.pdf","Abrir PDF")</f>
        <v>Abrir PDF</v>
      </c>
    </row>
    <row r="506" spans="1:6" ht="31.05" customHeight="1">
      <c r="A506" s="5">
        <v>-32177</v>
      </c>
      <c r="B506" s="2" t="s">
        <v>402</v>
      </c>
      <c r="C506" s="2" t="s">
        <v>23839</v>
      </c>
      <c r="D506" s="3">
        <v>4</v>
      </c>
      <c r="E506" s="3">
        <v>13</v>
      </c>
      <c r="F506" s="3" t="str">
        <f>HYPERLINK("https://www.boe.es/gazeta/dias/1811/11/25/pdfs/GMD-1811-329.pdf","Abrir PDF")</f>
        <v>Abrir PDF</v>
      </c>
    </row>
    <row r="507" spans="1:6" ht="31.05" customHeight="1">
      <c r="A507" s="5">
        <v>-32176</v>
      </c>
      <c r="B507" s="2" t="s">
        <v>333</v>
      </c>
      <c r="C507" s="2" t="s">
        <v>23840</v>
      </c>
      <c r="D507" s="3">
        <v>4</v>
      </c>
      <c r="E507" s="3">
        <v>3</v>
      </c>
      <c r="F507" s="3" t="str">
        <f>HYPERLINK("https://www.boe.es/gazeta/dias/1811/11/26/pdfs/GMD-1811-330.pdf","Abrir PDF")</f>
        <v>Abrir PDF</v>
      </c>
    </row>
    <row r="508" spans="1:6" ht="31.05" customHeight="1">
      <c r="A508" s="5">
        <v>-32176</v>
      </c>
      <c r="B508" s="2" t="s">
        <v>638</v>
      </c>
      <c r="C508" s="2" t="s">
        <v>23841</v>
      </c>
      <c r="D508" s="3">
        <v>8</v>
      </c>
      <c r="E508" s="3">
        <v>26</v>
      </c>
      <c r="F508" s="3" t="str">
        <f>HYPERLINK("https://www.boe.es/gazeta/dias/1811/11/26/pdfs/GEI-1811-154.pdf","Abrir PDF")</f>
        <v>Abrir PDF</v>
      </c>
    </row>
    <row r="509" spans="1:6" ht="31.05" customHeight="1">
      <c r="A509" s="5">
        <v>-32175</v>
      </c>
      <c r="B509" s="2" t="s">
        <v>1671</v>
      </c>
      <c r="C509" s="2" t="s">
        <v>23842</v>
      </c>
      <c r="D509" s="3">
        <v>4</v>
      </c>
      <c r="E509" s="3">
        <v>11</v>
      </c>
      <c r="F509" s="3" t="str">
        <f>HYPERLINK("https://www.boe.es/gazeta/dias/1811/11/27/pdfs/GMD-1811-331.pdf","Abrir PDF")</f>
        <v>Abrir PDF</v>
      </c>
    </row>
    <row r="510" spans="1:6" ht="31.05" customHeight="1">
      <c r="A510" s="5">
        <v>-32174</v>
      </c>
      <c r="B510" s="2" t="s">
        <v>3847</v>
      </c>
      <c r="C510" s="2" t="s">
        <v>23843</v>
      </c>
      <c r="D510" s="3">
        <v>4</v>
      </c>
      <c r="E510" s="3">
        <v>3</v>
      </c>
      <c r="F510" s="3" t="str">
        <f>HYPERLINK("https://www.boe.es/gazeta/dias/1811/11/28/pdfs/GMD-1811-332.pdf","Abrir PDF")</f>
        <v>Abrir PDF</v>
      </c>
    </row>
    <row r="511" spans="1:6" ht="31.05" customHeight="1">
      <c r="A511" s="5">
        <v>-32174</v>
      </c>
      <c r="B511" s="2" t="s">
        <v>172</v>
      </c>
      <c r="C511" s="2" t="s">
        <v>23844</v>
      </c>
      <c r="D511" s="3">
        <v>8</v>
      </c>
      <c r="E511" s="3">
        <v>16</v>
      </c>
      <c r="F511" s="3" t="str">
        <f>HYPERLINK("https://www.boe.es/gazeta/dias/1811/11/28/pdfs/GEI-1811-155.pdf","Abrir PDF")</f>
        <v>Abrir PDF</v>
      </c>
    </row>
    <row r="512" spans="1:6" ht="31.05" customHeight="1">
      <c r="A512" s="5">
        <v>-32173</v>
      </c>
      <c r="B512" s="2" t="s">
        <v>2701</v>
      </c>
      <c r="C512" s="2" t="s">
        <v>23845</v>
      </c>
      <c r="D512" s="3">
        <v>4</v>
      </c>
      <c r="E512" s="3">
        <v>14</v>
      </c>
      <c r="F512" s="3" t="str">
        <f>HYPERLINK("https://www.boe.es/gazeta/dias/1811/11/29/pdfs/GMD-1811-333.pdf","Abrir PDF")</f>
        <v>Abrir PDF</v>
      </c>
    </row>
    <row r="513" spans="1:6" ht="31.05" customHeight="1">
      <c r="A513" s="5">
        <v>-32172</v>
      </c>
      <c r="B513" s="2" t="s">
        <v>300</v>
      </c>
      <c r="C513" s="2" t="s">
        <v>23846</v>
      </c>
      <c r="D513" s="3">
        <v>4</v>
      </c>
      <c r="E513" s="3">
        <v>80</v>
      </c>
      <c r="F513" s="3" t="str">
        <f>HYPERLINK("https://www.boe.es/gazeta/dias/1811/11/30/pdfs/GMD-1811-334.pdf","Abrir PDF")</f>
        <v>Abrir PDF</v>
      </c>
    </row>
    <row r="514" spans="1:6" ht="31.05" customHeight="1">
      <c r="A514" s="5">
        <v>-32172</v>
      </c>
      <c r="B514" s="2" t="s">
        <v>707</v>
      </c>
      <c r="C514" s="2" t="s">
        <v>23847</v>
      </c>
      <c r="D514" s="3">
        <v>8</v>
      </c>
      <c r="E514" s="3">
        <v>11</v>
      </c>
      <c r="F514" s="3" t="str">
        <f>HYPERLINK("https://www.boe.es/gazeta/dias/1811/11/30/pdfs/GEI-1811-156.pdf","Abrir PDF")</f>
        <v>Abrir PDF</v>
      </c>
    </row>
    <row r="515" spans="1:6" ht="31.05" customHeight="1">
      <c r="A515" s="5">
        <v>-32171</v>
      </c>
      <c r="B515" s="2" t="s">
        <v>157</v>
      </c>
      <c r="C515" s="2" t="s">
        <v>23848</v>
      </c>
      <c r="D515" s="3">
        <v>4</v>
      </c>
      <c r="E515" s="3">
        <v>40</v>
      </c>
      <c r="F515" s="3" t="str">
        <f>HYPERLINK("https://www.boe.es/gazeta/dias/1811/12/01/pdfs/GMD-1811-335.pdf","Abrir PDF")</f>
        <v>Abrir PDF</v>
      </c>
    </row>
    <row r="516" spans="1:6" ht="31.05" customHeight="1">
      <c r="A516" s="5">
        <v>-32170</v>
      </c>
      <c r="B516" s="2" t="s">
        <v>1183</v>
      </c>
      <c r="C516" s="2" t="s">
        <v>23849</v>
      </c>
      <c r="D516" s="3">
        <v>4</v>
      </c>
      <c r="E516" s="3">
        <v>6</v>
      </c>
      <c r="F516" s="3" t="str">
        <f>HYPERLINK("https://www.boe.es/gazeta/dias/1811/12/02/pdfs/GMD-1811-336.pdf","Abrir PDF")</f>
        <v>Abrir PDF</v>
      </c>
    </row>
    <row r="517" spans="1:6" ht="31.05" customHeight="1">
      <c r="A517" s="5">
        <v>-32169</v>
      </c>
      <c r="B517" s="2" t="s">
        <v>4012</v>
      </c>
      <c r="C517" s="2" t="s">
        <v>23850</v>
      </c>
      <c r="D517" s="3">
        <v>4</v>
      </c>
      <c r="E517" s="3">
        <v>8</v>
      </c>
      <c r="F517" s="3" t="str">
        <f>HYPERLINK("https://www.boe.es/gazeta/dias/1811/12/03/pdfs/GMD-1811-337.pdf","Abrir PDF")</f>
        <v>Abrir PDF</v>
      </c>
    </row>
    <row r="518" spans="1:6" ht="31.05" customHeight="1">
      <c r="A518" s="5">
        <v>-32169</v>
      </c>
      <c r="B518" s="2" t="s">
        <v>1702</v>
      </c>
      <c r="C518" s="2" t="s">
        <v>23851</v>
      </c>
      <c r="D518" s="3">
        <v>8</v>
      </c>
      <c r="E518" s="3">
        <v>18</v>
      </c>
      <c r="F518" s="3" t="str">
        <f>HYPERLINK("https://www.boe.es/gazeta/dias/1811/12/03/pdfs/GEI-1811-157.pdf","Abrir PDF")</f>
        <v>Abrir PDF</v>
      </c>
    </row>
    <row r="519" spans="1:6" ht="31.05" customHeight="1">
      <c r="A519" s="5">
        <v>-32168</v>
      </c>
      <c r="B519" s="2" t="s">
        <v>14380</v>
      </c>
      <c r="C519" s="2" t="s">
        <v>23852</v>
      </c>
      <c r="D519" s="3">
        <v>4</v>
      </c>
      <c r="E519" s="3">
        <v>4</v>
      </c>
      <c r="F519" s="3" t="str">
        <f>HYPERLINK("https://www.boe.es/gazeta/dias/1811/12/04/pdfs/GMD-1811-338.pdf","Abrir PDF")</f>
        <v>Abrir PDF</v>
      </c>
    </row>
    <row r="520" spans="1:6" ht="31.05" customHeight="1">
      <c r="A520" s="5">
        <v>-32167</v>
      </c>
      <c r="B520" s="2" t="s">
        <v>1591</v>
      </c>
      <c r="C520" s="2" t="s">
        <v>23853</v>
      </c>
      <c r="D520" s="3">
        <v>4</v>
      </c>
      <c r="E520" s="3">
        <v>6</v>
      </c>
      <c r="F520" s="3" t="str">
        <f>HYPERLINK("https://www.boe.es/gazeta/dias/1811/12/05/pdfs/GMD-1811-339.pdf","Abrir PDF")</f>
        <v>Abrir PDF</v>
      </c>
    </row>
    <row r="521" spans="1:6" ht="31.05" customHeight="1">
      <c r="A521" s="5">
        <v>-32167</v>
      </c>
      <c r="B521" s="2" t="s">
        <v>195</v>
      </c>
      <c r="C521" s="2" t="s">
        <v>23854</v>
      </c>
      <c r="D521" s="3">
        <v>8</v>
      </c>
      <c r="E521" s="3">
        <v>18</v>
      </c>
      <c r="F521" s="3" t="str">
        <f>HYPERLINK("https://www.boe.es/gazeta/dias/1811/12/05/pdfs/GEI-1811-158.pdf","Abrir PDF")</f>
        <v>Abrir PDF</v>
      </c>
    </row>
    <row r="522" spans="1:6" ht="31.05" customHeight="1">
      <c r="A522" s="5">
        <v>-32167</v>
      </c>
      <c r="B522" s="2" t="s">
        <v>347</v>
      </c>
      <c r="C522" s="2" t="s">
        <v>23855</v>
      </c>
      <c r="D522" s="3">
        <v>4</v>
      </c>
      <c r="E522" s="3">
        <v>20</v>
      </c>
      <c r="F522" s="3" t="str">
        <f>HYPERLINK("https://www.boe.es/gazeta/dias/1811/12/05/pdfs/GEI-D-1811-158.pdf","Abrir PDF")</f>
        <v>Abrir PDF</v>
      </c>
    </row>
    <row r="523" spans="1:6" ht="31.05" customHeight="1">
      <c r="A523" s="5">
        <v>-32166</v>
      </c>
      <c r="B523" s="2" t="s">
        <v>2263</v>
      </c>
      <c r="C523" s="2" t="s">
        <v>23856</v>
      </c>
      <c r="D523" s="3">
        <v>4</v>
      </c>
      <c r="E523" s="3">
        <v>8</v>
      </c>
      <c r="F523" s="3" t="str">
        <f>HYPERLINK("https://www.boe.es/gazeta/dias/1811/12/06/pdfs/GMD-1811-340.pdf","Abrir PDF")</f>
        <v>Abrir PDF</v>
      </c>
    </row>
    <row r="524" spans="1:6" ht="31.05" customHeight="1">
      <c r="A524" s="5">
        <v>-32165</v>
      </c>
      <c r="B524" s="2" t="s">
        <v>1462</v>
      </c>
      <c r="C524" s="2" t="s">
        <v>23857</v>
      </c>
      <c r="D524" s="3">
        <v>4</v>
      </c>
      <c r="E524" s="3">
        <v>29</v>
      </c>
      <c r="F524" s="3" t="str">
        <f>HYPERLINK("https://www.boe.es/gazeta/dias/1811/12/07/pdfs/GMD-1811-341.pdf","Abrir PDF")</f>
        <v>Abrir PDF</v>
      </c>
    </row>
    <row r="525" spans="1:6" ht="31.05" customHeight="1">
      <c r="A525" s="5">
        <v>-32165</v>
      </c>
      <c r="B525" s="2" t="s">
        <v>4621</v>
      </c>
      <c r="C525" s="2" t="s">
        <v>23858</v>
      </c>
      <c r="D525" s="3">
        <v>8</v>
      </c>
      <c r="E525" s="3">
        <v>13</v>
      </c>
      <c r="F525" s="3" t="str">
        <f>HYPERLINK("https://www.boe.es/gazeta/dias/1811/12/07/pdfs/GEI-1811-159.pdf","Abrir PDF")</f>
        <v>Abrir PDF</v>
      </c>
    </row>
    <row r="526" spans="1:6" ht="31.05" customHeight="1">
      <c r="A526" s="5">
        <v>-32164</v>
      </c>
      <c r="B526" s="2" t="s">
        <v>15392</v>
      </c>
      <c r="C526" s="2" t="s">
        <v>23859</v>
      </c>
      <c r="D526" s="3">
        <v>4</v>
      </c>
      <c r="E526" s="3">
        <v>6</v>
      </c>
      <c r="F526" s="3" t="str">
        <f>HYPERLINK("https://www.boe.es/gazeta/dias/1811/12/08/pdfs/GMD-1811-342.pdf","Abrir PDF")</f>
        <v>Abrir PDF</v>
      </c>
    </row>
    <row r="527" spans="1:6" ht="31.05" customHeight="1">
      <c r="A527" s="5">
        <v>-32163</v>
      </c>
      <c r="B527" s="2" t="s">
        <v>497</v>
      </c>
      <c r="C527" s="2" t="s">
        <v>23860</v>
      </c>
      <c r="D527" s="3">
        <v>4</v>
      </c>
      <c r="E527" s="3">
        <v>19</v>
      </c>
      <c r="F527" s="3" t="str">
        <f>HYPERLINK("https://www.boe.es/gazeta/dias/1811/12/09/pdfs/GMD-1811-343.pdf","Abrir PDF")</f>
        <v>Abrir PDF</v>
      </c>
    </row>
    <row r="528" spans="1:6" ht="31.05" customHeight="1">
      <c r="A528" s="5">
        <v>-32162</v>
      </c>
      <c r="B528" s="2" t="s">
        <v>4375</v>
      </c>
      <c r="C528" s="2" t="s">
        <v>23861</v>
      </c>
      <c r="D528" s="3">
        <v>4</v>
      </c>
      <c r="E528" s="3">
        <v>2</v>
      </c>
      <c r="F528" s="3" t="str">
        <f>HYPERLINK("https://www.boe.es/gazeta/dias/1811/12/10/pdfs/GMD-1811-344.pdf","Abrir PDF")</f>
        <v>Abrir PDF</v>
      </c>
    </row>
    <row r="529" spans="1:6" ht="31.05" customHeight="1">
      <c r="A529" s="5">
        <v>-32162</v>
      </c>
      <c r="B529" s="2" t="s">
        <v>317</v>
      </c>
      <c r="C529" s="2" t="s">
        <v>23862</v>
      </c>
      <c r="D529" s="3">
        <v>8</v>
      </c>
      <c r="E529" s="3">
        <v>28</v>
      </c>
      <c r="F529" s="3" t="str">
        <f>HYPERLINK("https://www.boe.es/gazeta/dias/1811/12/10/pdfs/GEI-1811-160.pdf","Abrir PDF")</f>
        <v>Abrir PDF</v>
      </c>
    </row>
    <row r="530" spans="1:6" ht="31.05" customHeight="1">
      <c r="A530" s="5">
        <v>-32161</v>
      </c>
      <c r="B530" s="2" t="s">
        <v>2826</v>
      </c>
      <c r="C530" s="2" t="s">
        <v>23863</v>
      </c>
      <c r="D530" s="3">
        <v>4</v>
      </c>
      <c r="E530" s="3">
        <v>5</v>
      </c>
      <c r="F530" s="3" t="str">
        <f>HYPERLINK("https://www.boe.es/gazeta/dias/1811/12/11/pdfs/GMD-1811-345.pdf","Abrir PDF")</f>
        <v>Abrir PDF</v>
      </c>
    </row>
    <row r="531" spans="1:6" ht="31.05" customHeight="1">
      <c r="A531" s="5">
        <v>-32160</v>
      </c>
      <c r="B531" s="2" t="s">
        <v>205</v>
      </c>
      <c r="C531" s="2" t="s">
        <v>23864</v>
      </c>
      <c r="D531" s="3">
        <v>4</v>
      </c>
      <c r="E531" s="3">
        <v>6</v>
      </c>
      <c r="F531" s="3" t="str">
        <f>HYPERLINK("https://www.boe.es/gazeta/dias/1811/12/12/pdfs/GMD-1811-346.pdf","Abrir PDF")</f>
        <v>Abrir PDF</v>
      </c>
    </row>
    <row r="532" spans="1:6" ht="31.05" customHeight="1">
      <c r="A532" s="5">
        <v>-32160</v>
      </c>
      <c r="B532" s="2" t="s">
        <v>1013</v>
      </c>
      <c r="C532" s="2" t="s">
        <v>23865</v>
      </c>
      <c r="D532" s="3">
        <v>8</v>
      </c>
      <c r="E532" s="3">
        <v>18</v>
      </c>
      <c r="F532" s="3" t="str">
        <f>HYPERLINK("https://www.boe.es/gazeta/dias/1811/12/12/pdfs/GEI-1811-161.pdf","Abrir PDF")</f>
        <v>Abrir PDF</v>
      </c>
    </row>
    <row r="533" spans="1:6" ht="31.05" customHeight="1">
      <c r="A533" s="5">
        <v>-32159</v>
      </c>
      <c r="B533" s="2" t="s">
        <v>7260</v>
      </c>
      <c r="C533" s="2" t="s">
        <v>23866</v>
      </c>
      <c r="D533" s="3">
        <v>4</v>
      </c>
      <c r="E533" s="3">
        <v>3</v>
      </c>
      <c r="F533" s="3" t="str">
        <f>HYPERLINK("https://www.boe.es/gazeta/dias/1811/12/13/pdfs/GMD-1811-347.pdf","Abrir PDF")</f>
        <v>Abrir PDF</v>
      </c>
    </row>
    <row r="534" spans="1:6" ht="31.05" customHeight="1">
      <c r="A534" s="5">
        <v>-32158</v>
      </c>
      <c r="B534" s="2" t="s">
        <v>2014</v>
      </c>
      <c r="C534" s="2" t="s">
        <v>23867</v>
      </c>
      <c r="D534" s="3">
        <v>4</v>
      </c>
      <c r="E534" s="3">
        <v>3</v>
      </c>
      <c r="F534" s="3" t="str">
        <f>HYPERLINK("https://www.boe.es/gazeta/dias/1811/12/14/pdfs/GMD-1811-348.pdf","Abrir PDF")</f>
        <v>Abrir PDF</v>
      </c>
    </row>
    <row r="535" spans="1:6" ht="31.05" customHeight="1">
      <c r="A535" s="5">
        <v>-32158</v>
      </c>
      <c r="B535" s="2" t="s">
        <v>46</v>
      </c>
      <c r="C535" s="2" t="s">
        <v>23868</v>
      </c>
      <c r="D535" s="3">
        <v>8</v>
      </c>
      <c r="E535" s="3">
        <v>45</v>
      </c>
      <c r="F535" s="3" t="str">
        <f>HYPERLINK("https://www.boe.es/gazeta/dias/1811/12/14/pdfs/GEI-1811-162.pdf","Abrir PDF")</f>
        <v>Abrir PDF</v>
      </c>
    </row>
    <row r="536" spans="1:6" ht="31.05" customHeight="1">
      <c r="A536" s="5">
        <v>-32157</v>
      </c>
      <c r="B536" s="2" t="s">
        <v>200</v>
      </c>
      <c r="C536" s="2" t="s">
        <v>23869</v>
      </c>
      <c r="D536" s="3">
        <v>4</v>
      </c>
      <c r="E536" s="3">
        <v>13</v>
      </c>
      <c r="F536" s="3" t="str">
        <f>HYPERLINK("https://www.boe.es/gazeta/dias/1811/12/15/pdfs/GMD-1811-349.pdf","Abrir PDF")</f>
        <v>Abrir PDF</v>
      </c>
    </row>
    <row r="537" spans="1:6" ht="31.05" customHeight="1">
      <c r="A537" s="5">
        <v>-32156</v>
      </c>
      <c r="B537" s="2" t="s">
        <v>15329</v>
      </c>
      <c r="C537" s="2" t="s">
        <v>23870</v>
      </c>
      <c r="D537" s="3">
        <v>4</v>
      </c>
      <c r="E537" s="3">
        <v>1</v>
      </c>
      <c r="F537" s="3" t="str">
        <f>HYPERLINK("https://www.boe.es/gazeta/dias/1811/12/16/pdfs/GMD-1811-350.pdf","Abrir PDF")</f>
        <v>Abrir PDF</v>
      </c>
    </row>
    <row r="538" spans="1:6" ht="31.05" customHeight="1">
      <c r="A538" s="5">
        <v>-32155</v>
      </c>
      <c r="B538" s="2" t="s">
        <v>99</v>
      </c>
      <c r="C538" s="2" t="s">
        <v>23871</v>
      </c>
      <c r="D538" s="3">
        <v>4</v>
      </c>
      <c r="E538" s="3">
        <v>27</v>
      </c>
      <c r="F538" s="3" t="str">
        <f>HYPERLINK("https://www.boe.es/gazeta/dias/1811/12/17/pdfs/GMD-1811-351.pdf","Abrir PDF")</f>
        <v>Abrir PDF</v>
      </c>
    </row>
    <row r="539" spans="1:6" ht="31.05" customHeight="1">
      <c r="A539" s="5">
        <v>-32155</v>
      </c>
      <c r="B539" s="2" t="s">
        <v>263</v>
      </c>
      <c r="C539" s="2" t="s">
        <v>23872</v>
      </c>
      <c r="D539" s="3">
        <v>8</v>
      </c>
      <c r="E539" s="3">
        <v>103</v>
      </c>
      <c r="F539" s="3" t="str">
        <f>HYPERLINK("https://www.boe.es/gazeta/dias/1811/12/17/pdfs/GEI-1811-163.pdf","Abrir PDF")</f>
        <v>Abrir PDF</v>
      </c>
    </row>
    <row r="540" spans="1:6" ht="31.05" customHeight="1">
      <c r="A540" s="5">
        <v>-32154</v>
      </c>
      <c r="B540" s="2" t="s">
        <v>7211</v>
      </c>
      <c r="C540" s="2" t="s">
        <v>23873</v>
      </c>
      <c r="D540" s="3">
        <v>4</v>
      </c>
      <c r="E540" s="3">
        <v>5</v>
      </c>
      <c r="F540" s="3" t="str">
        <f>HYPERLINK("https://www.boe.es/gazeta/dias/1811/12/18/pdfs/GMD-1811-352.pdf","Abrir PDF")</f>
        <v>Abrir PDF</v>
      </c>
    </row>
    <row r="541" spans="1:6" ht="31.05" customHeight="1">
      <c r="A541" s="5">
        <v>-32153</v>
      </c>
      <c r="B541" s="2" t="s">
        <v>123</v>
      </c>
      <c r="C541" s="2" t="s">
        <v>23874</v>
      </c>
      <c r="D541" s="3">
        <v>6</v>
      </c>
      <c r="E541" s="3">
        <v>177</v>
      </c>
      <c r="F541" s="3" t="str">
        <f>HYPERLINK("https://www.boe.es/gazeta/dias/1811/12/19/pdfs/GMD-1811-353.pdf","Abrir PDF")</f>
        <v>Abrir PDF</v>
      </c>
    </row>
    <row r="542" spans="1:6" ht="31.05" customHeight="1">
      <c r="A542" s="5">
        <v>-32153</v>
      </c>
      <c r="B542" s="2" t="s">
        <v>235</v>
      </c>
      <c r="C542" s="2" t="s">
        <v>23875</v>
      </c>
      <c r="D542" s="3">
        <v>8</v>
      </c>
      <c r="E542" s="3">
        <v>40</v>
      </c>
      <c r="F542" s="3" t="str">
        <f>HYPERLINK("https://www.boe.es/gazeta/dias/1811/12/19/pdfs/GEI-1811-164.pdf","Abrir PDF")</f>
        <v>Abrir PDF</v>
      </c>
    </row>
    <row r="543" spans="1:6" ht="31.05" customHeight="1">
      <c r="A543" s="5">
        <v>-32152</v>
      </c>
      <c r="B543" s="2" t="s">
        <v>1673</v>
      </c>
      <c r="C543" s="2" t="s">
        <v>23876</v>
      </c>
      <c r="D543" s="3">
        <v>4</v>
      </c>
      <c r="E543" s="3">
        <v>41</v>
      </c>
      <c r="F543" s="3" t="str">
        <f>HYPERLINK("https://www.boe.es/gazeta/dias/1811/12/20/pdfs/GMD-1811-354.pdf","Abrir PDF")</f>
        <v>Abrir PDF</v>
      </c>
    </row>
    <row r="544" spans="1:6" ht="31.05" customHeight="1">
      <c r="A544" s="5">
        <v>-32151</v>
      </c>
      <c r="B544" s="2" t="s">
        <v>2160</v>
      </c>
      <c r="C544" s="2" t="s">
        <v>23877</v>
      </c>
      <c r="D544" s="3">
        <v>4</v>
      </c>
      <c r="E544" s="3">
        <v>6</v>
      </c>
      <c r="F544" s="3" t="str">
        <f>HYPERLINK("https://www.boe.es/gazeta/dias/1811/12/21/pdfs/GMD-1811-355.pdf","Abrir PDF")</f>
        <v>Abrir PDF</v>
      </c>
    </row>
    <row r="545" spans="1:6" ht="31.05" customHeight="1">
      <c r="A545" s="5">
        <v>-32151</v>
      </c>
      <c r="B545" s="2" t="s">
        <v>313</v>
      </c>
      <c r="C545" s="2" t="s">
        <v>23878</v>
      </c>
      <c r="D545" s="3">
        <v>8</v>
      </c>
      <c r="E545" s="3">
        <v>19</v>
      </c>
      <c r="F545" s="3" t="str">
        <f>HYPERLINK("https://www.boe.es/gazeta/dias/1811/12/21/pdfs/GEI-1811-165.pdf","Abrir PDF")</f>
        <v>Abrir PDF</v>
      </c>
    </row>
    <row r="546" spans="1:6" ht="31.05" customHeight="1">
      <c r="A546" s="5">
        <v>-32150</v>
      </c>
      <c r="B546" s="2" t="s">
        <v>1174</v>
      </c>
      <c r="C546" s="2" t="s">
        <v>23879</v>
      </c>
      <c r="D546" s="3">
        <v>4</v>
      </c>
      <c r="E546" s="3">
        <v>23</v>
      </c>
      <c r="F546" s="3" t="str">
        <f>HYPERLINK("https://www.boe.es/gazeta/dias/1811/12/22/pdfs/GMD-1811-356.pdf","Abrir PDF")</f>
        <v>Abrir PDF</v>
      </c>
    </row>
    <row r="547" spans="1:6" ht="31.05" customHeight="1">
      <c r="A547" s="5">
        <v>-32149</v>
      </c>
      <c r="B547" s="2" t="s">
        <v>2292</v>
      </c>
      <c r="C547" s="2" t="s">
        <v>23880</v>
      </c>
      <c r="D547" s="3">
        <v>4</v>
      </c>
      <c r="E547" s="3">
        <v>14</v>
      </c>
      <c r="F547" s="3" t="str">
        <f>HYPERLINK("https://www.boe.es/gazeta/dias/1811/12/23/pdfs/GMD-1811-357.pdf","Abrir PDF")</f>
        <v>Abrir PDF</v>
      </c>
    </row>
    <row r="548" spans="1:6" ht="31.05" customHeight="1">
      <c r="A548" s="5">
        <v>-32148</v>
      </c>
      <c r="B548" s="2" t="s">
        <v>3028</v>
      </c>
      <c r="C548" s="2" t="s">
        <v>23881</v>
      </c>
      <c r="D548" s="3">
        <v>4</v>
      </c>
      <c r="E548" s="3">
        <v>5</v>
      </c>
      <c r="F548" s="3" t="str">
        <f>HYPERLINK("https://www.boe.es/gazeta/dias/1811/12/24/pdfs/GMD-1811-358.pdf","Abrir PDF")</f>
        <v>Abrir PDF</v>
      </c>
    </row>
    <row r="549" spans="1:6" ht="31.05" customHeight="1">
      <c r="A549" s="5">
        <v>-32148</v>
      </c>
      <c r="B549" s="2" t="s">
        <v>1616</v>
      </c>
      <c r="C549" s="2" t="s">
        <v>23882</v>
      </c>
      <c r="D549" s="3">
        <v>8</v>
      </c>
      <c r="E549" s="3">
        <v>13</v>
      </c>
      <c r="F549" s="3" t="str">
        <f>HYPERLINK("https://www.boe.es/gazeta/dias/1811/12/24/pdfs/GEI-1811-166.pdf","Abrir PDF")</f>
        <v>Abrir PDF</v>
      </c>
    </row>
    <row r="550" spans="1:6" ht="31.05" customHeight="1">
      <c r="A550" s="5">
        <v>-32147</v>
      </c>
      <c r="B550" s="2" t="s">
        <v>1922</v>
      </c>
      <c r="C550" s="2" t="s">
        <v>23883</v>
      </c>
      <c r="D550" s="3">
        <v>4</v>
      </c>
      <c r="E550" s="3">
        <v>11</v>
      </c>
      <c r="F550" s="3" t="str">
        <f>HYPERLINK("https://www.boe.es/gazeta/dias/1811/12/25/pdfs/GMD-1811-359.pdf","Abrir PDF")</f>
        <v>Abrir PDF</v>
      </c>
    </row>
    <row r="551" spans="1:6" ht="31.05" customHeight="1">
      <c r="A551" s="5">
        <v>-32146</v>
      </c>
      <c r="B551" s="2" t="s">
        <v>3210</v>
      </c>
      <c r="C551" s="2" t="s">
        <v>23884</v>
      </c>
      <c r="D551" s="3">
        <v>4</v>
      </c>
      <c r="E551" s="3">
        <v>6</v>
      </c>
      <c r="F551" s="3" t="str">
        <f>HYPERLINK("https://www.boe.es/gazeta/dias/1811/12/26/pdfs/GMD-1811-360.pdf","Abrir PDF")</f>
        <v>Abrir PDF</v>
      </c>
    </row>
    <row r="552" spans="1:6" ht="31.05" customHeight="1">
      <c r="A552" s="5">
        <v>-32146</v>
      </c>
      <c r="B552" s="2" t="s">
        <v>777</v>
      </c>
      <c r="C552" s="2" t="s">
        <v>23885</v>
      </c>
      <c r="D552" s="3">
        <v>8</v>
      </c>
      <c r="E552" s="3">
        <v>22</v>
      </c>
      <c r="F552" s="3" t="str">
        <f>HYPERLINK("https://www.boe.es/gazeta/dias/1811/12/26/pdfs/GEI-1811-167.pdf","Abrir PDF")</f>
        <v>Abrir PDF</v>
      </c>
    </row>
    <row r="553" spans="1:6" ht="31.05" customHeight="1">
      <c r="A553" s="5">
        <v>-32145</v>
      </c>
      <c r="B553" s="2" t="s">
        <v>417</v>
      </c>
      <c r="C553" s="2" t="s">
        <v>23886</v>
      </c>
      <c r="D553" s="3">
        <v>4</v>
      </c>
      <c r="E553" s="3">
        <v>33</v>
      </c>
      <c r="F553" s="3" t="str">
        <f>HYPERLINK("https://www.boe.es/gazeta/dias/1811/12/27/pdfs/GMD-1811-361.pdf","Abrir PDF")</f>
        <v>Abrir PDF</v>
      </c>
    </row>
    <row r="554" spans="1:6" ht="31.05" customHeight="1">
      <c r="A554" s="5">
        <v>-32144</v>
      </c>
      <c r="B554" s="2" t="s">
        <v>10241</v>
      </c>
      <c r="C554" s="2" t="s">
        <v>23887</v>
      </c>
      <c r="D554" s="3">
        <v>4</v>
      </c>
      <c r="E554" s="3">
        <v>8</v>
      </c>
      <c r="F554" s="3" t="str">
        <f>HYPERLINK("https://www.boe.es/gazeta/dias/1811/12/28/pdfs/GMD-1811-362.pdf","Abrir PDF")</f>
        <v>Abrir PDF</v>
      </c>
    </row>
    <row r="555" spans="1:6" ht="31.05" customHeight="1">
      <c r="A555" s="5">
        <v>-32144</v>
      </c>
      <c r="B555" s="2" t="s">
        <v>1097</v>
      </c>
      <c r="C555" s="2" t="s">
        <v>23888</v>
      </c>
      <c r="D555" s="3">
        <v>8</v>
      </c>
      <c r="E555" s="3">
        <v>53</v>
      </c>
      <c r="F555" s="3" t="str">
        <f>HYPERLINK("https://www.boe.es/gazeta/dias/1811/12/28/pdfs/GEI-1811-168.pdf","Abrir PDF")</f>
        <v>Abrir PDF</v>
      </c>
    </row>
    <row r="556" spans="1:6" ht="31.05" customHeight="1">
      <c r="A556" s="5">
        <v>-32143</v>
      </c>
      <c r="B556" s="2" t="s">
        <v>1455</v>
      </c>
      <c r="C556" s="2" t="s">
        <v>23889</v>
      </c>
      <c r="D556" s="3">
        <v>4</v>
      </c>
      <c r="E556" s="3">
        <v>18</v>
      </c>
      <c r="F556" s="3" t="str">
        <f>HYPERLINK("https://www.boe.es/gazeta/dias/1811/12/29/pdfs/GMD-1811-363.pdf","Abrir PDF")</f>
        <v>Abrir PDF</v>
      </c>
    </row>
    <row r="557" spans="1:6" ht="31.05" customHeight="1">
      <c r="A557" s="5">
        <v>-32142</v>
      </c>
      <c r="B557" s="2" t="s">
        <v>3022</v>
      </c>
      <c r="C557" s="2" t="s">
        <v>23890</v>
      </c>
      <c r="D557" s="3">
        <v>4</v>
      </c>
      <c r="E557" s="3">
        <v>7</v>
      </c>
      <c r="F557" s="3" t="str">
        <f>HYPERLINK("https://www.boe.es/gazeta/dias/1811/12/30/pdfs/GMD-1811-364.pdf","Abrir PDF")</f>
        <v>Abrir PDF</v>
      </c>
    </row>
    <row r="558" spans="1:6" ht="31.05" customHeight="1">
      <c r="A558" s="5">
        <v>-32141</v>
      </c>
      <c r="B558" s="2" t="s">
        <v>327</v>
      </c>
      <c r="C558" s="2" t="s">
        <v>23891</v>
      </c>
      <c r="D558" s="3">
        <v>4</v>
      </c>
      <c r="E558" s="3">
        <v>67</v>
      </c>
      <c r="F558" s="3" t="str">
        <f>HYPERLINK("https://www.boe.es/gazeta/dias/1811/12/31/pdfs/GMD-1811-365.pdf","Abrir PDF")</f>
        <v>Abrir PDF</v>
      </c>
    </row>
    <row r="559" spans="1:6" ht="31.05" customHeight="1">
      <c r="A559" s="5">
        <v>-32141</v>
      </c>
      <c r="B559" s="2" t="s">
        <v>308</v>
      </c>
      <c r="C559" s="2" t="s">
        <v>23892</v>
      </c>
      <c r="D559" s="3">
        <v>8</v>
      </c>
      <c r="E559" s="3">
        <v>14</v>
      </c>
      <c r="F559" s="3" t="str">
        <f>HYPERLINK("https://www.boe.es/gazeta/dias/1811/12/31/pdfs/GEI-1811-169.pdf","Abrir PDF")</f>
        <v>Abrir PDF</v>
      </c>
    </row>
    <row r="562" spans="1:6" ht="24" customHeight="1">
      <c r="A562" s="12" t="s">
        <v>23893</v>
      </c>
      <c r="B562" s="12"/>
      <c r="C562" s="12"/>
      <c r="D562" s="12"/>
      <c r="E562" s="12"/>
      <c r="F562" s="12"/>
    </row>
    <row r="563" spans="1:6" ht="42" customHeight="1">
      <c r="A563" s="6" t="s">
        <v>23894</v>
      </c>
      <c r="B563" s="13" t="s">
        <v>23895</v>
      </c>
      <c r="C563" s="13"/>
      <c r="D563" s="13"/>
      <c r="E563" s="13"/>
      <c r="F563" s="13"/>
    </row>
    <row r="564" spans="1:6" ht="42" customHeight="1">
      <c r="A564" s="6" t="s">
        <v>23896</v>
      </c>
      <c r="B564" s="13" t="s">
        <v>23897</v>
      </c>
      <c r="C564" s="13"/>
      <c r="D564" s="13"/>
      <c r="E564" s="13"/>
      <c r="F564" s="13"/>
    </row>
    <row r="565" spans="1:6" ht="42" customHeight="1">
      <c r="A565" s="6" t="s">
        <v>23898</v>
      </c>
      <c r="B565" s="13" t="s">
        <v>23899</v>
      </c>
      <c r="C565" s="13"/>
      <c r="D565" s="13"/>
      <c r="E565" s="13"/>
      <c r="F565" s="13"/>
    </row>
    <row r="566" spans="1:6" ht="42" customHeight="1">
      <c r="A566" s="6" t="s">
        <v>23900</v>
      </c>
      <c r="B566" s="13" t="s">
        <v>23901</v>
      </c>
      <c r="C566" s="13"/>
      <c r="D566" s="13"/>
      <c r="E566" s="13"/>
      <c r="F566" s="13"/>
    </row>
    <row r="567" spans="1:6" ht="42" customHeight="1">
      <c r="A567" s="6" t="s">
        <v>23902</v>
      </c>
      <c r="B567" s="13" t="s">
        <v>23903</v>
      </c>
      <c r="C567" s="13"/>
      <c r="D567" s="13"/>
      <c r="E567" s="13"/>
      <c r="F567" s="13"/>
    </row>
    <row r="568" spans="1:6" ht="42" customHeight="1">
      <c r="A568" s="6" t="s">
        <v>10</v>
      </c>
      <c r="B568" s="13" t="s">
        <v>23904</v>
      </c>
      <c r="C568" s="13"/>
      <c r="D568" s="13"/>
      <c r="E568" s="13"/>
      <c r="F568" s="13"/>
    </row>
    <row r="569" spans="1:6" ht="42" customHeight="1">
      <c r="A569" s="6" t="s">
        <v>23905</v>
      </c>
      <c r="B569" s="13" t="s">
        <v>23906</v>
      </c>
      <c r="C569" s="13"/>
      <c r="D569" s="13"/>
      <c r="E569" s="13"/>
      <c r="F569" s="13"/>
    </row>
    <row r="570" spans="1:6" ht="42" customHeight="1">
      <c r="A570" s="6" t="s">
        <v>23907</v>
      </c>
      <c r="B570" s="13" t="s">
        <v>23908</v>
      </c>
      <c r="C570" s="13"/>
      <c r="D570" s="13"/>
      <c r="E570" s="13"/>
      <c r="F570" s="13"/>
    </row>
    <row r="571" spans="1:6" ht="42" customHeight="1">
      <c r="A571" s="6" t="s">
        <v>23909</v>
      </c>
      <c r="B571" s="13" t="s">
        <v>23910</v>
      </c>
      <c r="C571" s="13"/>
      <c r="D571" s="13"/>
      <c r="E571" s="13"/>
      <c r="F571" s="13"/>
    </row>
  </sheetData>
  <mergeCells count="12">
    <mergeCell ref="B570:F570"/>
    <mergeCell ref="B571:F571"/>
    <mergeCell ref="B565:F565"/>
    <mergeCell ref="B566:F566"/>
    <mergeCell ref="B567:F567"/>
    <mergeCell ref="B568:F568"/>
    <mergeCell ref="B569:F569"/>
    <mergeCell ref="A1:F1"/>
    <mergeCell ref="A2:F2"/>
    <mergeCell ref="A562:F562"/>
    <mergeCell ref="B563:F563"/>
    <mergeCell ref="B564:F564"/>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2026-09-28T08:50:52Z</dcterms:created>
  <dcterms:modified xsi:type="dcterms:W3CDTF">2026-09-28T08:50:52Z</dcterms:modified>
</cp:coreProperties>
</file>